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95" windowWidth="14805" windowHeight="7920"/>
  </bookViews>
  <sheets>
    <sheet name="追溯信息输入" sheetId="3" r:id="rId1"/>
    <sheet name="追溯信息-编码表" sheetId="1" r:id="rId2"/>
    <sheet name="产品型号输入" sheetId="4" state="hidden" r:id="rId3"/>
    <sheet name="产品型号-编码表" sheetId="5" state="hidden" r:id="rId4"/>
  </sheets>
  <calcPr calcId="144525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2" i="1"/>
  <c r="S9" i="1"/>
  <c r="AA8" i="1" s="1"/>
  <c r="V20" i="4"/>
  <c r="U20" i="4"/>
  <c r="T20" i="4"/>
  <c r="S20" i="4"/>
  <c r="R20" i="4"/>
  <c r="Q20" i="4"/>
  <c r="P20" i="4"/>
  <c r="O20" i="4"/>
  <c r="N20" i="4"/>
  <c r="M20" i="4"/>
  <c r="L20" i="4"/>
  <c r="V19" i="4"/>
  <c r="U19" i="4"/>
  <c r="T19" i="4"/>
  <c r="S19" i="4"/>
  <c r="R19" i="4"/>
  <c r="Q19" i="4"/>
  <c r="P19" i="4"/>
  <c r="O19" i="4"/>
  <c r="N19" i="4"/>
  <c r="M19" i="4"/>
  <c r="L19" i="4"/>
  <c r="V18" i="4"/>
  <c r="U18" i="4"/>
  <c r="T18" i="4"/>
  <c r="S18" i="4"/>
  <c r="R18" i="4"/>
  <c r="Q18" i="4"/>
  <c r="P18" i="4"/>
  <c r="O18" i="4"/>
  <c r="N18" i="4"/>
  <c r="M18" i="4"/>
  <c r="L18" i="4"/>
  <c r="Y18" i="4" s="1"/>
  <c r="V17" i="4"/>
  <c r="U17" i="4"/>
  <c r="T17" i="4"/>
  <c r="S17" i="4"/>
  <c r="R17" i="4"/>
  <c r="Q17" i="4"/>
  <c r="P17" i="4"/>
  <c r="O17" i="4"/>
  <c r="N17" i="4"/>
  <c r="M17" i="4"/>
  <c r="L17" i="4"/>
  <c r="V16" i="4"/>
  <c r="U16" i="4"/>
  <c r="T16" i="4"/>
  <c r="S16" i="4"/>
  <c r="R16" i="4"/>
  <c r="Q16" i="4"/>
  <c r="P16" i="4"/>
  <c r="O16" i="4"/>
  <c r="N16" i="4"/>
  <c r="M16" i="4"/>
  <c r="L16" i="4"/>
  <c r="V15" i="4"/>
  <c r="U15" i="4"/>
  <c r="T15" i="4"/>
  <c r="S15" i="4"/>
  <c r="R15" i="4"/>
  <c r="Q15" i="4"/>
  <c r="P15" i="4"/>
  <c r="O15" i="4"/>
  <c r="N15" i="4"/>
  <c r="M15" i="4"/>
  <c r="L15" i="4"/>
  <c r="V14" i="4"/>
  <c r="U14" i="4"/>
  <c r="T14" i="4"/>
  <c r="S14" i="4"/>
  <c r="R14" i="4"/>
  <c r="Q14" i="4"/>
  <c r="P14" i="4"/>
  <c r="O14" i="4"/>
  <c r="N14" i="4"/>
  <c r="M14" i="4"/>
  <c r="L14" i="4"/>
  <c r="Y14" i="4" s="1"/>
  <c r="V13" i="4"/>
  <c r="U13" i="4"/>
  <c r="T13" i="4"/>
  <c r="S13" i="4"/>
  <c r="R13" i="4"/>
  <c r="Q13" i="4"/>
  <c r="P13" i="4"/>
  <c r="O13" i="4"/>
  <c r="N13" i="4"/>
  <c r="M13" i="4"/>
  <c r="L13" i="4"/>
  <c r="V10" i="4"/>
  <c r="U10" i="4"/>
  <c r="T10" i="4"/>
  <c r="S10" i="4"/>
  <c r="R10" i="4"/>
  <c r="Q10" i="4"/>
  <c r="P10" i="4"/>
  <c r="O10" i="4"/>
  <c r="N10" i="4"/>
  <c r="M10" i="4"/>
  <c r="L10" i="4"/>
  <c r="V9" i="4"/>
  <c r="U9" i="4"/>
  <c r="T9" i="4"/>
  <c r="S9" i="4"/>
  <c r="R9" i="4"/>
  <c r="Q9" i="4"/>
  <c r="P9" i="4"/>
  <c r="O9" i="4"/>
  <c r="N9" i="4"/>
  <c r="M9" i="4"/>
  <c r="L9" i="4"/>
  <c r="V8" i="4"/>
  <c r="U8" i="4"/>
  <c r="T8" i="4"/>
  <c r="S8" i="4"/>
  <c r="R8" i="4"/>
  <c r="Q8" i="4"/>
  <c r="P8" i="4"/>
  <c r="O8" i="4"/>
  <c r="N8" i="4"/>
  <c r="M8" i="4"/>
  <c r="L8" i="4"/>
  <c r="Y8" i="4" s="1"/>
  <c r="V7" i="4"/>
  <c r="U7" i="4"/>
  <c r="T7" i="4"/>
  <c r="S7" i="4"/>
  <c r="R7" i="4"/>
  <c r="Q7" i="4"/>
  <c r="P7" i="4"/>
  <c r="O7" i="4"/>
  <c r="N7" i="4"/>
  <c r="M7" i="4"/>
  <c r="L7" i="4"/>
  <c r="V6" i="4"/>
  <c r="U6" i="4"/>
  <c r="T6" i="4"/>
  <c r="S6" i="4"/>
  <c r="R6" i="4"/>
  <c r="Q6" i="4"/>
  <c r="P6" i="4"/>
  <c r="O6" i="4"/>
  <c r="N6" i="4"/>
  <c r="M6" i="4"/>
  <c r="L6" i="4"/>
  <c r="V5" i="4"/>
  <c r="U5" i="4"/>
  <c r="T5" i="4"/>
  <c r="S5" i="4"/>
  <c r="R5" i="4"/>
  <c r="Q5" i="4"/>
  <c r="P5" i="4"/>
  <c r="O5" i="4"/>
  <c r="N5" i="4"/>
  <c r="M5" i="4"/>
  <c r="L5" i="4"/>
  <c r="V4" i="4"/>
  <c r="U4" i="4"/>
  <c r="T4" i="4"/>
  <c r="S4" i="4"/>
  <c r="R4" i="4"/>
  <c r="Q4" i="4"/>
  <c r="P4" i="4"/>
  <c r="O4" i="4"/>
  <c r="N4" i="4"/>
  <c r="M4" i="4"/>
  <c r="L4" i="4"/>
  <c r="Y4" i="4" s="1"/>
  <c r="V3" i="4"/>
  <c r="U3" i="4"/>
  <c r="T3" i="4"/>
  <c r="S3" i="4"/>
  <c r="R3" i="4"/>
  <c r="Q3" i="4"/>
  <c r="P3" i="4"/>
  <c r="O3" i="4"/>
  <c r="N3" i="4"/>
  <c r="M3" i="4"/>
  <c r="L3" i="4"/>
  <c r="V2" i="4"/>
  <c r="U2" i="4"/>
  <c r="T2" i="4"/>
  <c r="S2" i="4"/>
  <c r="R2" i="4"/>
  <c r="Q2" i="4"/>
  <c r="P2" i="4"/>
  <c r="O2" i="4"/>
  <c r="N2" i="4"/>
  <c r="M2" i="4"/>
  <c r="L2" i="4"/>
  <c r="S20" i="1"/>
  <c r="T20" i="1" s="1"/>
  <c r="C10" i="3" s="1"/>
  <c r="S18" i="1"/>
  <c r="T18" i="1" s="1"/>
  <c r="C9" i="3" s="1"/>
  <c r="S16" i="1"/>
  <c r="V16" i="1" s="1"/>
  <c r="S14" i="1"/>
  <c r="X14" i="1" s="1"/>
  <c r="Y14" i="1" s="1"/>
  <c r="S8" i="1"/>
  <c r="S6" i="1"/>
  <c r="T6" i="1" s="1"/>
  <c r="C4" i="3" s="1"/>
  <c r="S4" i="1"/>
  <c r="T4" i="1" s="1"/>
  <c r="C3" i="3" s="1"/>
  <c r="S2" i="1"/>
  <c r="T2" i="1" s="1"/>
  <c r="C2" i="3" s="1"/>
  <c r="C12" i="3"/>
  <c r="B11" i="3"/>
  <c r="S22" i="1" s="1"/>
  <c r="AB8" i="1" l="1"/>
  <c r="Y3" i="4"/>
  <c r="Y7" i="4"/>
  <c r="Y5" i="4"/>
  <c r="Y9" i="4"/>
  <c r="Y15" i="4"/>
  <c r="Y19" i="4"/>
  <c r="Y13" i="4"/>
  <c r="Y17" i="4"/>
  <c r="Y2" i="4"/>
  <c r="Y6" i="4"/>
  <c r="Y10" i="4"/>
  <c r="Y16" i="4"/>
  <c r="Y20" i="4"/>
  <c r="V14" i="1"/>
  <c r="Z14" i="1" s="1"/>
  <c r="Z8" i="1"/>
  <c r="W16" i="1"/>
  <c r="Y22" i="1"/>
  <c r="Z22" i="1" s="1"/>
  <c r="U22" i="1"/>
  <c r="V22" i="1" s="1"/>
  <c r="W22" i="1"/>
  <c r="X22" i="1" s="1"/>
  <c r="X8" i="1"/>
  <c r="Y8" i="1" s="1"/>
  <c r="X16" i="1"/>
  <c r="Y16" i="1" s="1"/>
  <c r="V8" i="1"/>
  <c r="W14" i="1" l="1"/>
  <c r="T14" i="1" s="1"/>
  <c r="C7" i="3" s="1"/>
  <c r="T16" i="1"/>
  <c r="C8" i="3" s="1"/>
  <c r="W8" i="1"/>
  <c r="T8" i="1" s="1"/>
  <c r="AC8" i="1"/>
  <c r="T22" i="1"/>
  <c r="C11" i="3" s="1"/>
  <c r="G2" i="3" s="1"/>
  <c r="Z16" i="1"/>
  <c r="C5" i="3" l="1"/>
  <c r="G1" i="3" s="1"/>
</calcChain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color indexed="81"/>
            <rFont val="宋体"/>
            <family val="3"/>
            <charset val="134"/>
          </rPr>
          <t>容量≤96Ah，保留1位小数点。小数点第二位做进位处理。如：3.22Ah→3.3Ah
960Ah≥容量＞96Ah，不保留小数点，直接进位。如：96.2Ah→97Ah
容量＞960Ah，个位进位。如962Ah→970Ah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O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其他补全待确认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sz val="9"/>
            <color indexed="81"/>
            <rFont val="宋体"/>
            <family val="3"/>
            <charset val="134"/>
          </rPr>
          <t>容量≤96Ah，保留1位小数点。小数点第二位做进位处理。如：3.22Ah→3.3Ah
960Ah≥容量＞96Ah，不保留小数点，直接进位。如：96.2Ah→97Ah
容量＞960Ah，个位进位。如962Ah→970Ah</t>
        </r>
      </text>
    </comment>
  </commentList>
</comments>
</file>

<file path=xl/sharedStrings.xml><?xml version="1.0" encoding="utf-8"?>
<sst xmlns="http://schemas.openxmlformats.org/spreadsheetml/2006/main" count="434" uniqueCount="230">
  <si>
    <t>代码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</si>
  <si>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</si>
  <si>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</si>
  <si>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</si>
  <si>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</si>
  <si>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</si>
  <si>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</si>
  <si>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</si>
  <si>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</si>
  <si>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</si>
  <si>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</si>
  <si>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</si>
  <si>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</si>
  <si>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</si>
  <si>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</si>
  <si>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</si>
  <si>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</si>
  <si>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</si>
  <si>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</si>
  <si>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</si>
  <si>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</si>
  <si>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</si>
  <si>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</si>
  <si>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</si>
  <si>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</si>
  <si>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</si>
  <si>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</si>
  <si>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不用</t>
    <phoneticPr fontId="1" type="noConversion"/>
  </si>
  <si>
    <t>不用</t>
    <phoneticPr fontId="1" type="noConversion"/>
  </si>
  <si>
    <t>代码</t>
    <phoneticPr fontId="1" type="noConversion"/>
  </si>
  <si>
    <t>A</t>
    <phoneticPr fontId="1" type="noConversion"/>
  </si>
  <si>
    <t>B</t>
    <phoneticPr fontId="1" type="noConversion"/>
  </si>
  <si>
    <t>X6代码</t>
    <phoneticPr fontId="1" type="noConversion"/>
  </si>
  <si>
    <t>X7代码</t>
    <phoneticPr fontId="1" type="noConversion"/>
  </si>
  <si>
    <t>权重</t>
    <phoneticPr fontId="1" type="noConversion"/>
  </si>
  <si>
    <t>容量值</t>
    <phoneticPr fontId="1" type="noConversion"/>
  </si>
  <si>
    <t>X8代码</t>
    <phoneticPr fontId="1" type="noConversion"/>
  </si>
  <si>
    <t>X8值</t>
    <phoneticPr fontId="1" type="noConversion"/>
  </si>
  <si>
    <t>X7值</t>
    <phoneticPr fontId="1" type="noConversion"/>
  </si>
  <si>
    <t>X6值</t>
    <phoneticPr fontId="1" type="noConversion"/>
  </si>
  <si>
    <t>计算公式</t>
    <phoneticPr fontId="1" type="noConversion"/>
  </si>
  <si>
    <t>(X6*31+X7)*X8</t>
    <phoneticPr fontId="1" type="noConversion"/>
  </si>
  <si>
    <t>计算值</t>
    <phoneticPr fontId="1" type="noConversion"/>
  </si>
  <si>
    <t>X9*31+X10</t>
    <phoneticPr fontId="1" type="noConversion"/>
  </si>
  <si>
    <t>并联数</t>
    <phoneticPr fontId="1" type="noConversion"/>
  </si>
  <si>
    <t>串联数</t>
    <phoneticPr fontId="1" type="noConversion"/>
  </si>
  <si>
    <t>X9、X10</t>
    <phoneticPr fontId="1" type="noConversion"/>
  </si>
  <si>
    <t>X11、X12</t>
    <phoneticPr fontId="1" type="noConversion"/>
  </si>
  <si>
    <t>输入信息</t>
    <phoneticPr fontId="1" type="noConversion"/>
  </si>
  <si>
    <t>企业名称</t>
    <phoneticPr fontId="1" type="noConversion"/>
  </si>
  <si>
    <t>企业名称</t>
    <phoneticPr fontId="1" type="noConversion"/>
  </si>
  <si>
    <t>代码</t>
    <phoneticPr fontId="1" type="noConversion"/>
  </si>
  <si>
    <t>代码</t>
    <phoneticPr fontId="1" type="noConversion"/>
  </si>
  <si>
    <t>企业名称</t>
    <phoneticPr fontId="1" type="noConversion"/>
  </si>
  <si>
    <t>04G</t>
    <phoneticPr fontId="1" type="noConversion"/>
  </si>
  <si>
    <t>江苏明美新能源科技有限公司</t>
    <phoneticPr fontId="1" type="noConversion"/>
  </si>
  <si>
    <r>
      <t>X1</t>
    </r>
    <r>
      <rPr>
        <sz val="10"/>
        <color theme="1"/>
        <rFont val="宋体"/>
        <family val="3"/>
        <charset val="134"/>
      </rPr>
      <t>～X3</t>
    </r>
    <phoneticPr fontId="1" type="noConversion"/>
  </si>
  <si>
    <r>
      <t>X6</t>
    </r>
    <r>
      <rPr>
        <sz val="10"/>
        <color theme="1"/>
        <rFont val="宋体"/>
        <family val="3"/>
        <charset val="134"/>
      </rPr>
      <t>～X8</t>
    </r>
    <phoneticPr fontId="1" type="noConversion"/>
  </si>
  <si>
    <r>
      <t>X9、</t>
    </r>
    <r>
      <rPr>
        <sz val="10"/>
        <color theme="1"/>
        <rFont val="宋体"/>
        <family val="3"/>
        <charset val="134"/>
      </rPr>
      <t>X10代码</t>
    </r>
    <phoneticPr fontId="1" type="noConversion"/>
  </si>
  <si>
    <r>
      <t>X11</t>
    </r>
    <r>
      <rPr>
        <sz val="10"/>
        <color theme="1"/>
        <rFont val="宋体"/>
        <family val="3"/>
        <charset val="134"/>
      </rPr>
      <t>～X12代码</t>
    </r>
    <phoneticPr fontId="1" type="noConversion"/>
  </si>
  <si>
    <t>广州明美新能源有限公司</t>
    <phoneticPr fontId="1" type="noConversion"/>
  </si>
  <si>
    <t>产品类型</t>
    <phoneticPr fontId="1" type="noConversion"/>
  </si>
  <si>
    <t>电池系统</t>
    <phoneticPr fontId="1" type="noConversion"/>
  </si>
  <si>
    <t>S</t>
    <phoneticPr fontId="1" type="noConversion"/>
  </si>
  <si>
    <t>电池包</t>
  </si>
  <si>
    <t>电池包</t>
    <phoneticPr fontId="1" type="noConversion"/>
  </si>
  <si>
    <t>P</t>
    <phoneticPr fontId="1" type="noConversion"/>
  </si>
  <si>
    <t>电池模块</t>
    <phoneticPr fontId="1" type="noConversion"/>
  </si>
  <si>
    <t>M</t>
    <phoneticPr fontId="1" type="noConversion"/>
  </si>
  <si>
    <t>单体电池</t>
    <phoneticPr fontId="1" type="noConversion"/>
  </si>
  <si>
    <t>C</t>
  </si>
  <si>
    <t>C</t>
    <phoneticPr fontId="1" type="noConversion"/>
  </si>
  <si>
    <t>代码</t>
    <phoneticPr fontId="1" type="noConversion"/>
  </si>
  <si>
    <t>X4</t>
    <phoneticPr fontId="1" type="noConversion"/>
  </si>
  <si>
    <t>产品类型</t>
    <phoneticPr fontId="1" type="noConversion"/>
  </si>
  <si>
    <t>产品类型</t>
    <phoneticPr fontId="1" type="noConversion"/>
  </si>
  <si>
    <t>X5</t>
    <phoneticPr fontId="1" type="noConversion"/>
  </si>
  <si>
    <t>电池类型</t>
    <phoneticPr fontId="1" type="noConversion"/>
  </si>
  <si>
    <t>A</t>
  </si>
  <si>
    <t>镍氢电池</t>
  </si>
  <si>
    <t>B</t>
  </si>
  <si>
    <t>磷酸铁锂</t>
  </si>
  <si>
    <t>锰酸锂</t>
  </si>
  <si>
    <t>D</t>
  </si>
  <si>
    <t>钴酸锂</t>
  </si>
  <si>
    <t>E</t>
  </si>
  <si>
    <t>三元</t>
  </si>
  <si>
    <t>F</t>
  </si>
  <si>
    <t>超级电容器</t>
  </si>
  <si>
    <t>G</t>
  </si>
  <si>
    <t>钛酸锂</t>
  </si>
  <si>
    <t>Z</t>
  </si>
  <si>
    <t>其它</t>
  </si>
  <si>
    <t>电池类型</t>
    <phoneticPr fontId="1" type="noConversion"/>
  </si>
  <si>
    <t>容量(Ah）</t>
    <phoneticPr fontId="1" type="noConversion"/>
  </si>
  <si>
    <t>容量≤96Ah，保留1位小数点。小数点第二位做进位处理。如：3.22Ah→3.3Ah
960Ah≥容量＞96Ah，不保留小数点，直接进位。如：96.2Ah→97Ah
容量＞960Ah，个位进位。如962Ah→970Ah</t>
    <phoneticPr fontId="1" type="noConversion"/>
  </si>
  <si>
    <t>项目</t>
    <phoneticPr fontId="1" type="noConversion"/>
  </si>
  <si>
    <r>
      <t>X1</t>
    </r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宋体"/>
        <family val="2"/>
      </rPr>
      <t>X3</t>
    </r>
    <phoneticPr fontId="1" type="noConversion"/>
  </si>
  <si>
    <t>X4</t>
    <phoneticPr fontId="1" type="noConversion"/>
  </si>
  <si>
    <t>X5</t>
    <phoneticPr fontId="1" type="noConversion"/>
  </si>
  <si>
    <r>
      <t>X6</t>
    </r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宋体"/>
        <family val="2"/>
      </rPr>
      <t>X8</t>
    </r>
    <phoneticPr fontId="1" type="noConversion"/>
  </si>
  <si>
    <t>X11、X12</t>
    <phoneticPr fontId="1" type="noConversion"/>
  </si>
  <si>
    <t>X9、X10</t>
    <phoneticPr fontId="1" type="noConversion"/>
  </si>
  <si>
    <t>位号</t>
    <phoneticPr fontId="1" type="noConversion"/>
  </si>
  <si>
    <t>X13</t>
    <phoneticPr fontId="1" type="noConversion"/>
  </si>
  <si>
    <t>生产线别</t>
    <phoneticPr fontId="1" type="noConversion"/>
  </si>
  <si>
    <t>电池类型</t>
    <phoneticPr fontId="1" type="noConversion"/>
  </si>
  <si>
    <t>31进制值</t>
    <phoneticPr fontId="1" type="noConversion"/>
  </si>
  <si>
    <t>X13</t>
    <phoneticPr fontId="1" type="noConversion"/>
  </si>
  <si>
    <t>生产线别</t>
    <phoneticPr fontId="1" type="noConversion"/>
  </si>
  <si>
    <t>代码</t>
    <phoneticPr fontId="1" type="noConversion"/>
  </si>
  <si>
    <t>X14</t>
  </si>
  <si>
    <t>X14</t>
    <phoneticPr fontId="1" type="noConversion"/>
  </si>
  <si>
    <t>生产地址</t>
    <phoneticPr fontId="1" type="noConversion"/>
  </si>
  <si>
    <t>生产地址</t>
    <phoneticPr fontId="1" type="noConversion"/>
  </si>
  <si>
    <t>泰州市海陵区泰安路31号</t>
    <phoneticPr fontId="1" type="noConversion"/>
  </si>
  <si>
    <t>泰州市海陵区泰安路31号</t>
    <phoneticPr fontId="1" type="noConversion"/>
  </si>
  <si>
    <t>代码</t>
    <phoneticPr fontId="1" type="noConversion"/>
  </si>
  <si>
    <t>设计信息</t>
    <phoneticPr fontId="1" type="noConversion"/>
  </si>
  <si>
    <t>生产信息</t>
    <phoneticPr fontId="1" type="noConversion"/>
  </si>
  <si>
    <t>生产日期</t>
    <phoneticPr fontId="1" type="noConversion"/>
  </si>
  <si>
    <t>流水号</t>
    <phoneticPr fontId="1" type="noConversion"/>
  </si>
  <si>
    <r>
      <t>X15</t>
    </r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宋体"/>
        <family val="2"/>
      </rPr>
      <t>X17</t>
    </r>
    <phoneticPr fontId="1" type="noConversion"/>
  </si>
  <si>
    <r>
      <t>X18</t>
    </r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宋体"/>
        <family val="2"/>
      </rPr>
      <t>X24</t>
    </r>
    <phoneticPr fontId="1" type="noConversion"/>
  </si>
  <si>
    <t>0000001</t>
    <phoneticPr fontId="1" type="noConversion"/>
  </si>
  <si>
    <r>
      <t>X15</t>
    </r>
    <r>
      <rPr>
        <sz val="10"/>
        <color theme="1"/>
        <rFont val="宋体"/>
        <family val="3"/>
        <charset val="134"/>
      </rPr>
      <t>～</t>
    </r>
    <r>
      <rPr>
        <sz val="10"/>
        <color theme="1"/>
        <rFont val="宋体"/>
        <family val="2"/>
      </rPr>
      <t>X17</t>
    </r>
    <phoneticPr fontId="1" type="noConversion"/>
  </si>
  <si>
    <t>生产日期</t>
    <phoneticPr fontId="1" type="noConversion"/>
  </si>
  <si>
    <t>生产年份</t>
    <phoneticPr fontId="1" type="noConversion"/>
  </si>
  <si>
    <t>生产月份</t>
    <phoneticPr fontId="1" type="noConversion"/>
  </si>
  <si>
    <t>生产日期</t>
    <phoneticPr fontId="1" type="noConversion"/>
  </si>
  <si>
    <t>X15代码</t>
    <phoneticPr fontId="1" type="noConversion"/>
  </si>
  <si>
    <t>X16代码</t>
    <phoneticPr fontId="1" type="noConversion"/>
  </si>
  <si>
    <t>X17代码</t>
    <phoneticPr fontId="1" type="noConversion"/>
  </si>
  <si>
    <t>江苏明美新能源科技有限公司</t>
    <phoneticPr fontId="1" type="noConversion"/>
  </si>
  <si>
    <t>TWS-32-RH10-1P8S-M</t>
    <phoneticPr fontId="1" type="noConversion"/>
  </si>
  <si>
    <t>标准C箱</t>
    <phoneticPr fontId="1" type="noConversion"/>
  </si>
  <si>
    <t>TWS-32-RH10-B-PC</t>
    <phoneticPr fontId="1" type="noConversion"/>
  </si>
  <si>
    <t>标准C箱</t>
    <phoneticPr fontId="1" type="noConversion"/>
  </si>
  <si>
    <t>TWS-32-RH8-1P12S-M</t>
    <phoneticPr fontId="1" type="noConversion"/>
  </si>
  <si>
    <t>TWS-32-RH8-B-PA</t>
    <phoneticPr fontId="1" type="noConversion"/>
  </si>
  <si>
    <t>标准A箱</t>
    <phoneticPr fontId="1" type="noConversion"/>
  </si>
  <si>
    <t>强检型号</t>
    <phoneticPr fontId="1" type="noConversion"/>
  </si>
  <si>
    <t>项目</t>
    <phoneticPr fontId="1" type="noConversion"/>
  </si>
  <si>
    <t>2P4S-module</t>
    <phoneticPr fontId="1" type="noConversion"/>
  </si>
  <si>
    <t>SH-RH10m-64V/480Ah</t>
    <phoneticPr fontId="1" type="noConversion"/>
  </si>
  <si>
    <t>SH-RH8m-140V/240Ah</t>
    <phoneticPr fontId="1" type="noConversion"/>
  </si>
  <si>
    <t>1P11S-module</t>
    <phoneticPr fontId="1" type="noConversion"/>
  </si>
  <si>
    <t>RH10m</t>
    <phoneticPr fontId="1" type="noConversion"/>
  </si>
  <si>
    <t>RH8m</t>
    <phoneticPr fontId="1" type="noConversion"/>
  </si>
  <si>
    <t>320A8ME00300300TAF120C</t>
    <phoneticPr fontId="1" type="noConversion"/>
  </si>
  <si>
    <t>容量（Ah)</t>
    <phoneticPr fontId="1" type="noConversion"/>
  </si>
  <si>
    <t>电压(V)</t>
    <phoneticPr fontId="1" type="noConversion"/>
  </si>
  <si>
    <t>YF</t>
    <phoneticPr fontId="1" type="noConversion"/>
  </si>
  <si>
    <t>320A8PE00302AN0TAF120C</t>
    <phoneticPr fontId="1" type="noConversion"/>
  </si>
  <si>
    <t>320A8PE003026N0TAF120C</t>
    <phoneticPr fontId="1" type="noConversion"/>
  </si>
  <si>
    <t>320A8PE003014N0TAF120C</t>
    <phoneticPr fontId="1" type="noConversion"/>
  </si>
  <si>
    <t>320A8ME00300400TAF120C</t>
    <phoneticPr fontId="1" type="noConversion"/>
  </si>
  <si>
    <t>T02</t>
    <phoneticPr fontId="1" type="noConversion"/>
  </si>
  <si>
    <t>320A8PE003018N0TAF120C</t>
    <phoneticPr fontId="1" type="noConversion"/>
  </si>
  <si>
    <t>未申报</t>
    <phoneticPr fontId="1" type="noConversion"/>
  </si>
  <si>
    <t>动力储能</t>
    <phoneticPr fontId="1" type="noConversion"/>
  </si>
  <si>
    <t>厂内型号</t>
    <phoneticPr fontId="1" type="noConversion"/>
  </si>
  <si>
    <t>TWSMB04002176C</t>
    <phoneticPr fontId="1" type="noConversion"/>
  </si>
  <si>
    <t>TWSMB08001176C</t>
    <phoneticPr fontId="1" type="noConversion"/>
  </si>
  <si>
    <t>TWSMB04002240C</t>
    <phoneticPr fontId="1" type="noConversion"/>
  </si>
  <si>
    <t>TWSPB14H02240C</t>
    <phoneticPr fontId="1" type="noConversion"/>
  </si>
  <si>
    <t>TWSPB2AJ01240C</t>
    <phoneticPr fontId="1" type="noConversion"/>
  </si>
  <si>
    <t>TWSMB09001240C</t>
    <phoneticPr fontId="1" type="noConversion"/>
  </si>
  <si>
    <t>TWSMB0B001240C</t>
    <phoneticPr fontId="1" type="noConversion"/>
  </si>
  <si>
    <t>未定义</t>
    <phoneticPr fontId="1" type="noConversion"/>
  </si>
  <si>
    <t>TWSME03003120C</t>
    <phoneticPr fontId="1" type="noConversion"/>
  </si>
  <si>
    <t>TWSME04003120C</t>
    <phoneticPr fontId="1" type="noConversion"/>
  </si>
  <si>
    <t>TWSPE2AK03120C</t>
    <phoneticPr fontId="1" type="noConversion"/>
  </si>
  <si>
    <t>TWSPE26L03120C</t>
    <phoneticPr fontId="1" type="noConversion"/>
  </si>
  <si>
    <t>TWSPE14M03120C</t>
    <phoneticPr fontId="1" type="noConversion"/>
  </si>
  <si>
    <t>TWSPE18N03120C</t>
    <phoneticPr fontId="1" type="noConversion"/>
  </si>
  <si>
    <t>新编码—型号</t>
    <phoneticPr fontId="1" type="noConversion"/>
  </si>
  <si>
    <t>电池类型</t>
    <phoneticPr fontId="1" type="noConversion"/>
  </si>
  <si>
    <t>产品类型</t>
    <phoneticPr fontId="1" type="noConversion"/>
  </si>
  <si>
    <t>电池模块</t>
  </si>
  <si>
    <t>串联数</t>
    <phoneticPr fontId="1" type="noConversion"/>
  </si>
  <si>
    <t>并联数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</si>
  <si>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</si>
  <si>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</si>
  <si>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</si>
  <si>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</si>
  <si>
    <t>X5</t>
  </si>
  <si>
    <t>X6</t>
  </si>
  <si>
    <t>X7</t>
  </si>
  <si>
    <t>X8</t>
  </si>
  <si>
    <t>X9</t>
  </si>
  <si>
    <t>衍生品类型</t>
    <phoneticPr fontId="1" type="noConversion"/>
  </si>
  <si>
    <t>首款产品</t>
  </si>
  <si>
    <t>首款产品</t>
    <phoneticPr fontId="1" type="noConversion"/>
  </si>
  <si>
    <t>FPC</t>
    <phoneticPr fontId="1" type="noConversion"/>
  </si>
  <si>
    <t>采集线束</t>
    <phoneticPr fontId="1" type="noConversion"/>
  </si>
  <si>
    <t>X10</t>
    <phoneticPr fontId="1" type="noConversion"/>
  </si>
  <si>
    <t>电芯</t>
    <phoneticPr fontId="1" type="noConversion"/>
  </si>
  <si>
    <t>保护端板</t>
    <phoneticPr fontId="1" type="noConversion"/>
  </si>
  <si>
    <t>模块底壳</t>
    <phoneticPr fontId="1" type="noConversion"/>
  </si>
  <si>
    <t>支架</t>
    <phoneticPr fontId="1" type="noConversion"/>
  </si>
  <si>
    <t>双孔连接块</t>
    <phoneticPr fontId="1" type="noConversion"/>
  </si>
  <si>
    <t>螺丝</t>
    <phoneticPr fontId="1" type="noConversion"/>
  </si>
  <si>
    <t>X10</t>
    <phoneticPr fontId="1" type="noConversion"/>
  </si>
  <si>
    <t>X11</t>
    <phoneticPr fontId="1" type="noConversion"/>
  </si>
  <si>
    <t>变化次数</t>
    <phoneticPr fontId="1" type="noConversion"/>
  </si>
  <si>
    <t>模块衍生品</t>
    <phoneticPr fontId="1" type="noConversion"/>
  </si>
  <si>
    <t>电池包衍生品</t>
    <phoneticPr fontId="1" type="noConversion"/>
  </si>
  <si>
    <t>模块</t>
    <phoneticPr fontId="1" type="noConversion"/>
  </si>
  <si>
    <t>X10</t>
    <phoneticPr fontId="1" type="noConversion"/>
  </si>
  <si>
    <t>外箱</t>
    <phoneticPr fontId="1" type="noConversion"/>
  </si>
  <si>
    <t>加热膜</t>
    <phoneticPr fontId="1" type="noConversion"/>
  </si>
  <si>
    <t>高压箱</t>
    <phoneticPr fontId="1" type="noConversion"/>
  </si>
  <si>
    <t>首款产品</t>
    <phoneticPr fontId="1" type="noConversion"/>
  </si>
  <si>
    <t>补全信息</t>
    <phoneticPr fontId="1" type="noConversion"/>
  </si>
  <si>
    <t>E</t>
    <phoneticPr fontId="1" type="noConversion"/>
  </si>
  <si>
    <t>F</t>
    <phoneticPr fontId="1" type="noConversion"/>
  </si>
  <si>
    <t>D</t>
    <phoneticPr fontId="1" type="noConversion"/>
  </si>
  <si>
    <t>补全值</t>
    <phoneticPr fontId="1" type="noConversion"/>
  </si>
  <si>
    <t>补全信息</t>
    <phoneticPr fontId="1" type="noConversion"/>
  </si>
  <si>
    <t>补全信息</t>
    <phoneticPr fontId="1" type="noConversion"/>
  </si>
  <si>
    <t>补全信息</t>
    <phoneticPr fontId="1" type="noConversion"/>
  </si>
  <si>
    <t>面向非喷码右为正</t>
  </si>
  <si>
    <t>面向非喷码右为正</t>
    <phoneticPr fontId="1" type="noConversion"/>
  </si>
  <si>
    <t>面向非喷码右为正</t>
    <phoneticPr fontId="1" type="noConversion"/>
  </si>
  <si>
    <t>面向非喷码右为负</t>
    <phoneticPr fontId="1" type="noConversion"/>
  </si>
  <si>
    <t>面向非喷码右为负</t>
    <phoneticPr fontId="1" type="noConversion"/>
  </si>
  <si>
    <t>电芯厂变化1-面向非喷码右为负</t>
    <phoneticPr fontId="1" type="noConversion"/>
  </si>
  <si>
    <t>电芯厂变化1-面向非喷码右为负</t>
    <phoneticPr fontId="1" type="noConversion"/>
  </si>
  <si>
    <t>电芯厂变化1-面向非喷码右为正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</si>
</sst>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2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2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0" xfId="0" applyProtection="1"/>
    <xf numFmtId="0" fontId="0" fillId="3" borderId="1" xfId="0" applyFill="1" applyBorder="1" applyAlignment="1" applyProtection="1">
      <alignment horizontal="center" vertical="center"/>
      <protection locked="0"/>
    </xf>
    <xf numFmtId="0" fontId="2" fillId="0" borderId="0" xfId="0" applyFont="1" applyProtection="1"/>
    <xf numFmtId="0" fontId="5" fillId="0" borderId="1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176" fontId="5" fillId="0" borderId="1" xfId="0" applyNumberFormat="1" applyFont="1" applyBorder="1" applyAlignment="1" applyProtection="1">
      <alignment horizontal="center" vertical="center"/>
    </xf>
    <xf numFmtId="1" fontId="5" fillId="0" borderId="1" xfId="0" applyNumberFormat="1" applyFont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2" fillId="0" borderId="1" xfId="0" applyFont="1" applyBorder="1" applyProtection="1"/>
    <xf numFmtId="0" fontId="2" fillId="0" borderId="1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Border="1" applyProtection="1"/>
    <xf numFmtId="0" fontId="5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5" xfId="0" applyFont="1" applyBorder="1" applyProtection="1"/>
    <xf numFmtId="0" fontId="2" fillId="0" borderId="3" xfId="0" applyFont="1" applyBorder="1" applyProtection="1"/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6" xfId="0" applyFont="1" applyBorder="1" applyProtection="1"/>
    <xf numFmtId="0" fontId="7" fillId="0" borderId="1" xfId="0" applyFont="1" applyBorder="1" applyAlignment="1" applyProtection="1">
      <alignment horizontal="left" vertical="center" wrapText="1" readingOrder="1"/>
    </xf>
    <xf numFmtId="0" fontId="5" fillId="3" borderId="9" xfId="0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horizontal="center" vertical="center"/>
    </xf>
    <xf numFmtId="14" fontId="5" fillId="3" borderId="1" xfId="0" applyNumberFormat="1" applyFont="1" applyFill="1" applyBorder="1" applyAlignment="1" applyProtection="1">
      <alignment horizontal="center" vertical="center"/>
    </xf>
    <xf numFmtId="0" fontId="5" fillId="3" borderId="10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 vertical="center"/>
    </xf>
    <xf numFmtId="14" fontId="0" fillId="3" borderId="1" xfId="0" applyNumberFormat="1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left" vertical="center"/>
    </xf>
    <xf numFmtId="0" fontId="5" fillId="0" borderId="1" xfId="0" applyFont="1" applyFill="1" applyBorder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5" fillId="0" borderId="1" xfId="0" applyFont="1" applyFill="1" applyBorder="1" applyAlignment="1" applyProtection="1">
      <alignment horizontal="left" vertical="center" wrapText="1"/>
    </xf>
    <xf numFmtId="0" fontId="2" fillId="4" borderId="1" xfId="0" applyFont="1" applyFill="1" applyBorder="1" applyAlignment="1" applyProtection="1">
      <alignment horizontal="left" vertical="center"/>
    </xf>
    <xf numFmtId="0" fontId="0" fillId="0" borderId="0" xfId="0" applyAlignment="1" applyProtection="1">
      <alignment horizont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vertical="center"/>
    </xf>
    <xf numFmtId="0" fontId="2" fillId="0" borderId="1" xfId="0" applyNumberFormat="1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5" fillId="0" borderId="13" xfId="0" applyFont="1" applyFill="1" applyBorder="1" applyAlignment="1" applyProtection="1">
      <alignment horizontal="center" vertical="center"/>
    </xf>
    <xf numFmtId="0" fontId="5" fillId="0" borderId="13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3" xfId="0" applyNumberFormat="1" applyFont="1" applyBorder="1" applyAlignment="1" applyProtection="1">
      <alignment horizontal="center" vertical="center"/>
    </xf>
    <xf numFmtId="0" fontId="5" fillId="0" borderId="13" xfId="0" applyFont="1" applyFill="1" applyBorder="1" applyAlignment="1" applyProtection="1">
      <alignment horizontal="left" vertical="center"/>
    </xf>
    <xf numFmtId="0" fontId="0" fillId="0" borderId="13" xfId="0" applyBorder="1" applyAlignment="1" applyProtection="1">
      <alignment horizontal="center" vertical="center"/>
    </xf>
    <xf numFmtId="0" fontId="0" fillId="0" borderId="0" xfId="0" applyBorder="1" applyProtection="1"/>
    <xf numFmtId="0" fontId="5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7" fillId="0" borderId="1" xfId="0" applyFont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left" vertical="center" wrapText="1"/>
    </xf>
    <xf numFmtId="0" fontId="5" fillId="0" borderId="4" xfId="0" applyFont="1" applyBorder="1" applyAlignment="1" applyProtection="1">
      <alignment horizontal="left" vertical="center" wrapText="1"/>
    </xf>
    <xf numFmtId="0" fontId="5" fillId="0" borderId="0" xfId="0" applyFont="1" applyBorder="1" applyAlignment="1" applyProtection="1">
      <alignment horizontal="left" vertical="center" wrapText="1"/>
    </xf>
    <xf numFmtId="0" fontId="5" fillId="0" borderId="6" xfId="0" applyFont="1" applyBorder="1" applyAlignment="1" applyProtection="1">
      <alignment horizontal="left" vertical="center" wrapText="1"/>
    </xf>
    <xf numFmtId="0" fontId="5" fillId="0" borderId="7" xfId="0" applyFont="1" applyBorder="1" applyAlignment="1" applyProtection="1">
      <alignment horizontal="left" vertical="center" wrapText="1"/>
    </xf>
    <xf numFmtId="0" fontId="5" fillId="0" borderId="8" xfId="0" applyFont="1" applyBorder="1" applyAlignment="1" applyProtection="1">
      <alignment horizontal="left" vertical="center" wrapText="1"/>
    </xf>
    <xf numFmtId="0" fontId="5" fillId="0" borderId="12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2"/>
  <sheetViews>
    <sheetView showGridLines="0" tabSelected="1" workbookViewId="0">
      <selection activeCell="C17" sqref="C17"/>
    </sheetView>
  </sheetViews>
  <sheetFormatPr defaultRowHeight="13.5" x14ac:dyDescent="0.15"/>
  <cols>
    <col min="1" max="1" width="10.375" style="3" customWidth="1"/>
    <col min="2" max="2" width="27.875" style="3" customWidth="1"/>
    <col min="3" max="3" width="19" style="1" customWidth="1"/>
    <col min="4" max="4" width="10.25" style="1" customWidth="1"/>
    <col min="5" max="5" width="10.25" style="32" customWidth="1"/>
    <col min="6" max="6" width="9" style="3" bestFit="1" customWidth="1"/>
    <col min="7" max="7" width="27.25" style="3" bestFit="1" customWidth="1"/>
    <col min="8" max="16384" width="9" style="3"/>
  </cols>
  <sheetData>
    <row r="1" spans="1:7" ht="18" customHeight="1" x14ac:dyDescent="0.15">
      <c r="A1" s="2" t="s">
        <v>96</v>
      </c>
      <c r="B1" s="2" t="s">
        <v>48</v>
      </c>
      <c r="C1" s="2" t="s">
        <v>0</v>
      </c>
      <c r="D1" s="2" t="s">
        <v>103</v>
      </c>
      <c r="E1" s="31"/>
      <c r="F1" s="2" t="s">
        <v>118</v>
      </c>
      <c r="G1" s="20" t="str">
        <f>C2&amp;C3&amp;C4&amp;C5&amp;C7&amp;C8&amp;C9&amp;C10</f>
        <v>04GPEBKB030111</v>
      </c>
    </row>
    <row r="2" spans="1:7" s="1" customFormat="1" ht="18" customHeight="1" x14ac:dyDescent="0.15">
      <c r="A2" s="2" t="s">
        <v>49</v>
      </c>
      <c r="B2" s="4" t="s">
        <v>133</v>
      </c>
      <c r="C2" s="2" t="str">
        <f>'追溯信息-编码表'!T2</f>
        <v>04G</v>
      </c>
      <c r="D2" s="2" t="s">
        <v>97</v>
      </c>
      <c r="E2" s="31"/>
      <c r="F2" s="2" t="s">
        <v>119</v>
      </c>
      <c r="G2" s="20" t="str">
        <f ca="1">C11&amp;C12</f>
        <v>8480000001</v>
      </c>
    </row>
    <row r="3" spans="1:7" s="1" customFormat="1" ht="18" customHeight="1" x14ac:dyDescent="0.15">
      <c r="A3" s="2" t="s">
        <v>75</v>
      </c>
      <c r="B3" s="4" t="s">
        <v>64</v>
      </c>
      <c r="C3" s="2" t="str">
        <f>'追溯信息-编码表'!T4</f>
        <v>P</v>
      </c>
      <c r="D3" s="2" t="s">
        <v>98</v>
      </c>
      <c r="E3" s="32"/>
      <c r="F3" s="3"/>
    </row>
    <row r="4" spans="1:7" s="1" customFormat="1" ht="18" customHeight="1" x14ac:dyDescent="0.15">
      <c r="A4" s="2" t="s">
        <v>93</v>
      </c>
      <c r="B4" s="4" t="s">
        <v>86</v>
      </c>
      <c r="C4" s="2" t="str">
        <f>'追溯信息-编码表'!T6</f>
        <v>E</v>
      </c>
      <c r="D4" s="2" t="s">
        <v>99</v>
      </c>
      <c r="E4" s="32"/>
      <c r="F4" s="3"/>
    </row>
    <row r="5" spans="1:7" s="1" customFormat="1" ht="18" customHeight="1" x14ac:dyDescent="0.15">
      <c r="A5" s="2" t="s">
        <v>94</v>
      </c>
      <c r="B5" s="4">
        <v>360</v>
      </c>
      <c r="C5" s="69" t="str">
        <f>'追溯信息-编码表'!T8</f>
        <v>BKB</v>
      </c>
      <c r="D5" s="69" t="s">
        <v>100</v>
      </c>
      <c r="E5" s="32"/>
      <c r="F5" s="3"/>
    </row>
    <row r="6" spans="1:7" s="1" customFormat="1" ht="18" customHeight="1" x14ac:dyDescent="0.15">
      <c r="A6" s="2" t="s">
        <v>219</v>
      </c>
      <c r="B6" s="4" t="s">
        <v>222</v>
      </c>
      <c r="C6" s="70"/>
      <c r="D6" s="70"/>
      <c r="E6" s="32"/>
      <c r="F6" s="3"/>
    </row>
    <row r="7" spans="1:7" s="1" customFormat="1" ht="18" customHeight="1" x14ac:dyDescent="0.15">
      <c r="A7" s="2" t="s">
        <v>44</v>
      </c>
      <c r="B7" s="4">
        <v>3</v>
      </c>
      <c r="C7" s="2" t="str">
        <f>'追溯信息-编码表'!T14</f>
        <v>03</v>
      </c>
      <c r="D7" s="2" t="s">
        <v>102</v>
      </c>
      <c r="E7" s="32"/>
      <c r="F7" s="3"/>
    </row>
    <row r="8" spans="1:7" s="1" customFormat="1" ht="18" customHeight="1" x14ac:dyDescent="0.15">
      <c r="A8" s="2" t="s">
        <v>45</v>
      </c>
      <c r="B8" s="4">
        <v>1</v>
      </c>
      <c r="C8" s="2" t="str">
        <f>'追溯信息-编码表'!T16</f>
        <v>01</v>
      </c>
      <c r="D8" s="2" t="s">
        <v>101</v>
      </c>
      <c r="E8" s="32"/>
      <c r="F8" s="3"/>
    </row>
    <row r="9" spans="1:7" s="1" customFormat="1" ht="18" customHeight="1" x14ac:dyDescent="0.15">
      <c r="A9" s="2" t="s">
        <v>105</v>
      </c>
      <c r="B9" s="4">
        <v>1</v>
      </c>
      <c r="C9" s="2">
        <f>'追溯信息-编码表'!T18</f>
        <v>1</v>
      </c>
      <c r="D9" s="2" t="s">
        <v>104</v>
      </c>
      <c r="E9" s="32"/>
      <c r="F9" s="3"/>
    </row>
    <row r="10" spans="1:7" s="1" customFormat="1" ht="18" customHeight="1" x14ac:dyDescent="0.15">
      <c r="A10" s="1" t="s">
        <v>113</v>
      </c>
      <c r="B10" s="4" t="s">
        <v>115</v>
      </c>
      <c r="C10" s="2">
        <f>'追溯信息-编码表'!T20</f>
        <v>1</v>
      </c>
      <c r="D10" s="2" t="s">
        <v>111</v>
      </c>
      <c r="E10" s="32"/>
      <c r="F10" s="3"/>
    </row>
    <row r="11" spans="1:7" s="1" customFormat="1" ht="18" customHeight="1" x14ac:dyDescent="0.15">
      <c r="A11" s="2" t="s">
        <v>120</v>
      </c>
      <c r="B11" s="34">
        <f ca="1">TODAY()</f>
        <v>43198</v>
      </c>
      <c r="C11" s="2" t="str">
        <f ca="1">'追溯信息-编码表'!T22</f>
        <v>848</v>
      </c>
      <c r="D11" s="2" t="s">
        <v>122</v>
      </c>
      <c r="E11" s="32"/>
      <c r="F11" s="3"/>
    </row>
    <row r="12" spans="1:7" s="1" customFormat="1" ht="18" customHeight="1" x14ac:dyDescent="0.15">
      <c r="A12" s="2" t="s">
        <v>121</v>
      </c>
      <c r="B12" s="35" t="s">
        <v>124</v>
      </c>
      <c r="C12" s="33" t="str">
        <f>B12</f>
        <v>0000001</v>
      </c>
      <c r="D12" s="2" t="s">
        <v>123</v>
      </c>
      <c r="E12" s="32"/>
      <c r="F12" s="3"/>
    </row>
  </sheetData>
  <mergeCells count="2">
    <mergeCell ref="C5:C6"/>
    <mergeCell ref="D5:D6"/>
  </mergeCells>
  <phoneticPr fontId="1" type="noConversion"/>
  <dataValidations count="4">
    <dataValidation type="list" allowBlank="1" showInputMessage="1" showErrorMessage="1" sqref="B3">
      <formula1>"电池模块,电池包,电池系统,单体电池"</formula1>
    </dataValidation>
    <dataValidation type="list" allowBlank="1" showInputMessage="1" showErrorMessage="1" sqref="B4">
      <formula1>"三元,磷酸铁锂,锰酸锂,钴酸锂,钛酸锂,其他"</formula1>
    </dataValidation>
    <dataValidation type="list" allowBlank="1" showInputMessage="1" showErrorMessage="1" sqref="B2">
      <formula1>"江苏明美新能源科技有限公司,广州明美新能源有限公司"</formula1>
    </dataValidation>
    <dataValidation type="list" allowBlank="1" showInputMessage="1" showErrorMessage="1" sqref="B6">
      <formula1>"面向非喷码右为正,电芯厂变化1-面向非喷码右为正,电芯反向-面向非喷码右为负,电芯厂变化1-面向非喷码右为负"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C37"/>
  <sheetViews>
    <sheetView showGridLines="0" workbookViewId="0">
      <selection activeCell="AA17" sqref="AA17"/>
    </sheetView>
  </sheetViews>
  <sheetFormatPr defaultRowHeight="12" x14ac:dyDescent="0.15"/>
  <cols>
    <col min="1" max="1" width="3.5" style="5" customWidth="1"/>
    <col min="2" max="2" width="22.375" style="5" hidden="1" customWidth="1"/>
    <col min="3" max="3" width="4.75" style="5" hidden="1" customWidth="1"/>
    <col min="4" max="4" width="8.5" style="17" hidden="1" customWidth="1"/>
    <col min="5" max="5" width="22.625" style="17" hidden="1" customWidth="1"/>
    <col min="6" max="6" width="4.75" style="17" hidden="1" customWidth="1"/>
    <col min="7" max="7" width="11.5" style="17" hidden="1" customWidth="1"/>
    <col min="8" max="8" width="10.25" style="5" hidden="1" customWidth="1"/>
    <col min="9" max="9" width="7" style="61" hidden="1" customWidth="1"/>
    <col min="10" max="10" width="6.625" style="7" hidden="1" customWidth="1"/>
    <col min="11" max="11" width="8.125" style="5" hidden="1" customWidth="1"/>
    <col min="12" max="12" width="9.75" style="5" hidden="1" customWidth="1"/>
    <col min="13" max="13" width="8.25" style="5" hidden="1" customWidth="1"/>
    <col min="14" max="14" width="24.125" style="17" hidden="1" customWidth="1"/>
    <col min="15" max="15" width="27" style="17" hidden="1" customWidth="1"/>
    <col min="16" max="16" width="5.625" style="5" hidden="1" customWidth="1"/>
    <col min="17" max="17" width="7" style="7" hidden="1" customWidth="1"/>
    <col min="18" max="18" width="9" style="7"/>
    <col min="19" max="19" width="27.125" style="7" customWidth="1"/>
    <col min="20" max="20" width="12.625" style="7" customWidth="1"/>
    <col min="21" max="21" width="14.5" style="7" customWidth="1"/>
    <col min="22" max="22" width="9" style="7"/>
    <col min="23" max="26" width="9" style="5"/>
    <col min="27" max="27" width="14.5" style="5" customWidth="1"/>
    <col min="28" max="16384" width="9" style="5"/>
  </cols>
  <sheetData>
    <row r="1" spans="2:29" ht="18" customHeight="1" x14ac:dyDescent="0.15">
      <c r="B1" s="16" t="s">
        <v>53</v>
      </c>
      <c r="C1" s="16" t="s">
        <v>51</v>
      </c>
      <c r="D1" s="23"/>
      <c r="E1" s="16" t="s">
        <v>114</v>
      </c>
      <c r="F1" s="16" t="s">
        <v>117</v>
      </c>
      <c r="G1" s="24"/>
      <c r="H1" s="16" t="s">
        <v>61</v>
      </c>
      <c r="I1" s="58" t="s">
        <v>72</v>
      </c>
      <c r="K1" s="6" t="s">
        <v>107</v>
      </c>
      <c r="L1" s="6" t="s">
        <v>0</v>
      </c>
      <c r="M1" s="6" t="s">
        <v>34</v>
      </c>
      <c r="N1" s="57" t="s">
        <v>220</v>
      </c>
      <c r="O1" s="57" t="s">
        <v>218</v>
      </c>
      <c r="P1" s="6" t="s">
        <v>29</v>
      </c>
      <c r="R1" s="71" t="s">
        <v>56</v>
      </c>
      <c r="S1" s="16" t="s">
        <v>50</v>
      </c>
      <c r="T1" s="16" t="s">
        <v>51</v>
      </c>
      <c r="U1" s="5"/>
      <c r="V1" s="5"/>
    </row>
    <row r="2" spans="2:29" ht="18" customHeight="1" x14ac:dyDescent="0.15">
      <c r="B2" s="16" t="s">
        <v>55</v>
      </c>
      <c r="C2" s="16" t="s">
        <v>54</v>
      </c>
      <c r="D2" s="23"/>
      <c r="E2" s="16" t="s">
        <v>116</v>
      </c>
      <c r="F2" s="16">
        <v>1</v>
      </c>
      <c r="G2" s="24"/>
      <c r="H2" s="16" t="s">
        <v>62</v>
      </c>
      <c r="I2" s="58" t="s">
        <v>63</v>
      </c>
      <c r="K2" s="6">
        <v>0</v>
      </c>
      <c r="L2" s="6">
        <v>0</v>
      </c>
      <c r="M2" s="8">
        <v>0.1</v>
      </c>
      <c r="N2" s="57" t="s">
        <v>223</v>
      </c>
      <c r="O2" s="57" t="str">
        <f>M2&amp;N2</f>
        <v>0.1面向非喷码右为正</v>
      </c>
      <c r="P2" s="6" t="s">
        <v>30</v>
      </c>
      <c r="R2" s="71"/>
      <c r="S2" s="18" t="str">
        <f>追溯信息输入!B2</f>
        <v>江苏明美新能源科技有限公司</v>
      </c>
      <c r="T2" s="19" t="str">
        <f>VLOOKUP(S2,B:C,2,0)</f>
        <v>04G</v>
      </c>
      <c r="U2" s="5"/>
      <c r="V2" s="5"/>
    </row>
    <row r="3" spans="2:29" ht="18" customHeight="1" x14ac:dyDescent="0.15">
      <c r="B3" s="16" t="s">
        <v>60</v>
      </c>
      <c r="C3" s="14"/>
      <c r="D3" s="21"/>
      <c r="E3" s="14"/>
      <c r="F3" s="14"/>
      <c r="G3" s="25"/>
      <c r="H3" s="15" t="s">
        <v>65</v>
      </c>
      <c r="I3" s="15" t="s">
        <v>66</v>
      </c>
      <c r="K3" s="6">
        <v>1</v>
      </c>
      <c r="L3" s="6">
        <v>1</v>
      </c>
      <c r="M3" s="9">
        <v>1</v>
      </c>
      <c r="N3" s="68" t="s">
        <v>224</v>
      </c>
      <c r="O3" s="57" t="str">
        <f t="shared" ref="O3:O13" si="0">M3&amp;N3</f>
        <v>1面向非喷码右为正</v>
      </c>
      <c r="P3" s="6" t="s">
        <v>31</v>
      </c>
      <c r="R3" s="74" t="s">
        <v>73</v>
      </c>
      <c r="S3" s="16" t="s">
        <v>74</v>
      </c>
      <c r="T3" s="16" t="s">
        <v>51</v>
      </c>
      <c r="U3" s="5"/>
      <c r="V3" s="5"/>
    </row>
    <row r="4" spans="2:29" ht="18" customHeight="1" x14ac:dyDescent="0.15">
      <c r="B4" s="14"/>
      <c r="C4" s="14"/>
      <c r="D4" s="21"/>
      <c r="E4" s="14"/>
      <c r="F4" s="14"/>
      <c r="G4" s="25"/>
      <c r="H4" s="15" t="s">
        <v>67</v>
      </c>
      <c r="I4" s="15" t="s">
        <v>68</v>
      </c>
      <c r="K4" s="6">
        <v>2</v>
      </c>
      <c r="L4" s="6">
        <v>2</v>
      </c>
      <c r="M4" s="6">
        <v>10</v>
      </c>
      <c r="N4" s="68" t="s">
        <v>224</v>
      </c>
      <c r="O4" s="57" t="str">
        <f t="shared" si="0"/>
        <v>10面向非喷码右为正</v>
      </c>
      <c r="P4" s="10" t="s">
        <v>3</v>
      </c>
      <c r="R4" s="75"/>
      <c r="S4" s="19" t="str">
        <f>追溯信息输入!B3</f>
        <v>电池包</v>
      </c>
      <c r="T4" s="19" t="str">
        <f>VLOOKUP(S4,H1:I5,2,0)</f>
        <v>P</v>
      </c>
      <c r="U4" s="5"/>
      <c r="V4" s="5"/>
    </row>
    <row r="5" spans="2:29" ht="18" customHeight="1" x14ac:dyDescent="0.15">
      <c r="B5" s="14"/>
      <c r="C5" s="14"/>
      <c r="D5" s="21"/>
      <c r="E5" s="14"/>
      <c r="F5" s="14"/>
      <c r="G5" s="25"/>
      <c r="H5" s="15" t="s">
        <v>69</v>
      </c>
      <c r="I5" s="15" t="s">
        <v>71</v>
      </c>
      <c r="K5" s="6">
        <v>3</v>
      </c>
      <c r="L5" s="6">
        <v>3</v>
      </c>
      <c r="M5" s="8">
        <v>0.1</v>
      </c>
      <c r="N5" s="57" t="s">
        <v>229</v>
      </c>
      <c r="O5" s="57" t="str">
        <f t="shared" si="0"/>
        <v>0.1电芯厂变化1-面向非喷码右为正</v>
      </c>
      <c r="P5" s="58">
        <v>1</v>
      </c>
      <c r="R5" s="74" t="s">
        <v>76</v>
      </c>
      <c r="S5" s="16" t="s">
        <v>77</v>
      </c>
      <c r="T5" s="16" t="s">
        <v>51</v>
      </c>
      <c r="U5" s="5"/>
      <c r="V5" s="5"/>
    </row>
    <row r="6" spans="2:29" ht="18" customHeight="1" x14ac:dyDescent="0.15">
      <c r="B6" s="14"/>
      <c r="C6" s="14"/>
      <c r="D6" s="21"/>
      <c r="E6" s="14"/>
      <c r="F6" s="14"/>
      <c r="H6" s="22"/>
      <c r="K6" s="6">
        <v>4</v>
      </c>
      <c r="L6" s="6">
        <v>4</v>
      </c>
      <c r="M6" s="9">
        <v>1</v>
      </c>
      <c r="N6" s="68" t="s">
        <v>229</v>
      </c>
      <c r="O6" s="57" t="str">
        <f t="shared" si="0"/>
        <v>1电芯厂变化1-面向非喷码右为正</v>
      </c>
      <c r="P6" s="58">
        <v>2</v>
      </c>
      <c r="R6" s="75"/>
      <c r="S6" s="19" t="str">
        <f>追溯信息输入!B4</f>
        <v>三元</v>
      </c>
      <c r="T6" s="19" t="str">
        <f>VLOOKUP(S6,H8:I15,2,0)</f>
        <v>E</v>
      </c>
      <c r="U6" s="5"/>
      <c r="V6" s="5"/>
    </row>
    <row r="7" spans="2:29" ht="18" customHeight="1" x14ac:dyDescent="0.15">
      <c r="B7" s="14"/>
      <c r="C7" s="14"/>
      <c r="D7" s="21"/>
      <c r="E7" s="14"/>
      <c r="F7" s="14"/>
      <c r="H7" s="16" t="s">
        <v>106</v>
      </c>
      <c r="I7" s="58" t="s">
        <v>72</v>
      </c>
      <c r="K7" s="6">
        <v>5</v>
      </c>
      <c r="L7" s="6">
        <v>5</v>
      </c>
      <c r="M7" s="57">
        <v>10</v>
      </c>
      <c r="N7" s="68" t="s">
        <v>229</v>
      </c>
      <c r="O7" s="57" t="str">
        <f t="shared" si="0"/>
        <v>10电芯厂变化1-面向非喷码右为正</v>
      </c>
      <c r="P7" s="58">
        <v>3</v>
      </c>
      <c r="R7" s="71" t="s">
        <v>57</v>
      </c>
      <c r="S7" s="67" t="s">
        <v>35</v>
      </c>
      <c r="T7" s="11" t="s">
        <v>52</v>
      </c>
      <c r="U7" s="6" t="s">
        <v>40</v>
      </c>
      <c r="V7" s="6" t="s">
        <v>39</v>
      </c>
      <c r="W7" s="6" t="s">
        <v>32</v>
      </c>
      <c r="X7" s="6" t="s">
        <v>38</v>
      </c>
      <c r="Y7" s="6" t="s">
        <v>33</v>
      </c>
      <c r="Z7" s="82" t="s">
        <v>37</v>
      </c>
      <c r="AA7" s="83"/>
      <c r="AB7" s="6" t="s">
        <v>36</v>
      </c>
      <c r="AC7" s="10" t="s">
        <v>42</v>
      </c>
    </row>
    <row r="8" spans="2:29" ht="18" customHeight="1" x14ac:dyDescent="0.15">
      <c r="B8" s="14"/>
      <c r="C8" s="14"/>
      <c r="D8" s="21"/>
      <c r="E8" s="14"/>
      <c r="F8" s="14"/>
      <c r="H8" s="26" t="s">
        <v>79</v>
      </c>
      <c r="I8" s="62" t="s">
        <v>78</v>
      </c>
      <c r="K8" s="6">
        <v>6</v>
      </c>
      <c r="L8" s="6">
        <v>6</v>
      </c>
      <c r="M8" s="8">
        <v>0.1</v>
      </c>
      <c r="N8" s="57" t="s">
        <v>226</v>
      </c>
      <c r="O8" s="57" t="str">
        <f t="shared" si="0"/>
        <v>0.1面向非喷码右为负</v>
      </c>
      <c r="P8" s="58" t="s">
        <v>217</v>
      </c>
      <c r="R8" s="71"/>
      <c r="S8" s="27">
        <f>追溯信息输入!B5</f>
        <v>360</v>
      </c>
      <c r="T8" s="18" t="str">
        <f>W8&amp;Y8&amp;AB8</f>
        <v>BKB</v>
      </c>
      <c r="U8" s="6" t="s">
        <v>41</v>
      </c>
      <c r="V8" s="6">
        <f>IF(S8&gt;960,INT(S8/10/31),IF(S8&gt;96,INT(S8/31),IF(S8=INT(S8),INT(S8/31),INT(S8*10/31))))</f>
        <v>11</v>
      </c>
      <c r="W8" s="6" t="str">
        <f>VLOOKUP(V8,K:L,2,0)</f>
        <v>B</v>
      </c>
      <c r="X8" s="6">
        <f>IF(S8&gt;960,MOD(S8/10,31),IF(S8&gt;96,MOD(S8,31),IF(S8=INT(S8),MOD(S8,31),MOD(S8*10,31))))</f>
        <v>19</v>
      </c>
      <c r="Y8" s="6" t="str">
        <f>VLOOKUP(X8,K:L,2,0)</f>
        <v>K</v>
      </c>
      <c r="Z8" s="6">
        <f>IF(S8&gt;960,10,IF(S8=INT(S8),1,0.1))</f>
        <v>1</v>
      </c>
      <c r="AA8" s="57" t="str">
        <f>S9</f>
        <v>面向非喷码右为正</v>
      </c>
      <c r="AB8" s="6" t="str">
        <f>VLOOKUP(Z8&amp;AA8,O:P,2,0)</f>
        <v>B</v>
      </c>
      <c r="AC8" s="6">
        <f>(V8*31+X8)*Z8</f>
        <v>360</v>
      </c>
    </row>
    <row r="9" spans="2:29" ht="18" customHeight="1" x14ac:dyDescent="0.15">
      <c r="B9" s="14"/>
      <c r="C9" s="14"/>
      <c r="D9" s="21"/>
      <c r="E9" s="14"/>
      <c r="F9" s="14"/>
      <c r="H9" s="26" t="s">
        <v>81</v>
      </c>
      <c r="I9" s="62" t="s">
        <v>80</v>
      </c>
      <c r="K9" s="6">
        <v>7</v>
      </c>
      <c r="L9" s="6">
        <v>7</v>
      </c>
      <c r="M9" s="9">
        <v>1</v>
      </c>
      <c r="N9" s="68" t="s">
        <v>225</v>
      </c>
      <c r="O9" s="57" t="str">
        <f t="shared" si="0"/>
        <v>1面向非喷码右为负</v>
      </c>
      <c r="P9" s="58" t="s">
        <v>215</v>
      </c>
      <c r="R9" s="71"/>
      <c r="S9" s="66" t="str">
        <f>追溯信息输入!B6</f>
        <v>面向非喷码右为正</v>
      </c>
    </row>
    <row r="10" spans="2:29" ht="18" customHeight="1" x14ac:dyDescent="0.15">
      <c r="B10" s="14"/>
      <c r="C10" s="14"/>
      <c r="D10" s="21"/>
      <c r="E10" s="14"/>
      <c r="F10" s="14"/>
      <c r="H10" s="26" t="s">
        <v>82</v>
      </c>
      <c r="I10" s="62" t="s">
        <v>70</v>
      </c>
      <c r="K10" s="6">
        <v>8</v>
      </c>
      <c r="L10" s="6">
        <v>8</v>
      </c>
      <c r="M10" s="57">
        <v>10</v>
      </c>
      <c r="N10" s="68" t="s">
        <v>225</v>
      </c>
      <c r="O10" s="57" t="str">
        <f t="shared" si="0"/>
        <v>10面向非喷码右为负</v>
      </c>
      <c r="P10" s="58" t="s">
        <v>216</v>
      </c>
      <c r="R10" s="71"/>
      <c r="S10" s="76" t="s">
        <v>95</v>
      </c>
      <c r="T10" s="76"/>
      <c r="U10" s="76"/>
      <c r="V10" s="76"/>
      <c r="W10" s="76"/>
      <c r="X10" s="76"/>
      <c r="Y10" s="76"/>
      <c r="Z10" s="76"/>
      <c r="AA10" s="76"/>
      <c r="AB10" s="76"/>
      <c r="AC10" s="77"/>
    </row>
    <row r="11" spans="2:29" ht="18" customHeight="1" x14ac:dyDescent="0.15">
      <c r="B11" s="14"/>
      <c r="C11" s="14"/>
      <c r="D11" s="21"/>
      <c r="E11" s="14"/>
      <c r="F11" s="14"/>
      <c r="H11" s="26" t="s">
        <v>84</v>
      </c>
      <c r="I11" s="62" t="s">
        <v>83</v>
      </c>
      <c r="K11" s="6">
        <v>9</v>
      </c>
      <c r="L11" s="6">
        <v>9</v>
      </c>
      <c r="M11" s="8">
        <v>0.1</v>
      </c>
      <c r="N11" s="57" t="s">
        <v>227</v>
      </c>
      <c r="O11" s="57" t="str">
        <f t="shared" si="0"/>
        <v>0.1电芯厂变化1-面向非喷码右为负</v>
      </c>
      <c r="P11" s="58">
        <v>4</v>
      </c>
      <c r="R11" s="71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9"/>
    </row>
    <row r="12" spans="2:29" ht="18" customHeight="1" x14ac:dyDescent="0.15">
      <c r="B12" s="14"/>
      <c r="C12" s="14"/>
      <c r="D12" s="21"/>
      <c r="E12" s="14"/>
      <c r="F12" s="14"/>
      <c r="H12" s="26" t="s">
        <v>86</v>
      </c>
      <c r="I12" s="62" t="s">
        <v>85</v>
      </c>
      <c r="K12" s="6">
        <v>10</v>
      </c>
      <c r="L12" s="6" t="s">
        <v>1</v>
      </c>
      <c r="M12" s="9">
        <v>1</v>
      </c>
      <c r="N12" s="68" t="s">
        <v>228</v>
      </c>
      <c r="O12" s="57" t="str">
        <f t="shared" si="0"/>
        <v>1电芯厂变化1-面向非喷码右为负</v>
      </c>
      <c r="P12" s="58">
        <v>5</v>
      </c>
      <c r="R12" s="71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1"/>
    </row>
    <row r="13" spans="2:29" ht="18" customHeight="1" x14ac:dyDescent="0.15">
      <c r="B13" s="14"/>
      <c r="C13" s="14"/>
      <c r="D13" s="21"/>
      <c r="E13" s="14"/>
      <c r="F13" s="14"/>
      <c r="H13" s="26" t="s">
        <v>88</v>
      </c>
      <c r="I13" s="62" t="s">
        <v>87</v>
      </c>
      <c r="K13" s="6">
        <v>11</v>
      </c>
      <c r="L13" s="6" t="s">
        <v>2</v>
      </c>
      <c r="M13" s="57">
        <v>10</v>
      </c>
      <c r="N13" s="68" t="s">
        <v>228</v>
      </c>
      <c r="O13" s="57" t="str">
        <f t="shared" si="0"/>
        <v>10电芯厂变化1-面向非喷码右为负</v>
      </c>
      <c r="P13" s="58">
        <v>6</v>
      </c>
      <c r="R13" s="71" t="s">
        <v>46</v>
      </c>
      <c r="S13" s="12" t="s">
        <v>44</v>
      </c>
      <c r="T13" s="6" t="s">
        <v>58</v>
      </c>
      <c r="U13" s="6" t="s">
        <v>40</v>
      </c>
      <c r="V13" s="6" t="s">
        <v>39</v>
      </c>
      <c r="W13" s="6" t="s">
        <v>32</v>
      </c>
      <c r="X13" s="6" t="s">
        <v>38</v>
      </c>
      <c r="Y13" s="6" t="s">
        <v>33</v>
      </c>
      <c r="Z13" s="10" t="s">
        <v>42</v>
      </c>
      <c r="AA13" s="63"/>
    </row>
    <row r="14" spans="2:29" ht="18" customHeight="1" x14ac:dyDescent="0.15">
      <c r="B14" s="14"/>
      <c r="C14" s="14"/>
      <c r="D14" s="21"/>
      <c r="E14" s="14"/>
      <c r="F14" s="14"/>
      <c r="H14" s="26" t="s">
        <v>90</v>
      </c>
      <c r="I14" s="62" t="s">
        <v>89</v>
      </c>
      <c r="K14" s="6">
        <v>12</v>
      </c>
      <c r="L14" s="6" t="s">
        <v>3</v>
      </c>
      <c r="R14" s="71"/>
      <c r="S14" s="27">
        <f>追溯信息输入!B7</f>
        <v>3</v>
      </c>
      <c r="T14" s="18" t="str">
        <f>W14&amp;Y14</f>
        <v>03</v>
      </c>
      <c r="U14" s="6" t="s">
        <v>43</v>
      </c>
      <c r="V14" s="6">
        <f>INT(S14/31)</f>
        <v>0</v>
      </c>
      <c r="W14" s="6">
        <f>VLOOKUP(V14,K:L,2,0)</f>
        <v>0</v>
      </c>
      <c r="X14" s="6">
        <f>MOD(S14,31)</f>
        <v>3</v>
      </c>
      <c r="Y14" s="6">
        <f>VLOOKUP(X14,K:L,2,0)</f>
        <v>3</v>
      </c>
      <c r="Z14" s="6">
        <f>(V14*31+X14)</f>
        <v>3</v>
      </c>
      <c r="AA14" s="64"/>
    </row>
    <row r="15" spans="2:29" ht="18" customHeight="1" x14ac:dyDescent="0.15">
      <c r="H15" s="26" t="s">
        <v>92</v>
      </c>
      <c r="I15" s="62" t="s">
        <v>91</v>
      </c>
      <c r="K15" s="6">
        <v>13</v>
      </c>
      <c r="L15" s="6" t="s">
        <v>4</v>
      </c>
      <c r="R15" s="71" t="s">
        <v>47</v>
      </c>
      <c r="S15" s="12" t="s">
        <v>45</v>
      </c>
      <c r="T15" s="6" t="s">
        <v>59</v>
      </c>
      <c r="U15" s="6" t="s">
        <v>40</v>
      </c>
      <c r="V15" s="6" t="s">
        <v>39</v>
      </c>
      <c r="W15" s="6" t="s">
        <v>32</v>
      </c>
      <c r="X15" s="6" t="s">
        <v>38</v>
      </c>
      <c r="Y15" s="6" t="s">
        <v>33</v>
      </c>
      <c r="Z15" s="10" t="s">
        <v>42</v>
      </c>
      <c r="AA15" s="63"/>
    </row>
    <row r="16" spans="2:29" ht="18" customHeight="1" x14ac:dyDescent="0.15">
      <c r="K16" s="6">
        <v>14</v>
      </c>
      <c r="L16" s="6" t="s">
        <v>5</v>
      </c>
      <c r="R16" s="71"/>
      <c r="S16" s="27">
        <f>追溯信息输入!B8</f>
        <v>1</v>
      </c>
      <c r="T16" s="18" t="str">
        <f>W16&amp;Y16</f>
        <v>01</v>
      </c>
      <c r="U16" s="6" t="s">
        <v>43</v>
      </c>
      <c r="V16" s="6">
        <f>INT(S16/31)</f>
        <v>0</v>
      </c>
      <c r="W16" s="6">
        <f>VLOOKUP(V16,K:L,2,0)</f>
        <v>0</v>
      </c>
      <c r="X16" s="6">
        <f>MOD(S16,31)</f>
        <v>1</v>
      </c>
      <c r="Y16" s="6">
        <f>VLOOKUP(X16,K:L,2,0)</f>
        <v>1</v>
      </c>
      <c r="Z16" s="6">
        <f>(V16*31+X16)</f>
        <v>1</v>
      </c>
      <c r="AA16" s="64"/>
    </row>
    <row r="17" spans="11:27" ht="18" customHeight="1" x14ac:dyDescent="0.15">
      <c r="K17" s="6">
        <v>15</v>
      </c>
      <c r="L17" s="6" t="s">
        <v>6</v>
      </c>
      <c r="R17" s="71" t="s">
        <v>108</v>
      </c>
      <c r="S17" s="12" t="s">
        <v>109</v>
      </c>
      <c r="T17" s="11" t="s">
        <v>110</v>
      </c>
      <c r="U17" s="5"/>
      <c r="V17" s="5"/>
    </row>
    <row r="18" spans="11:27" ht="18" customHeight="1" x14ac:dyDescent="0.15">
      <c r="K18" s="6">
        <v>16</v>
      </c>
      <c r="L18" s="6" t="s">
        <v>7</v>
      </c>
      <c r="R18" s="71"/>
      <c r="S18" s="27">
        <f>追溯信息输入!B9</f>
        <v>1</v>
      </c>
      <c r="T18" s="18">
        <f>VLOOKUP(S18,K:L,2,)</f>
        <v>1</v>
      </c>
      <c r="U18" s="5"/>
      <c r="V18" s="5"/>
    </row>
    <row r="19" spans="11:27" ht="18" customHeight="1" x14ac:dyDescent="0.15">
      <c r="K19" s="6">
        <v>17</v>
      </c>
      <c r="L19" s="6" t="s">
        <v>8</v>
      </c>
      <c r="R19" s="71" t="s">
        <v>112</v>
      </c>
      <c r="S19" s="12" t="s">
        <v>113</v>
      </c>
      <c r="T19" s="11" t="s">
        <v>110</v>
      </c>
      <c r="U19" s="5"/>
      <c r="V19" s="5"/>
    </row>
    <row r="20" spans="11:27" ht="18" customHeight="1" x14ac:dyDescent="0.15">
      <c r="K20" s="6" t="s">
        <v>27</v>
      </c>
      <c r="L20" s="13" t="s">
        <v>9</v>
      </c>
      <c r="R20" s="72"/>
      <c r="S20" s="28" t="str">
        <f>追溯信息输入!B10</f>
        <v>泰州市海陵区泰安路31号</v>
      </c>
      <c r="T20" s="30">
        <f>VLOOKUP(S20,E:F,2,)</f>
        <v>1</v>
      </c>
      <c r="U20" s="5"/>
      <c r="V20" s="5"/>
    </row>
    <row r="21" spans="11:27" ht="18" customHeight="1" x14ac:dyDescent="0.15">
      <c r="K21" s="6">
        <v>18</v>
      </c>
      <c r="L21" s="6" t="s">
        <v>10</v>
      </c>
      <c r="R21" s="73" t="s">
        <v>125</v>
      </c>
      <c r="S21" s="16" t="s">
        <v>126</v>
      </c>
      <c r="T21" s="16" t="s">
        <v>51</v>
      </c>
      <c r="U21" s="16" t="s">
        <v>127</v>
      </c>
      <c r="V21" s="16" t="s">
        <v>130</v>
      </c>
      <c r="W21" s="16" t="s">
        <v>128</v>
      </c>
      <c r="X21" s="16" t="s">
        <v>131</v>
      </c>
      <c r="Y21" s="16" t="s">
        <v>129</v>
      </c>
      <c r="Z21" s="16" t="s">
        <v>132</v>
      </c>
      <c r="AA21" s="65"/>
    </row>
    <row r="22" spans="11:27" ht="18" customHeight="1" x14ac:dyDescent="0.15">
      <c r="K22" s="6">
        <v>19</v>
      </c>
      <c r="L22" s="6" t="s">
        <v>11</v>
      </c>
      <c r="R22" s="73"/>
      <c r="S22" s="29">
        <f ca="1">追溯信息输入!B11</f>
        <v>43198</v>
      </c>
      <c r="T22" s="18" t="str">
        <f ca="1">V22&amp;X22&amp;Z22</f>
        <v>848</v>
      </c>
      <c r="U22" s="6">
        <f ca="1">YEAR(S22)</f>
        <v>2018</v>
      </c>
      <c r="V22" s="16">
        <f ca="1">VLOOKUP(MOD(U22-2010,31),K:L,2,0)</f>
        <v>8</v>
      </c>
      <c r="W22" s="6">
        <f ca="1">MONTH(S22)</f>
        <v>4</v>
      </c>
      <c r="X22" s="16">
        <f ca="1">VLOOKUP(MOD(W22,31),K:L,2,0)</f>
        <v>4</v>
      </c>
      <c r="Y22" s="16">
        <f ca="1">DAY(S22)</f>
        <v>8</v>
      </c>
      <c r="Z22" s="16">
        <f ca="1">IF(Y22=31,0,VLOOKUP(MOD(Y22,31),K:L,2,0))</f>
        <v>8</v>
      </c>
      <c r="AA22" s="65"/>
    </row>
    <row r="23" spans="11:27" ht="18" customHeight="1" x14ac:dyDescent="0.15">
      <c r="K23" s="6">
        <v>20</v>
      </c>
      <c r="L23" s="6" t="s">
        <v>12</v>
      </c>
    </row>
    <row r="24" spans="11:27" ht="18" customHeight="1" x14ac:dyDescent="0.15">
      <c r="K24" s="6">
        <v>21</v>
      </c>
      <c r="L24" s="6" t="s">
        <v>13</v>
      </c>
    </row>
    <row r="25" spans="11:27" ht="18" customHeight="1" x14ac:dyDescent="0.15">
      <c r="K25" s="6">
        <v>22</v>
      </c>
      <c r="L25" s="6" t="s">
        <v>14</v>
      </c>
    </row>
    <row r="26" spans="11:27" ht="18" customHeight="1" x14ac:dyDescent="0.15">
      <c r="K26" s="6" t="s">
        <v>28</v>
      </c>
      <c r="L26" s="13" t="s">
        <v>15</v>
      </c>
    </row>
    <row r="27" spans="11:27" ht="18" customHeight="1" x14ac:dyDescent="0.15">
      <c r="K27" s="6">
        <v>23</v>
      </c>
      <c r="L27" s="6" t="s">
        <v>16</v>
      </c>
    </row>
    <row r="28" spans="11:27" ht="18" customHeight="1" x14ac:dyDescent="0.15">
      <c r="K28" s="6" t="s">
        <v>28</v>
      </c>
      <c r="L28" s="13" t="s">
        <v>17</v>
      </c>
    </row>
    <row r="29" spans="11:27" ht="18" customHeight="1" x14ac:dyDescent="0.15">
      <c r="K29" s="6">
        <v>24</v>
      </c>
      <c r="L29" s="6" t="s">
        <v>18</v>
      </c>
    </row>
    <row r="30" spans="11:27" ht="18" customHeight="1" x14ac:dyDescent="0.15">
      <c r="K30" s="6">
        <v>25</v>
      </c>
      <c r="L30" s="6" t="s">
        <v>19</v>
      </c>
    </row>
    <row r="31" spans="11:27" ht="18" customHeight="1" x14ac:dyDescent="0.15">
      <c r="K31" s="6">
        <v>26</v>
      </c>
      <c r="L31" s="6" t="s">
        <v>20</v>
      </c>
    </row>
    <row r="32" spans="11:27" ht="18" customHeight="1" x14ac:dyDescent="0.15">
      <c r="K32" s="6" t="s">
        <v>28</v>
      </c>
      <c r="L32" s="13" t="s">
        <v>21</v>
      </c>
    </row>
    <row r="33" spans="11:12" ht="18" customHeight="1" x14ac:dyDescent="0.15">
      <c r="K33" s="6">
        <v>27</v>
      </c>
      <c r="L33" s="6" t="s">
        <v>22</v>
      </c>
    </row>
    <row r="34" spans="11:12" ht="18" customHeight="1" x14ac:dyDescent="0.15">
      <c r="K34" s="6">
        <v>28</v>
      </c>
      <c r="L34" s="6" t="s">
        <v>23</v>
      </c>
    </row>
    <row r="35" spans="11:12" ht="18" customHeight="1" x14ac:dyDescent="0.15">
      <c r="K35" s="6">
        <v>29</v>
      </c>
      <c r="L35" s="6" t="s">
        <v>24</v>
      </c>
    </row>
    <row r="36" spans="11:12" ht="18" customHeight="1" x14ac:dyDescent="0.15">
      <c r="K36" s="6">
        <v>30</v>
      </c>
      <c r="L36" s="6" t="s">
        <v>25</v>
      </c>
    </row>
    <row r="37" spans="11:12" ht="18" customHeight="1" x14ac:dyDescent="0.15">
      <c r="K37" s="6" t="s">
        <v>28</v>
      </c>
      <c r="L37" s="13" t="s">
        <v>26</v>
      </c>
    </row>
  </sheetData>
  <mergeCells count="11">
    <mergeCell ref="R1:R2"/>
    <mergeCell ref="R3:R4"/>
    <mergeCell ref="R5:R6"/>
    <mergeCell ref="S10:AC12"/>
    <mergeCell ref="R7:R12"/>
    <mergeCell ref="Z7:AA7"/>
    <mergeCell ref="R17:R18"/>
    <mergeCell ref="R19:R20"/>
    <mergeCell ref="R21:R22"/>
    <mergeCell ref="R13:R14"/>
    <mergeCell ref="R15:R16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0"/>
  <sheetViews>
    <sheetView showGridLines="0" workbookViewId="0">
      <selection activeCell="A2" sqref="A2:W10"/>
    </sheetView>
  </sheetViews>
  <sheetFormatPr defaultRowHeight="13.5" x14ac:dyDescent="0.15"/>
  <cols>
    <col min="1" max="1" width="8.125" style="1" bestFit="1" customWidth="1"/>
    <col min="2" max="2" width="10.125" style="44" customWidth="1"/>
    <col min="3" max="3" width="10.25" style="3" customWidth="1"/>
    <col min="4" max="4" width="7.125" style="44" bestFit="1" customWidth="1"/>
    <col min="5" max="5" width="7.125" style="44" customWidth="1"/>
    <col min="6" max="6" width="10.125" style="44" bestFit="1" customWidth="1"/>
    <col min="7" max="7" width="10.125" style="44" customWidth="1"/>
    <col min="8" max="8" width="8.75" style="44" customWidth="1"/>
    <col min="9" max="11" width="11" style="44" customWidth="1"/>
    <col min="12" max="20" width="3.5" style="44" customWidth="1"/>
    <col min="21" max="21" width="4" style="44" customWidth="1"/>
    <col min="22" max="22" width="3.5" style="44" customWidth="1"/>
    <col min="23" max="23" width="23.625" style="3" customWidth="1"/>
    <col min="24" max="24" width="14.125" style="3" bestFit="1" customWidth="1"/>
    <col min="25" max="25" width="17.75" style="3" customWidth="1"/>
    <col min="26" max="16384" width="9" style="3"/>
  </cols>
  <sheetData>
    <row r="1" spans="1:25" s="1" customFormat="1" ht="18" customHeight="1" x14ac:dyDescent="0.15">
      <c r="A1" s="2" t="s">
        <v>142</v>
      </c>
      <c r="B1" s="2" t="s">
        <v>178</v>
      </c>
      <c r="C1" s="2" t="s">
        <v>177</v>
      </c>
      <c r="D1" s="2" t="s">
        <v>181</v>
      </c>
      <c r="E1" s="2" t="s">
        <v>180</v>
      </c>
      <c r="F1" s="2" t="s">
        <v>150</v>
      </c>
      <c r="G1" s="2" t="s">
        <v>221</v>
      </c>
      <c r="H1" s="2" t="s">
        <v>151</v>
      </c>
      <c r="I1" s="2" t="s">
        <v>191</v>
      </c>
      <c r="J1" s="2" t="s">
        <v>205</v>
      </c>
      <c r="K1" s="2" t="s">
        <v>214</v>
      </c>
      <c r="L1" s="2" t="s">
        <v>182</v>
      </c>
      <c r="M1" s="2" t="s">
        <v>183</v>
      </c>
      <c r="N1" s="2" t="s">
        <v>184</v>
      </c>
      <c r="O1" s="2" t="s">
        <v>185</v>
      </c>
      <c r="P1" s="2" t="s">
        <v>186</v>
      </c>
      <c r="Q1" s="2" t="s">
        <v>187</v>
      </c>
      <c r="R1" s="2" t="s">
        <v>188</v>
      </c>
      <c r="S1" s="2" t="s">
        <v>189</v>
      </c>
      <c r="T1" s="2" t="s">
        <v>190</v>
      </c>
      <c r="U1" s="2" t="s">
        <v>203</v>
      </c>
      <c r="V1" s="2" t="s">
        <v>204</v>
      </c>
      <c r="W1" s="2" t="s">
        <v>141</v>
      </c>
      <c r="X1" s="2" t="s">
        <v>161</v>
      </c>
      <c r="Y1" s="2" t="s">
        <v>176</v>
      </c>
    </row>
    <row r="2" spans="1:25" s="41" customFormat="1" ht="18" customHeight="1" x14ac:dyDescent="0.15">
      <c r="A2" s="37" t="s">
        <v>140</v>
      </c>
      <c r="B2" s="38" t="s">
        <v>179</v>
      </c>
      <c r="C2" s="38" t="s">
        <v>81</v>
      </c>
      <c r="D2" s="36">
        <v>1</v>
      </c>
      <c r="E2" s="36">
        <v>12</v>
      </c>
      <c r="F2" s="37">
        <v>240</v>
      </c>
      <c r="G2" s="60"/>
      <c r="H2" s="36">
        <v>38.4</v>
      </c>
      <c r="I2" s="37" t="s">
        <v>192</v>
      </c>
      <c r="J2" s="47">
        <v>0</v>
      </c>
      <c r="K2" s="36"/>
      <c r="L2" s="37" t="str">
        <f>VLOOKUP(B2,'产品型号-编码表'!$B$2:$C$5,2,0)</f>
        <v>M</v>
      </c>
      <c r="M2" s="37" t="str">
        <f>VLOOKUP(C2,'产品型号-编码表'!$B$8:$C$15,2,0)</f>
        <v>B</v>
      </c>
      <c r="N2" s="36">
        <f>VLOOKUP(IF(F2&gt;960,INT(F2/10/31),IF(F2&gt;96,INT(F2/31),IF(F2=INT(F2),INT(F2/31),INT(F2*10/31)))),'产品型号-编码表'!$E:$F,2,0)</f>
        <v>7</v>
      </c>
      <c r="O2" s="36" t="str">
        <f>VLOOKUP(IF(F2&gt;960,MOD(F2/10,31),IF(F2&gt;96,MOD(F2,31),IF(F2=INT(F2),MOD(F2,31),MOD(F2*10,31)))),'产品型号-编码表'!$E:$F,2,0)</f>
        <v>P</v>
      </c>
      <c r="P2" s="36">
        <f>VLOOKUP(IF(F2&gt;960,10,IF(F2=INT(F2),1,0.1)),'产品型号-编码表'!$E:$F,2,0)</f>
        <v>1</v>
      </c>
      <c r="Q2" s="37">
        <f>VLOOKUP(INT(D2/31),'产品型号-编码表'!$E:$F,2,0)</f>
        <v>0</v>
      </c>
      <c r="R2" s="37">
        <f>VLOOKUP(MOD(D2,31),'产品型号-编码表'!$E:$F,2,0)</f>
        <v>1</v>
      </c>
      <c r="S2" s="37">
        <f>VLOOKUP(INT(E2/31),'产品型号-编码表'!$E:$F,2,0)</f>
        <v>0</v>
      </c>
      <c r="T2" s="37" t="str">
        <f>VLOOKUP(MOD(E2,31),'产品型号-编码表'!$E:$F,2,0)</f>
        <v>C</v>
      </c>
      <c r="U2" s="37">
        <f>VLOOKUP(I2,'产品型号-编码表'!K:L,2,0)</f>
        <v>0</v>
      </c>
      <c r="V2" s="37">
        <f>VLOOKUP(J2,'产品型号-编码表'!$E:$F,2,0)</f>
        <v>0</v>
      </c>
      <c r="W2" s="39" t="s">
        <v>138</v>
      </c>
      <c r="X2" s="40" t="s">
        <v>169</v>
      </c>
      <c r="Y2" s="2" t="str">
        <f t="shared" ref="Y2:Y10" si="0">L2&amp;M2&amp;N2&amp;O2&amp;P2&amp;Q2&amp;R2&amp;S2&amp;T2&amp;U2&amp;V2</f>
        <v>MB7P1010C00</v>
      </c>
    </row>
    <row r="3" spans="1:25" s="41" customFormat="1" ht="18" customHeight="1" x14ac:dyDescent="0.15">
      <c r="A3" s="37" t="s">
        <v>135</v>
      </c>
      <c r="B3" s="38" t="s">
        <v>179</v>
      </c>
      <c r="C3" s="38" t="s">
        <v>81</v>
      </c>
      <c r="D3" s="37">
        <v>1</v>
      </c>
      <c r="E3" s="37">
        <v>8</v>
      </c>
      <c r="F3" s="37">
        <v>240</v>
      </c>
      <c r="G3" s="60"/>
      <c r="H3" s="37">
        <v>25.6</v>
      </c>
      <c r="I3" s="37" t="s">
        <v>192</v>
      </c>
      <c r="J3" s="47">
        <v>0</v>
      </c>
      <c r="K3" s="37"/>
      <c r="L3" s="37" t="str">
        <f>VLOOKUP(B3,'产品型号-编码表'!$B$2:$C$5,2,0)</f>
        <v>M</v>
      </c>
      <c r="M3" s="37" t="str">
        <f>VLOOKUP(C3,'产品型号-编码表'!$B$8:$C$15,2,0)</f>
        <v>B</v>
      </c>
      <c r="N3" s="36">
        <f>VLOOKUP(IF(F3&gt;960,INT(F3/10/31),IF(F3&gt;96,INT(F3/31),IF(F3=INT(F3),INT(F3/31),INT(F3*10/31)))),'产品型号-编码表'!$E:$F,2,0)</f>
        <v>7</v>
      </c>
      <c r="O3" s="36" t="str">
        <f>VLOOKUP(IF(F3&gt;960,MOD(F3/10,31),IF(F3&gt;96,MOD(F3,31),IF(F3=INT(F3),MOD(F3,31),MOD(F3*10,31)))),'产品型号-编码表'!$E:$F,2,0)</f>
        <v>P</v>
      </c>
      <c r="P3" s="36">
        <f>VLOOKUP(IF(F3&gt;960,10,IF(F3=INT(F3),1,0.1)),'产品型号-编码表'!$E:$F,2,0)</f>
        <v>1</v>
      </c>
      <c r="Q3" s="37">
        <f>VLOOKUP(INT(D3/31),'产品型号-编码表'!$E:$F,2,0)</f>
        <v>0</v>
      </c>
      <c r="R3" s="37">
        <f>VLOOKUP(MOD(D3,31),'产品型号-编码表'!$E:$F,2,0)</f>
        <v>1</v>
      </c>
      <c r="S3" s="37">
        <f>VLOOKUP(INT(E3/31),'产品型号-编码表'!$E:$F,2,0)</f>
        <v>0</v>
      </c>
      <c r="T3" s="37">
        <f>VLOOKUP(MOD(E3,31),'产品型号-编码表'!$E:$F,2,0)</f>
        <v>8</v>
      </c>
      <c r="U3" s="37">
        <f>VLOOKUP(I3,'产品型号-编码表'!K:L,2,0)</f>
        <v>0</v>
      </c>
      <c r="V3" s="37">
        <f>VLOOKUP(J3,'产品型号-编码表'!$E:$F,2,0)</f>
        <v>0</v>
      </c>
      <c r="W3" s="39" t="s">
        <v>134</v>
      </c>
      <c r="X3" s="40" t="s">
        <v>169</v>
      </c>
      <c r="Y3" s="2" t="str">
        <f t="shared" si="0"/>
        <v>MB7P1010800</v>
      </c>
    </row>
    <row r="4" spans="1:25" ht="18" customHeight="1" x14ac:dyDescent="0.15">
      <c r="A4" s="37" t="s">
        <v>147</v>
      </c>
      <c r="B4" s="38" t="s">
        <v>179</v>
      </c>
      <c r="C4" s="38" t="s">
        <v>81</v>
      </c>
      <c r="D4" s="10">
        <v>2</v>
      </c>
      <c r="E4" s="10">
        <v>4</v>
      </c>
      <c r="F4" s="10">
        <v>480</v>
      </c>
      <c r="G4" s="10"/>
      <c r="H4" s="10">
        <v>12.8</v>
      </c>
      <c r="I4" s="37" t="s">
        <v>192</v>
      </c>
      <c r="J4" s="47">
        <v>0</v>
      </c>
      <c r="K4" s="10"/>
      <c r="L4" s="37" t="str">
        <f>VLOOKUP(B4,'产品型号-编码表'!$B$2:$C$5,2,0)</f>
        <v>M</v>
      </c>
      <c r="M4" s="37" t="str">
        <f>VLOOKUP(C4,'产品型号-编码表'!$B$8:$C$15,2,0)</f>
        <v>B</v>
      </c>
      <c r="N4" s="36" t="str">
        <f>VLOOKUP(IF(F4&gt;960,INT(F4/10/31),IF(F4&gt;96,INT(F4/31),IF(F4=INT(F4),INT(F4/31),INT(F4*10/31)))),'产品型号-编码表'!$E:$F,2,0)</f>
        <v>F</v>
      </c>
      <c r="O4" s="36" t="str">
        <f>VLOOKUP(IF(F4&gt;960,MOD(F4/10,31),IF(F4&gt;96,MOD(F4,31),IF(F4=INT(F4),MOD(F4,31),MOD(F4*10,31)))),'产品型号-编码表'!$E:$F,2,0)</f>
        <v>F</v>
      </c>
      <c r="P4" s="36">
        <f>VLOOKUP(IF(F4&gt;960,10,IF(F4=INT(F4),1,0.1)),'产品型号-编码表'!$E:$F,2,0)</f>
        <v>1</v>
      </c>
      <c r="Q4" s="37">
        <f>VLOOKUP(INT(D4/31),'产品型号-编码表'!$E:$F,2,0)</f>
        <v>0</v>
      </c>
      <c r="R4" s="37">
        <f>VLOOKUP(MOD(D4,31),'产品型号-编码表'!$E:$F,2,0)</f>
        <v>2</v>
      </c>
      <c r="S4" s="37">
        <f>VLOOKUP(INT(E4/31),'产品型号-编码表'!$E:$F,2,0)</f>
        <v>0</v>
      </c>
      <c r="T4" s="37">
        <f>VLOOKUP(MOD(E4,31),'产品型号-编码表'!$E:$F,2,0)</f>
        <v>4</v>
      </c>
      <c r="U4" s="37">
        <f>VLOOKUP(I4,'产品型号-编码表'!K:L,2,0)</f>
        <v>0</v>
      </c>
      <c r="V4" s="37">
        <f>VLOOKUP(J4,'产品型号-编码表'!$E:$F,2,0)</f>
        <v>0</v>
      </c>
      <c r="W4" s="39" t="s">
        <v>143</v>
      </c>
      <c r="X4" s="40" t="s">
        <v>164</v>
      </c>
      <c r="Y4" s="2" t="str">
        <f t="shared" si="0"/>
        <v>MBFF1020400</v>
      </c>
    </row>
    <row r="5" spans="1:25" ht="18" customHeight="1" x14ac:dyDescent="0.15">
      <c r="A5" s="37" t="s">
        <v>148</v>
      </c>
      <c r="B5" s="38" t="s">
        <v>179</v>
      </c>
      <c r="C5" s="38" t="s">
        <v>81</v>
      </c>
      <c r="D5" s="10">
        <v>1</v>
      </c>
      <c r="E5" s="10">
        <v>11</v>
      </c>
      <c r="F5" s="10">
        <v>240</v>
      </c>
      <c r="G5" s="10"/>
      <c r="H5" s="10">
        <v>35.200000000000003</v>
      </c>
      <c r="I5" s="37" t="s">
        <v>192</v>
      </c>
      <c r="J5" s="47">
        <v>0</v>
      </c>
      <c r="K5" s="10"/>
      <c r="L5" s="37" t="str">
        <f>VLOOKUP(B5,'产品型号-编码表'!$B$2:$C$5,2,0)</f>
        <v>M</v>
      </c>
      <c r="M5" s="37" t="str">
        <f>VLOOKUP(C5,'产品型号-编码表'!$B$8:$C$15,2,0)</f>
        <v>B</v>
      </c>
      <c r="N5" s="36">
        <f>VLOOKUP(IF(F5&gt;960,INT(F5/10/31),IF(F5&gt;96,INT(F5/31),IF(F5=INT(F5),INT(F5/31),INT(F5*10/31)))),'产品型号-编码表'!$E:$F,2,0)</f>
        <v>7</v>
      </c>
      <c r="O5" s="36" t="str">
        <f>VLOOKUP(IF(F5&gt;960,MOD(F5/10,31),IF(F5&gt;96,MOD(F5,31),IF(F5=INT(F5),MOD(F5,31),MOD(F5*10,31)))),'产品型号-编码表'!$E:$F,2,0)</f>
        <v>P</v>
      </c>
      <c r="P5" s="36">
        <f>VLOOKUP(IF(F5&gt;960,10,IF(F5=INT(F5),1,0.1)),'产品型号-编码表'!$E:$F,2,0)</f>
        <v>1</v>
      </c>
      <c r="Q5" s="37">
        <f>VLOOKUP(INT(D5/31),'产品型号-编码表'!$E:$F,2,0)</f>
        <v>0</v>
      </c>
      <c r="R5" s="37">
        <f>VLOOKUP(MOD(D5,31),'产品型号-编码表'!$E:$F,2,0)</f>
        <v>1</v>
      </c>
      <c r="S5" s="37">
        <f>VLOOKUP(INT(E5/31),'产品型号-编码表'!$E:$F,2,0)</f>
        <v>0</v>
      </c>
      <c r="T5" s="37" t="str">
        <f>VLOOKUP(MOD(E5,31),'产品型号-编码表'!$E:$F,2,0)</f>
        <v>B</v>
      </c>
      <c r="U5" s="37">
        <f>VLOOKUP(I5,'产品型号-编码表'!K:L,2,0)</f>
        <v>0</v>
      </c>
      <c r="V5" s="37">
        <f>VLOOKUP(J5,'产品型号-编码表'!$E:$F,2,0)</f>
        <v>0</v>
      </c>
      <c r="W5" s="39" t="s">
        <v>146</v>
      </c>
      <c r="X5" s="40" t="s">
        <v>168</v>
      </c>
      <c r="Y5" s="2" t="str">
        <f t="shared" si="0"/>
        <v>MB7P1010B00</v>
      </c>
    </row>
    <row r="6" spans="1:25" ht="18" customHeight="1" x14ac:dyDescent="0.15">
      <c r="A6" s="37" t="s">
        <v>148</v>
      </c>
      <c r="B6" s="38" t="s">
        <v>179</v>
      </c>
      <c r="C6" s="38" t="s">
        <v>81</v>
      </c>
      <c r="D6" s="10">
        <v>1</v>
      </c>
      <c r="E6" s="10">
        <v>9</v>
      </c>
      <c r="F6" s="10">
        <v>240</v>
      </c>
      <c r="G6" s="10"/>
      <c r="H6" s="10">
        <v>28.8</v>
      </c>
      <c r="I6" s="37" t="s">
        <v>192</v>
      </c>
      <c r="J6" s="47">
        <v>0</v>
      </c>
      <c r="K6" s="10"/>
      <c r="L6" s="37" t="str">
        <f>VLOOKUP(B6,'产品型号-编码表'!$B$2:$C$5,2,0)</f>
        <v>M</v>
      </c>
      <c r="M6" s="37" t="str">
        <f>VLOOKUP(C6,'产品型号-编码表'!$B$8:$C$15,2,0)</f>
        <v>B</v>
      </c>
      <c r="N6" s="36">
        <f>VLOOKUP(IF(F6&gt;960,INT(F6/10/31),IF(F6&gt;96,INT(F6/31),IF(F6=INT(F6),INT(F6/31),INT(F6*10/31)))),'产品型号-编码表'!$E:$F,2,0)</f>
        <v>7</v>
      </c>
      <c r="O6" s="36" t="str">
        <f>VLOOKUP(IF(F6&gt;960,MOD(F6/10,31),IF(F6&gt;96,MOD(F6,31),IF(F6=INT(F6),MOD(F6,31),MOD(F6*10,31)))),'产品型号-编码表'!$E:$F,2,0)</f>
        <v>P</v>
      </c>
      <c r="P6" s="36">
        <f>VLOOKUP(IF(F6&gt;960,10,IF(F6=INT(F6),1,0.1)),'产品型号-编码表'!$E:$F,2,0)</f>
        <v>1</v>
      </c>
      <c r="Q6" s="37">
        <f>VLOOKUP(INT(D6/31),'产品型号-编码表'!$E:$F,2,0)</f>
        <v>0</v>
      </c>
      <c r="R6" s="37">
        <f>VLOOKUP(MOD(D6,31),'产品型号-编码表'!$E:$F,2,0)</f>
        <v>1</v>
      </c>
      <c r="S6" s="37">
        <f>VLOOKUP(INT(E6/31),'产品型号-编码表'!$E:$F,2,0)</f>
        <v>0</v>
      </c>
      <c r="T6" s="37">
        <f>VLOOKUP(MOD(E6,31),'产品型号-编码表'!$E:$F,2,0)</f>
        <v>9</v>
      </c>
      <c r="U6" s="37">
        <f>VLOOKUP(I6,'产品型号-编码表'!K:L,2,0)</f>
        <v>0</v>
      </c>
      <c r="V6" s="37">
        <f>VLOOKUP(J6,'产品型号-编码表'!$E:$F,2,0)</f>
        <v>0</v>
      </c>
      <c r="W6" s="40" t="s">
        <v>159</v>
      </c>
      <c r="X6" s="40" t="s">
        <v>167</v>
      </c>
      <c r="Y6" s="2" t="str">
        <f t="shared" si="0"/>
        <v>MB7P1010900</v>
      </c>
    </row>
    <row r="7" spans="1:25" ht="18" customHeight="1" x14ac:dyDescent="0.15">
      <c r="A7" s="37" t="s">
        <v>152</v>
      </c>
      <c r="B7" s="38" t="s">
        <v>179</v>
      </c>
      <c r="C7" s="38" t="s">
        <v>86</v>
      </c>
      <c r="D7" s="36">
        <v>3</v>
      </c>
      <c r="E7" s="36">
        <v>3</v>
      </c>
      <c r="F7" s="37">
        <v>360</v>
      </c>
      <c r="G7" s="60"/>
      <c r="H7" s="37">
        <v>10.98</v>
      </c>
      <c r="I7" s="37" t="s">
        <v>192</v>
      </c>
      <c r="J7" s="47">
        <v>0</v>
      </c>
      <c r="K7" s="37"/>
      <c r="L7" s="37" t="str">
        <f>VLOOKUP(B7,'产品型号-编码表'!$B$2:$C$5,2,0)</f>
        <v>M</v>
      </c>
      <c r="M7" s="37" t="str">
        <f>VLOOKUP(C7,'产品型号-编码表'!$B$8:$C$15,2,0)</f>
        <v>E</v>
      </c>
      <c r="N7" s="36" t="str">
        <f>VLOOKUP(IF(F7&gt;960,INT(F7/10/31),IF(F7&gt;96,INT(F7/31),IF(F7=INT(F7),INT(F7/31),INT(F7*10/31)))),'产品型号-编码表'!$E:$F,2,0)</f>
        <v>B</v>
      </c>
      <c r="O7" s="36" t="str">
        <f>VLOOKUP(IF(F7&gt;960,MOD(F7/10,31),IF(F7&gt;96,MOD(F7,31),IF(F7=INT(F7),MOD(F7,31),MOD(F7*10,31)))),'产品型号-编码表'!$E:$F,2,0)</f>
        <v>K</v>
      </c>
      <c r="P7" s="36">
        <f>VLOOKUP(IF(F7&gt;960,10,IF(F7=INT(F7),1,0.1)),'产品型号-编码表'!$E:$F,2,0)</f>
        <v>1</v>
      </c>
      <c r="Q7" s="37">
        <f>VLOOKUP(INT(D7/31),'产品型号-编码表'!$E:$F,2,0)</f>
        <v>0</v>
      </c>
      <c r="R7" s="37">
        <f>VLOOKUP(MOD(D7,31),'产品型号-编码表'!$E:$F,2,0)</f>
        <v>3</v>
      </c>
      <c r="S7" s="37">
        <f>VLOOKUP(INT(E7/31),'产品型号-编码表'!$E:$F,2,0)</f>
        <v>0</v>
      </c>
      <c r="T7" s="37">
        <f>VLOOKUP(MOD(E7,31),'产品型号-编码表'!$E:$F,2,0)</f>
        <v>3</v>
      </c>
      <c r="U7" s="37">
        <f>VLOOKUP(I7,'产品型号-编码表'!K:L,2,0)</f>
        <v>0</v>
      </c>
      <c r="V7" s="37">
        <f>VLOOKUP(J7,'产品型号-编码表'!$E:$F,2,0)</f>
        <v>0</v>
      </c>
      <c r="W7" s="39" t="s">
        <v>149</v>
      </c>
      <c r="X7" s="42" t="s">
        <v>170</v>
      </c>
      <c r="Y7" s="2" t="str">
        <f t="shared" si="0"/>
        <v>MEBK1030300</v>
      </c>
    </row>
    <row r="8" spans="1:25" ht="18" customHeight="1" x14ac:dyDescent="0.15">
      <c r="A8" s="37" t="s">
        <v>152</v>
      </c>
      <c r="B8" s="38" t="s">
        <v>179</v>
      </c>
      <c r="C8" s="38" t="s">
        <v>86</v>
      </c>
      <c r="D8" s="37">
        <v>3</v>
      </c>
      <c r="E8" s="37">
        <v>4</v>
      </c>
      <c r="F8" s="37">
        <v>360</v>
      </c>
      <c r="G8" s="60"/>
      <c r="H8" s="37">
        <v>14.64</v>
      </c>
      <c r="I8" s="37" t="s">
        <v>192</v>
      </c>
      <c r="J8" s="47">
        <v>0</v>
      </c>
      <c r="K8" s="37"/>
      <c r="L8" s="37" t="str">
        <f>VLOOKUP(B8,'产品型号-编码表'!$B$2:$C$5,2,0)</f>
        <v>M</v>
      </c>
      <c r="M8" s="37" t="str">
        <f>VLOOKUP(C8,'产品型号-编码表'!$B$8:$C$15,2,0)</f>
        <v>E</v>
      </c>
      <c r="N8" s="36" t="str">
        <f>VLOOKUP(IF(F8&gt;960,INT(F8/10/31),IF(F8&gt;96,INT(F8/31),IF(F8=INT(F8),INT(F8/31),INT(F8*10/31)))),'产品型号-编码表'!$E:$F,2,0)</f>
        <v>B</v>
      </c>
      <c r="O8" s="36" t="str">
        <f>VLOOKUP(IF(F8&gt;960,MOD(F8/10,31),IF(F8&gt;96,MOD(F8,31),IF(F8=INT(F8),MOD(F8,31),MOD(F8*10,31)))),'产品型号-编码表'!$E:$F,2,0)</f>
        <v>K</v>
      </c>
      <c r="P8" s="36">
        <f>VLOOKUP(IF(F8&gt;960,10,IF(F8=INT(F8),1,0.1)),'产品型号-编码表'!$E:$F,2,0)</f>
        <v>1</v>
      </c>
      <c r="Q8" s="37">
        <f>VLOOKUP(INT(D8/31),'产品型号-编码表'!$E:$F,2,0)</f>
        <v>0</v>
      </c>
      <c r="R8" s="37">
        <f>VLOOKUP(MOD(D8,31),'产品型号-编码表'!$E:$F,2,0)</f>
        <v>3</v>
      </c>
      <c r="S8" s="37">
        <f>VLOOKUP(INT(E8/31),'产品型号-编码表'!$E:$F,2,0)</f>
        <v>0</v>
      </c>
      <c r="T8" s="37">
        <f>VLOOKUP(MOD(E8,31),'产品型号-编码表'!$E:$F,2,0)</f>
        <v>4</v>
      </c>
      <c r="U8" s="37">
        <f>VLOOKUP(I8,'产品型号-编码表'!K:L,2,0)</f>
        <v>0</v>
      </c>
      <c r="V8" s="37">
        <f>VLOOKUP(J8,'产品型号-编码表'!$E:$F,2,0)</f>
        <v>0</v>
      </c>
      <c r="W8" s="43" t="s">
        <v>156</v>
      </c>
      <c r="X8" s="40" t="s">
        <v>171</v>
      </c>
      <c r="Y8" s="2" t="str">
        <f t="shared" si="0"/>
        <v>MEBK1030400</v>
      </c>
    </row>
    <row r="9" spans="1:25" ht="18" customHeight="1" x14ac:dyDescent="0.15">
      <c r="A9" s="36" t="s">
        <v>160</v>
      </c>
      <c r="B9" s="38" t="s">
        <v>179</v>
      </c>
      <c r="C9" s="38" t="s">
        <v>81</v>
      </c>
      <c r="D9" s="10">
        <v>2</v>
      </c>
      <c r="E9" s="10">
        <v>4</v>
      </c>
      <c r="F9" s="36">
        <v>352</v>
      </c>
      <c r="G9" s="59"/>
      <c r="H9" s="36">
        <v>12.8</v>
      </c>
      <c r="I9" s="37" t="s">
        <v>192</v>
      </c>
      <c r="J9" s="47">
        <v>0</v>
      </c>
      <c r="K9" s="36"/>
      <c r="L9" s="37" t="str">
        <f>VLOOKUP(B9,'产品型号-编码表'!$B$2:$C$5,2,0)</f>
        <v>M</v>
      </c>
      <c r="M9" s="37" t="str">
        <f>VLOOKUP(C9,'产品型号-编码表'!$B$8:$C$15,2,0)</f>
        <v>B</v>
      </c>
      <c r="N9" s="36" t="str">
        <f>VLOOKUP(IF(F9&gt;960,INT(F9/10/31),IF(F9&gt;96,INT(F9/31),IF(F9=INT(F9),INT(F9/31),INT(F9*10/31)))),'产品型号-编码表'!$E:$F,2,0)</f>
        <v>B</v>
      </c>
      <c r="O9" s="36" t="str">
        <f>VLOOKUP(IF(F9&gt;960,MOD(F9/10,31),IF(F9&gt;96,MOD(F9,31),IF(F9=INT(F9),MOD(F9,31),MOD(F9*10,31)))),'产品型号-编码表'!$E:$F,2,0)</f>
        <v>B</v>
      </c>
      <c r="P9" s="36">
        <f>VLOOKUP(IF(F9&gt;960,10,IF(F9=INT(F9),1,0.1)),'产品型号-编码表'!$E:$F,2,0)</f>
        <v>1</v>
      </c>
      <c r="Q9" s="37">
        <f>VLOOKUP(INT(D9/31),'产品型号-编码表'!$E:$F,2,0)</f>
        <v>0</v>
      </c>
      <c r="R9" s="37">
        <f>VLOOKUP(MOD(D9,31),'产品型号-编码表'!$E:$F,2,0)</f>
        <v>2</v>
      </c>
      <c r="S9" s="37">
        <f>VLOOKUP(INT(E9/31),'产品型号-编码表'!$E:$F,2,0)</f>
        <v>0</v>
      </c>
      <c r="T9" s="37">
        <f>VLOOKUP(MOD(E9,31),'产品型号-编码表'!$E:$F,2,0)</f>
        <v>4</v>
      </c>
      <c r="U9" s="37">
        <f>VLOOKUP(I9,'产品型号-编码表'!K:L,2,0)</f>
        <v>0</v>
      </c>
      <c r="V9" s="37">
        <f>VLOOKUP(J9,'产品型号-编码表'!$E:$F,2,0)</f>
        <v>0</v>
      </c>
      <c r="W9" s="40" t="s">
        <v>159</v>
      </c>
      <c r="X9" s="40" t="s">
        <v>162</v>
      </c>
      <c r="Y9" s="2" t="str">
        <f t="shared" si="0"/>
        <v>MBBB1020400</v>
      </c>
    </row>
    <row r="10" spans="1:25" ht="18" customHeight="1" x14ac:dyDescent="0.15">
      <c r="A10" s="36" t="s">
        <v>160</v>
      </c>
      <c r="B10" s="38" t="s">
        <v>179</v>
      </c>
      <c r="C10" s="38" t="s">
        <v>81</v>
      </c>
      <c r="D10" s="10">
        <v>1</v>
      </c>
      <c r="E10" s="10">
        <v>8</v>
      </c>
      <c r="F10" s="36">
        <v>176</v>
      </c>
      <c r="G10" s="59"/>
      <c r="H10" s="36">
        <v>25.6</v>
      </c>
      <c r="I10" s="37" t="s">
        <v>192</v>
      </c>
      <c r="J10" s="47">
        <v>0</v>
      </c>
      <c r="K10" s="36"/>
      <c r="L10" s="37" t="str">
        <f>VLOOKUP(B10,'产品型号-编码表'!$B$2:$C$5,2,0)</f>
        <v>M</v>
      </c>
      <c r="M10" s="37" t="str">
        <f>VLOOKUP(C10,'产品型号-编码表'!$B$8:$C$15,2,0)</f>
        <v>B</v>
      </c>
      <c r="N10" s="36">
        <f>VLOOKUP(IF(F10&gt;960,INT(F10/10/31),IF(F10&gt;96,INT(F10/31),IF(F10=INT(F10),INT(F10/31),INT(F10*10/31)))),'产品型号-编码表'!$E:$F,2,0)</f>
        <v>5</v>
      </c>
      <c r="O10" s="36" t="str">
        <f>VLOOKUP(IF(F10&gt;960,MOD(F10/10,31),IF(F10&gt;96,MOD(F10,31),IF(F10=INT(F10),MOD(F10,31),MOD(F10*10,31)))),'产品型号-编码表'!$E:$F,2,0)</f>
        <v>M</v>
      </c>
      <c r="P10" s="36">
        <f>VLOOKUP(IF(F10&gt;960,10,IF(F10=INT(F10),1,0.1)),'产品型号-编码表'!$E:$F,2,0)</f>
        <v>1</v>
      </c>
      <c r="Q10" s="37">
        <f>VLOOKUP(INT(D10/31),'产品型号-编码表'!$E:$F,2,0)</f>
        <v>0</v>
      </c>
      <c r="R10" s="37">
        <f>VLOOKUP(MOD(D10,31),'产品型号-编码表'!$E:$F,2,0)</f>
        <v>1</v>
      </c>
      <c r="S10" s="37">
        <f>VLOOKUP(INT(E10/31),'产品型号-编码表'!$E:$F,2,0)</f>
        <v>0</v>
      </c>
      <c r="T10" s="37">
        <f>VLOOKUP(MOD(E10,31),'产品型号-编码表'!$E:$F,2,0)</f>
        <v>8</v>
      </c>
      <c r="U10" s="37">
        <f>VLOOKUP(I10,'产品型号-编码表'!K:L,2,0)</f>
        <v>0</v>
      </c>
      <c r="V10" s="37">
        <f>VLOOKUP(J10,'产品型号-编码表'!$E:$F,2,0)</f>
        <v>0</v>
      </c>
      <c r="W10" s="40" t="s">
        <v>159</v>
      </c>
      <c r="X10" s="40" t="s">
        <v>163</v>
      </c>
      <c r="Y10" s="2" t="str">
        <f t="shared" si="0"/>
        <v>MB5M1010800</v>
      </c>
    </row>
    <row r="11" spans="1:25" ht="18" customHeight="1" x14ac:dyDescent="0.15">
      <c r="A11" s="48"/>
      <c r="B11" s="49"/>
      <c r="C11" s="49"/>
      <c r="D11" s="50"/>
      <c r="E11" s="50"/>
      <c r="F11" s="51"/>
      <c r="G11" s="51"/>
      <c r="H11" s="51"/>
      <c r="I11" s="52"/>
      <c r="J11" s="53"/>
      <c r="K11" s="51"/>
      <c r="L11" s="52"/>
      <c r="M11" s="52"/>
      <c r="N11" s="51"/>
      <c r="O11" s="51"/>
      <c r="P11" s="51"/>
      <c r="Q11" s="52"/>
      <c r="R11" s="52"/>
      <c r="S11" s="52"/>
      <c r="T11" s="52"/>
      <c r="U11" s="52"/>
      <c r="V11" s="52"/>
      <c r="W11" s="54"/>
      <c r="X11" s="54"/>
      <c r="Y11" s="55"/>
    </row>
    <row r="12" spans="1:25" s="56" customFormat="1" ht="18" customHeight="1" x14ac:dyDescent="0.15">
      <c r="A12" s="48"/>
      <c r="B12" s="49"/>
      <c r="C12" s="49"/>
      <c r="D12" s="50"/>
      <c r="E12" s="50"/>
      <c r="F12" s="51"/>
      <c r="G12" s="51"/>
      <c r="H12" s="51"/>
      <c r="I12" s="52"/>
      <c r="J12" s="53"/>
      <c r="K12" s="51"/>
      <c r="L12" s="52"/>
      <c r="M12" s="52"/>
      <c r="N12" s="51"/>
      <c r="O12" s="51"/>
      <c r="P12" s="51"/>
      <c r="Q12" s="52"/>
      <c r="R12" s="52"/>
      <c r="S12" s="52"/>
      <c r="T12" s="52"/>
      <c r="U12" s="52"/>
      <c r="V12" s="52"/>
      <c r="W12" s="54"/>
      <c r="X12" s="54"/>
      <c r="Y12" s="55"/>
    </row>
    <row r="13" spans="1:25" s="41" customFormat="1" ht="18" customHeight="1" x14ac:dyDescent="0.15">
      <c r="A13" s="37" t="s">
        <v>137</v>
      </c>
      <c r="B13" s="38" t="s">
        <v>64</v>
      </c>
      <c r="C13" s="38" t="s">
        <v>81</v>
      </c>
      <c r="D13" s="37">
        <v>1</v>
      </c>
      <c r="E13" s="37">
        <v>24</v>
      </c>
      <c r="F13" s="37">
        <v>240</v>
      </c>
      <c r="G13" s="60"/>
      <c r="H13" s="37">
        <v>76.8</v>
      </c>
      <c r="I13" s="37" t="s">
        <v>192</v>
      </c>
      <c r="J13" s="47">
        <v>0</v>
      </c>
      <c r="K13" s="37"/>
      <c r="L13" s="37" t="str">
        <f>VLOOKUP(B13,'产品型号-编码表'!$B$2:$C$5,2,0)</f>
        <v>P</v>
      </c>
      <c r="M13" s="37" t="str">
        <f>VLOOKUP(C13,'产品型号-编码表'!$B$8:$C$15,2,0)</f>
        <v>B</v>
      </c>
      <c r="N13" s="36">
        <f>VLOOKUP(IF(F13&gt;960,INT(F13/10/31),IF(F13&gt;96,INT(F13/31),IF(F13=INT(F13),INT(F13/31),INT(F13*10/31)))),'产品型号-编码表'!$E:$F,2,0)</f>
        <v>7</v>
      </c>
      <c r="O13" s="36" t="str">
        <f>VLOOKUP(IF(F13&gt;960,MOD(F13/10,31),IF(F13&gt;96,MOD(F13,31),IF(F13=INT(F13),MOD(F13,31),MOD(F13*10,31)))),'产品型号-编码表'!$E:$F,2,0)</f>
        <v>P</v>
      </c>
      <c r="P13" s="36">
        <f>VLOOKUP(IF(F13&gt;960,10,IF(F13=INT(F13),1,0.1)),'产品型号-编码表'!$E:$F,2,0)</f>
        <v>1</v>
      </c>
      <c r="Q13" s="37">
        <f>VLOOKUP(INT(D13/31),'产品型号-编码表'!$E:$F,2,0)</f>
        <v>0</v>
      </c>
      <c r="R13" s="37">
        <f>VLOOKUP(MOD(D13,31),'产品型号-编码表'!$E:$F,2,0)</f>
        <v>1</v>
      </c>
      <c r="S13" s="37">
        <f>VLOOKUP(INT(E13/31),'产品型号-编码表'!$E:$F,2,0)</f>
        <v>0</v>
      </c>
      <c r="T13" s="37" t="str">
        <f>VLOOKUP(MOD(E13,31),'产品型号-编码表'!$E:$F,2,0)</f>
        <v>R</v>
      </c>
      <c r="U13" s="37">
        <f>VLOOKUP(I13,'产品型号-编码表'!K:L,2,0)</f>
        <v>0</v>
      </c>
      <c r="V13" s="37">
        <f>VLOOKUP(J13,'产品型号-编码表'!$E:$F,2,0)</f>
        <v>0</v>
      </c>
      <c r="W13" s="39" t="s">
        <v>136</v>
      </c>
      <c r="X13" s="40" t="s">
        <v>169</v>
      </c>
      <c r="Y13" s="2" t="str">
        <f>L13&amp;M13&amp;N13&amp;O13&amp;P13&amp;Q13&amp;R13&amp;S13&amp;T13&amp;U13&amp;V13</f>
        <v>PB7P1010R00</v>
      </c>
    </row>
    <row r="14" spans="1:25" s="41" customFormat="1" ht="18" customHeight="1" x14ac:dyDescent="0.15">
      <c r="A14" s="37" t="s">
        <v>140</v>
      </c>
      <c r="B14" s="38" t="s">
        <v>64</v>
      </c>
      <c r="C14" s="38" t="s">
        <v>81</v>
      </c>
      <c r="D14" s="36">
        <v>1</v>
      </c>
      <c r="E14" s="36">
        <v>36</v>
      </c>
      <c r="F14" s="37">
        <v>240</v>
      </c>
      <c r="G14" s="60"/>
      <c r="H14" s="36">
        <v>115.2</v>
      </c>
      <c r="I14" s="37" t="s">
        <v>192</v>
      </c>
      <c r="J14" s="47">
        <v>0</v>
      </c>
      <c r="K14" s="36"/>
      <c r="L14" s="37" t="str">
        <f>VLOOKUP(B14,'产品型号-编码表'!$B$2:$C$5,2,0)</f>
        <v>P</v>
      </c>
      <c r="M14" s="37" t="str">
        <f>VLOOKUP(C14,'产品型号-编码表'!$B$8:$C$15,2,0)</f>
        <v>B</v>
      </c>
      <c r="N14" s="36">
        <f>VLOOKUP(IF(F14&gt;960,INT(F14/10/31),IF(F14&gt;96,INT(F14/31),IF(F14=INT(F14),INT(F14/31),INT(F14*10/31)))),'产品型号-编码表'!$E:$F,2,0)</f>
        <v>7</v>
      </c>
      <c r="O14" s="36" t="str">
        <f>VLOOKUP(IF(F14&gt;960,MOD(F14/10,31),IF(F14&gt;96,MOD(F14,31),IF(F14=INT(F14),MOD(F14,31),MOD(F14*10,31)))),'产品型号-编码表'!$E:$F,2,0)</f>
        <v>P</v>
      </c>
      <c r="P14" s="36">
        <f>VLOOKUP(IF(F14&gt;960,10,IF(F14=INT(F14),1,0.1)),'产品型号-编码表'!$E:$F,2,0)</f>
        <v>1</v>
      </c>
      <c r="Q14" s="37">
        <f>VLOOKUP(INT(D14/31),'产品型号-编码表'!$E:$F,2,0)</f>
        <v>0</v>
      </c>
      <c r="R14" s="37">
        <f>VLOOKUP(MOD(D14,31),'产品型号-编码表'!$E:$F,2,0)</f>
        <v>1</v>
      </c>
      <c r="S14" s="37">
        <f>VLOOKUP(INT(E14/31),'产品型号-编码表'!$E:$F,2,0)</f>
        <v>1</v>
      </c>
      <c r="T14" s="37">
        <f>VLOOKUP(MOD(E14,31),'产品型号-编码表'!$E:$F,2,0)</f>
        <v>5</v>
      </c>
      <c r="U14" s="37">
        <f>VLOOKUP(I14,'产品型号-编码表'!K:L,2,0)</f>
        <v>0</v>
      </c>
      <c r="V14" s="37">
        <f>VLOOKUP(J14,'产品型号-编码表'!$E:$F,2,0)</f>
        <v>0</v>
      </c>
      <c r="W14" s="39" t="s">
        <v>139</v>
      </c>
      <c r="X14" s="40" t="s">
        <v>169</v>
      </c>
      <c r="Y14" s="2" t="str">
        <f t="shared" ref="Y14:Y20" si="1">L14&amp;M14&amp;N14&amp;O14&amp;P14&amp;Q14&amp;R14&amp;S14&amp;T14&amp;U14&amp;V14</f>
        <v>PB7P1011500</v>
      </c>
    </row>
    <row r="15" spans="1:25" ht="18" customHeight="1" x14ac:dyDescent="0.15">
      <c r="A15" s="37" t="s">
        <v>147</v>
      </c>
      <c r="B15" s="38" t="s">
        <v>64</v>
      </c>
      <c r="C15" s="38" t="s">
        <v>81</v>
      </c>
      <c r="D15" s="36">
        <v>2</v>
      </c>
      <c r="E15" s="36">
        <v>20</v>
      </c>
      <c r="F15" s="36">
        <v>480</v>
      </c>
      <c r="G15" s="59"/>
      <c r="H15" s="36">
        <v>64</v>
      </c>
      <c r="I15" s="37" t="s">
        <v>192</v>
      </c>
      <c r="J15" s="47">
        <v>0</v>
      </c>
      <c r="K15" s="36"/>
      <c r="L15" s="37" t="str">
        <f>VLOOKUP(B15,'产品型号-编码表'!$B$2:$C$5,2,0)</f>
        <v>P</v>
      </c>
      <c r="M15" s="37" t="str">
        <f>VLOOKUP(C15,'产品型号-编码表'!$B$8:$C$15,2,0)</f>
        <v>B</v>
      </c>
      <c r="N15" s="36" t="str">
        <f>VLOOKUP(IF(F15&gt;960,INT(F15/10/31),IF(F15&gt;96,INT(F15/31),IF(F15=INT(F15),INT(F15/31),INT(F15*10/31)))),'产品型号-编码表'!$E:$F,2,0)</f>
        <v>F</v>
      </c>
      <c r="O15" s="36" t="str">
        <f>VLOOKUP(IF(F15&gt;960,MOD(F15/10,31),IF(F15&gt;96,MOD(F15,31),IF(F15=INT(F15),MOD(F15,31),MOD(F15*10,31)))),'产品型号-编码表'!$E:$F,2,0)</f>
        <v>F</v>
      </c>
      <c r="P15" s="36">
        <f>VLOOKUP(IF(F15&gt;960,10,IF(F15=INT(F15),1,0.1)),'产品型号-编码表'!$E:$F,2,0)</f>
        <v>1</v>
      </c>
      <c r="Q15" s="37">
        <f>VLOOKUP(INT(D15/31),'产品型号-编码表'!$E:$F,2,0)</f>
        <v>0</v>
      </c>
      <c r="R15" s="37">
        <f>VLOOKUP(MOD(D15,31),'产品型号-编码表'!$E:$F,2,0)</f>
        <v>2</v>
      </c>
      <c r="S15" s="37">
        <f>VLOOKUP(INT(E15/31),'产品型号-编码表'!$E:$F,2,0)</f>
        <v>0</v>
      </c>
      <c r="T15" s="37" t="str">
        <f>VLOOKUP(MOD(E15,31),'产品型号-编码表'!$E:$F,2,0)</f>
        <v>L</v>
      </c>
      <c r="U15" s="37">
        <f>VLOOKUP(I15,'产品型号-编码表'!K:L,2,0)</f>
        <v>0</v>
      </c>
      <c r="V15" s="37">
        <f>VLOOKUP(J15,'产品型号-编码表'!$E:$F,2,0)</f>
        <v>0</v>
      </c>
      <c r="W15" s="39" t="s">
        <v>144</v>
      </c>
      <c r="X15" s="40" t="s">
        <v>165</v>
      </c>
      <c r="Y15" s="2" t="str">
        <f t="shared" si="1"/>
        <v>PBFF1020L00</v>
      </c>
    </row>
    <row r="16" spans="1:25" ht="18" customHeight="1" x14ac:dyDescent="0.15">
      <c r="A16" s="37" t="s">
        <v>148</v>
      </c>
      <c r="B16" s="38" t="s">
        <v>64</v>
      </c>
      <c r="C16" s="38" t="s">
        <v>81</v>
      </c>
      <c r="D16" s="36">
        <v>1</v>
      </c>
      <c r="E16" s="36">
        <v>42</v>
      </c>
      <c r="F16" s="36">
        <v>240</v>
      </c>
      <c r="G16" s="59"/>
      <c r="H16" s="36">
        <v>134.4</v>
      </c>
      <c r="I16" s="37" t="s">
        <v>192</v>
      </c>
      <c r="J16" s="47">
        <v>0</v>
      </c>
      <c r="K16" s="36"/>
      <c r="L16" s="37" t="str">
        <f>VLOOKUP(B16,'产品型号-编码表'!$B$2:$C$5,2,0)</f>
        <v>P</v>
      </c>
      <c r="M16" s="37" t="str">
        <f>VLOOKUP(C16,'产品型号-编码表'!$B$8:$C$15,2,0)</f>
        <v>B</v>
      </c>
      <c r="N16" s="36">
        <f>VLOOKUP(IF(F16&gt;960,INT(F16/10/31),IF(F16&gt;96,INT(F16/31),IF(F16=INT(F16),INT(F16/31),INT(F16*10/31)))),'产品型号-编码表'!$E:$F,2,0)</f>
        <v>7</v>
      </c>
      <c r="O16" s="36" t="str">
        <f>VLOOKUP(IF(F16&gt;960,MOD(F16/10,31),IF(F16&gt;96,MOD(F16,31),IF(F16=INT(F16),MOD(F16,31),MOD(F16*10,31)))),'产品型号-编码表'!$E:$F,2,0)</f>
        <v>P</v>
      </c>
      <c r="P16" s="36">
        <f>VLOOKUP(IF(F16&gt;960,10,IF(F16=INT(F16),1,0.1)),'产品型号-编码表'!$E:$F,2,0)</f>
        <v>1</v>
      </c>
      <c r="Q16" s="37">
        <f>VLOOKUP(INT(D16/31),'产品型号-编码表'!$E:$F,2,0)</f>
        <v>0</v>
      </c>
      <c r="R16" s="37">
        <f>VLOOKUP(MOD(D16,31),'产品型号-编码表'!$E:$F,2,0)</f>
        <v>1</v>
      </c>
      <c r="S16" s="37">
        <f>VLOOKUP(INT(E16/31),'产品型号-编码表'!$E:$F,2,0)</f>
        <v>1</v>
      </c>
      <c r="T16" s="37" t="str">
        <f>VLOOKUP(MOD(E16,31),'产品型号-编码表'!$E:$F,2,0)</f>
        <v>B</v>
      </c>
      <c r="U16" s="37">
        <f>VLOOKUP(I16,'产品型号-编码表'!K:L,2,0)</f>
        <v>0</v>
      </c>
      <c r="V16" s="37">
        <f>VLOOKUP(J16,'产品型号-编码表'!$E:$F,2,0)</f>
        <v>0</v>
      </c>
      <c r="W16" s="39" t="s">
        <v>145</v>
      </c>
      <c r="X16" s="40" t="s">
        <v>166</v>
      </c>
      <c r="Y16" s="2" t="str">
        <f t="shared" si="1"/>
        <v>PB7P1011B00</v>
      </c>
    </row>
    <row r="17" spans="1:25" ht="18" customHeight="1" x14ac:dyDescent="0.15">
      <c r="A17" s="37" t="s">
        <v>152</v>
      </c>
      <c r="B17" s="38" t="s">
        <v>64</v>
      </c>
      <c r="C17" s="38" t="s">
        <v>86</v>
      </c>
      <c r="D17" s="37">
        <v>3</v>
      </c>
      <c r="E17" s="37">
        <v>42</v>
      </c>
      <c r="F17" s="37">
        <v>360</v>
      </c>
      <c r="G17" s="60"/>
      <c r="H17" s="37">
        <v>153.72</v>
      </c>
      <c r="I17" s="37" t="s">
        <v>192</v>
      </c>
      <c r="J17" s="47">
        <v>0</v>
      </c>
      <c r="K17" s="37"/>
      <c r="L17" s="37" t="str">
        <f>VLOOKUP(B17,'产品型号-编码表'!$B$2:$C$5,2,0)</f>
        <v>P</v>
      </c>
      <c r="M17" s="37" t="str">
        <f>VLOOKUP(C17,'产品型号-编码表'!$B$8:$C$15,2,0)</f>
        <v>E</v>
      </c>
      <c r="N17" s="36" t="str">
        <f>VLOOKUP(IF(F17&gt;960,INT(F17/10/31),IF(F17&gt;96,INT(F17/31),IF(F17=INT(F17),INT(F17/31),INT(F17*10/31)))),'产品型号-编码表'!$E:$F,2,0)</f>
        <v>B</v>
      </c>
      <c r="O17" s="36" t="str">
        <f>VLOOKUP(IF(F17&gt;960,MOD(F17/10,31),IF(F17&gt;96,MOD(F17,31),IF(F17=INT(F17),MOD(F17,31),MOD(F17*10,31)))),'产品型号-编码表'!$E:$F,2,0)</f>
        <v>K</v>
      </c>
      <c r="P17" s="36">
        <f>VLOOKUP(IF(F17&gt;960,10,IF(F17=INT(F17),1,0.1)),'产品型号-编码表'!$E:$F,2,0)</f>
        <v>1</v>
      </c>
      <c r="Q17" s="37">
        <f>VLOOKUP(INT(D17/31),'产品型号-编码表'!$E:$F,2,0)</f>
        <v>0</v>
      </c>
      <c r="R17" s="37">
        <f>VLOOKUP(MOD(D17,31),'产品型号-编码表'!$E:$F,2,0)</f>
        <v>3</v>
      </c>
      <c r="S17" s="37">
        <f>VLOOKUP(INT(E17/31),'产品型号-编码表'!$E:$F,2,0)</f>
        <v>1</v>
      </c>
      <c r="T17" s="37" t="str">
        <f>VLOOKUP(MOD(E17,31),'产品型号-编码表'!$E:$F,2,0)</f>
        <v>B</v>
      </c>
      <c r="U17" s="37">
        <f>VLOOKUP(I17,'产品型号-编码表'!K:L,2,0)</f>
        <v>0</v>
      </c>
      <c r="V17" s="37">
        <f>VLOOKUP(J17,'产品型号-编码表'!$E:$F,2,0)</f>
        <v>0</v>
      </c>
      <c r="W17" s="43" t="s">
        <v>153</v>
      </c>
      <c r="X17" s="40" t="s">
        <v>172</v>
      </c>
      <c r="Y17" s="2" t="str">
        <f t="shared" si="1"/>
        <v>PEBK1031B00</v>
      </c>
    </row>
    <row r="18" spans="1:25" ht="18" customHeight="1" x14ac:dyDescent="0.15">
      <c r="A18" s="37" t="s">
        <v>152</v>
      </c>
      <c r="B18" s="38" t="s">
        <v>64</v>
      </c>
      <c r="C18" s="38" t="s">
        <v>86</v>
      </c>
      <c r="D18" s="37">
        <v>3</v>
      </c>
      <c r="E18" s="37">
        <v>38</v>
      </c>
      <c r="F18" s="36">
        <v>360</v>
      </c>
      <c r="G18" s="59"/>
      <c r="H18" s="36">
        <v>139.1</v>
      </c>
      <c r="I18" s="37" t="s">
        <v>192</v>
      </c>
      <c r="J18" s="47">
        <v>0</v>
      </c>
      <c r="K18" s="36"/>
      <c r="L18" s="37" t="str">
        <f>VLOOKUP(B18,'产品型号-编码表'!$B$2:$C$5,2,0)</f>
        <v>P</v>
      </c>
      <c r="M18" s="37" t="str">
        <f>VLOOKUP(C18,'产品型号-编码表'!$B$8:$C$15,2,0)</f>
        <v>E</v>
      </c>
      <c r="N18" s="36" t="str">
        <f>VLOOKUP(IF(F18&gt;960,INT(F18/10/31),IF(F18&gt;96,INT(F18/31),IF(F18=INT(F18),INT(F18/31),INT(F18*10/31)))),'产品型号-编码表'!$E:$F,2,0)</f>
        <v>B</v>
      </c>
      <c r="O18" s="36" t="str">
        <f>VLOOKUP(IF(F18&gt;960,MOD(F18/10,31),IF(F18&gt;96,MOD(F18,31),IF(F18=INT(F18),MOD(F18,31),MOD(F18*10,31)))),'产品型号-编码表'!$E:$F,2,0)</f>
        <v>K</v>
      </c>
      <c r="P18" s="36">
        <f>VLOOKUP(IF(F18&gt;960,10,IF(F18=INT(F18),1,0.1)),'产品型号-编码表'!$E:$F,2,0)</f>
        <v>1</v>
      </c>
      <c r="Q18" s="37">
        <f>VLOOKUP(INT(D18/31),'产品型号-编码表'!$E:$F,2,0)</f>
        <v>0</v>
      </c>
      <c r="R18" s="37">
        <f>VLOOKUP(MOD(D18,31),'产品型号-编码表'!$E:$F,2,0)</f>
        <v>3</v>
      </c>
      <c r="S18" s="37">
        <f>VLOOKUP(INT(E18/31),'产品型号-编码表'!$E:$F,2,0)</f>
        <v>1</v>
      </c>
      <c r="T18" s="37">
        <f>VLOOKUP(MOD(E18,31),'产品型号-编码表'!$E:$F,2,0)</f>
        <v>7</v>
      </c>
      <c r="U18" s="37">
        <f>VLOOKUP(I18,'产品型号-编码表'!K:L,2,0)</f>
        <v>0</v>
      </c>
      <c r="V18" s="37">
        <f>VLOOKUP(J18,'产品型号-编码表'!$E:$F,2,0)</f>
        <v>0</v>
      </c>
      <c r="W18" s="43" t="s">
        <v>154</v>
      </c>
      <c r="X18" s="40" t="s">
        <v>173</v>
      </c>
      <c r="Y18" s="2" t="str">
        <f t="shared" si="1"/>
        <v>PEBK1031700</v>
      </c>
    </row>
    <row r="19" spans="1:25" ht="18" customHeight="1" x14ac:dyDescent="0.15">
      <c r="A19" s="37" t="s">
        <v>152</v>
      </c>
      <c r="B19" s="38" t="s">
        <v>64</v>
      </c>
      <c r="C19" s="38" t="s">
        <v>86</v>
      </c>
      <c r="D19" s="37">
        <v>3</v>
      </c>
      <c r="E19" s="37">
        <v>42</v>
      </c>
      <c r="F19" s="36">
        <v>360</v>
      </c>
      <c r="G19" s="59"/>
      <c r="H19" s="36">
        <v>73.2</v>
      </c>
      <c r="I19" s="37" t="s">
        <v>192</v>
      </c>
      <c r="J19" s="47">
        <v>0</v>
      </c>
      <c r="K19" s="36"/>
      <c r="L19" s="37" t="str">
        <f>VLOOKUP(B19,'产品型号-编码表'!$B$2:$C$5,2,0)</f>
        <v>P</v>
      </c>
      <c r="M19" s="37" t="str">
        <f>VLOOKUP(C19,'产品型号-编码表'!$B$8:$C$15,2,0)</f>
        <v>E</v>
      </c>
      <c r="N19" s="36" t="str">
        <f>VLOOKUP(IF(F19&gt;960,INT(F19/10/31),IF(F19&gt;96,INT(F19/31),IF(F19=INT(F19),INT(F19/31),INT(F19*10/31)))),'产品型号-编码表'!$E:$F,2,0)</f>
        <v>B</v>
      </c>
      <c r="O19" s="36" t="str">
        <f>VLOOKUP(IF(F19&gt;960,MOD(F19/10,31),IF(F19&gt;96,MOD(F19,31),IF(F19=INT(F19),MOD(F19,31),MOD(F19*10,31)))),'产品型号-编码表'!$E:$F,2,0)</f>
        <v>K</v>
      </c>
      <c r="P19" s="36">
        <f>VLOOKUP(IF(F19&gt;960,10,IF(F19=INT(F19),1,0.1)),'产品型号-编码表'!$E:$F,2,0)</f>
        <v>1</v>
      </c>
      <c r="Q19" s="37">
        <f>VLOOKUP(INT(D19/31),'产品型号-编码表'!$E:$F,2,0)</f>
        <v>0</v>
      </c>
      <c r="R19" s="37">
        <f>VLOOKUP(MOD(D19,31),'产品型号-编码表'!$E:$F,2,0)</f>
        <v>3</v>
      </c>
      <c r="S19" s="37">
        <f>VLOOKUP(INT(E19/31),'产品型号-编码表'!$E:$F,2,0)</f>
        <v>1</v>
      </c>
      <c r="T19" s="37" t="str">
        <f>VLOOKUP(MOD(E19,31),'产品型号-编码表'!$E:$F,2,0)</f>
        <v>B</v>
      </c>
      <c r="U19" s="37">
        <f>VLOOKUP(I19,'产品型号-编码表'!K:L,2,0)</f>
        <v>0</v>
      </c>
      <c r="V19" s="37">
        <f>VLOOKUP(J19,'产品型号-编码表'!$E:$F,2,0)</f>
        <v>0</v>
      </c>
      <c r="W19" s="43" t="s">
        <v>155</v>
      </c>
      <c r="X19" s="40" t="s">
        <v>174</v>
      </c>
      <c r="Y19" s="2" t="str">
        <f t="shared" si="1"/>
        <v>PEBK1031B00</v>
      </c>
    </row>
    <row r="20" spans="1:25" ht="18" customHeight="1" x14ac:dyDescent="0.15">
      <c r="A20" s="36" t="s">
        <v>157</v>
      </c>
      <c r="B20" s="38" t="s">
        <v>64</v>
      </c>
      <c r="C20" s="38" t="s">
        <v>86</v>
      </c>
      <c r="D20" s="10">
        <v>3</v>
      </c>
      <c r="E20" s="10">
        <v>24</v>
      </c>
      <c r="F20" s="36">
        <v>360</v>
      </c>
      <c r="G20" s="59"/>
      <c r="H20" s="36">
        <v>87.84</v>
      </c>
      <c r="I20" s="37" t="s">
        <v>192</v>
      </c>
      <c r="J20" s="47">
        <v>0</v>
      </c>
      <c r="K20" s="36"/>
      <c r="L20" s="37" t="str">
        <f>VLOOKUP(B20,'产品型号-编码表'!$B$2:$C$5,2,0)</f>
        <v>P</v>
      </c>
      <c r="M20" s="37" t="str">
        <f>VLOOKUP(C20,'产品型号-编码表'!$B$8:$C$15,2,0)</f>
        <v>E</v>
      </c>
      <c r="N20" s="36" t="str">
        <f>VLOOKUP(IF(F20&gt;960,INT(F20/10/31),IF(F20&gt;96,INT(F20/31),IF(F20=INT(F20),INT(F20/31),INT(F20*10/31)))),'产品型号-编码表'!$E:$F,2,0)</f>
        <v>B</v>
      </c>
      <c r="O20" s="36" t="str">
        <f>VLOOKUP(IF(F20&gt;960,MOD(F20/10,31),IF(F20&gt;96,MOD(F20,31),IF(F20=INT(F20),MOD(F20,31),MOD(F20*10,31)))),'产品型号-编码表'!$E:$F,2,0)</f>
        <v>K</v>
      </c>
      <c r="P20" s="36">
        <f>VLOOKUP(IF(F20&gt;960,10,IF(F20=INT(F20),1,0.1)),'产品型号-编码表'!$E:$F,2,0)</f>
        <v>1</v>
      </c>
      <c r="Q20" s="37">
        <f>VLOOKUP(INT(D20/31),'产品型号-编码表'!$E:$F,2,0)</f>
        <v>0</v>
      </c>
      <c r="R20" s="37">
        <f>VLOOKUP(MOD(D20,31),'产品型号-编码表'!$E:$F,2,0)</f>
        <v>3</v>
      </c>
      <c r="S20" s="37">
        <f>VLOOKUP(INT(E20/31),'产品型号-编码表'!$E:$F,2,0)</f>
        <v>0</v>
      </c>
      <c r="T20" s="37" t="str">
        <f>VLOOKUP(MOD(E20,31),'产品型号-编码表'!$E:$F,2,0)</f>
        <v>R</v>
      </c>
      <c r="U20" s="37">
        <f>VLOOKUP(I20,'产品型号-编码表'!K:L,2,0)</f>
        <v>0</v>
      </c>
      <c r="V20" s="37">
        <f>VLOOKUP(J20,'产品型号-编码表'!$E:$F,2,0)</f>
        <v>0</v>
      </c>
      <c r="W20" s="39" t="s">
        <v>158</v>
      </c>
      <c r="X20" s="40" t="s">
        <v>175</v>
      </c>
      <c r="Y20" s="2" t="str">
        <f t="shared" si="1"/>
        <v>PEBK1030R00</v>
      </c>
    </row>
  </sheetData>
  <phoneticPr fontId="1" type="noConversion"/>
  <dataValidations count="2">
    <dataValidation type="list" allowBlank="1" showInputMessage="1" showErrorMessage="1" sqref="B2:B20">
      <formula1>"电池模块,电池包,电池系统,单体电池"</formula1>
    </dataValidation>
    <dataValidation type="list" allowBlank="1" showInputMessage="1" showErrorMessage="1" sqref="C2:C20">
      <formula1>"三元,磷酸铁锂,锰酸锂,钴酸锂,钛酸锂,其他"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'产品型号-编码表'!$K$2:$K$33</xm:f>
          </x14:formula1>
          <xm:sqref>I1:I12 I21:I1048576</xm:sqref>
        </x14:dataValidation>
        <x14:dataValidation type="list" allowBlank="1" showInputMessage="1" showErrorMessage="1">
          <x14:formula1>
            <xm:f>'产品型号-编码表'!$N$2:$N$33</xm:f>
          </x14:formula1>
          <xm:sqref>I13:I20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showGridLines="0" workbookViewId="0">
      <selection activeCell="K2" sqref="K2"/>
    </sheetView>
  </sheetViews>
  <sheetFormatPr defaultRowHeight="12" x14ac:dyDescent="0.15"/>
  <cols>
    <col min="1" max="1" width="1.25" style="17" customWidth="1"/>
    <col min="2" max="2" width="9.625" style="5" bestFit="1" customWidth="1"/>
    <col min="3" max="3" width="4.5" style="5" customWidth="1"/>
    <col min="4" max="4" width="5.125" style="7" customWidth="1"/>
    <col min="5" max="5" width="8.125" style="5" bestFit="1" customWidth="1"/>
    <col min="6" max="6" width="5.625" style="5" customWidth="1"/>
    <col min="7" max="7" width="4.5" style="5" customWidth="1"/>
    <col min="8" max="8" width="4.75" style="5" bestFit="1" customWidth="1"/>
    <col min="9" max="9" width="3.125" style="7" customWidth="1"/>
    <col min="10" max="10" width="9" style="5"/>
    <col min="11" max="11" width="15.75" style="45" customWidth="1"/>
    <col min="12" max="12" width="9" style="46"/>
    <col min="13" max="13" width="9" style="5"/>
    <col min="14" max="14" width="13.875" style="5" customWidth="1"/>
    <col min="15" max="15" width="9" style="46"/>
    <col min="16" max="16384" width="9" style="5"/>
  </cols>
  <sheetData>
    <row r="1" spans="1:15" ht="18" customHeight="1" x14ac:dyDescent="0.15">
      <c r="A1" s="24"/>
      <c r="B1" s="37" t="s">
        <v>61</v>
      </c>
      <c r="C1" s="37" t="s">
        <v>29</v>
      </c>
      <c r="E1" s="36" t="s">
        <v>107</v>
      </c>
      <c r="F1" s="36" t="s">
        <v>0</v>
      </c>
      <c r="G1" s="36" t="s">
        <v>34</v>
      </c>
      <c r="H1" s="36" t="s">
        <v>29</v>
      </c>
      <c r="K1" s="37" t="s">
        <v>206</v>
      </c>
      <c r="L1" s="37" t="s">
        <v>196</v>
      </c>
      <c r="N1" s="37" t="s">
        <v>207</v>
      </c>
      <c r="O1" s="37" t="s">
        <v>209</v>
      </c>
    </row>
    <row r="2" spans="1:15" ht="18" customHeight="1" x14ac:dyDescent="0.15">
      <c r="A2" s="24"/>
      <c r="B2" s="37" t="s">
        <v>62</v>
      </c>
      <c r="C2" s="37" t="s">
        <v>19</v>
      </c>
      <c r="E2" s="36">
        <v>0</v>
      </c>
      <c r="F2" s="36">
        <v>0</v>
      </c>
      <c r="G2" s="8">
        <v>0.1</v>
      </c>
      <c r="H2" s="36" t="s">
        <v>30</v>
      </c>
      <c r="K2" s="37" t="s">
        <v>213</v>
      </c>
      <c r="L2" s="37">
        <v>0</v>
      </c>
      <c r="N2" s="37" t="s">
        <v>193</v>
      </c>
      <c r="O2" s="37">
        <v>0</v>
      </c>
    </row>
    <row r="3" spans="1:15" ht="18" customHeight="1" x14ac:dyDescent="0.15">
      <c r="A3" s="25"/>
      <c r="B3" s="15" t="s">
        <v>65</v>
      </c>
      <c r="C3" s="15" t="s">
        <v>66</v>
      </c>
      <c r="E3" s="36">
        <v>1</v>
      </c>
      <c r="F3" s="36">
        <v>1</v>
      </c>
      <c r="G3" s="9">
        <v>1</v>
      </c>
      <c r="H3" s="36" t="s">
        <v>2</v>
      </c>
      <c r="K3" s="37" t="s">
        <v>197</v>
      </c>
      <c r="L3" s="37">
        <v>1</v>
      </c>
      <c r="N3" s="37" t="s">
        <v>208</v>
      </c>
      <c r="O3" s="37">
        <v>1</v>
      </c>
    </row>
    <row r="4" spans="1:15" ht="18" customHeight="1" x14ac:dyDescent="0.15">
      <c r="A4" s="25"/>
      <c r="B4" s="15" t="s">
        <v>67</v>
      </c>
      <c r="C4" s="15" t="s">
        <v>68</v>
      </c>
      <c r="E4" s="36">
        <v>2</v>
      </c>
      <c r="F4" s="36">
        <v>2</v>
      </c>
      <c r="G4" s="36">
        <v>10</v>
      </c>
      <c r="H4" s="10" t="s">
        <v>3</v>
      </c>
      <c r="K4" s="37" t="s">
        <v>198</v>
      </c>
      <c r="L4" s="37">
        <v>2</v>
      </c>
      <c r="N4" s="37" t="s">
        <v>210</v>
      </c>
      <c r="O4" s="37">
        <v>2</v>
      </c>
    </row>
    <row r="5" spans="1:15" ht="18" customHeight="1" x14ac:dyDescent="0.15">
      <c r="A5" s="25"/>
      <c r="B5" s="15" t="s">
        <v>69</v>
      </c>
      <c r="C5" s="15" t="s">
        <v>71</v>
      </c>
      <c r="E5" s="36">
        <v>3</v>
      </c>
      <c r="F5" s="36">
        <v>3</v>
      </c>
      <c r="K5" s="37" t="s">
        <v>199</v>
      </c>
      <c r="L5" s="37">
        <v>3</v>
      </c>
      <c r="N5" s="37" t="s">
        <v>211</v>
      </c>
      <c r="O5" s="37">
        <v>3</v>
      </c>
    </row>
    <row r="6" spans="1:15" ht="18" customHeight="1" x14ac:dyDescent="0.15">
      <c r="B6" s="22"/>
      <c r="E6" s="36">
        <v>4</v>
      </c>
      <c r="F6" s="36">
        <v>4</v>
      </c>
      <c r="K6" s="37" t="s">
        <v>200</v>
      </c>
      <c r="L6" s="37">
        <v>4</v>
      </c>
      <c r="N6" s="37" t="s">
        <v>212</v>
      </c>
      <c r="O6" s="37">
        <v>4</v>
      </c>
    </row>
    <row r="7" spans="1:15" ht="18" customHeight="1" x14ac:dyDescent="0.15">
      <c r="B7" s="37" t="s">
        <v>106</v>
      </c>
      <c r="C7" s="37" t="s">
        <v>29</v>
      </c>
      <c r="E7" s="36">
        <v>5</v>
      </c>
      <c r="F7" s="36">
        <v>5</v>
      </c>
      <c r="K7" s="37" t="s">
        <v>201</v>
      </c>
      <c r="L7" s="37">
        <v>5</v>
      </c>
      <c r="O7" s="37">
        <v>5</v>
      </c>
    </row>
    <row r="8" spans="1:15" ht="18" customHeight="1" x14ac:dyDescent="0.15">
      <c r="B8" s="26" t="s">
        <v>79</v>
      </c>
      <c r="C8" s="26" t="s">
        <v>78</v>
      </c>
      <c r="E8" s="36">
        <v>6</v>
      </c>
      <c r="F8" s="36">
        <v>6</v>
      </c>
      <c r="K8" s="37" t="s">
        <v>194</v>
      </c>
      <c r="L8" s="37">
        <v>6</v>
      </c>
      <c r="O8" s="37">
        <v>6</v>
      </c>
    </row>
    <row r="9" spans="1:15" ht="18" customHeight="1" x14ac:dyDescent="0.15">
      <c r="B9" s="26" t="s">
        <v>81</v>
      </c>
      <c r="C9" s="26" t="s">
        <v>80</v>
      </c>
      <c r="E9" s="36">
        <v>7</v>
      </c>
      <c r="F9" s="36">
        <v>7</v>
      </c>
      <c r="K9" s="37" t="s">
        <v>195</v>
      </c>
      <c r="L9" s="37">
        <v>7</v>
      </c>
      <c r="O9" s="37">
        <v>7</v>
      </c>
    </row>
    <row r="10" spans="1:15" ht="18" customHeight="1" x14ac:dyDescent="0.15">
      <c r="B10" s="26" t="s">
        <v>82</v>
      </c>
      <c r="C10" s="26" t="s">
        <v>70</v>
      </c>
      <c r="E10" s="36">
        <v>8</v>
      </c>
      <c r="F10" s="36">
        <v>8</v>
      </c>
      <c r="K10" s="37" t="s">
        <v>202</v>
      </c>
      <c r="L10" s="37">
        <v>8</v>
      </c>
      <c r="O10" s="37">
        <v>8</v>
      </c>
    </row>
    <row r="11" spans="1:15" ht="18" customHeight="1" x14ac:dyDescent="0.15">
      <c r="B11" s="26" t="s">
        <v>84</v>
      </c>
      <c r="C11" s="26" t="s">
        <v>83</v>
      </c>
      <c r="E11" s="36">
        <v>9</v>
      </c>
      <c r="F11" s="36">
        <v>9</v>
      </c>
      <c r="K11" s="37"/>
      <c r="L11" s="37">
        <v>9</v>
      </c>
      <c r="O11" s="37">
        <v>9</v>
      </c>
    </row>
    <row r="12" spans="1:15" ht="18" customHeight="1" x14ac:dyDescent="0.15">
      <c r="B12" s="26" t="s">
        <v>86</v>
      </c>
      <c r="C12" s="26" t="s">
        <v>85</v>
      </c>
      <c r="E12" s="36">
        <v>10</v>
      </c>
      <c r="F12" s="36" t="s">
        <v>1</v>
      </c>
      <c r="K12" s="37"/>
      <c r="L12" s="36" t="s">
        <v>1</v>
      </c>
      <c r="O12" s="36" t="s">
        <v>1</v>
      </c>
    </row>
    <row r="13" spans="1:15" ht="18" customHeight="1" x14ac:dyDescent="0.15">
      <c r="B13" s="26" t="s">
        <v>88</v>
      </c>
      <c r="C13" s="26" t="s">
        <v>87</v>
      </c>
      <c r="E13" s="36">
        <v>11</v>
      </c>
      <c r="F13" s="36" t="s">
        <v>2</v>
      </c>
      <c r="K13" s="37"/>
      <c r="L13" s="36" t="s">
        <v>2</v>
      </c>
      <c r="O13" s="36" t="s">
        <v>2</v>
      </c>
    </row>
    <row r="14" spans="1:15" ht="18" customHeight="1" x14ac:dyDescent="0.15">
      <c r="B14" s="26" t="s">
        <v>90</v>
      </c>
      <c r="C14" s="26" t="s">
        <v>89</v>
      </c>
      <c r="E14" s="36">
        <v>12</v>
      </c>
      <c r="F14" s="36" t="s">
        <v>3</v>
      </c>
      <c r="K14" s="37"/>
      <c r="L14" s="36" t="s">
        <v>3</v>
      </c>
      <c r="O14" s="36" t="s">
        <v>3</v>
      </c>
    </row>
    <row r="15" spans="1:15" ht="18" customHeight="1" x14ac:dyDescent="0.15">
      <c r="B15" s="26" t="s">
        <v>92</v>
      </c>
      <c r="C15" s="26" t="s">
        <v>91</v>
      </c>
      <c r="E15" s="36">
        <v>13</v>
      </c>
      <c r="F15" s="36" t="s">
        <v>4</v>
      </c>
      <c r="K15" s="37"/>
      <c r="L15" s="36" t="s">
        <v>4</v>
      </c>
      <c r="O15" s="36" t="s">
        <v>4</v>
      </c>
    </row>
    <row r="16" spans="1:15" ht="18" customHeight="1" x14ac:dyDescent="0.15">
      <c r="E16" s="36">
        <v>14</v>
      </c>
      <c r="F16" s="36" t="s">
        <v>5</v>
      </c>
      <c r="K16" s="37"/>
      <c r="L16" s="36" t="s">
        <v>5</v>
      </c>
      <c r="O16" s="36" t="s">
        <v>5</v>
      </c>
    </row>
    <row r="17" spans="5:15" ht="18" customHeight="1" x14ac:dyDescent="0.15">
      <c r="E17" s="36">
        <v>15</v>
      </c>
      <c r="F17" s="36" t="s">
        <v>6</v>
      </c>
      <c r="K17" s="37"/>
      <c r="L17" s="36" t="s">
        <v>6</v>
      </c>
      <c r="O17" s="36" t="s">
        <v>6</v>
      </c>
    </row>
    <row r="18" spans="5:15" ht="18" customHeight="1" x14ac:dyDescent="0.15">
      <c r="E18" s="36">
        <v>16</v>
      </c>
      <c r="F18" s="36" t="s">
        <v>7</v>
      </c>
      <c r="K18" s="37"/>
      <c r="L18" s="36" t="s">
        <v>7</v>
      </c>
      <c r="O18" s="36" t="s">
        <v>7</v>
      </c>
    </row>
    <row r="19" spans="5:15" ht="18" customHeight="1" x14ac:dyDescent="0.15">
      <c r="E19" s="36">
        <v>17</v>
      </c>
      <c r="F19" s="36" t="s">
        <v>8</v>
      </c>
      <c r="K19" s="37"/>
      <c r="L19" s="36" t="s">
        <v>8</v>
      </c>
      <c r="O19" s="36" t="s">
        <v>8</v>
      </c>
    </row>
    <row r="20" spans="5:15" ht="18" customHeight="1" x14ac:dyDescent="0.15">
      <c r="E20" s="36" t="s">
        <v>27</v>
      </c>
      <c r="F20" s="13" t="s">
        <v>9</v>
      </c>
      <c r="K20" s="37"/>
      <c r="L20" s="36" t="s">
        <v>10</v>
      </c>
      <c r="O20" s="36" t="s">
        <v>10</v>
      </c>
    </row>
    <row r="21" spans="5:15" ht="18" customHeight="1" x14ac:dyDescent="0.15">
      <c r="E21" s="36">
        <v>18</v>
      </c>
      <c r="F21" s="36" t="s">
        <v>10</v>
      </c>
      <c r="K21" s="37"/>
      <c r="L21" s="36" t="s">
        <v>11</v>
      </c>
      <c r="O21" s="36" t="s">
        <v>11</v>
      </c>
    </row>
    <row r="22" spans="5:15" ht="18" customHeight="1" x14ac:dyDescent="0.15">
      <c r="E22" s="36">
        <v>19</v>
      </c>
      <c r="F22" s="36" t="s">
        <v>11</v>
      </c>
      <c r="K22" s="37"/>
      <c r="L22" s="36" t="s">
        <v>12</v>
      </c>
      <c r="O22" s="36" t="s">
        <v>12</v>
      </c>
    </row>
    <row r="23" spans="5:15" ht="18" customHeight="1" x14ac:dyDescent="0.15">
      <c r="E23" s="36">
        <v>20</v>
      </c>
      <c r="F23" s="36" t="s">
        <v>12</v>
      </c>
      <c r="K23" s="37"/>
      <c r="L23" s="36" t="s">
        <v>13</v>
      </c>
      <c r="O23" s="36" t="s">
        <v>13</v>
      </c>
    </row>
    <row r="24" spans="5:15" ht="18" customHeight="1" x14ac:dyDescent="0.15">
      <c r="E24" s="36">
        <v>21</v>
      </c>
      <c r="F24" s="36" t="s">
        <v>13</v>
      </c>
      <c r="K24" s="37"/>
      <c r="L24" s="36" t="s">
        <v>14</v>
      </c>
      <c r="O24" s="36" t="s">
        <v>14</v>
      </c>
    </row>
    <row r="25" spans="5:15" ht="18" customHeight="1" x14ac:dyDescent="0.15">
      <c r="E25" s="36">
        <v>22</v>
      </c>
      <c r="F25" s="36" t="s">
        <v>14</v>
      </c>
      <c r="K25" s="37"/>
      <c r="L25" s="36" t="s">
        <v>16</v>
      </c>
      <c r="O25" s="36" t="s">
        <v>16</v>
      </c>
    </row>
    <row r="26" spans="5:15" ht="18" customHeight="1" x14ac:dyDescent="0.15">
      <c r="E26" s="36" t="s">
        <v>27</v>
      </c>
      <c r="F26" s="13" t="s">
        <v>15</v>
      </c>
      <c r="K26" s="37"/>
      <c r="L26" s="36" t="s">
        <v>18</v>
      </c>
      <c r="O26" s="36" t="s">
        <v>18</v>
      </c>
    </row>
    <row r="27" spans="5:15" ht="18" customHeight="1" x14ac:dyDescent="0.15">
      <c r="E27" s="36">
        <v>23</v>
      </c>
      <c r="F27" s="36" t="s">
        <v>16</v>
      </c>
      <c r="K27" s="37"/>
      <c r="L27" s="36" t="s">
        <v>19</v>
      </c>
      <c r="O27" s="36" t="s">
        <v>19</v>
      </c>
    </row>
    <row r="28" spans="5:15" ht="18" customHeight="1" x14ac:dyDescent="0.15">
      <c r="E28" s="36" t="s">
        <v>27</v>
      </c>
      <c r="F28" s="13" t="s">
        <v>17</v>
      </c>
      <c r="K28" s="37"/>
      <c r="L28" s="36" t="s">
        <v>20</v>
      </c>
      <c r="O28" s="36" t="s">
        <v>20</v>
      </c>
    </row>
    <row r="29" spans="5:15" ht="18" customHeight="1" x14ac:dyDescent="0.15">
      <c r="E29" s="36">
        <v>24</v>
      </c>
      <c r="F29" s="36" t="s">
        <v>18</v>
      </c>
      <c r="K29" s="37"/>
      <c r="L29" s="36" t="s">
        <v>22</v>
      </c>
      <c r="O29" s="36" t="s">
        <v>22</v>
      </c>
    </row>
    <row r="30" spans="5:15" ht="18" customHeight="1" x14ac:dyDescent="0.15">
      <c r="E30" s="36">
        <v>25</v>
      </c>
      <c r="F30" s="36" t="s">
        <v>19</v>
      </c>
      <c r="K30" s="37"/>
      <c r="L30" s="36" t="s">
        <v>23</v>
      </c>
      <c r="O30" s="36" t="s">
        <v>23</v>
      </c>
    </row>
    <row r="31" spans="5:15" ht="18" customHeight="1" x14ac:dyDescent="0.15">
      <c r="E31" s="36">
        <v>26</v>
      </c>
      <c r="F31" s="36" t="s">
        <v>20</v>
      </c>
      <c r="K31" s="37"/>
      <c r="L31" s="36" t="s">
        <v>24</v>
      </c>
      <c r="O31" s="36" t="s">
        <v>24</v>
      </c>
    </row>
    <row r="32" spans="5:15" ht="18" customHeight="1" x14ac:dyDescent="0.15">
      <c r="E32" s="36" t="s">
        <v>27</v>
      </c>
      <c r="F32" s="13" t="s">
        <v>21</v>
      </c>
      <c r="K32" s="37"/>
      <c r="L32" s="36" t="s">
        <v>25</v>
      </c>
      <c r="O32" s="36" t="s">
        <v>25</v>
      </c>
    </row>
    <row r="33" spans="5:6" ht="18" customHeight="1" x14ac:dyDescent="0.15">
      <c r="E33" s="36">
        <v>27</v>
      </c>
      <c r="F33" s="36" t="s">
        <v>22</v>
      </c>
    </row>
    <row r="34" spans="5:6" ht="18" customHeight="1" x14ac:dyDescent="0.15">
      <c r="E34" s="36">
        <v>28</v>
      </c>
      <c r="F34" s="36" t="s">
        <v>23</v>
      </c>
    </row>
    <row r="35" spans="5:6" ht="18" customHeight="1" x14ac:dyDescent="0.15">
      <c r="E35" s="36">
        <v>29</v>
      </c>
      <c r="F35" s="36" t="s">
        <v>24</v>
      </c>
    </row>
    <row r="36" spans="5:6" ht="18" customHeight="1" x14ac:dyDescent="0.15">
      <c r="E36" s="36">
        <v>30</v>
      </c>
      <c r="F36" s="36" t="s">
        <v>25</v>
      </c>
    </row>
    <row r="37" spans="5:6" ht="18" customHeight="1" x14ac:dyDescent="0.15">
      <c r="E37" s="36" t="s">
        <v>27</v>
      </c>
      <c r="F37" s="13" t="s">
        <v>26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追溯信息输入</vt:lpstr>
      <vt:lpstr>追溯信息-编码表</vt:lpstr>
      <vt:lpstr>产品型号输入</vt:lpstr>
      <vt:lpstr>产品型号-编码表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2018-04-08T01:55:25Z</dcterms:modified>
</cp:coreProperties>
</file>