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andbox\usdutygear\"/>
    </mc:Choice>
  </mc:AlternateContent>
  <bookViews>
    <workbookView xWindow="0" yWindow="0" windowWidth="23295" windowHeight="8820"/>
  </bookViews>
  <sheets>
    <sheet name="product_prices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</calcChain>
</file>

<file path=xl/sharedStrings.xml><?xml version="1.0" encoding="utf-8"?>
<sst xmlns="http://schemas.openxmlformats.org/spreadsheetml/2006/main" count="7957" uniqueCount="52">
  <si>
    <t>category</t>
  </si>
  <si>
    <t>name</t>
  </si>
  <si>
    <t>model</t>
  </si>
  <si>
    <t>finish</t>
  </si>
  <si>
    <t>snap</t>
  </si>
  <si>
    <t>buckle</t>
  </si>
  <si>
    <t>innerLiner</t>
  </si>
  <si>
    <t>size</t>
  </si>
  <si>
    <t>package</t>
  </si>
  <si>
    <t>base_price</t>
  </si>
  <si>
    <t>finish_charge</t>
  </si>
  <si>
    <t>snap_charge</t>
  </si>
  <si>
    <t>buckle_charge</t>
  </si>
  <si>
    <t>innerLiner_charge</t>
  </si>
  <si>
    <t>size_charge</t>
  </si>
  <si>
    <t>package_charge</t>
  </si>
  <si>
    <t>total_price</t>
  </si>
  <si>
    <t>Belt Keepers</t>
  </si>
  <si>
    <t>Belt Keeper</t>
  </si>
  <si>
    <t>Leather</t>
  </si>
  <si>
    <t>Black</t>
  </si>
  <si>
    <t>4 Pack</t>
  </si>
  <si>
    <t>Brass</t>
  </si>
  <si>
    <t>Chrome</t>
  </si>
  <si>
    <t>Hidden</t>
  </si>
  <si>
    <t>Basketweave</t>
  </si>
  <si>
    <t>High Gloss</t>
  </si>
  <si>
    <t>Nylon Look</t>
  </si>
  <si>
    <t>Belt Keeper Baton Ring</t>
  </si>
  <si>
    <t>Belt Keeper Heavy Duty Ring</t>
  </si>
  <si>
    <t>Belt Keeper Key Ring</t>
  </si>
  <si>
    <t>Belts</t>
  </si>
  <si>
    <t>1" Buckle Belt</t>
  </si>
  <si>
    <t>1" Reversible Velcro Belt</t>
  </si>
  <si>
    <t>1.5" Nylon Belt</t>
  </si>
  <si>
    <t>2" Nylon Belt</t>
  </si>
  <si>
    <t>Dress Belt</t>
  </si>
  <si>
    <t>Nylon</t>
  </si>
  <si>
    <t>Dress Belt with Line</t>
  </si>
  <si>
    <t>Reversible Velcro Duty Belt</t>
  </si>
  <si>
    <t>Sam Browne Belt</t>
  </si>
  <si>
    <t>Cow Hide</t>
  </si>
  <si>
    <t>Suede</t>
  </si>
  <si>
    <t>Velcro</t>
  </si>
  <si>
    <t>Pouches</t>
  </si>
  <si>
    <t>Double Magazine Pouch</t>
  </si>
  <si>
    <t>Gloc</t>
  </si>
  <si>
    <t>9mm</t>
  </si>
  <si>
    <t>Colt</t>
  </si>
  <si>
    <t>Boltron</t>
  </si>
  <si>
    <t>Glove Pouch</t>
  </si>
  <si>
    <t>Handcuff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</si>
</sst>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4" fontId="18" fillId="0" borderId="0" xfId="0" applyNumberFormat="1" applyFont="1"/>
    <xf numFmtId="0" fontId="4" fillId="0" borderId="2" xfId="3"/>
    <xf numFmtId="164" fontId="4" fillId="0" borderId="2" xfId="3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65"/>
  <sheetViews>
    <sheetView tabSelected="1" topLeftCell="B1" workbookViewId="0">
      <pane ySplit="1" topLeftCell="A2" activePane="bottomLeft" state="frozen"/>
      <selection pane="bottomLeft" activeCell="O10" sqref="O10"/>
    </sheetView>
  </sheetViews>
  <sheetFormatPr defaultRowHeight="15.75" x14ac:dyDescent="0.25"/>
  <cols>
    <col min="1" max="1" width="12.28515625" bestFit="1" customWidth="1"/>
    <col min="2" max="2" width="26.7109375" bestFit="1" customWidth="1"/>
    <col min="3" max="3" width="15" bestFit="1" customWidth="1"/>
    <col min="4" max="4" width="12.7109375" bestFit="1" customWidth="1"/>
    <col min="5" max="6" width="8" bestFit="1" customWidth="1"/>
    <col min="7" max="7" width="11.5703125" bestFit="1" customWidth="1"/>
    <col min="8" max="8" width="5.42578125" bestFit="1" customWidth="1"/>
    <col min="10" max="10" width="12.140625" style="1" bestFit="1" customWidth="1"/>
    <col min="11" max="11" width="14.7109375" style="1" bestFit="1" customWidth="1"/>
    <col min="12" max="12" width="14" style="1" bestFit="1" customWidth="1"/>
    <col min="13" max="13" width="15.85546875" style="1" bestFit="1" customWidth="1"/>
    <col min="14" max="14" width="19.7109375" style="1" bestFit="1" customWidth="1"/>
    <col min="15" max="15" width="13" style="1" bestFit="1" customWidth="1"/>
    <col min="16" max="16" width="17.5703125" style="1" bestFit="1" customWidth="1"/>
    <col min="17" max="17" width="12.140625" style="2" bestFit="1" customWidth="1"/>
  </cols>
  <sheetData>
    <row r="1" spans="1:17" s="3" customFormat="1" ht="18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ht="16.5" thickTop="1" x14ac:dyDescent="0.25">
      <c r="A2" t="s">
        <v>17</v>
      </c>
      <c r="B2" t="s">
        <v>18</v>
      </c>
      <c r="C2" t="str">
        <f>"66-1-BL-4P"</f>
        <v>66-1-BL-4P</v>
      </c>
      <c r="D2" t="s">
        <v>19</v>
      </c>
      <c r="E2" t="s">
        <v>20</v>
      </c>
      <c r="I2" t="s">
        <v>21</v>
      </c>
      <c r="J2" s="1">
        <v>4</v>
      </c>
      <c r="K2" s="1">
        <v>0</v>
      </c>
      <c r="L2" s="1">
        <v>0</v>
      </c>
      <c r="P2" s="1">
        <v>14.5</v>
      </c>
      <c r="Q2" s="2">
        <v>14.5</v>
      </c>
    </row>
    <row r="3" spans="1:17" x14ac:dyDescent="0.25">
      <c r="A3" t="s">
        <v>17</v>
      </c>
      <c r="B3" t="s">
        <v>18</v>
      </c>
      <c r="C3" t="str">
        <f>"66-1-BL"</f>
        <v>66-1-BL</v>
      </c>
      <c r="D3" t="s">
        <v>19</v>
      </c>
      <c r="E3" t="s">
        <v>20</v>
      </c>
      <c r="J3" s="1">
        <v>4</v>
      </c>
      <c r="K3" s="1">
        <v>0</v>
      </c>
      <c r="L3" s="1">
        <v>0</v>
      </c>
      <c r="Q3" s="2">
        <v>4</v>
      </c>
    </row>
    <row r="4" spans="1:17" x14ac:dyDescent="0.25">
      <c r="A4" t="s">
        <v>17</v>
      </c>
      <c r="B4" t="s">
        <v>18</v>
      </c>
      <c r="C4" t="str">
        <f>"66-1-BR-4P"</f>
        <v>66-1-BR-4P</v>
      </c>
      <c r="D4" t="s">
        <v>19</v>
      </c>
      <c r="E4" t="s">
        <v>22</v>
      </c>
      <c r="I4" t="s">
        <v>21</v>
      </c>
      <c r="J4" s="1">
        <v>4</v>
      </c>
      <c r="K4" s="1">
        <v>0</v>
      </c>
      <c r="L4" s="1">
        <v>0</v>
      </c>
      <c r="P4" s="1">
        <v>14.5</v>
      </c>
      <c r="Q4" s="2">
        <v>14.5</v>
      </c>
    </row>
    <row r="5" spans="1:17" x14ac:dyDescent="0.25">
      <c r="A5" t="s">
        <v>17</v>
      </c>
      <c r="B5" t="s">
        <v>18</v>
      </c>
      <c r="C5" t="str">
        <f>"66-1-BR"</f>
        <v>66-1-BR</v>
      </c>
      <c r="D5" t="s">
        <v>19</v>
      </c>
      <c r="E5" t="s">
        <v>22</v>
      </c>
      <c r="J5" s="1">
        <v>4</v>
      </c>
      <c r="K5" s="1">
        <v>0</v>
      </c>
      <c r="L5" s="1">
        <v>0</v>
      </c>
      <c r="Q5" s="2">
        <v>4</v>
      </c>
    </row>
    <row r="6" spans="1:17" x14ac:dyDescent="0.25">
      <c r="A6" t="s">
        <v>17</v>
      </c>
      <c r="B6" t="s">
        <v>18</v>
      </c>
      <c r="C6" t="str">
        <f>"66-1-CH"</f>
        <v>66-1-CH</v>
      </c>
      <c r="D6" t="s">
        <v>19</v>
      </c>
      <c r="E6" t="s">
        <v>23</v>
      </c>
      <c r="J6" s="1">
        <v>4</v>
      </c>
      <c r="K6" s="1">
        <v>0</v>
      </c>
      <c r="L6" s="1">
        <v>0</v>
      </c>
      <c r="Q6" s="2">
        <v>4</v>
      </c>
    </row>
    <row r="7" spans="1:17" x14ac:dyDescent="0.25">
      <c r="A7" t="s">
        <v>17</v>
      </c>
      <c r="B7" t="s">
        <v>18</v>
      </c>
      <c r="C7" t="str">
        <f>"66-1-CH-4P"</f>
        <v>66-1-CH-4P</v>
      </c>
      <c r="D7" t="s">
        <v>19</v>
      </c>
      <c r="E7" t="s">
        <v>23</v>
      </c>
      <c r="I7" t="s">
        <v>21</v>
      </c>
      <c r="J7" s="1">
        <v>4</v>
      </c>
      <c r="K7" s="1">
        <v>0</v>
      </c>
      <c r="L7" s="1">
        <v>0</v>
      </c>
      <c r="P7" s="1">
        <v>14.5</v>
      </c>
      <c r="Q7" s="2">
        <v>14.5</v>
      </c>
    </row>
    <row r="8" spans="1:17" x14ac:dyDescent="0.25">
      <c r="A8" t="s">
        <v>17</v>
      </c>
      <c r="B8" t="s">
        <v>18</v>
      </c>
      <c r="C8" t="str">
        <f>"66-1-HS"</f>
        <v>66-1-HS</v>
      </c>
      <c r="D8" t="s">
        <v>19</v>
      </c>
      <c r="E8" t="s">
        <v>24</v>
      </c>
      <c r="J8" s="1">
        <v>4</v>
      </c>
      <c r="K8" s="1">
        <v>0</v>
      </c>
      <c r="L8" s="1">
        <v>5.35</v>
      </c>
      <c r="Q8" s="2">
        <v>9.35</v>
      </c>
    </row>
    <row r="9" spans="1:17" x14ac:dyDescent="0.25">
      <c r="A9" t="s">
        <v>17</v>
      </c>
      <c r="B9" t="s">
        <v>18</v>
      </c>
      <c r="C9" t="str">
        <f>"66-1-HS-4P"</f>
        <v>66-1-HS-4P</v>
      </c>
      <c r="D9" t="s">
        <v>19</v>
      </c>
      <c r="E9" t="s">
        <v>24</v>
      </c>
      <c r="I9" t="s">
        <v>21</v>
      </c>
      <c r="J9" s="1">
        <v>4</v>
      </c>
      <c r="K9" s="1">
        <v>0</v>
      </c>
      <c r="L9" s="1">
        <v>5.35</v>
      </c>
      <c r="P9" s="1">
        <v>21.25</v>
      </c>
      <c r="Q9" s="2">
        <v>21.25</v>
      </c>
    </row>
    <row r="10" spans="1:17" x14ac:dyDescent="0.25">
      <c r="A10" t="s">
        <v>17</v>
      </c>
      <c r="B10" t="s">
        <v>18</v>
      </c>
      <c r="C10" t="str">
        <f>"66-2-BL-4P"</f>
        <v>66-2-BL-4P</v>
      </c>
      <c r="D10" t="s">
        <v>25</v>
      </c>
      <c r="E10" t="s">
        <v>20</v>
      </c>
      <c r="I10" t="s">
        <v>21</v>
      </c>
      <c r="J10" s="1">
        <v>4</v>
      </c>
      <c r="K10" s="1">
        <v>0</v>
      </c>
      <c r="L10" s="1">
        <v>0</v>
      </c>
      <c r="P10" s="1">
        <v>14.5</v>
      </c>
      <c r="Q10" s="2">
        <v>14.5</v>
      </c>
    </row>
    <row r="11" spans="1:17" x14ac:dyDescent="0.25">
      <c r="A11" t="s">
        <v>17</v>
      </c>
      <c r="B11" t="s">
        <v>18</v>
      </c>
      <c r="C11" t="str">
        <f>"66-2-BL"</f>
        <v>66-2-BL</v>
      </c>
      <c r="D11" t="s">
        <v>25</v>
      </c>
      <c r="E11" t="s">
        <v>20</v>
      </c>
      <c r="J11" s="1">
        <v>4</v>
      </c>
      <c r="K11" s="1">
        <v>0</v>
      </c>
      <c r="L11" s="1">
        <v>0</v>
      </c>
      <c r="Q11" s="2">
        <v>4</v>
      </c>
    </row>
    <row r="12" spans="1:17" x14ac:dyDescent="0.25">
      <c r="A12" t="s">
        <v>17</v>
      </c>
      <c r="B12" t="s">
        <v>18</v>
      </c>
      <c r="C12" t="str">
        <f>"66-2-BR-4P"</f>
        <v>66-2-BR-4P</v>
      </c>
      <c r="D12" t="s">
        <v>25</v>
      </c>
      <c r="E12" t="s">
        <v>22</v>
      </c>
      <c r="I12" t="s">
        <v>21</v>
      </c>
      <c r="J12" s="1">
        <v>4</v>
      </c>
      <c r="K12" s="1">
        <v>0</v>
      </c>
      <c r="L12" s="1">
        <v>0</v>
      </c>
      <c r="P12" s="1">
        <v>14.5</v>
      </c>
      <c r="Q12" s="2">
        <v>14.5</v>
      </c>
    </row>
    <row r="13" spans="1:17" x14ac:dyDescent="0.25">
      <c r="A13" t="s">
        <v>17</v>
      </c>
      <c r="B13" t="s">
        <v>18</v>
      </c>
      <c r="C13" t="str">
        <f>"66-2-BR"</f>
        <v>66-2-BR</v>
      </c>
      <c r="D13" t="s">
        <v>25</v>
      </c>
      <c r="E13" t="s">
        <v>22</v>
      </c>
      <c r="J13" s="1">
        <v>4</v>
      </c>
      <c r="K13" s="1">
        <v>0</v>
      </c>
      <c r="L13" s="1">
        <v>0</v>
      </c>
      <c r="Q13" s="2">
        <v>4</v>
      </c>
    </row>
    <row r="14" spans="1:17" x14ac:dyDescent="0.25">
      <c r="A14" t="s">
        <v>17</v>
      </c>
      <c r="B14" t="s">
        <v>18</v>
      </c>
      <c r="C14" t="str">
        <f>"66-2-CH"</f>
        <v>66-2-CH</v>
      </c>
      <c r="D14" t="s">
        <v>25</v>
      </c>
      <c r="E14" t="s">
        <v>23</v>
      </c>
      <c r="J14" s="1">
        <v>4</v>
      </c>
      <c r="K14" s="1">
        <v>0</v>
      </c>
      <c r="L14" s="1">
        <v>0</v>
      </c>
      <c r="Q14" s="2">
        <v>4</v>
      </c>
    </row>
    <row r="15" spans="1:17" x14ac:dyDescent="0.25">
      <c r="A15" t="s">
        <v>17</v>
      </c>
      <c r="B15" t="s">
        <v>18</v>
      </c>
      <c r="C15" t="str">
        <f>"66-2-CH-4P"</f>
        <v>66-2-CH-4P</v>
      </c>
      <c r="D15" t="s">
        <v>25</v>
      </c>
      <c r="E15" t="s">
        <v>23</v>
      </c>
      <c r="I15" t="s">
        <v>21</v>
      </c>
      <c r="J15" s="1">
        <v>4</v>
      </c>
      <c r="K15" s="1">
        <v>0</v>
      </c>
      <c r="L15" s="1">
        <v>0</v>
      </c>
      <c r="P15" s="1">
        <v>14.5</v>
      </c>
      <c r="Q15" s="2">
        <v>14.5</v>
      </c>
    </row>
    <row r="16" spans="1:17" x14ac:dyDescent="0.25">
      <c r="A16" t="s">
        <v>17</v>
      </c>
      <c r="B16" t="s">
        <v>18</v>
      </c>
      <c r="C16" t="str">
        <f>"66-2-HS"</f>
        <v>66-2-HS</v>
      </c>
      <c r="D16" t="s">
        <v>25</v>
      </c>
      <c r="E16" t="s">
        <v>24</v>
      </c>
      <c r="J16" s="1">
        <v>4</v>
      </c>
      <c r="K16" s="1">
        <v>0</v>
      </c>
      <c r="L16" s="1">
        <v>5.35</v>
      </c>
      <c r="Q16" s="2">
        <v>9.35</v>
      </c>
    </row>
    <row r="17" spans="1:17" x14ac:dyDescent="0.25">
      <c r="A17" t="s">
        <v>17</v>
      </c>
      <c r="B17" t="s">
        <v>18</v>
      </c>
      <c r="C17" t="str">
        <f>"66-2-HS-4P"</f>
        <v>66-2-HS-4P</v>
      </c>
      <c r="D17" t="s">
        <v>25</v>
      </c>
      <c r="E17" t="s">
        <v>24</v>
      </c>
      <c r="I17" t="s">
        <v>21</v>
      </c>
      <c r="J17" s="1">
        <v>4</v>
      </c>
      <c r="K17" s="1">
        <v>0</v>
      </c>
      <c r="L17" s="1">
        <v>5.35</v>
      </c>
      <c r="P17" s="1">
        <v>21.25</v>
      </c>
      <c r="Q17" s="2">
        <v>21.25</v>
      </c>
    </row>
    <row r="18" spans="1:17" x14ac:dyDescent="0.25">
      <c r="A18" t="s">
        <v>17</v>
      </c>
      <c r="B18" t="s">
        <v>18</v>
      </c>
      <c r="C18" t="str">
        <f>"66-3-BL-4P"</f>
        <v>66-3-BL-4P</v>
      </c>
      <c r="D18" t="s">
        <v>26</v>
      </c>
      <c r="E18" t="s">
        <v>20</v>
      </c>
      <c r="I18" t="s">
        <v>21</v>
      </c>
      <c r="J18" s="1">
        <v>4</v>
      </c>
      <c r="K18" s="1">
        <v>0</v>
      </c>
      <c r="L18" s="1">
        <v>0</v>
      </c>
      <c r="P18" s="1">
        <v>14.5</v>
      </c>
      <c r="Q18" s="2">
        <v>14.5</v>
      </c>
    </row>
    <row r="19" spans="1:17" x14ac:dyDescent="0.25">
      <c r="A19" t="s">
        <v>17</v>
      </c>
      <c r="B19" t="s">
        <v>18</v>
      </c>
      <c r="C19" t="str">
        <f>"66-3-BL"</f>
        <v>66-3-BL</v>
      </c>
      <c r="D19" t="s">
        <v>26</v>
      </c>
      <c r="E19" t="s">
        <v>20</v>
      </c>
      <c r="J19" s="1">
        <v>4</v>
      </c>
      <c r="K19" s="1">
        <v>0</v>
      </c>
      <c r="L19" s="1">
        <v>0</v>
      </c>
      <c r="Q19" s="2">
        <v>4</v>
      </c>
    </row>
    <row r="20" spans="1:17" x14ac:dyDescent="0.25">
      <c r="A20" t="s">
        <v>17</v>
      </c>
      <c r="B20" t="s">
        <v>18</v>
      </c>
      <c r="C20" t="str">
        <f>"66-3-BR-4P"</f>
        <v>66-3-BR-4P</v>
      </c>
      <c r="D20" t="s">
        <v>26</v>
      </c>
      <c r="E20" t="s">
        <v>22</v>
      </c>
      <c r="I20" t="s">
        <v>21</v>
      </c>
      <c r="J20" s="1">
        <v>4</v>
      </c>
      <c r="K20" s="1">
        <v>0</v>
      </c>
      <c r="L20" s="1">
        <v>0</v>
      </c>
      <c r="P20" s="1">
        <v>14.5</v>
      </c>
      <c r="Q20" s="2">
        <v>14.5</v>
      </c>
    </row>
    <row r="21" spans="1:17" x14ac:dyDescent="0.25">
      <c r="A21" t="s">
        <v>17</v>
      </c>
      <c r="B21" t="s">
        <v>18</v>
      </c>
      <c r="C21" t="str">
        <f>"66-3-BR"</f>
        <v>66-3-BR</v>
      </c>
      <c r="D21" t="s">
        <v>26</v>
      </c>
      <c r="E21" t="s">
        <v>22</v>
      </c>
      <c r="J21" s="1">
        <v>4</v>
      </c>
      <c r="K21" s="1">
        <v>0</v>
      </c>
      <c r="L21" s="1">
        <v>0</v>
      </c>
      <c r="Q21" s="2">
        <v>4</v>
      </c>
    </row>
    <row r="22" spans="1:17" x14ac:dyDescent="0.25">
      <c r="A22" t="s">
        <v>17</v>
      </c>
      <c r="B22" t="s">
        <v>18</v>
      </c>
      <c r="C22" t="str">
        <f>"66-3-CH"</f>
        <v>66-3-CH</v>
      </c>
      <c r="D22" t="s">
        <v>26</v>
      </c>
      <c r="E22" t="s">
        <v>23</v>
      </c>
      <c r="J22" s="1">
        <v>4</v>
      </c>
      <c r="K22" s="1">
        <v>0</v>
      </c>
      <c r="L22" s="1">
        <v>0</v>
      </c>
      <c r="Q22" s="2">
        <v>4</v>
      </c>
    </row>
    <row r="23" spans="1:17" x14ac:dyDescent="0.25">
      <c r="A23" t="s">
        <v>17</v>
      </c>
      <c r="B23" t="s">
        <v>18</v>
      </c>
      <c r="C23" t="str">
        <f>"66-3-CH-4P"</f>
        <v>66-3-CH-4P</v>
      </c>
      <c r="D23" t="s">
        <v>26</v>
      </c>
      <c r="E23" t="s">
        <v>23</v>
      </c>
      <c r="I23" t="s">
        <v>21</v>
      </c>
      <c r="J23" s="1">
        <v>4</v>
      </c>
      <c r="K23" s="1">
        <v>0</v>
      </c>
      <c r="L23" s="1">
        <v>0</v>
      </c>
      <c r="P23" s="1">
        <v>14.5</v>
      </c>
      <c r="Q23" s="2">
        <v>14.5</v>
      </c>
    </row>
    <row r="24" spans="1:17" x14ac:dyDescent="0.25">
      <c r="A24" t="s">
        <v>17</v>
      </c>
      <c r="B24" t="s">
        <v>18</v>
      </c>
      <c r="C24" t="str">
        <f>"66-3-HS"</f>
        <v>66-3-HS</v>
      </c>
      <c r="D24" t="s">
        <v>26</v>
      </c>
      <c r="E24" t="s">
        <v>24</v>
      </c>
      <c r="J24" s="1">
        <v>4</v>
      </c>
      <c r="K24" s="1">
        <v>0</v>
      </c>
      <c r="L24" s="1">
        <v>5.35</v>
      </c>
      <c r="Q24" s="2">
        <v>9.35</v>
      </c>
    </row>
    <row r="25" spans="1:17" x14ac:dyDescent="0.25">
      <c r="A25" t="s">
        <v>17</v>
      </c>
      <c r="B25" t="s">
        <v>18</v>
      </c>
      <c r="C25" t="str">
        <f>"66-3-HS-4P"</f>
        <v>66-3-HS-4P</v>
      </c>
      <c r="D25" t="s">
        <v>26</v>
      </c>
      <c r="E25" t="s">
        <v>24</v>
      </c>
      <c r="I25" t="s">
        <v>21</v>
      </c>
      <c r="J25" s="1">
        <v>4</v>
      </c>
      <c r="K25" s="1">
        <v>0</v>
      </c>
      <c r="L25" s="1">
        <v>5.35</v>
      </c>
      <c r="P25" s="1">
        <v>21.25</v>
      </c>
      <c r="Q25" s="2">
        <v>21.25</v>
      </c>
    </row>
    <row r="26" spans="1:17" x14ac:dyDescent="0.25">
      <c r="A26" t="s">
        <v>17</v>
      </c>
      <c r="B26" t="s">
        <v>18</v>
      </c>
      <c r="C26" t="str">
        <f>"66-5-BL-4P"</f>
        <v>66-5-BL-4P</v>
      </c>
      <c r="D26" t="s">
        <v>27</v>
      </c>
      <c r="E26" t="s">
        <v>20</v>
      </c>
      <c r="I26" t="s">
        <v>21</v>
      </c>
      <c r="J26" s="1">
        <v>4</v>
      </c>
      <c r="K26" s="1">
        <v>0</v>
      </c>
      <c r="L26" s="1">
        <v>0</v>
      </c>
      <c r="P26" s="1">
        <v>14.5</v>
      </c>
      <c r="Q26" s="2">
        <v>14.5</v>
      </c>
    </row>
    <row r="27" spans="1:17" x14ac:dyDescent="0.25">
      <c r="A27" t="s">
        <v>17</v>
      </c>
      <c r="B27" t="s">
        <v>18</v>
      </c>
      <c r="C27" t="str">
        <f>"66-5-BL"</f>
        <v>66-5-BL</v>
      </c>
      <c r="D27" t="s">
        <v>27</v>
      </c>
      <c r="E27" t="s">
        <v>20</v>
      </c>
      <c r="J27" s="1">
        <v>4</v>
      </c>
      <c r="K27" s="1">
        <v>0</v>
      </c>
      <c r="L27" s="1">
        <v>0</v>
      </c>
      <c r="Q27" s="2">
        <v>4</v>
      </c>
    </row>
    <row r="28" spans="1:17" x14ac:dyDescent="0.25">
      <c r="A28" t="s">
        <v>17</v>
      </c>
      <c r="B28" t="s">
        <v>18</v>
      </c>
      <c r="C28" t="str">
        <f>"66-5-BR-4P"</f>
        <v>66-5-BR-4P</v>
      </c>
      <c r="D28" t="s">
        <v>27</v>
      </c>
      <c r="E28" t="s">
        <v>22</v>
      </c>
      <c r="I28" t="s">
        <v>21</v>
      </c>
      <c r="J28" s="1">
        <v>4</v>
      </c>
      <c r="K28" s="1">
        <v>0</v>
      </c>
      <c r="L28" s="1">
        <v>0</v>
      </c>
      <c r="P28" s="1">
        <v>14.5</v>
      </c>
      <c r="Q28" s="2">
        <v>14.5</v>
      </c>
    </row>
    <row r="29" spans="1:17" x14ac:dyDescent="0.25">
      <c r="A29" t="s">
        <v>17</v>
      </c>
      <c r="B29" t="s">
        <v>18</v>
      </c>
      <c r="C29" t="str">
        <f>"66-5-BR"</f>
        <v>66-5-BR</v>
      </c>
      <c r="D29" t="s">
        <v>27</v>
      </c>
      <c r="E29" t="s">
        <v>22</v>
      </c>
      <c r="J29" s="1">
        <v>4</v>
      </c>
      <c r="K29" s="1">
        <v>0</v>
      </c>
      <c r="L29" s="1">
        <v>0</v>
      </c>
      <c r="Q29" s="2">
        <v>4</v>
      </c>
    </row>
    <row r="30" spans="1:17" x14ac:dyDescent="0.25">
      <c r="A30" t="s">
        <v>17</v>
      </c>
      <c r="B30" t="s">
        <v>18</v>
      </c>
      <c r="C30" t="str">
        <f>"66-5-CH"</f>
        <v>66-5-CH</v>
      </c>
      <c r="D30" t="s">
        <v>27</v>
      </c>
      <c r="E30" t="s">
        <v>23</v>
      </c>
      <c r="J30" s="1">
        <v>4</v>
      </c>
      <c r="K30" s="1">
        <v>0</v>
      </c>
      <c r="L30" s="1">
        <v>0</v>
      </c>
      <c r="Q30" s="2">
        <v>4</v>
      </c>
    </row>
    <row r="31" spans="1:17" x14ac:dyDescent="0.25">
      <c r="A31" t="s">
        <v>17</v>
      </c>
      <c r="B31" t="s">
        <v>18</v>
      </c>
      <c r="C31" t="str">
        <f>"66-5-CH-4P"</f>
        <v>66-5-CH-4P</v>
      </c>
      <c r="D31" t="s">
        <v>27</v>
      </c>
      <c r="E31" t="s">
        <v>23</v>
      </c>
      <c r="I31" t="s">
        <v>21</v>
      </c>
      <c r="J31" s="1">
        <v>4</v>
      </c>
      <c r="K31" s="1">
        <v>0</v>
      </c>
      <c r="L31" s="1">
        <v>0</v>
      </c>
      <c r="P31" s="1">
        <v>14.5</v>
      </c>
      <c r="Q31" s="2">
        <v>14.5</v>
      </c>
    </row>
    <row r="32" spans="1:17" x14ac:dyDescent="0.25">
      <c r="A32" t="s">
        <v>17</v>
      </c>
      <c r="B32" t="s">
        <v>18</v>
      </c>
      <c r="C32" t="str">
        <f>"66-5-HS"</f>
        <v>66-5-HS</v>
      </c>
      <c r="D32" t="s">
        <v>27</v>
      </c>
      <c r="E32" t="s">
        <v>24</v>
      </c>
      <c r="J32" s="1">
        <v>4</v>
      </c>
      <c r="K32" s="1">
        <v>0</v>
      </c>
      <c r="L32" s="1">
        <v>5.35</v>
      </c>
      <c r="Q32" s="2">
        <v>9.35</v>
      </c>
    </row>
    <row r="33" spans="1:17" x14ac:dyDescent="0.25">
      <c r="A33" t="s">
        <v>17</v>
      </c>
      <c r="B33" t="s">
        <v>18</v>
      </c>
      <c r="C33" t="str">
        <f>"66-5-HS-4P"</f>
        <v>66-5-HS-4P</v>
      </c>
      <c r="D33" t="s">
        <v>27</v>
      </c>
      <c r="E33" t="s">
        <v>24</v>
      </c>
      <c r="I33" t="s">
        <v>21</v>
      </c>
      <c r="J33" s="1">
        <v>4</v>
      </c>
      <c r="K33" s="1">
        <v>0</v>
      </c>
      <c r="L33" s="1">
        <v>5.35</v>
      </c>
      <c r="P33" s="1">
        <v>21.25</v>
      </c>
      <c r="Q33" s="2">
        <v>21.25</v>
      </c>
    </row>
    <row r="34" spans="1:17" x14ac:dyDescent="0.25">
      <c r="A34" t="s">
        <v>17</v>
      </c>
      <c r="B34" t="s">
        <v>28</v>
      </c>
      <c r="C34" t="str">
        <f>"68-1-BL"</f>
        <v>68-1-BL</v>
      </c>
      <c r="D34" t="s">
        <v>19</v>
      </c>
      <c r="E34" t="s">
        <v>20</v>
      </c>
      <c r="J34" s="1">
        <v>9.56</v>
      </c>
      <c r="K34" s="1">
        <v>0</v>
      </c>
      <c r="L34" s="1">
        <v>0</v>
      </c>
      <c r="Q34" s="2">
        <v>9.56</v>
      </c>
    </row>
    <row r="35" spans="1:17" x14ac:dyDescent="0.25">
      <c r="A35" t="s">
        <v>17</v>
      </c>
      <c r="B35" t="s">
        <v>28</v>
      </c>
      <c r="C35" t="str">
        <f>"68-1-BR"</f>
        <v>68-1-BR</v>
      </c>
      <c r="D35" t="s">
        <v>19</v>
      </c>
      <c r="E35" t="s">
        <v>22</v>
      </c>
      <c r="J35" s="1">
        <v>9.56</v>
      </c>
      <c r="K35" s="1">
        <v>0</v>
      </c>
      <c r="L35" s="1">
        <v>0</v>
      </c>
      <c r="Q35" s="2">
        <v>9.56</v>
      </c>
    </row>
    <row r="36" spans="1:17" x14ac:dyDescent="0.25">
      <c r="A36" t="s">
        <v>17</v>
      </c>
      <c r="B36" t="s">
        <v>28</v>
      </c>
      <c r="C36" t="str">
        <f>"68-1-CH"</f>
        <v>68-1-CH</v>
      </c>
      <c r="D36" t="s">
        <v>19</v>
      </c>
      <c r="E36" t="s">
        <v>23</v>
      </c>
      <c r="J36" s="1">
        <v>9.56</v>
      </c>
      <c r="K36" s="1">
        <v>0</v>
      </c>
      <c r="L36" s="1">
        <v>0</v>
      </c>
      <c r="Q36" s="2">
        <v>9.56</v>
      </c>
    </row>
    <row r="37" spans="1:17" x14ac:dyDescent="0.25">
      <c r="A37" t="s">
        <v>17</v>
      </c>
      <c r="B37" t="s">
        <v>28</v>
      </c>
      <c r="C37" t="str">
        <f>"68-2-BL"</f>
        <v>68-2-BL</v>
      </c>
      <c r="D37" t="s">
        <v>25</v>
      </c>
      <c r="E37" t="s">
        <v>20</v>
      </c>
      <c r="J37" s="1">
        <v>9.56</v>
      </c>
      <c r="K37" s="1">
        <v>0</v>
      </c>
      <c r="L37" s="1">
        <v>0</v>
      </c>
      <c r="Q37" s="2">
        <v>9.56</v>
      </c>
    </row>
    <row r="38" spans="1:17" x14ac:dyDescent="0.25">
      <c r="A38" t="s">
        <v>17</v>
      </c>
      <c r="B38" t="s">
        <v>28</v>
      </c>
      <c r="C38" t="str">
        <f>"68-2-BR"</f>
        <v>68-2-BR</v>
      </c>
      <c r="D38" t="s">
        <v>25</v>
      </c>
      <c r="E38" t="s">
        <v>22</v>
      </c>
      <c r="J38" s="1">
        <v>9.56</v>
      </c>
      <c r="K38" s="1">
        <v>0</v>
      </c>
      <c r="L38" s="1">
        <v>0</v>
      </c>
      <c r="Q38" s="2">
        <v>9.56</v>
      </c>
    </row>
    <row r="39" spans="1:17" x14ac:dyDescent="0.25">
      <c r="A39" t="s">
        <v>17</v>
      </c>
      <c r="B39" t="s">
        <v>28</v>
      </c>
      <c r="C39" t="str">
        <f>"68-2-CH"</f>
        <v>68-2-CH</v>
      </c>
      <c r="D39" t="s">
        <v>25</v>
      </c>
      <c r="E39" t="s">
        <v>23</v>
      </c>
      <c r="J39" s="1">
        <v>9.56</v>
      </c>
      <c r="K39" s="1">
        <v>0</v>
      </c>
      <c r="L39" s="1">
        <v>0</v>
      </c>
      <c r="Q39" s="2">
        <v>9.56</v>
      </c>
    </row>
    <row r="40" spans="1:17" x14ac:dyDescent="0.25">
      <c r="A40" t="s">
        <v>17</v>
      </c>
      <c r="B40" t="s">
        <v>28</v>
      </c>
      <c r="C40" t="str">
        <f>"68-3-BL"</f>
        <v>68-3-BL</v>
      </c>
      <c r="D40" t="s">
        <v>26</v>
      </c>
      <c r="E40" t="s">
        <v>20</v>
      </c>
      <c r="J40" s="1">
        <v>9.56</v>
      </c>
      <c r="K40" s="1">
        <v>0</v>
      </c>
      <c r="L40" s="1">
        <v>0</v>
      </c>
      <c r="Q40" s="2">
        <v>9.56</v>
      </c>
    </row>
    <row r="41" spans="1:17" x14ac:dyDescent="0.25">
      <c r="A41" t="s">
        <v>17</v>
      </c>
      <c r="B41" t="s">
        <v>28</v>
      </c>
      <c r="C41" t="str">
        <f>"68-3-BR"</f>
        <v>68-3-BR</v>
      </c>
      <c r="D41" t="s">
        <v>26</v>
      </c>
      <c r="E41" t="s">
        <v>22</v>
      </c>
      <c r="J41" s="1">
        <v>9.56</v>
      </c>
      <c r="K41" s="1">
        <v>0</v>
      </c>
      <c r="L41" s="1">
        <v>0</v>
      </c>
      <c r="Q41" s="2">
        <v>9.56</v>
      </c>
    </row>
    <row r="42" spans="1:17" x14ac:dyDescent="0.25">
      <c r="A42" t="s">
        <v>17</v>
      </c>
      <c r="B42" t="s">
        <v>28</v>
      </c>
      <c r="C42" t="str">
        <f>"68-3-CH"</f>
        <v>68-3-CH</v>
      </c>
      <c r="D42" t="s">
        <v>26</v>
      </c>
      <c r="E42" t="s">
        <v>23</v>
      </c>
      <c r="J42" s="1">
        <v>9.56</v>
      </c>
      <c r="K42" s="1">
        <v>0</v>
      </c>
      <c r="L42" s="1">
        <v>0</v>
      </c>
      <c r="Q42" s="2">
        <v>9.56</v>
      </c>
    </row>
    <row r="43" spans="1:17" x14ac:dyDescent="0.25">
      <c r="A43" t="s">
        <v>17</v>
      </c>
      <c r="B43" t="s">
        <v>28</v>
      </c>
      <c r="C43" t="str">
        <f>"68-5-BL"</f>
        <v>68-5-BL</v>
      </c>
      <c r="D43" t="s">
        <v>27</v>
      </c>
      <c r="E43" t="s">
        <v>20</v>
      </c>
      <c r="J43" s="1">
        <v>9.56</v>
      </c>
      <c r="K43" s="1">
        <v>0</v>
      </c>
      <c r="L43" s="1">
        <v>0</v>
      </c>
      <c r="Q43" s="2">
        <v>9.56</v>
      </c>
    </row>
    <row r="44" spans="1:17" x14ac:dyDescent="0.25">
      <c r="A44" t="s">
        <v>17</v>
      </c>
      <c r="B44" t="s">
        <v>28</v>
      </c>
      <c r="C44" t="str">
        <f>"68-5-BR"</f>
        <v>68-5-BR</v>
      </c>
      <c r="D44" t="s">
        <v>27</v>
      </c>
      <c r="E44" t="s">
        <v>22</v>
      </c>
      <c r="J44" s="1">
        <v>9.56</v>
      </c>
      <c r="K44" s="1">
        <v>0</v>
      </c>
      <c r="L44" s="1">
        <v>0</v>
      </c>
      <c r="Q44" s="2">
        <v>9.56</v>
      </c>
    </row>
    <row r="45" spans="1:17" x14ac:dyDescent="0.25">
      <c r="A45" t="s">
        <v>17</v>
      </c>
      <c r="B45" t="s">
        <v>28</v>
      </c>
      <c r="C45" t="str">
        <f>"68-5-CH"</f>
        <v>68-5-CH</v>
      </c>
      <c r="D45" t="s">
        <v>27</v>
      </c>
      <c r="E45" t="s">
        <v>23</v>
      </c>
      <c r="J45" s="1">
        <v>9.56</v>
      </c>
      <c r="K45" s="1">
        <v>0</v>
      </c>
      <c r="L45" s="1">
        <v>0</v>
      </c>
      <c r="Q45" s="2">
        <v>9.56</v>
      </c>
    </row>
    <row r="46" spans="1:17" x14ac:dyDescent="0.25">
      <c r="A46" t="s">
        <v>17</v>
      </c>
      <c r="B46" t="s">
        <v>29</v>
      </c>
      <c r="C46" t="str">
        <f>"69-1-BR"</f>
        <v>69-1-BR</v>
      </c>
      <c r="D46" t="s">
        <v>19</v>
      </c>
      <c r="E46" t="s">
        <v>22</v>
      </c>
      <c r="J46" s="1">
        <v>9.56</v>
      </c>
      <c r="K46" s="1">
        <v>0</v>
      </c>
      <c r="L46" s="1">
        <v>0</v>
      </c>
      <c r="Q46" s="2">
        <v>9.56</v>
      </c>
    </row>
    <row r="47" spans="1:17" x14ac:dyDescent="0.25">
      <c r="A47" t="s">
        <v>17</v>
      </c>
      <c r="B47" t="s">
        <v>29</v>
      </c>
      <c r="C47" t="str">
        <f>"69-1-CH"</f>
        <v>69-1-CH</v>
      </c>
      <c r="D47" t="s">
        <v>19</v>
      </c>
      <c r="E47" t="s">
        <v>23</v>
      </c>
      <c r="J47" s="1">
        <v>9.56</v>
      </c>
      <c r="K47" s="1">
        <v>0</v>
      </c>
      <c r="L47" s="1">
        <v>0</v>
      </c>
      <c r="Q47" s="2">
        <v>9.56</v>
      </c>
    </row>
    <row r="48" spans="1:17" x14ac:dyDescent="0.25">
      <c r="A48" t="s">
        <v>17</v>
      </c>
      <c r="B48" t="s">
        <v>29</v>
      </c>
      <c r="C48" t="str">
        <f>"69-1-CL"</f>
        <v>69-1-CL</v>
      </c>
      <c r="D48" t="s">
        <v>19</v>
      </c>
      <c r="E48" t="s">
        <v>20</v>
      </c>
      <c r="J48" s="1">
        <v>9.56</v>
      </c>
      <c r="K48" s="1">
        <v>0</v>
      </c>
      <c r="L48" s="1">
        <v>0</v>
      </c>
      <c r="Q48" s="2">
        <v>9.56</v>
      </c>
    </row>
    <row r="49" spans="1:17" x14ac:dyDescent="0.25">
      <c r="A49" t="s">
        <v>17</v>
      </c>
      <c r="B49" t="s">
        <v>29</v>
      </c>
      <c r="C49" t="str">
        <f>"69-2-BR"</f>
        <v>69-2-BR</v>
      </c>
      <c r="D49" t="s">
        <v>25</v>
      </c>
      <c r="E49" t="s">
        <v>22</v>
      </c>
      <c r="J49" s="1">
        <v>9.56</v>
      </c>
      <c r="K49" s="1">
        <v>0</v>
      </c>
      <c r="L49" s="1">
        <v>0</v>
      </c>
      <c r="Q49" s="2">
        <v>9.56</v>
      </c>
    </row>
    <row r="50" spans="1:17" x14ac:dyDescent="0.25">
      <c r="A50" t="s">
        <v>17</v>
      </c>
      <c r="B50" t="s">
        <v>29</v>
      </c>
      <c r="C50" t="str">
        <f>"69-2-CH"</f>
        <v>69-2-CH</v>
      </c>
      <c r="D50" t="s">
        <v>25</v>
      </c>
      <c r="E50" t="s">
        <v>23</v>
      </c>
      <c r="J50" s="1">
        <v>9.56</v>
      </c>
      <c r="K50" s="1">
        <v>0</v>
      </c>
      <c r="L50" s="1">
        <v>0</v>
      </c>
      <c r="Q50" s="2">
        <v>9.56</v>
      </c>
    </row>
    <row r="51" spans="1:17" x14ac:dyDescent="0.25">
      <c r="A51" t="s">
        <v>17</v>
      </c>
      <c r="B51" t="s">
        <v>29</v>
      </c>
      <c r="C51" t="str">
        <f>"69-2-CL"</f>
        <v>69-2-CL</v>
      </c>
      <c r="D51" t="s">
        <v>25</v>
      </c>
      <c r="E51" t="s">
        <v>20</v>
      </c>
      <c r="J51" s="1">
        <v>9.56</v>
      </c>
      <c r="K51" s="1">
        <v>0</v>
      </c>
      <c r="L51" s="1">
        <v>0</v>
      </c>
      <c r="Q51" s="2">
        <v>9.56</v>
      </c>
    </row>
    <row r="52" spans="1:17" x14ac:dyDescent="0.25">
      <c r="A52" t="s">
        <v>17</v>
      </c>
      <c r="B52" t="s">
        <v>29</v>
      </c>
      <c r="C52" t="str">
        <f>"69-3-BR"</f>
        <v>69-3-BR</v>
      </c>
      <c r="D52" t="s">
        <v>26</v>
      </c>
      <c r="E52" t="s">
        <v>22</v>
      </c>
      <c r="J52" s="1">
        <v>9.56</v>
      </c>
      <c r="K52" s="1">
        <v>0</v>
      </c>
      <c r="L52" s="1">
        <v>0</v>
      </c>
      <c r="Q52" s="2">
        <v>9.56</v>
      </c>
    </row>
    <row r="53" spans="1:17" x14ac:dyDescent="0.25">
      <c r="A53" t="s">
        <v>17</v>
      </c>
      <c r="B53" t="s">
        <v>29</v>
      </c>
      <c r="C53" t="str">
        <f>"69-3-CH"</f>
        <v>69-3-CH</v>
      </c>
      <c r="D53" t="s">
        <v>26</v>
      </c>
      <c r="E53" t="s">
        <v>23</v>
      </c>
      <c r="J53" s="1">
        <v>9.56</v>
      </c>
      <c r="K53" s="1">
        <v>0</v>
      </c>
      <c r="L53" s="1">
        <v>0</v>
      </c>
      <c r="Q53" s="2">
        <v>9.56</v>
      </c>
    </row>
    <row r="54" spans="1:17" x14ac:dyDescent="0.25">
      <c r="A54" t="s">
        <v>17</v>
      </c>
      <c r="B54" t="s">
        <v>29</v>
      </c>
      <c r="C54" t="str">
        <f>"69-3-CL"</f>
        <v>69-3-CL</v>
      </c>
      <c r="D54" t="s">
        <v>26</v>
      </c>
      <c r="E54" t="s">
        <v>20</v>
      </c>
      <c r="J54" s="1">
        <v>9.56</v>
      </c>
      <c r="K54" s="1">
        <v>0</v>
      </c>
      <c r="L54" s="1">
        <v>0</v>
      </c>
      <c r="Q54" s="2">
        <v>9.56</v>
      </c>
    </row>
    <row r="55" spans="1:17" x14ac:dyDescent="0.25">
      <c r="A55" t="s">
        <v>17</v>
      </c>
      <c r="B55" t="s">
        <v>29</v>
      </c>
      <c r="C55" t="str">
        <f>"69-5-BR"</f>
        <v>69-5-BR</v>
      </c>
      <c r="D55" t="s">
        <v>27</v>
      </c>
      <c r="E55" t="s">
        <v>22</v>
      </c>
      <c r="J55" s="1">
        <v>9.56</v>
      </c>
      <c r="K55" s="1">
        <v>0</v>
      </c>
      <c r="L55" s="1">
        <v>0</v>
      </c>
      <c r="Q55" s="2">
        <v>9.56</v>
      </c>
    </row>
    <row r="56" spans="1:17" x14ac:dyDescent="0.25">
      <c r="A56" t="s">
        <v>17</v>
      </c>
      <c r="B56" t="s">
        <v>29</v>
      </c>
      <c r="C56" t="str">
        <f>"69-5-CH"</f>
        <v>69-5-CH</v>
      </c>
      <c r="D56" t="s">
        <v>27</v>
      </c>
      <c r="E56" t="s">
        <v>23</v>
      </c>
      <c r="J56" s="1">
        <v>9.56</v>
      </c>
      <c r="K56" s="1">
        <v>0</v>
      </c>
      <c r="L56" s="1">
        <v>0</v>
      </c>
      <c r="Q56" s="2">
        <v>9.56</v>
      </c>
    </row>
    <row r="57" spans="1:17" x14ac:dyDescent="0.25">
      <c r="A57" t="s">
        <v>17</v>
      </c>
      <c r="B57" t="s">
        <v>29</v>
      </c>
      <c r="C57" t="str">
        <f>"69-5-CL"</f>
        <v>69-5-CL</v>
      </c>
      <c r="D57" t="s">
        <v>27</v>
      </c>
      <c r="E57" t="s">
        <v>20</v>
      </c>
      <c r="J57" s="1">
        <v>9.56</v>
      </c>
      <c r="K57" s="1">
        <v>0</v>
      </c>
      <c r="L57" s="1">
        <v>0</v>
      </c>
      <c r="Q57" s="2">
        <v>9.56</v>
      </c>
    </row>
    <row r="58" spans="1:17" x14ac:dyDescent="0.25">
      <c r="A58" t="s">
        <v>17</v>
      </c>
      <c r="B58" t="s">
        <v>30</v>
      </c>
      <c r="C58" t="str">
        <f>"67-1-BL"</f>
        <v>67-1-BL</v>
      </c>
      <c r="D58" t="s">
        <v>19</v>
      </c>
      <c r="E58" t="s">
        <v>20</v>
      </c>
      <c r="J58" s="1">
        <v>9.35</v>
      </c>
      <c r="K58" s="1">
        <v>0</v>
      </c>
      <c r="L58" s="1">
        <v>0</v>
      </c>
      <c r="Q58" s="2">
        <v>9.35</v>
      </c>
    </row>
    <row r="59" spans="1:17" x14ac:dyDescent="0.25">
      <c r="A59" t="s">
        <v>17</v>
      </c>
      <c r="B59" t="s">
        <v>30</v>
      </c>
      <c r="C59" t="str">
        <f>"67-1-BR"</f>
        <v>67-1-BR</v>
      </c>
      <c r="D59" t="s">
        <v>19</v>
      </c>
      <c r="E59" t="s">
        <v>22</v>
      </c>
      <c r="J59" s="1">
        <v>9.35</v>
      </c>
      <c r="K59" s="1">
        <v>0</v>
      </c>
      <c r="L59" s="1">
        <v>0</v>
      </c>
      <c r="Q59" s="2">
        <v>9.35</v>
      </c>
    </row>
    <row r="60" spans="1:17" x14ac:dyDescent="0.25">
      <c r="A60" t="s">
        <v>17</v>
      </c>
      <c r="B60" t="s">
        <v>30</v>
      </c>
      <c r="C60" t="str">
        <f>"67-1-CH"</f>
        <v>67-1-CH</v>
      </c>
      <c r="D60" t="s">
        <v>19</v>
      </c>
      <c r="E60" t="s">
        <v>23</v>
      </c>
      <c r="J60" s="1">
        <v>9.35</v>
      </c>
      <c r="K60" s="1">
        <v>0</v>
      </c>
      <c r="L60" s="1">
        <v>0</v>
      </c>
      <c r="Q60" s="2">
        <v>9.35</v>
      </c>
    </row>
    <row r="61" spans="1:17" x14ac:dyDescent="0.25">
      <c r="A61" t="s">
        <v>17</v>
      </c>
      <c r="B61" t="s">
        <v>30</v>
      </c>
      <c r="C61" t="str">
        <f>"67-2-BL"</f>
        <v>67-2-BL</v>
      </c>
      <c r="D61" t="s">
        <v>25</v>
      </c>
      <c r="E61" t="s">
        <v>20</v>
      </c>
      <c r="J61" s="1">
        <v>9.35</v>
      </c>
      <c r="K61" s="1">
        <v>0</v>
      </c>
      <c r="L61" s="1">
        <v>0</v>
      </c>
      <c r="Q61" s="2">
        <v>9.35</v>
      </c>
    </row>
    <row r="62" spans="1:17" x14ac:dyDescent="0.25">
      <c r="A62" t="s">
        <v>17</v>
      </c>
      <c r="B62" t="s">
        <v>30</v>
      </c>
      <c r="C62" t="str">
        <f>"67-2-BR"</f>
        <v>67-2-BR</v>
      </c>
      <c r="D62" t="s">
        <v>25</v>
      </c>
      <c r="E62" t="s">
        <v>22</v>
      </c>
      <c r="J62" s="1">
        <v>9.35</v>
      </c>
      <c r="K62" s="1">
        <v>0</v>
      </c>
      <c r="L62" s="1">
        <v>0</v>
      </c>
      <c r="Q62" s="2">
        <v>9.35</v>
      </c>
    </row>
    <row r="63" spans="1:17" x14ac:dyDescent="0.25">
      <c r="A63" t="s">
        <v>17</v>
      </c>
      <c r="B63" t="s">
        <v>30</v>
      </c>
      <c r="C63" t="str">
        <f>"67-2-CH"</f>
        <v>67-2-CH</v>
      </c>
      <c r="D63" t="s">
        <v>25</v>
      </c>
      <c r="E63" t="s">
        <v>23</v>
      </c>
      <c r="J63" s="1">
        <v>9.35</v>
      </c>
      <c r="K63" s="1">
        <v>0</v>
      </c>
      <c r="L63" s="1">
        <v>0</v>
      </c>
      <c r="Q63" s="2">
        <v>9.35</v>
      </c>
    </row>
    <row r="64" spans="1:17" x14ac:dyDescent="0.25">
      <c r="A64" t="s">
        <v>17</v>
      </c>
      <c r="B64" t="s">
        <v>30</v>
      </c>
      <c r="C64" t="str">
        <f>"67-3-BL"</f>
        <v>67-3-BL</v>
      </c>
      <c r="D64" t="s">
        <v>26</v>
      </c>
      <c r="E64" t="s">
        <v>20</v>
      </c>
      <c r="J64" s="1">
        <v>9.35</v>
      </c>
      <c r="K64" s="1">
        <v>0</v>
      </c>
      <c r="L64" s="1">
        <v>0</v>
      </c>
      <c r="Q64" s="2">
        <v>9.35</v>
      </c>
    </row>
    <row r="65" spans="1:17" x14ac:dyDescent="0.25">
      <c r="A65" t="s">
        <v>17</v>
      </c>
      <c r="B65" t="s">
        <v>30</v>
      </c>
      <c r="C65" t="str">
        <f>"67-3-BR"</f>
        <v>67-3-BR</v>
      </c>
      <c r="D65" t="s">
        <v>26</v>
      </c>
      <c r="E65" t="s">
        <v>22</v>
      </c>
      <c r="J65" s="1">
        <v>9.35</v>
      </c>
      <c r="K65" s="1">
        <v>0</v>
      </c>
      <c r="L65" s="1">
        <v>0</v>
      </c>
      <c r="Q65" s="2">
        <v>9.35</v>
      </c>
    </row>
    <row r="66" spans="1:17" x14ac:dyDescent="0.25">
      <c r="A66" t="s">
        <v>17</v>
      </c>
      <c r="B66" t="s">
        <v>30</v>
      </c>
      <c r="C66" t="str">
        <f>"67-3-CH"</f>
        <v>67-3-CH</v>
      </c>
      <c r="D66" t="s">
        <v>26</v>
      </c>
      <c r="E66" t="s">
        <v>23</v>
      </c>
      <c r="J66" s="1">
        <v>9.35</v>
      </c>
      <c r="K66" s="1">
        <v>0</v>
      </c>
      <c r="L66" s="1">
        <v>0</v>
      </c>
      <c r="Q66" s="2">
        <v>9.35</v>
      </c>
    </row>
    <row r="67" spans="1:17" x14ac:dyDescent="0.25">
      <c r="A67" t="s">
        <v>17</v>
      </c>
      <c r="B67" t="s">
        <v>30</v>
      </c>
      <c r="C67" t="str">
        <f>"67-5-BL"</f>
        <v>67-5-BL</v>
      </c>
      <c r="D67" t="s">
        <v>27</v>
      </c>
      <c r="E67" t="s">
        <v>20</v>
      </c>
      <c r="J67" s="1">
        <v>9.35</v>
      </c>
      <c r="K67" s="1">
        <v>0</v>
      </c>
      <c r="L67" s="1">
        <v>0</v>
      </c>
      <c r="Q67" s="2">
        <v>9.35</v>
      </c>
    </row>
    <row r="68" spans="1:17" x14ac:dyDescent="0.25">
      <c r="A68" t="s">
        <v>17</v>
      </c>
      <c r="B68" t="s">
        <v>30</v>
      </c>
      <c r="C68" t="str">
        <f>"67-5-BR"</f>
        <v>67-5-BR</v>
      </c>
      <c r="D68" t="s">
        <v>27</v>
      </c>
      <c r="E68" t="s">
        <v>22</v>
      </c>
      <c r="J68" s="1">
        <v>9.35</v>
      </c>
      <c r="K68" s="1">
        <v>0</v>
      </c>
      <c r="L68" s="1">
        <v>0</v>
      </c>
      <c r="Q68" s="2">
        <v>9.35</v>
      </c>
    </row>
    <row r="69" spans="1:17" x14ac:dyDescent="0.25">
      <c r="A69" t="s">
        <v>17</v>
      </c>
      <c r="B69" t="s">
        <v>30</v>
      </c>
      <c r="C69" t="str">
        <f>"67-5-CH"</f>
        <v>67-5-CH</v>
      </c>
      <c r="D69" t="s">
        <v>27</v>
      </c>
      <c r="E69" t="s">
        <v>23</v>
      </c>
      <c r="J69" s="1">
        <v>9.35</v>
      </c>
      <c r="K69" s="1">
        <v>0</v>
      </c>
      <c r="L69" s="1">
        <v>0</v>
      </c>
      <c r="Q69" s="2">
        <v>9.35</v>
      </c>
    </row>
    <row r="70" spans="1:17" x14ac:dyDescent="0.25">
      <c r="A70" t="s">
        <v>31</v>
      </c>
      <c r="B70" t="s">
        <v>32</v>
      </c>
      <c r="C70" t="str">
        <f>"13-1-BR-22"</f>
        <v>13-1-BR-22</v>
      </c>
      <c r="D70" t="s">
        <v>19</v>
      </c>
      <c r="F70" t="s">
        <v>22</v>
      </c>
      <c r="H70">
        <v>22</v>
      </c>
      <c r="J70" s="1">
        <v>23.5</v>
      </c>
      <c r="K70" s="1">
        <v>0</v>
      </c>
      <c r="M70" s="1">
        <v>0</v>
      </c>
      <c r="O70" s="1">
        <v>0</v>
      </c>
      <c r="Q70" s="2">
        <v>23.5</v>
      </c>
    </row>
    <row r="71" spans="1:17" x14ac:dyDescent="0.25">
      <c r="A71" t="s">
        <v>31</v>
      </c>
      <c r="B71" t="s">
        <v>32</v>
      </c>
      <c r="C71" t="str">
        <f>"13-1-BR-24"</f>
        <v>13-1-BR-24</v>
      </c>
      <c r="D71" t="s">
        <v>19</v>
      </c>
      <c r="F71" t="s">
        <v>22</v>
      </c>
      <c r="H71">
        <v>24</v>
      </c>
      <c r="J71" s="1">
        <v>23.5</v>
      </c>
      <c r="K71" s="1">
        <v>0</v>
      </c>
      <c r="M71" s="1">
        <v>0</v>
      </c>
      <c r="O71" s="1">
        <v>0</v>
      </c>
      <c r="Q71" s="2">
        <v>23.5</v>
      </c>
    </row>
    <row r="72" spans="1:17" x14ac:dyDescent="0.25">
      <c r="A72" t="s">
        <v>31</v>
      </c>
      <c r="B72" t="s">
        <v>32</v>
      </c>
      <c r="C72" t="str">
        <f>"13-1-BR-26"</f>
        <v>13-1-BR-26</v>
      </c>
      <c r="D72" t="s">
        <v>19</v>
      </c>
      <c r="F72" t="s">
        <v>22</v>
      </c>
      <c r="H72">
        <v>26</v>
      </c>
      <c r="J72" s="1">
        <v>23.5</v>
      </c>
      <c r="K72" s="1">
        <v>0</v>
      </c>
      <c r="M72" s="1">
        <v>0</v>
      </c>
      <c r="O72" s="1">
        <v>0</v>
      </c>
      <c r="Q72" s="2">
        <v>23.5</v>
      </c>
    </row>
    <row r="73" spans="1:17" x14ac:dyDescent="0.25">
      <c r="A73" t="s">
        <v>31</v>
      </c>
      <c r="B73" t="s">
        <v>32</v>
      </c>
      <c r="C73" t="str">
        <f>"13-1-BR-28"</f>
        <v>13-1-BR-28</v>
      </c>
      <c r="D73" t="s">
        <v>19</v>
      </c>
      <c r="F73" t="s">
        <v>22</v>
      </c>
      <c r="H73">
        <v>28</v>
      </c>
      <c r="J73" s="1">
        <v>23.5</v>
      </c>
      <c r="K73" s="1">
        <v>0</v>
      </c>
      <c r="M73" s="1">
        <v>0</v>
      </c>
      <c r="O73" s="1">
        <v>0</v>
      </c>
      <c r="Q73" s="2">
        <v>23.5</v>
      </c>
    </row>
    <row r="74" spans="1:17" x14ac:dyDescent="0.25">
      <c r="A74" t="s">
        <v>31</v>
      </c>
      <c r="B74" t="s">
        <v>32</v>
      </c>
      <c r="C74" t="str">
        <f>"13-1-BR-30"</f>
        <v>13-1-BR-30</v>
      </c>
      <c r="D74" t="s">
        <v>19</v>
      </c>
      <c r="F74" t="s">
        <v>22</v>
      </c>
      <c r="H74">
        <v>30</v>
      </c>
      <c r="J74" s="1">
        <v>23.5</v>
      </c>
      <c r="K74" s="1">
        <v>0</v>
      </c>
      <c r="M74" s="1">
        <v>0</v>
      </c>
      <c r="O74" s="1">
        <v>0</v>
      </c>
      <c r="Q74" s="2">
        <v>23.5</v>
      </c>
    </row>
    <row r="75" spans="1:17" x14ac:dyDescent="0.25">
      <c r="A75" t="s">
        <v>31</v>
      </c>
      <c r="B75" t="s">
        <v>32</v>
      </c>
      <c r="C75" t="str">
        <f>"13-1-BR-32"</f>
        <v>13-1-BR-32</v>
      </c>
      <c r="D75" t="s">
        <v>19</v>
      </c>
      <c r="F75" t="s">
        <v>22</v>
      </c>
      <c r="H75">
        <v>32</v>
      </c>
      <c r="J75" s="1">
        <v>23.5</v>
      </c>
      <c r="K75" s="1">
        <v>0</v>
      </c>
      <c r="M75" s="1">
        <v>0</v>
      </c>
      <c r="O75" s="1">
        <v>0</v>
      </c>
      <c r="Q75" s="2">
        <v>23.5</v>
      </c>
    </row>
    <row r="76" spans="1:17" x14ac:dyDescent="0.25">
      <c r="A76" t="s">
        <v>31</v>
      </c>
      <c r="B76" t="s">
        <v>32</v>
      </c>
      <c r="C76" t="str">
        <f>"13-1-BR-34"</f>
        <v>13-1-BR-34</v>
      </c>
      <c r="D76" t="s">
        <v>19</v>
      </c>
      <c r="F76" t="s">
        <v>22</v>
      </c>
      <c r="H76">
        <v>34</v>
      </c>
      <c r="J76" s="1">
        <v>23.5</v>
      </c>
      <c r="K76" s="1">
        <v>0</v>
      </c>
      <c r="M76" s="1">
        <v>0</v>
      </c>
      <c r="O76" s="1">
        <v>0</v>
      </c>
      <c r="Q76" s="2">
        <v>23.5</v>
      </c>
    </row>
    <row r="77" spans="1:17" x14ac:dyDescent="0.25">
      <c r="A77" t="s">
        <v>31</v>
      </c>
      <c r="B77" t="s">
        <v>32</v>
      </c>
      <c r="C77" t="str">
        <f>"13-1-BR-36"</f>
        <v>13-1-BR-36</v>
      </c>
      <c r="D77" t="s">
        <v>19</v>
      </c>
      <c r="F77" t="s">
        <v>22</v>
      </c>
      <c r="H77">
        <v>36</v>
      </c>
      <c r="J77" s="1">
        <v>23.5</v>
      </c>
      <c r="K77" s="1">
        <v>0</v>
      </c>
      <c r="M77" s="1">
        <v>0</v>
      </c>
      <c r="O77" s="1">
        <v>0</v>
      </c>
      <c r="Q77" s="2">
        <v>23.5</v>
      </c>
    </row>
    <row r="78" spans="1:17" x14ac:dyDescent="0.25">
      <c r="A78" t="s">
        <v>31</v>
      </c>
      <c r="B78" t="s">
        <v>32</v>
      </c>
      <c r="C78" t="str">
        <f>"13-1-BR-38"</f>
        <v>13-1-BR-38</v>
      </c>
      <c r="D78" t="s">
        <v>19</v>
      </c>
      <c r="F78" t="s">
        <v>22</v>
      </c>
      <c r="H78">
        <v>38</v>
      </c>
      <c r="J78" s="1">
        <v>23.5</v>
      </c>
      <c r="K78" s="1">
        <v>0</v>
      </c>
      <c r="M78" s="1">
        <v>0</v>
      </c>
      <c r="O78" s="1">
        <v>0</v>
      </c>
      <c r="Q78" s="2">
        <v>23.5</v>
      </c>
    </row>
    <row r="79" spans="1:17" x14ac:dyDescent="0.25">
      <c r="A79" t="s">
        <v>31</v>
      </c>
      <c r="B79" t="s">
        <v>32</v>
      </c>
      <c r="C79" t="str">
        <f>"13-1-BR-40"</f>
        <v>13-1-BR-40</v>
      </c>
      <c r="D79" t="s">
        <v>19</v>
      </c>
      <c r="F79" t="s">
        <v>22</v>
      </c>
      <c r="H79">
        <v>40</v>
      </c>
      <c r="J79" s="1">
        <v>23.5</v>
      </c>
      <c r="K79" s="1">
        <v>0</v>
      </c>
      <c r="M79" s="1">
        <v>0</v>
      </c>
      <c r="O79" s="1">
        <v>0</v>
      </c>
      <c r="Q79" s="2">
        <v>23.5</v>
      </c>
    </row>
    <row r="80" spans="1:17" x14ac:dyDescent="0.25">
      <c r="A80" t="s">
        <v>31</v>
      </c>
      <c r="B80" t="s">
        <v>32</v>
      </c>
      <c r="C80" t="str">
        <f>"13-1-BR-42"</f>
        <v>13-1-BR-42</v>
      </c>
      <c r="D80" t="s">
        <v>19</v>
      </c>
      <c r="F80" t="s">
        <v>22</v>
      </c>
      <c r="H80">
        <v>42</v>
      </c>
      <c r="J80" s="1">
        <v>23.5</v>
      </c>
      <c r="K80" s="1">
        <v>0</v>
      </c>
      <c r="M80" s="1">
        <v>0</v>
      </c>
      <c r="O80" s="1">
        <v>0</v>
      </c>
      <c r="Q80" s="2">
        <v>23.5</v>
      </c>
    </row>
    <row r="81" spans="1:17" x14ac:dyDescent="0.25">
      <c r="A81" t="s">
        <v>31</v>
      </c>
      <c r="B81" t="s">
        <v>32</v>
      </c>
      <c r="C81" t="str">
        <f>"13-1-BR-44"</f>
        <v>13-1-BR-44</v>
      </c>
      <c r="D81" t="s">
        <v>19</v>
      </c>
      <c r="F81" t="s">
        <v>22</v>
      </c>
      <c r="H81">
        <v>44</v>
      </c>
      <c r="J81" s="1">
        <v>23.5</v>
      </c>
      <c r="K81" s="1">
        <v>0</v>
      </c>
      <c r="M81" s="1">
        <v>0</v>
      </c>
      <c r="O81" s="1">
        <v>0</v>
      </c>
      <c r="Q81" s="2">
        <v>23.5</v>
      </c>
    </row>
    <row r="82" spans="1:17" x14ac:dyDescent="0.25">
      <c r="A82" t="s">
        <v>31</v>
      </c>
      <c r="B82" t="s">
        <v>32</v>
      </c>
      <c r="C82" t="str">
        <f>"13-1-BR-46"</f>
        <v>13-1-BR-46</v>
      </c>
      <c r="D82" t="s">
        <v>19</v>
      </c>
      <c r="F82" t="s">
        <v>22</v>
      </c>
      <c r="H82">
        <v>46</v>
      </c>
      <c r="J82" s="1">
        <v>23.5</v>
      </c>
      <c r="K82" s="1">
        <v>0</v>
      </c>
      <c r="M82" s="1">
        <v>0</v>
      </c>
      <c r="O82" s="1">
        <v>0</v>
      </c>
      <c r="Q82" s="2">
        <v>23.5</v>
      </c>
    </row>
    <row r="83" spans="1:17" x14ac:dyDescent="0.25">
      <c r="A83" t="s">
        <v>31</v>
      </c>
      <c r="B83" t="s">
        <v>32</v>
      </c>
      <c r="C83" t="str">
        <f>"13-1-BR-48"</f>
        <v>13-1-BR-48</v>
      </c>
      <c r="D83" t="s">
        <v>19</v>
      </c>
      <c r="F83" t="s">
        <v>22</v>
      </c>
      <c r="H83">
        <v>48</v>
      </c>
      <c r="J83" s="1">
        <v>23.5</v>
      </c>
      <c r="K83" s="1">
        <v>0</v>
      </c>
      <c r="M83" s="1">
        <v>0</v>
      </c>
      <c r="O83" s="1">
        <v>4</v>
      </c>
      <c r="Q83" s="2">
        <v>27.5</v>
      </c>
    </row>
    <row r="84" spans="1:17" x14ac:dyDescent="0.25">
      <c r="A84" t="s">
        <v>31</v>
      </c>
      <c r="B84" t="s">
        <v>32</v>
      </c>
      <c r="C84" t="str">
        <f>"13-1-BR-50"</f>
        <v>13-1-BR-50</v>
      </c>
      <c r="D84" t="s">
        <v>19</v>
      </c>
      <c r="F84" t="s">
        <v>22</v>
      </c>
      <c r="H84">
        <v>50</v>
      </c>
      <c r="J84" s="1">
        <v>23.5</v>
      </c>
      <c r="K84" s="1">
        <v>0</v>
      </c>
      <c r="M84" s="1">
        <v>0</v>
      </c>
      <c r="O84" s="1">
        <v>6</v>
      </c>
      <c r="Q84" s="2">
        <v>29.5</v>
      </c>
    </row>
    <row r="85" spans="1:17" x14ac:dyDescent="0.25">
      <c r="A85" t="s">
        <v>31</v>
      </c>
      <c r="B85" t="s">
        <v>32</v>
      </c>
      <c r="C85" t="str">
        <f>"13-1-BR-52"</f>
        <v>13-1-BR-52</v>
      </c>
      <c r="D85" t="s">
        <v>19</v>
      </c>
      <c r="F85" t="s">
        <v>22</v>
      </c>
      <c r="H85">
        <v>52</v>
      </c>
      <c r="J85" s="1">
        <v>23.5</v>
      </c>
      <c r="K85" s="1">
        <v>0</v>
      </c>
      <c r="M85" s="1">
        <v>0</v>
      </c>
      <c r="O85" s="1">
        <v>8</v>
      </c>
      <c r="Q85" s="2">
        <v>31.5</v>
      </c>
    </row>
    <row r="86" spans="1:17" x14ac:dyDescent="0.25">
      <c r="A86" t="s">
        <v>31</v>
      </c>
      <c r="B86" t="s">
        <v>32</v>
      </c>
      <c r="C86" t="str">
        <f>"13-1-BR-54"</f>
        <v>13-1-BR-54</v>
      </c>
      <c r="D86" t="s">
        <v>19</v>
      </c>
      <c r="F86" t="s">
        <v>22</v>
      </c>
      <c r="H86">
        <v>54</v>
      </c>
      <c r="J86" s="1">
        <v>23.5</v>
      </c>
      <c r="K86" s="1">
        <v>0</v>
      </c>
      <c r="M86" s="1">
        <v>0</v>
      </c>
      <c r="O86" s="1">
        <v>10</v>
      </c>
      <c r="Q86" s="2">
        <v>33.5</v>
      </c>
    </row>
    <row r="87" spans="1:17" x14ac:dyDescent="0.25">
      <c r="A87" t="s">
        <v>31</v>
      </c>
      <c r="B87" t="s">
        <v>32</v>
      </c>
      <c r="C87" t="str">
        <f>"13-1-BR-56"</f>
        <v>13-1-BR-56</v>
      </c>
      <c r="D87" t="s">
        <v>19</v>
      </c>
      <c r="F87" t="s">
        <v>22</v>
      </c>
      <c r="H87">
        <v>56</v>
      </c>
      <c r="J87" s="1">
        <v>23.5</v>
      </c>
      <c r="K87" s="1">
        <v>0</v>
      </c>
      <c r="M87" s="1">
        <v>0</v>
      </c>
      <c r="O87" s="1">
        <v>12</v>
      </c>
      <c r="Q87" s="2">
        <v>35.5</v>
      </c>
    </row>
    <row r="88" spans="1:17" x14ac:dyDescent="0.25">
      <c r="A88" t="s">
        <v>31</v>
      </c>
      <c r="B88" t="s">
        <v>32</v>
      </c>
      <c r="C88" t="str">
        <f>"13-1-BR-58"</f>
        <v>13-1-BR-58</v>
      </c>
      <c r="D88" t="s">
        <v>19</v>
      </c>
      <c r="F88" t="s">
        <v>22</v>
      </c>
      <c r="H88">
        <v>58</v>
      </c>
      <c r="J88" s="1">
        <v>23.5</v>
      </c>
      <c r="K88" s="1">
        <v>0</v>
      </c>
      <c r="M88" s="1">
        <v>0</v>
      </c>
      <c r="O88" s="1">
        <v>14</v>
      </c>
      <c r="Q88" s="2">
        <v>37.5</v>
      </c>
    </row>
    <row r="89" spans="1:17" x14ac:dyDescent="0.25">
      <c r="A89" t="s">
        <v>31</v>
      </c>
      <c r="B89" t="s">
        <v>32</v>
      </c>
      <c r="C89" t="str">
        <f>"13-1-BR-60"</f>
        <v>13-1-BR-60</v>
      </c>
      <c r="D89" t="s">
        <v>19</v>
      </c>
      <c r="F89" t="s">
        <v>22</v>
      </c>
      <c r="H89">
        <v>60</v>
      </c>
      <c r="J89" s="1">
        <v>23.5</v>
      </c>
      <c r="K89" s="1">
        <v>0</v>
      </c>
      <c r="M89" s="1">
        <v>0</v>
      </c>
      <c r="O89" s="1">
        <v>16</v>
      </c>
      <c r="Q89" s="2">
        <v>39.5</v>
      </c>
    </row>
    <row r="90" spans="1:17" x14ac:dyDescent="0.25">
      <c r="A90" t="s">
        <v>31</v>
      </c>
      <c r="B90" t="s">
        <v>32</v>
      </c>
      <c r="C90" t="str">
        <f>"13-1-BR-62"</f>
        <v>13-1-BR-62</v>
      </c>
      <c r="D90" t="s">
        <v>19</v>
      </c>
      <c r="F90" t="s">
        <v>22</v>
      </c>
      <c r="H90">
        <v>62</v>
      </c>
      <c r="J90" s="1">
        <v>23.5</v>
      </c>
      <c r="K90" s="1">
        <v>0</v>
      </c>
      <c r="M90" s="1">
        <v>0</v>
      </c>
      <c r="O90" s="1">
        <v>18</v>
      </c>
      <c r="Q90" s="2">
        <v>41.5</v>
      </c>
    </row>
    <row r="91" spans="1:17" x14ac:dyDescent="0.25">
      <c r="A91" t="s">
        <v>31</v>
      </c>
      <c r="B91" t="s">
        <v>32</v>
      </c>
      <c r="C91" t="str">
        <f>"13-1-BR-64"</f>
        <v>13-1-BR-64</v>
      </c>
      <c r="D91" t="s">
        <v>19</v>
      </c>
      <c r="F91" t="s">
        <v>22</v>
      </c>
      <c r="H91">
        <v>64</v>
      </c>
      <c r="J91" s="1">
        <v>23.5</v>
      </c>
      <c r="K91" s="1">
        <v>0</v>
      </c>
      <c r="M91" s="1">
        <v>0</v>
      </c>
      <c r="O91" s="1">
        <v>37</v>
      </c>
      <c r="Q91" s="2">
        <v>60.5</v>
      </c>
    </row>
    <row r="92" spans="1:17" x14ac:dyDescent="0.25">
      <c r="A92" t="s">
        <v>31</v>
      </c>
      <c r="B92" t="s">
        <v>32</v>
      </c>
      <c r="C92" t="str">
        <f>"13-1-BR-66"</f>
        <v>13-1-BR-66</v>
      </c>
      <c r="D92" t="s">
        <v>19</v>
      </c>
      <c r="F92" t="s">
        <v>22</v>
      </c>
      <c r="H92">
        <v>66</v>
      </c>
      <c r="J92" s="1">
        <v>23.5</v>
      </c>
      <c r="K92" s="1">
        <v>0</v>
      </c>
      <c r="M92" s="1">
        <v>0</v>
      </c>
      <c r="O92" s="1">
        <v>37</v>
      </c>
      <c r="Q92" s="2">
        <v>60.5</v>
      </c>
    </row>
    <row r="93" spans="1:17" x14ac:dyDescent="0.25">
      <c r="A93" t="s">
        <v>31</v>
      </c>
      <c r="B93" t="s">
        <v>32</v>
      </c>
      <c r="C93" t="str">
        <f>"13-1-BR-68"</f>
        <v>13-1-BR-68</v>
      </c>
      <c r="D93" t="s">
        <v>19</v>
      </c>
      <c r="F93" t="s">
        <v>22</v>
      </c>
      <c r="H93">
        <v>68</v>
      </c>
      <c r="J93" s="1">
        <v>23.5</v>
      </c>
      <c r="K93" s="1">
        <v>0</v>
      </c>
      <c r="M93" s="1">
        <v>0</v>
      </c>
      <c r="O93" s="1">
        <v>37</v>
      </c>
      <c r="Q93" s="2">
        <v>60.5</v>
      </c>
    </row>
    <row r="94" spans="1:17" x14ac:dyDescent="0.25">
      <c r="A94" t="s">
        <v>31</v>
      </c>
      <c r="B94" t="s">
        <v>32</v>
      </c>
      <c r="C94" t="str">
        <f>"13-1-BR-70"</f>
        <v>13-1-BR-70</v>
      </c>
      <c r="D94" t="s">
        <v>19</v>
      </c>
      <c r="F94" t="s">
        <v>22</v>
      </c>
      <c r="H94">
        <v>70</v>
      </c>
      <c r="J94" s="1">
        <v>23.5</v>
      </c>
      <c r="K94" s="1">
        <v>0</v>
      </c>
      <c r="M94" s="1">
        <v>0</v>
      </c>
      <c r="O94" s="1">
        <v>37</v>
      </c>
      <c r="Q94" s="2">
        <v>60.5</v>
      </c>
    </row>
    <row r="95" spans="1:17" x14ac:dyDescent="0.25">
      <c r="A95" t="s">
        <v>31</v>
      </c>
      <c r="B95" t="s">
        <v>32</v>
      </c>
      <c r="C95" t="str">
        <f>"13-1-BR-72"</f>
        <v>13-1-BR-72</v>
      </c>
      <c r="D95" t="s">
        <v>19</v>
      </c>
      <c r="F95" t="s">
        <v>22</v>
      </c>
      <c r="H95">
        <v>72</v>
      </c>
      <c r="J95" s="1">
        <v>23.5</v>
      </c>
      <c r="K95" s="1">
        <v>0</v>
      </c>
      <c r="M95" s="1">
        <v>0</v>
      </c>
      <c r="O95" s="1">
        <v>37</v>
      </c>
      <c r="Q95" s="2">
        <v>60.5</v>
      </c>
    </row>
    <row r="96" spans="1:17" x14ac:dyDescent="0.25">
      <c r="A96" t="s">
        <v>31</v>
      </c>
      <c r="B96" t="s">
        <v>32</v>
      </c>
      <c r="C96" t="str">
        <f>"13-1-BR-74"</f>
        <v>13-1-BR-74</v>
      </c>
      <c r="D96" t="s">
        <v>19</v>
      </c>
      <c r="F96" t="s">
        <v>22</v>
      </c>
      <c r="H96">
        <v>74</v>
      </c>
      <c r="J96" s="1">
        <v>23.5</v>
      </c>
      <c r="K96" s="1">
        <v>0</v>
      </c>
      <c r="M96" s="1">
        <v>0</v>
      </c>
      <c r="O96" s="1">
        <v>37</v>
      </c>
      <c r="Q96" s="2">
        <v>60.5</v>
      </c>
    </row>
    <row r="97" spans="1:17" x14ac:dyDescent="0.25">
      <c r="A97" t="s">
        <v>31</v>
      </c>
      <c r="B97" t="s">
        <v>32</v>
      </c>
      <c r="C97" t="str">
        <f>"13-1-BR-76"</f>
        <v>13-1-BR-76</v>
      </c>
      <c r="D97" t="s">
        <v>19</v>
      </c>
      <c r="F97" t="s">
        <v>22</v>
      </c>
      <c r="H97">
        <v>76</v>
      </c>
      <c r="J97" s="1">
        <v>23.5</v>
      </c>
      <c r="K97" s="1">
        <v>0</v>
      </c>
      <c r="M97" s="1">
        <v>0</v>
      </c>
      <c r="O97" s="1">
        <v>37</v>
      </c>
      <c r="Q97" s="2">
        <v>60.5</v>
      </c>
    </row>
    <row r="98" spans="1:17" x14ac:dyDescent="0.25">
      <c r="A98" t="s">
        <v>31</v>
      </c>
      <c r="B98" t="s">
        <v>32</v>
      </c>
      <c r="C98" t="str">
        <f>"13-1-BR-78"</f>
        <v>13-1-BR-78</v>
      </c>
      <c r="D98" t="s">
        <v>19</v>
      </c>
      <c r="F98" t="s">
        <v>22</v>
      </c>
      <c r="H98">
        <v>78</v>
      </c>
      <c r="J98" s="1">
        <v>23.5</v>
      </c>
      <c r="K98" s="1">
        <v>0</v>
      </c>
      <c r="M98" s="1">
        <v>0</v>
      </c>
      <c r="O98" s="1">
        <v>37</v>
      </c>
      <c r="Q98" s="2">
        <v>60.5</v>
      </c>
    </row>
    <row r="99" spans="1:17" x14ac:dyDescent="0.25">
      <c r="A99" t="s">
        <v>31</v>
      </c>
      <c r="B99" t="s">
        <v>32</v>
      </c>
      <c r="C99" t="str">
        <f>"13-1-BR-80"</f>
        <v>13-1-BR-80</v>
      </c>
      <c r="D99" t="s">
        <v>19</v>
      </c>
      <c r="F99" t="s">
        <v>22</v>
      </c>
      <c r="H99">
        <v>80</v>
      </c>
      <c r="J99" s="1">
        <v>23.5</v>
      </c>
      <c r="K99" s="1">
        <v>0</v>
      </c>
      <c r="M99" s="1">
        <v>0</v>
      </c>
      <c r="O99" s="1">
        <v>37</v>
      </c>
      <c r="Q99" s="2">
        <v>60.5</v>
      </c>
    </row>
    <row r="100" spans="1:17" x14ac:dyDescent="0.25">
      <c r="A100" t="s">
        <v>31</v>
      </c>
      <c r="B100" t="s">
        <v>32</v>
      </c>
      <c r="C100" t="str">
        <f>"13-1-CH-22"</f>
        <v>13-1-CH-22</v>
      </c>
      <c r="D100" t="s">
        <v>19</v>
      </c>
      <c r="F100" t="s">
        <v>23</v>
      </c>
      <c r="H100">
        <v>22</v>
      </c>
      <c r="J100" s="1">
        <v>23.5</v>
      </c>
      <c r="K100" s="1">
        <v>0</v>
      </c>
      <c r="M100" s="1">
        <v>0</v>
      </c>
      <c r="O100" s="1">
        <v>0</v>
      </c>
      <c r="Q100" s="2">
        <v>23.5</v>
      </c>
    </row>
    <row r="101" spans="1:17" x14ac:dyDescent="0.25">
      <c r="A101" t="s">
        <v>31</v>
      </c>
      <c r="B101" t="s">
        <v>32</v>
      </c>
      <c r="C101" t="str">
        <f>"13-1-CH-24"</f>
        <v>13-1-CH-24</v>
      </c>
      <c r="D101" t="s">
        <v>19</v>
      </c>
      <c r="F101" t="s">
        <v>23</v>
      </c>
      <c r="H101">
        <v>24</v>
      </c>
      <c r="J101" s="1">
        <v>23.5</v>
      </c>
      <c r="K101" s="1">
        <v>0</v>
      </c>
      <c r="M101" s="1">
        <v>0</v>
      </c>
      <c r="O101" s="1">
        <v>0</v>
      </c>
      <c r="Q101" s="2">
        <v>23.5</v>
      </c>
    </row>
    <row r="102" spans="1:17" x14ac:dyDescent="0.25">
      <c r="A102" t="s">
        <v>31</v>
      </c>
      <c r="B102" t="s">
        <v>32</v>
      </c>
      <c r="C102" t="str">
        <f>"13-1-CH-26"</f>
        <v>13-1-CH-26</v>
      </c>
      <c r="D102" t="s">
        <v>19</v>
      </c>
      <c r="F102" t="s">
        <v>23</v>
      </c>
      <c r="H102">
        <v>26</v>
      </c>
      <c r="J102" s="1">
        <v>23.5</v>
      </c>
      <c r="K102" s="1">
        <v>0</v>
      </c>
      <c r="M102" s="1">
        <v>0</v>
      </c>
      <c r="O102" s="1">
        <v>0</v>
      </c>
      <c r="Q102" s="2">
        <v>23.5</v>
      </c>
    </row>
    <row r="103" spans="1:17" x14ac:dyDescent="0.25">
      <c r="A103" t="s">
        <v>31</v>
      </c>
      <c r="B103" t="s">
        <v>32</v>
      </c>
      <c r="C103" t="str">
        <f>"13-1-CH-28"</f>
        <v>13-1-CH-28</v>
      </c>
      <c r="D103" t="s">
        <v>19</v>
      </c>
      <c r="F103" t="s">
        <v>23</v>
      </c>
      <c r="H103">
        <v>28</v>
      </c>
      <c r="J103" s="1">
        <v>23.5</v>
      </c>
      <c r="K103" s="1">
        <v>0</v>
      </c>
      <c r="M103" s="1">
        <v>0</v>
      </c>
      <c r="O103" s="1">
        <v>0</v>
      </c>
      <c r="Q103" s="2">
        <v>23.5</v>
      </c>
    </row>
    <row r="104" spans="1:17" x14ac:dyDescent="0.25">
      <c r="A104" t="s">
        <v>31</v>
      </c>
      <c r="B104" t="s">
        <v>32</v>
      </c>
      <c r="C104" t="str">
        <f>"13-1-CH-30"</f>
        <v>13-1-CH-30</v>
      </c>
      <c r="D104" t="s">
        <v>19</v>
      </c>
      <c r="F104" t="s">
        <v>23</v>
      </c>
      <c r="H104">
        <v>30</v>
      </c>
      <c r="J104" s="1">
        <v>23.5</v>
      </c>
      <c r="K104" s="1">
        <v>0</v>
      </c>
      <c r="M104" s="1">
        <v>0</v>
      </c>
      <c r="O104" s="1">
        <v>0</v>
      </c>
      <c r="Q104" s="2">
        <v>23.5</v>
      </c>
    </row>
    <row r="105" spans="1:17" x14ac:dyDescent="0.25">
      <c r="A105" t="s">
        <v>31</v>
      </c>
      <c r="B105" t="s">
        <v>32</v>
      </c>
      <c r="C105" t="str">
        <f>"13-1-CH-32"</f>
        <v>13-1-CH-32</v>
      </c>
      <c r="D105" t="s">
        <v>19</v>
      </c>
      <c r="F105" t="s">
        <v>23</v>
      </c>
      <c r="H105">
        <v>32</v>
      </c>
      <c r="J105" s="1">
        <v>23.5</v>
      </c>
      <c r="K105" s="1">
        <v>0</v>
      </c>
      <c r="M105" s="1">
        <v>0</v>
      </c>
      <c r="O105" s="1">
        <v>0</v>
      </c>
      <c r="Q105" s="2">
        <v>23.5</v>
      </c>
    </row>
    <row r="106" spans="1:17" x14ac:dyDescent="0.25">
      <c r="A106" t="s">
        <v>31</v>
      </c>
      <c r="B106" t="s">
        <v>32</v>
      </c>
      <c r="C106" t="str">
        <f>"13-1-CH-34"</f>
        <v>13-1-CH-34</v>
      </c>
      <c r="D106" t="s">
        <v>19</v>
      </c>
      <c r="F106" t="s">
        <v>23</v>
      </c>
      <c r="H106">
        <v>34</v>
      </c>
      <c r="J106" s="1">
        <v>23.5</v>
      </c>
      <c r="K106" s="1">
        <v>0</v>
      </c>
      <c r="M106" s="1">
        <v>0</v>
      </c>
      <c r="O106" s="1">
        <v>0</v>
      </c>
      <c r="Q106" s="2">
        <v>23.5</v>
      </c>
    </row>
    <row r="107" spans="1:17" x14ac:dyDescent="0.25">
      <c r="A107" t="s">
        <v>31</v>
      </c>
      <c r="B107" t="s">
        <v>32</v>
      </c>
      <c r="C107" t="str">
        <f>"13-1-CH-36"</f>
        <v>13-1-CH-36</v>
      </c>
      <c r="D107" t="s">
        <v>19</v>
      </c>
      <c r="F107" t="s">
        <v>23</v>
      </c>
      <c r="H107">
        <v>36</v>
      </c>
      <c r="J107" s="1">
        <v>23.5</v>
      </c>
      <c r="K107" s="1">
        <v>0</v>
      </c>
      <c r="M107" s="1">
        <v>0</v>
      </c>
      <c r="O107" s="1">
        <v>0</v>
      </c>
      <c r="Q107" s="2">
        <v>23.5</v>
      </c>
    </row>
    <row r="108" spans="1:17" x14ac:dyDescent="0.25">
      <c r="A108" t="s">
        <v>31</v>
      </c>
      <c r="B108" t="s">
        <v>32</v>
      </c>
      <c r="C108" t="str">
        <f>"13-1-CH-38"</f>
        <v>13-1-CH-38</v>
      </c>
      <c r="D108" t="s">
        <v>19</v>
      </c>
      <c r="F108" t="s">
        <v>23</v>
      </c>
      <c r="H108">
        <v>38</v>
      </c>
      <c r="J108" s="1">
        <v>23.5</v>
      </c>
      <c r="K108" s="1">
        <v>0</v>
      </c>
      <c r="M108" s="1">
        <v>0</v>
      </c>
      <c r="O108" s="1">
        <v>0</v>
      </c>
      <c r="Q108" s="2">
        <v>23.5</v>
      </c>
    </row>
    <row r="109" spans="1:17" x14ac:dyDescent="0.25">
      <c r="A109" t="s">
        <v>31</v>
      </c>
      <c r="B109" t="s">
        <v>32</v>
      </c>
      <c r="C109" t="str">
        <f>"13-1-CH-40"</f>
        <v>13-1-CH-40</v>
      </c>
      <c r="D109" t="s">
        <v>19</v>
      </c>
      <c r="F109" t="s">
        <v>23</v>
      </c>
      <c r="H109">
        <v>40</v>
      </c>
      <c r="J109" s="1">
        <v>23.5</v>
      </c>
      <c r="K109" s="1">
        <v>0</v>
      </c>
      <c r="M109" s="1">
        <v>0</v>
      </c>
      <c r="O109" s="1">
        <v>0</v>
      </c>
      <c r="Q109" s="2">
        <v>23.5</v>
      </c>
    </row>
    <row r="110" spans="1:17" x14ac:dyDescent="0.25">
      <c r="A110" t="s">
        <v>31</v>
      </c>
      <c r="B110" t="s">
        <v>32</v>
      </c>
      <c r="C110" t="str">
        <f>"13-1-CH-42"</f>
        <v>13-1-CH-42</v>
      </c>
      <c r="D110" t="s">
        <v>19</v>
      </c>
      <c r="F110" t="s">
        <v>23</v>
      </c>
      <c r="H110">
        <v>42</v>
      </c>
      <c r="J110" s="1">
        <v>23.5</v>
      </c>
      <c r="K110" s="1">
        <v>0</v>
      </c>
      <c r="M110" s="1">
        <v>0</v>
      </c>
      <c r="O110" s="1">
        <v>0</v>
      </c>
      <c r="Q110" s="2">
        <v>23.5</v>
      </c>
    </row>
    <row r="111" spans="1:17" x14ac:dyDescent="0.25">
      <c r="A111" t="s">
        <v>31</v>
      </c>
      <c r="B111" t="s">
        <v>32</v>
      </c>
      <c r="C111" t="str">
        <f>"13-1-CH-44"</f>
        <v>13-1-CH-44</v>
      </c>
      <c r="D111" t="s">
        <v>19</v>
      </c>
      <c r="F111" t="s">
        <v>23</v>
      </c>
      <c r="H111">
        <v>44</v>
      </c>
      <c r="J111" s="1">
        <v>23.5</v>
      </c>
      <c r="K111" s="1">
        <v>0</v>
      </c>
      <c r="M111" s="1">
        <v>0</v>
      </c>
      <c r="O111" s="1">
        <v>0</v>
      </c>
      <c r="Q111" s="2">
        <v>23.5</v>
      </c>
    </row>
    <row r="112" spans="1:17" x14ac:dyDescent="0.25">
      <c r="A112" t="s">
        <v>31</v>
      </c>
      <c r="B112" t="s">
        <v>32</v>
      </c>
      <c r="C112" t="str">
        <f>"13-1-CH-46"</f>
        <v>13-1-CH-46</v>
      </c>
      <c r="D112" t="s">
        <v>19</v>
      </c>
      <c r="F112" t="s">
        <v>23</v>
      </c>
      <c r="H112">
        <v>46</v>
      </c>
      <c r="J112" s="1">
        <v>23.5</v>
      </c>
      <c r="K112" s="1">
        <v>0</v>
      </c>
      <c r="M112" s="1">
        <v>0</v>
      </c>
      <c r="O112" s="1">
        <v>0</v>
      </c>
      <c r="Q112" s="2">
        <v>23.5</v>
      </c>
    </row>
    <row r="113" spans="1:17" x14ac:dyDescent="0.25">
      <c r="A113" t="s">
        <v>31</v>
      </c>
      <c r="B113" t="s">
        <v>32</v>
      </c>
      <c r="C113" t="str">
        <f>"13-1-CH-48"</f>
        <v>13-1-CH-48</v>
      </c>
      <c r="D113" t="s">
        <v>19</v>
      </c>
      <c r="F113" t="s">
        <v>23</v>
      </c>
      <c r="H113">
        <v>48</v>
      </c>
      <c r="J113" s="1">
        <v>23.5</v>
      </c>
      <c r="K113" s="1">
        <v>0</v>
      </c>
      <c r="M113" s="1">
        <v>0</v>
      </c>
      <c r="O113" s="1">
        <v>4</v>
      </c>
      <c r="Q113" s="2">
        <v>27.5</v>
      </c>
    </row>
    <row r="114" spans="1:17" x14ac:dyDescent="0.25">
      <c r="A114" t="s">
        <v>31</v>
      </c>
      <c r="B114" t="s">
        <v>32</v>
      </c>
      <c r="C114" t="str">
        <f>"13-1-CH-50"</f>
        <v>13-1-CH-50</v>
      </c>
      <c r="D114" t="s">
        <v>19</v>
      </c>
      <c r="F114" t="s">
        <v>23</v>
      </c>
      <c r="H114">
        <v>50</v>
      </c>
      <c r="J114" s="1">
        <v>23.5</v>
      </c>
      <c r="K114" s="1">
        <v>0</v>
      </c>
      <c r="M114" s="1">
        <v>0</v>
      </c>
      <c r="O114" s="1">
        <v>6</v>
      </c>
      <c r="Q114" s="2">
        <v>29.5</v>
      </c>
    </row>
    <row r="115" spans="1:17" x14ac:dyDescent="0.25">
      <c r="A115" t="s">
        <v>31</v>
      </c>
      <c r="B115" t="s">
        <v>32</v>
      </c>
      <c r="C115" t="str">
        <f>"13-1-CH-52"</f>
        <v>13-1-CH-52</v>
      </c>
      <c r="D115" t="s">
        <v>19</v>
      </c>
      <c r="F115" t="s">
        <v>23</v>
      </c>
      <c r="H115">
        <v>52</v>
      </c>
      <c r="J115" s="1">
        <v>23.5</v>
      </c>
      <c r="K115" s="1">
        <v>0</v>
      </c>
      <c r="M115" s="1">
        <v>0</v>
      </c>
      <c r="O115" s="1">
        <v>8</v>
      </c>
      <c r="Q115" s="2">
        <v>31.5</v>
      </c>
    </row>
    <row r="116" spans="1:17" x14ac:dyDescent="0.25">
      <c r="A116" t="s">
        <v>31</v>
      </c>
      <c r="B116" t="s">
        <v>32</v>
      </c>
      <c r="C116" t="str">
        <f>"13-1-CH-54"</f>
        <v>13-1-CH-54</v>
      </c>
      <c r="D116" t="s">
        <v>19</v>
      </c>
      <c r="F116" t="s">
        <v>23</v>
      </c>
      <c r="H116">
        <v>54</v>
      </c>
      <c r="J116" s="1">
        <v>23.5</v>
      </c>
      <c r="K116" s="1">
        <v>0</v>
      </c>
      <c r="M116" s="1">
        <v>0</v>
      </c>
      <c r="O116" s="1">
        <v>10</v>
      </c>
      <c r="Q116" s="2">
        <v>33.5</v>
      </c>
    </row>
    <row r="117" spans="1:17" x14ac:dyDescent="0.25">
      <c r="A117" t="s">
        <v>31</v>
      </c>
      <c r="B117" t="s">
        <v>32</v>
      </c>
      <c r="C117" t="str">
        <f>"13-1-CH-56"</f>
        <v>13-1-CH-56</v>
      </c>
      <c r="D117" t="s">
        <v>19</v>
      </c>
      <c r="F117" t="s">
        <v>23</v>
      </c>
      <c r="H117">
        <v>56</v>
      </c>
      <c r="J117" s="1">
        <v>23.5</v>
      </c>
      <c r="K117" s="1">
        <v>0</v>
      </c>
      <c r="M117" s="1">
        <v>0</v>
      </c>
      <c r="O117" s="1">
        <v>12</v>
      </c>
      <c r="Q117" s="2">
        <v>35.5</v>
      </c>
    </row>
    <row r="118" spans="1:17" x14ac:dyDescent="0.25">
      <c r="A118" t="s">
        <v>31</v>
      </c>
      <c r="B118" t="s">
        <v>32</v>
      </c>
      <c r="C118" t="str">
        <f>"13-1-CH-58"</f>
        <v>13-1-CH-58</v>
      </c>
      <c r="D118" t="s">
        <v>19</v>
      </c>
      <c r="F118" t="s">
        <v>23</v>
      </c>
      <c r="H118">
        <v>58</v>
      </c>
      <c r="J118" s="1">
        <v>23.5</v>
      </c>
      <c r="K118" s="1">
        <v>0</v>
      </c>
      <c r="M118" s="1">
        <v>0</v>
      </c>
      <c r="O118" s="1">
        <v>14</v>
      </c>
      <c r="Q118" s="2">
        <v>37.5</v>
      </c>
    </row>
    <row r="119" spans="1:17" x14ac:dyDescent="0.25">
      <c r="A119" t="s">
        <v>31</v>
      </c>
      <c r="B119" t="s">
        <v>32</v>
      </c>
      <c r="C119" t="str">
        <f>"13-1-CH-60"</f>
        <v>13-1-CH-60</v>
      </c>
      <c r="D119" t="s">
        <v>19</v>
      </c>
      <c r="F119" t="s">
        <v>23</v>
      </c>
      <c r="H119">
        <v>60</v>
      </c>
      <c r="J119" s="1">
        <v>23.5</v>
      </c>
      <c r="K119" s="1">
        <v>0</v>
      </c>
      <c r="M119" s="1">
        <v>0</v>
      </c>
      <c r="O119" s="1">
        <v>16</v>
      </c>
      <c r="Q119" s="2">
        <v>39.5</v>
      </c>
    </row>
    <row r="120" spans="1:17" x14ac:dyDescent="0.25">
      <c r="A120" t="s">
        <v>31</v>
      </c>
      <c r="B120" t="s">
        <v>32</v>
      </c>
      <c r="C120" t="str">
        <f>"13-1-CH-62"</f>
        <v>13-1-CH-62</v>
      </c>
      <c r="D120" t="s">
        <v>19</v>
      </c>
      <c r="F120" t="s">
        <v>23</v>
      </c>
      <c r="H120">
        <v>62</v>
      </c>
      <c r="J120" s="1">
        <v>23.5</v>
      </c>
      <c r="K120" s="1">
        <v>0</v>
      </c>
      <c r="M120" s="1">
        <v>0</v>
      </c>
      <c r="O120" s="1">
        <v>18</v>
      </c>
      <c r="Q120" s="2">
        <v>41.5</v>
      </c>
    </row>
    <row r="121" spans="1:17" x14ac:dyDescent="0.25">
      <c r="A121" t="s">
        <v>31</v>
      </c>
      <c r="B121" t="s">
        <v>32</v>
      </c>
      <c r="C121" t="str">
        <f>"13-1-CH-64"</f>
        <v>13-1-CH-64</v>
      </c>
      <c r="D121" t="s">
        <v>19</v>
      </c>
      <c r="F121" t="s">
        <v>23</v>
      </c>
      <c r="H121">
        <v>64</v>
      </c>
      <c r="J121" s="1">
        <v>23.5</v>
      </c>
      <c r="K121" s="1">
        <v>0</v>
      </c>
      <c r="M121" s="1">
        <v>0</v>
      </c>
      <c r="O121" s="1">
        <v>37</v>
      </c>
      <c r="Q121" s="2">
        <v>60.5</v>
      </c>
    </row>
    <row r="122" spans="1:17" x14ac:dyDescent="0.25">
      <c r="A122" t="s">
        <v>31</v>
      </c>
      <c r="B122" t="s">
        <v>32</v>
      </c>
      <c r="C122" t="str">
        <f>"13-1-CH-66"</f>
        <v>13-1-CH-66</v>
      </c>
      <c r="D122" t="s">
        <v>19</v>
      </c>
      <c r="F122" t="s">
        <v>23</v>
      </c>
      <c r="H122">
        <v>66</v>
      </c>
      <c r="J122" s="1">
        <v>23.5</v>
      </c>
      <c r="K122" s="1">
        <v>0</v>
      </c>
      <c r="M122" s="1">
        <v>0</v>
      </c>
      <c r="O122" s="1">
        <v>37</v>
      </c>
      <c r="Q122" s="2">
        <v>60.5</v>
      </c>
    </row>
    <row r="123" spans="1:17" x14ac:dyDescent="0.25">
      <c r="A123" t="s">
        <v>31</v>
      </c>
      <c r="B123" t="s">
        <v>32</v>
      </c>
      <c r="C123" t="str">
        <f>"13-1-CH-68"</f>
        <v>13-1-CH-68</v>
      </c>
      <c r="D123" t="s">
        <v>19</v>
      </c>
      <c r="F123" t="s">
        <v>23</v>
      </c>
      <c r="H123">
        <v>68</v>
      </c>
      <c r="J123" s="1">
        <v>23.5</v>
      </c>
      <c r="K123" s="1">
        <v>0</v>
      </c>
      <c r="M123" s="1">
        <v>0</v>
      </c>
      <c r="O123" s="1">
        <v>37</v>
      </c>
      <c r="Q123" s="2">
        <v>60.5</v>
      </c>
    </row>
    <row r="124" spans="1:17" x14ac:dyDescent="0.25">
      <c r="A124" t="s">
        <v>31</v>
      </c>
      <c r="B124" t="s">
        <v>32</v>
      </c>
      <c r="C124" t="str">
        <f>"13-1-CH-70"</f>
        <v>13-1-CH-70</v>
      </c>
      <c r="D124" t="s">
        <v>19</v>
      </c>
      <c r="F124" t="s">
        <v>23</v>
      </c>
      <c r="H124">
        <v>70</v>
      </c>
      <c r="J124" s="1">
        <v>23.5</v>
      </c>
      <c r="K124" s="1">
        <v>0</v>
      </c>
      <c r="M124" s="1">
        <v>0</v>
      </c>
      <c r="O124" s="1">
        <v>37</v>
      </c>
      <c r="Q124" s="2">
        <v>60.5</v>
      </c>
    </row>
    <row r="125" spans="1:17" x14ac:dyDescent="0.25">
      <c r="A125" t="s">
        <v>31</v>
      </c>
      <c r="B125" t="s">
        <v>32</v>
      </c>
      <c r="C125" t="str">
        <f>"13-1-CH-72"</f>
        <v>13-1-CH-72</v>
      </c>
      <c r="D125" t="s">
        <v>19</v>
      </c>
      <c r="F125" t="s">
        <v>23</v>
      </c>
      <c r="H125">
        <v>72</v>
      </c>
      <c r="J125" s="1">
        <v>23.5</v>
      </c>
      <c r="K125" s="1">
        <v>0</v>
      </c>
      <c r="M125" s="1">
        <v>0</v>
      </c>
      <c r="O125" s="1">
        <v>37</v>
      </c>
      <c r="Q125" s="2">
        <v>60.5</v>
      </c>
    </row>
    <row r="126" spans="1:17" x14ac:dyDescent="0.25">
      <c r="A126" t="s">
        <v>31</v>
      </c>
      <c r="B126" t="s">
        <v>32</v>
      </c>
      <c r="C126" t="str">
        <f>"13-1-CH-74"</f>
        <v>13-1-CH-74</v>
      </c>
      <c r="D126" t="s">
        <v>19</v>
      </c>
      <c r="F126" t="s">
        <v>23</v>
      </c>
      <c r="H126">
        <v>74</v>
      </c>
      <c r="J126" s="1">
        <v>23.5</v>
      </c>
      <c r="K126" s="1">
        <v>0</v>
      </c>
      <c r="M126" s="1">
        <v>0</v>
      </c>
      <c r="O126" s="1">
        <v>37</v>
      </c>
      <c r="Q126" s="2">
        <v>60.5</v>
      </c>
    </row>
    <row r="127" spans="1:17" x14ac:dyDescent="0.25">
      <c r="A127" t="s">
        <v>31</v>
      </c>
      <c r="B127" t="s">
        <v>32</v>
      </c>
      <c r="C127" t="str">
        <f>"13-1-CH-76"</f>
        <v>13-1-CH-76</v>
      </c>
      <c r="D127" t="s">
        <v>19</v>
      </c>
      <c r="F127" t="s">
        <v>23</v>
      </c>
      <c r="H127">
        <v>76</v>
      </c>
      <c r="J127" s="1">
        <v>23.5</v>
      </c>
      <c r="K127" s="1">
        <v>0</v>
      </c>
      <c r="M127" s="1">
        <v>0</v>
      </c>
      <c r="O127" s="1">
        <v>37</v>
      </c>
      <c r="Q127" s="2">
        <v>60.5</v>
      </c>
    </row>
    <row r="128" spans="1:17" x14ac:dyDescent="0.25">
      <c r="A128" t="s">
        <v>31</v>
      </c>
      <c r="B128" t="s">
        <v>32</v>
      </c>
      <c r="C128" t="str">
        <f>"13-1-CH-78"</f>
        <v>13-1-CH-78</v>
      </c>
      <c r="D128" t="s">
        <v>19</v>
      </c>
      <c r="F128" t="s">
        <v>23</v>
      </c>
      <c r="H128">
        <v>78</v>
      </c>
      <c r="J128" s="1">
        <v>23.5</v>
      </c>
      <c r="K128" s="1">
        <v>0</v>
      </c>
      <c r="M128" s="1">
        <v>0</v>
      </c>
      <c r="O128" s="1">
        <v>37</v>
      </c>
      <c r="Q128" s="2">
        <v>60.5</v>
      </c>
    </row>
    <row r="129" spans="1:17" x14ac:dyDescent="0.25">
      <c r="A129" t="s">
        <v>31</v>
      </c>
      <c r="B129" t="s">
        <v>32</v>
      </c>
      <c r="C129" t="str">
        <f>"13-1-CH-80"</f>
        <v>13-1-CH-80</v>
      </c>
      <c r="D129" t="s">
        <v>19</v>
      </c>
      <c r="F129" t="s">
        <v>23</v>
      </c>
      <c r="H129">
        <v>80</v>
      </c>
      <c r="J129" s="1">
        <v>23.5</v>
      </c>
      <c r="K129" s="1">
        <v>0</v>
      </c>
      <c r="M129" s="1">
        <v>0</v>
      </c>
      <c r="O129" s="1">
        <v>37</v>
      </c>
      <c r="Q129" s="2">
        <v>60.5</v>
      </c>
    </row>
    <row r="130" spans="1:17" x14ac:dyDescent="0.25">
      <c r="A130" t="s">
        <v>31</v>
      </c>
      <c r="B130" t="s">
        <v>32</v>
      </c>
      <c r="C130" t="str">
        <f>"13-2-BR-22"</f>
        <v>13-2-BR-22</v>
      </c>
      <c r="D130" t="s">
        <v>25</v>
      </c>
      <c r="F130" t="s">
        <v>22</v>
      </c>
      <c r="H130">
        <v>22</v>
      </c>
      <c r="J130" s="1">
        <v>23.5</v>
      </c>
      <c r="K130" s="1">
        <v>0</v>
      </c>
      <c r="M130" s="1">
        <v>0</v>
      </c>
      <c r="O130" s="1">
        <v>0</v>
      </c>
      <c r="Q130" s="2">
        <v>23.5</v>
      </c>
    </row>
    <row r="131" spans="1:17" x14ac:dyDescent="0.25">
      <c r="A131" t="s">
        <v>31</v>
      </c>
      <c r="B131" t="s">
        <v>32</v>
      </c>
      <c r="C131" t="str">
        <f>"13-2-BR-24"</f>
        <v>13-2-BR-24</v>
      </c>
      <c r="D131" t="s">
        <v>25</v>
      </c>
      <c r="F131" t="s">
        <v>22</v>
      </c>
      <c r="H131">
        <v>24</v>
      </c>
      <c r="J131" s="1">
        <v>23.5</v>
      </c>
      <c r="K131" s="1">
        <v>0</v>
      </c>
      <c r="M131" s="1">
        <v>0</v>
      </c>
      <c r="O131" s="1">
        <v>0</v>
      </c>
      <c r="Q131" s="2">
        <v>23.5</v>
      </c>
    </row>
    <row r="132" spans="1:17" x14ac:dyDescent="0.25">
      <c r="A132" t="s">
        <v>31</v>
      </c>
      <c r="B132" t="s">
        <v>32</v>
      </c>
      <c r="C132" t="str">
        <f>"13-2-BR-26"</f>
        <v>13-2-BR-26</v>
      </c>
      <c r="D132" t="s">
        <v>25</v>
      </c>
      <c r="F132" t="s">
        <v>22</v>
      </c>
      <c r="H132">
        <v>26</v>
      </c>
      <c r="J132" s="1">
        <v>23.5</v>
      </c>
      <c r="K132" s="1">
        <v>0</v>
      </c>
      <c r="M132" s="1">
        <v>0</v>
      </c>
      <c r="O132" s="1">
        <v>0</v>
      </c>
      <c r="Q132" s="2">
        <v>23.5</v>
      </c>
    </row>
    <row r="133" spans="1:17" x14ac:dyDescent="0.25">
      <c r="A133" t="s">
        <v>31</v>
      </c>
      <c r="B133" t="s">
        <v>32</v>
      </c>
      <c r="C133" t="str">
        <f>"13-2-BR-28"</f>
        <v>13-2-BR-28</v>
      </c>
      <c r="D133" t="s">
        <v>25</v>
      </c>
      <c r="F133" t="s">
        <v>22</v>
      </c>
      <c r="H133">
        <v>28</v>
      </c>
      <c r="J133" s="1">
        <v>23.5</v>
      </c>
      <c r="K133" s="1">
        <v>0</v>
      </c>
      <c r="M133" s="1">
        <v>0</v>
      </c>
      <c r="O133" s="1">
        <v>0</v>
      </c>
      <c r="Q133" s="2">
        <v>23.5</v>
      </c>
    </row>
    <row r="134" spans="1:17" x14ac:dyDescent="0.25">
      <c r="A134" t="s">
        <v>31</v>
      </c>
      <c r="B134" t="s">
        <v>32</v>
      </c>
      <c r="C134" t="str">
        <f>"13-2-BR-30"</f>
        <v>13-2-BR-30</v>
      </c>
      <c r="D134" t="s">
        <v>25</v>
      </c>
      <c r="F134" t="s">
        <v>22</v>
      </c>
      <c r="H134">
        <v>30</v>
      </c>
      <c r="J134" s="1">
        <v>23.5</v>
      </c>
      <c r="K134" s="1">
        <v>0</v>
      </c>
      <c r="M134" s="1">
        <v>0</v>
      </c>
      <c r="O134" s="1">
        <v>0</v>
      </c>
      <c r="Q134" s="2">
        <v>23.5</v>
      </c>
    </row>
    <row r="135" spans="1:17" x14ac:dyDescent="0.25">
      <c r="A135" t="s">
        <v>31</v>
      </c>
      <c r="B135" t="s">
        <v>32</v>
      </c>
      <c r="C135" t="str">
        <f>"13-2-BR-32"</f>
        <v>13-2-BR-32</v>
      </c>
      <c r="D135" t="s">
        <v>25</v>
      </c>
      <c r="F135" t="s">
        <v>22</v>
      </c>
      <c r="H135">
        <v>32</v>
      </c>
      <c r="J135" s="1">
        <v>23.5</v>
      </c>
      <c r="K135" s="1">
        <v>0</v>
      </c>
      <c r="M135" s="1">
        <v>0</v>
      </c>
      <c r="O135" s="1">
        <v>0</v>
      </c>
      <c r="Q135" s="2">
        <v>23.5</v>
      </c>
    </row>
    <row r="136" spans="1:17" x14ac:dyDescent="0.25">
      <c r="A136" t="s">
        <v>31</v>
      </c>
      <c r="B136" t="s">
        <v>32</v>
      </c>
      <c r="C136" t="str">
        <f>"13-2-BR-34"</f>
        <v>13-2-BR-34</v>
      </c>
      <c r="D136" t="s">
        <v>25</v>
      </c>
      <c r="F136" t="s">
        <v>22</v>
      </c>
      <c r="H136">
        <v>34</v>
      </c>
      <c r="J136" s="1">
        <v>23.5</v>
      </c>
      <c r="K136" s="1">
        <v>0</v>
      </c>
      <c r="M136" s="1">
        <v>0</v>
      </c>
      <c r="O136" s="1">
        <v>0</v>
      </c>
      <c r="Q136" s="2">
        <v>23.5</v>
      </c>
    </row>
    <row r="137" spans="1:17" x14ac:dyDescent="0.25">
      <c r="A137" t="s">
        <v>31</v>
      </c>
      <c r="B137" t="s">
        <v>32</v>
      </c>
      <c r="C137" t="str">
        <f>"13-2-BR-36"</f>
        <v>13-2-BR-36</v>
      </c>
      <c r="D137" t="s">
        <v>25</v>
      </c>
      <c r="F137" t="s">
        <v>22</v>
      </c>
      <c r="H137">
        <v>36</v>
      </c>
      <c r="J137" s="1">
        <v>23.5</v>
      </c>
      <c r="K137" s="1">
        <v>0</v>
      </c>
      <c r="M137" s="1">
        <v>0</v>
      </c>
      <c r="O137" s="1">
        <v>0</v>
      </c>
      <c r="Q137" s="2">
        <v>23.5</v>
      </c>
    </row>
    <row r="138" spans="1:17" x14ac:dyDescent="0.25">
      <c r="A138" t="s">
        <v>31</v>
      </c>
      <c r="B138" t="s">
        <v>32</v>
      </c>
      <c r="C138" t="str">
        <f>"13-2-BR-38"</f>
        <v>13-2-BR-38</v>
      </c>
      <c r="D138" t="s">
        <v>25</v>
      </c>
      <c r="F138" t="s">
        <v>22</v>
      </c>
      <c r="H138">
        <v>38</v>
      </c>
      <c r="J138" s="1">
        <v>23.5</v>
      </c>
      <c r="K138" s="1">
        <v>0</v>
      </c>
      <c r="M138" s="1">
        <v>0</v>
      </c>
      <c r="O138" s="1">
        <v>0</v>
      </c>
      <c r="Q138" s="2">
        <v>23.5</v>
      </c>
    </row>
    <row r="139" spans="1:17" x14ac:dyDescent="0.25">
      <c r="A139" t="s">
        <v>31</v>
      </c>
      <c r="B139" t="s">
        <v>32</v>
      </c>
      <c r="C139" t="str">
        <f>"13-2-BR-40"</f>
        <v>13-2-BR-40</v>
      </c>
      <c r="D139" t="s">
        <v>25</v>
      </c>
      <c r="F139" t="s">
        <v>22</v>
      </c>
      <c r="H139">
        <v>40</v>
      </c>
      <c r="J139" s="1">
        <v>23.5</v>
      </c>
      <c r="K139" s="1">
        <v>0</v>
      </c>
      <c r="M139" s="1">
        <v>0</v>
      </c>
      <c r="O139" s="1">
        <v>0</v>
      </c>
      <c r="Q139" s="2">
        <v>23.5</v>
      </c>
    </row>
    <row r="140" spans="1:17" x14ac:dyDescent="0.25">
      <c r="A140" t="s">
        <v>31</v>
      </c>
      <c r="B140" t="s">
        <v>32</v>
      </c>
      <c r="C140" t="str">
        <f>"13-2-BR-42"</f>
        <v>13-2-BR-42</v>
      </c>
      <c r="D140" t="s">
        <v>25</v>
      </c>
      <c r="F140" t="s">
        <v>22</v>
      </c>
      <c r="H140">
        <v>42</v>
      </c>
      <c r="J140" s="1">
        <v>23.5</v>
      </c>
      <c r="K140" s="1">
        <v>0</v>
      </c>
      <c r="M140" s="1">
        <v>0</v>
      </c>
      <c r="O140" s="1">
        <v>0</v>
      </c>
      <c r="Q140" s="2">
        <v>23.5</v>
      </c>
    </row>
    <row r="141" spans="1:17" x14ac:dyDescent="0.25">
      <c r="A141" t="s">
        <v>31</v>
      </c>
      <c r="B141" t="s">
        <v>32</v>
      </c>
      <c r="C141" t="str">
        <f>"13-2-BR-44"</f>
        <v>13-2-BR-44</v>
      </c>
      <c r="D141" t="s">
        <v>25</v>
      </c>
      <c r="F141" t="s">
        <v>22</v>
      </c>
      <c r="H141">
        <v>44</v>
      </c>
      <c r="J141" s="1">
        <v>23.5</v>
      </c>
      <c r="K141" s="1">
        <v>0</v>
      </c>
      <c r="M141" s="1">
        <v>0</v>
      </c>
      <c r="O141" s="1">
        <v>0</v>
      </c>
      <c r="Q141" s="2">
        <v>23.5</v>
      </c>
    </row>
    <row r="142" spans="1:17" x14ac:dyDescent="0.25">
      <c r="A142" t="s">
        <v>31</v>
      </c>
      <c r="B142" t="s">
        <v>32</v>
      </c>
      <c r="C142" t="str">
        <f>"13-2-BR-46"</f>
        <v>13-2-BR-46</v>
      </c>
      <c r="D142" t="s">
        <v>25</v>
      </c>
      <c r="F142" t="s">
        <v>22</v>
      </c>
      <c r="H142">
        <v>46</v>
      </c>
      <c r="J142" s="1">
        <v>23.5</v>
      </c>
      <c r="K142" s="1">
        <v>0</v>
      </c>
      <c r="M142" s="1">
        <v>0</v>
      </c>
      <c r="O142" s="1">
        <v>0</v>
      </c>
      <c r="Q142" s="2">
        <v>23.5</v>
      </c>
    </row>
    <row r="143" spans="1:17" x14ac:dyDescent="0.25">
      <c r="A143" t="s">
        <v>31</v>
      </c>
      <c r="B143" t="s">
        <v>32</v>
      </c>
      <c r="C143" t="str">
        <f>"13-2-BR-48"</f>
        <v>13-2-BR-48</v>
      </c>
      <c r="D143" t="s">
        <v>25</v>
      </c>
      <c r="F143" t="s">
        <v>22</v>
      </c>
      <c r="H143">
        <v>48</v>
      </c>
      <c r="J143" s="1">
        <v>23.5</v>
      </c>
      <c r="K143" s="1">
        <v>0</v>
      </c>
      <c r="M143" s="1">
        <v>0</v>
      </c>
      <c r="O143" s="1">
        <v>4</v>
      </c>
      <c r="Q143" s="2">
        <v>27.5</v>
      </c>
    </row>
    <row r="144" spans="1:17" x14ac:dyDescent="0.25">
      <c r="A144" t="s">
        <v>31</v>
      </c>
      <c r="B144" t="s">
        <v>32</v>
      </c>
      <c r="C144" t="str">
        <f>"13-2-BR-50"</f>
        <v>13-2-BR-50</v>
      </c>
      <c r="D144" t="s">
        <v>25</v>
      </c>
      <c r="F144" t="s">
        <v>22</v>
      </c>
      <c r="H144">
        <v>50</v>
      </c>
      <c r="J144" s="1">
        <v>23.5</v>
      </c>
      <c r="K144" s="1">
        <v>0</v>
      </c>
      <c r="M144" s="1">
        <v>0</v>
      </c>
      <c r="O144" s="1">
        <v>6</v>
      </c>
      <c r="Q144" s="2">
        <v>29.5</v>
      </c>
    </row>
    <row r="145" spans="1:17" x14ac:dyDescent="0.25">
      <c r="A145" t="s">
        <v>31</v>
      </c>
      <c r="B145" t="s">
        <v>32</v>
      </c>
      <c r="C145" t="str">
        <f>"13-2-BR-52"</f>
        <v>13-2-BR-52</v>
      </c>
      <c r="D145" t="s">
        <v>25</v>
      </c>
      <c r="F145" t="s">
        <v>22</v>
      </c>
      <c r="H145">
        <v>52</v>
      </c>
      <c r="J145" s="1">
        <v>23.5</v>
      </c>
      <c r="K145" s="1">
        <v>0</v>
      </c>
      <c r="M145" s="1">
        <v>0</v>
      </c>
      <c r="O145" s="1">
        <v>8</v>
      </c>
      <c r="Q145" s="2">
        <v>31.5</v>
      </c>
    </row>
    <row r="146" spans="1:17" x14ac:dyDescent="0.25">
      <c r="A146" t="s">
        <v>31</v>
      </c>
      <c r="B146" t="s">
        <v>32</v>
      </c>
      <c r="C146" t="str">
        <f>"13-2-BR-54"</f>
        <v>13-2-BR-54</v>
      </c>
      <c r="D146" t="s">
        <v>25</v>
      </c>
      <c r="F146" t="s">
        <v>22</v>
      </c>
      <c r="H146">
        <v>54</v>
      </c>
      <c r="J146" s="1">
        <v>23.5</v>
      </c>
      <c r="K146" s="1">
        <v>0</v>
      </c>
      <c r="M146" s="1">
        <v>0</v>
      </c>
      <c r="O146" s="1">
        <v>10</v>
      </c>
      <c r="Q146" s="2">
        <v>33.5</v>
      </c>
    </row>
    <row r="147" spans="1:17" x14ac:dyDescent="0.25">
      <c r="A147" t="s">
        <v>31</v>
      </c>
      <c r="B147" t="s">
        <v>32</v>
      </c>
      <c r="C147" t="str">
        <f>"13-2-BR-56"</f>
        <v>13-2-BR-56</v>
      </c>
      <c r="D147" t="s">
        <v>25</v>
      </c>
      <c r="F147" t="s">
        <v>22</v>
      </c>
      <c r="H147">
        <v>56</v>
      </c>
      <c r="J147" s="1">
        <v>23.5</v>
      </c>
      <c r="K147" s="1">
        <v>0</v>
      </c>
      <c r="M147" s="1">
        <v>0</v>
      </c>
      <c r="O147" s="1">
        <v>12</v>
      </c>
      <c r="Q147" s="2">
        <v>35.5</v>
      </c>
    </row>
    <row r="148" spans="1:17" x14ac:dyDescent="0.25">
      <c r="A148" t="s">
        <v>31</v>
      </c>
      <c r="B148" t="s">
        <v>32</v>
      </c>
      <c r="C148" t="str">
        <f>"13-2-BR-58"</f>
        <v>13-2-BR-58</v>
      </c>
      <c r="D148" t="s">
        <v>25</v>
      </c>
      <c r="F148" t="s">
        <v>22</v>
      </c>
      <c r="H148">
        <v>58</v>
      </c>
      <c r="J148" s="1">
        <v>23.5</v>
      </c>
      <c r="K148" s="1">
        <v>0</v>
      </c>
      <c r="M148" s="1">
        <v>0</v>
      </c>
      <c r="O148" s="1">
        <v>14</v>
      </c>
      <c r="Q148" s="2">
        <v>37.5</v>
      </c>
    </row>
    <row r="149" spans="1:17" x14ac:dyDescent="0.25">
      <c r="A149" t="s">
        <v>31</v>
      </c>
      <c r="B149" t="s">
        <v>32</v>
      </c>
      <c r="C149" t="str">
        <f>"13-2-BR-60"</f>
        <v>13-2-BR-60</v>
      </c>
      <c r="D149" t="s">
        <v>25</v>
      </c>
      <c r="F149" t="s">
        <v>22</v>
      </c>
      <c r="H149">
        <v>60</v>
      </c>
      <c r="J149" s="1">
        <v>23.5</v>
      </c>
      <c r="K149" s="1">
        <v>0</v>
      </c>
      <c r="M149" s="1">
        <v>0</v>
      </c>
      <c r="O149" s="1">
        <v>16</v>
      </c>
      <c r="Q149" s="2">
        <v>39.5</v>
      </c>
    </row>
    <row r="150" spans="1:17" x14ac:dyDescent="0.25">
      <c r="A150" t="s">
        <v>31</v>
      </c>
      <c r="B150" t="s">
        <v>32</v>
      </c>
      <c r="C150" t="str">
        <f>"13-2-BR-62"</f>
        <v>13-2-BR-62</v>
      </c>
      <c r="D150" t="s">
        <v>25</v>
      </c>
      <c r="F150" t="s">
        <v>22</v>
      </c>
      <c r="H150">
        <v>62</v>
      </c>
      <c r="J150" s="1">
        <v>23.5</v>
      </c>
      <c r="K150" s="1">
        <v>0</v>
      </c>
      <c r="M150" s="1">
        <v>0</v>
      </c>
      <c r="O150" s="1">
        <v>18</v>
      </c>
      <c r="Q150" s="2">
        <v>41.5</v>
      </c>
    </row>
    <row r="151" spans="1:17" x14ac:dyDescent="0.25">
      <c r="A151" t="s">
        <v>31</v>
      </c>
      <c r="B151" t="s">
        <v>32</v>
      </c>
      <c r="C151" t="str">
        <f>"13-2-BR-64"</f>
        <v>13-2-BR-64</v>
      </c>
      <c r="D151" t="s">
        <v>25</v>
      </c>
      <c r="F151" t="s">
        <v>22</v>
      </c>
      <c r="H151">
        <v>64</v>
      </c>
      <c r="J151" s="1">
        <v>23.5</v>
      </c>
      <c r="K151" s="1">
        <v>0</v>
      </c>
      <c r="M151" s="1">
        <v>0</v>
      </c>
      <c r="O151" s="1">
        <v>37</v>
      </c>
      <c r="Q151" s="2">
        <v>60.5</v>
      </c>
    </row>
    <row r="152" spans="1:17" x14ac:dyDescent="0.25">
      <c r="A152" t="s">
        <v>31</v>
      </c>
      <c r="B152" t="s">
        <v>32</v>
      </c>
      <c r="C152" t="str">
        <f>"13-2-BR-66"</f>
        <v>13-2-BR-66</v>
      </c>
      <c r="D152" t="s">
        <v>25</v>
      </c>
      <c r="F152" t="s">
        <v>22</v>
      </c>
      <c r="H152">
        <v>66</v>
      </c>
      <c r="J152" s="1">
        <v>23.5</v>
      </c>
      <c r="K152" s="1">
        <v>0</v>
      </c>
      <c r="M152" s="1">
        <v>0</v>
      </c>
      <c r="O152" s="1">
        <v>37</v>
      </c>
      <c r="Q152" s="2">
        <v>60.5</v>
      </c>
    </row>
    <row r="153" spans="1:17" x14ac:dyDescent="0.25">
      <c r="A153" t="s">
        <v>31</v>
      </c>
      <c r="B153" t="s">
        <v>32</v>
      </c>
      <c r="C153" t="str">
        <f>"13-2-BR-68"</f>
        <v>13-2-BR-68</v>
      </c>
      <c r="D153" t="s">
        <v>25</v>
      </c>
      <c r="F153" t="s">
        <v>22</v>
      </c>
      <c r="H153">
        <v>68</v>
      </c>
      <c r="J153" s="1">
        <v>23.5</v>
      </c>
      <c r="K153" s="1">
        <v>0</v>
      </c>
      <c r="M153" s="1">
        <v>0</v>
      </c>
      <c r="O153" s="1">
        <v>37</v>
      </c>
      <c r="Q153" s="2">
        <v>60.5</v>
      </c>
    </row>
    <row r="154" spans="1:17" x14ac:dyDescent="0.25">
      <c r="A154" t="s">
        <v>31</v>
      </c>
      <c r="B154" t="s">
        <v>32</v>
      </c>
      <c r="C154" t="str">
        <f>"13-2-BR-70"</f>
        <v>13-2-BR-70</v>
      </c>
      <c r="D154" t="s">
        <v>25</v>
      </c>
      <c r="F154" t="s">
        <v>22</v>
      </c>
      <c r="H154">
        <v>70</v>
      </c>
      <c r="J154" s="1">
        <v>23.5</v>
      </c>
      <c r="K154" s="1">
        <v>0</v>
      </c>
      <c r="M154" s="1">
        <v>0</v>
      </c>
      <c r="O154" s="1">
        <v>37</v>
      </c>
      <c r="Q154" s="2">
        <v>60.5</v>
      </c>
    </row>
    <row r="155" spans="1:17" x14ac:dyDescent="0.25">
      <c r="A155" t="s">
        <v>31</v>
      </c>
      <c r="B155" t="s">
        <v>32</v>
      </c>
      <c r="C155" t="str">
        <f>"13-2-BR-72"</f>
        <v>13-2-BR-72</v>
      </c>
      <c r="D155" t="s">
        <v>25</v>
      </c>
      <c r="F155" t="s">
        <v>22</v>
      </c>
      <c r="H155">
        <v>72</v>
      </c>
      <c r="J155" s="1">
        <v>23.5</v>
      </c>
      <c r="K155" s="1">
        <v>0</v>
      </c>
      <c r="M155" s="1">
        <v>0</v>
      </c>
      <c r="O155" s="1">
        <v>37</v>
      </c>
      <c r="Q155" s="2">
        <v>60.5</v>
      </c>
    </row>
    <row r="156" spans="1:17" x14ac:dyDescent="0.25">
      <c r="A156" t="s">
        <v>31</v>
      </c>
      <c r="B156" t="s">
        <v>32</v>
      </c>
      <c r="C156" t="str">
        <f>"13-2-BR-74"</f>
        <v>13-2-BR-74</v>
      </c>
      <c r="D156" t="s">
        <v>25</v>
      </c>
      <c r="F156" t="s">
        <v>22</v>
      </c>
      <c r="H156">
        <v>74</v>
      </c>
      <c r="J156" s="1">
        <v>23.5</v>
      </c>
      <c r="K156" s="1">
        <v>0</v>
      </c>
      <c r="M156" s="1">
        <v>0</v>
      </c>
      <c r="O156" s="1">
        <v>37</v>
      </c>
      <c r="Q156" s="2">
        <v>60.5</v>
      </c>
    </row>
    <row r="157" spans="1:17" x14ac:dyDescent="0.25">
      <c r="A157" t="s">
        <v>31</v>
      </c>
      <c r="B157" t="s">
        <v>32</v>
      </c>
      <c r="C157" t="str">
        <f>"13-2-BR-76"</f>
        <v>13-2-BR-76</v>
      </c>
      <c r="D157" t="s">
        <v>25</v>
      </c>
      <c r="F157" t="s">
        <v>22</v>
      </c>
      <c r="H157">
        <v>76</v>
      </c>
      <c r="J157" s="1">
        <v>23.5</v>
      </c>
      <c r="K157" s="1">
        <v>0</v>
      </c>
      <c r="M157" s="1">
        <v>0</v>
      </c>
      <c r="O157" s="1">
        <v>37</v>
      </c>
      <c r="Q157" s="2">
        <v>60.5</v>
      </c>
    </row>
    <row r="158" spans="1:17" x14ac:dyDescent="0.25">
      <c r="A158" t="s">
        <v>31</v>
      </c>
      <c r="B158" t="s">
        <v>32</v>
      </c>
      <c r="C158" t="str">
        <f>"13-2-BR-78"</f>
        <v>13-2-BR-78</v>
      </c>
      <c r="D158" t="s">
        <v>25</v>
      </c>
      <c r="F158" t="s">
        <v>22</v>
      </c>
      <c r="H158">
        <v>78</v>
      </c>
      <c r="J158" s="1">
        <v>23.5</v>
      </c>
      <c r="K158" s="1">
        <v>0</v>
      </c>
      <c r="M158" s="1">
        <v>0</v>
      </c>
      <c r="O158" s="1">
        <v>37</v>
      </c>
      <c r="Q158" s="2">
        <v>60.5</v>
      </c>
    </row>
    <row r="159" spans="1:17" x14ac:dyDescent="0.25">
      <c r="A159" t="s">
        <v>31</v>
      </c>
      <c r="B159" t="s">
        <v>32</v>
      </c>
      <c r="C159" t="str">
        <f>"13-2-BR-80"</f>
        <v>13-2-BR-80</v>
      </c>
      <c r="D159" t="s">
        <v>25</v>
      </c>
      <c r="F159" t="s">
        <v>22</v>
      </c>
      <c r="H159">
        <v>80</v>
      </c>
      <c r="J159" s="1">
        <v>23.5</v>
      </c>
      <c r="K159" s="1">
        <v>0</v>
      </c>
      <c r="M159" s="1">
        <v>0</v>
      </c>
      <c r="O159" s="1">
        <v>37</v>
      </c>
      <c r="Q159" s="2">
        <v>60.5</v>
      </c>
    </row>
    <row r="160" spans="1:17" x14ac:dyDescent="0.25">
      <c r="A160" t="s">
        <v>31</v>
      </c>
      <c r="B160" t="s">
        <v>32</v>
      </c>
      <c r="C160" t="str">
        <f>"13-2-CH-22"</f>
        <v>13-2-CH-22</v>
      </c>
      <c r="D160" t="s">
        <v>25</v>
      </c>
      <c r="F160" t="s">
        <v>23</v>
      </c>
      <c r="H160">
        <v>22</v>
      </c>
      <c r="J160" s="1">
        <v>23.5</v>
      </c>
      <c r="K160" s="1">
        <v>0</v>
      </c>
      <c r="M160" s="1">
        <v>0</v>
      </c>
      <c r="O160" s="1">
        <v>0</v>
      </c>
      <c r="Q160" s="2">
        <v>23.5</v>
      </c>
    </row>
    <row r="161" spans="1:17" x14ac:dyDescent="0.25">
      <c r="A161" t="s">
        <v>31</v>
      </c>
      <c r="B161" t="s">
        <v>32</v>
      </c>
      <c r="C161" t="str">
        <f>"13-2-CH-24"</f>
        <v>13-2-CH-24</v>
      </c>
      <c r="D161" t="s">
        <v>25</v>
      </c>
      <c r="F161" t="s">
        <v>23</v>
      </c>
      <c r="H161">
        <v>24</v>
      </c>
      <c r="J161" s="1">
        <v>23.5</v>
      </c>
      <c r="K161" s="1">
        <v>0</v>
      </c>
      <c r="M161" s="1">
        <v>0</v>
      </c>
      <c r="O161" s="1">
        <v>0</v>
      </c>
      <c r="Q161" s="2">
        <v>23.5</v>
      </c>
    </row>
    <row r="162" spans="1:17" x14ac:dyDescent="0.25">
      <c r="A162" t="s">
        <v>31</v>
      </c>
      <c r="B162" t="s">
        <v>32</v>
      </c>
      <c r="C162" t="str">
        <f>"13-2-CH-26"</f>
        <v>13-2-CH-26</v>
      </c>
      <c r="D162" t="s">
        <v>25</v>
      </c>
      <c r="F162" t="s">
        <v>23</v>
      </c>
      <c r="H162">
        <v>26</v>
      </c>
      <c r="J162" s="1">
        <v>23.5</v>
      </c>
      <c r="K162" s="1">
        <v>0</v>
      </c>
      <c r="M162" s="1">
        <v>0</v>
      </c>
      <c r="O162" s="1">
        <v>0</v>
      </c>
      <c r="Q162" s="2">
        <v>23.5</v>
      </c>
    </row>
    <row r="163" spans="1:17" x14ac:dyDescent="0.25">
      <c r="A163" t="s">
        <v>31</v>
      </c>
      <c r="B163" t="s">
        <v>32</v>
      </c>
      <c r="C163" t="str">
        <f>"13-2-CH-28"</f>
        <v>13-2-CH-28</v>
      </c>
      <c r="D163" t="s">
        <v>25</v>
      </c>
      <c r="F163" t="s">
        <v>23</v>
      </c>
      <c r="H163">
        <v>28</v>
      </c>
      <c r="J163" s="1">
        <v>23.5</v>
      </c>
      <c r="K163" s="1">
        <v>0</v>
      </c>
      <c r="M163" s="1">
        <v>0</v>
      </c>
      <c r="O163" s="1">
        <v>0</v>
      </c>
      <c r="Q163" s="2">
        <v>23.5</v>
      </c>
    </row>
    <row r="164" spans="1:17" x14ac:dyDescent="0.25">
      <c r="A164" t="s">
        <v>31</v>
      </c>
      <c r="B164" t="s">
        <v>32</v>
      </c>
      <c r="C164" t="str">
        <f>"13-2-CH-30"</f>
        <v>13-2-CH-30</v>
      </c>
      <c r="D164" t="s">
        <v>25</v>
      </c>
      <c r="F164" t="s">
        <v>23</v>
      </c>
      <c r="H164">
        <v>30</v>
      </c>
      <c r="J164" s="1">
        <v>23.5</v>
      </c>
      <c r="K164" s="1">
        <v>0</v>
      </c>
      <c r="M164" s="1">
        <v>0</v>
      </c>
      <c r="O164" s="1">
        <v>0</v>
      </c>
      <c r="Q164" s="2">
        <v>23.5</v>
      </c>
    </row>
    <row r="165" spans="1:17" x14ac:dyDescent="0.25">
      <c r="A165" t="s">
        <v>31</v>
      </c>
      <c r="B165" t="s">
        <v>32</v>
      </c>
      <c r="C165" t="str">
        <f>"13-2-CH-32"</f>
        <v>13-2-CH-32</v>
      </c>
      <c r="D165" t="s">
        <v>25</v>
      </c>
      <c r="F165" t="s">
        <v>23</v>
      </c>
      <c r="H165">
        <v>32</v>
      </c>
      <c r="J165" s="1">
        <v>23.5</v>
      </c>
      <c r="K165" s="1">
        <v>0</v>
      </c>
      <c r="M165" s="1">
        <v>0</v>
      </c>
      <c r="O165" s="1">
        <v>0</v>
      </c>
      <c r="Q165" s="2">
        <v>23.5</v>
      </c>
    </row>
    <row r="166" spans="1:17" x14ac:dyDescent="0.25">
      <c r="A166" t="s">
        <v>31</v>
      </c>
      <c r="B166" t="s">
        <v>32</v>
      </c>
      <c r="C166" t="str">
        <f>"13-2-CH-34"</f>
        <v>13-2-CH-34</v>
      </c>
      <c r="D166" t="s">
        <v>25</v>
      </c>
      <c r="F166" t="s">
        <v>23</v>
      </c>
      <c r="H166">
        <v>34</v>
      </c>
      <c r="J166" s="1">
        <v>23.5</v>
      </c>
      <c r="K166" s="1">
        <v>0</v>
      </c>
      <c r="M166" s="1">
        <v>0</v>
      </c>
      <c r="O166" s="1">
        <v>0</v>
      </c>
      <c r="Q166" s="2">
        <v>23.5</v>
      </c>
    </row>
    <row r="167" spans="1:17" x14ac:dyDescent="0.25">
      <c r="A167" t="s">
        <v>31</v>
      </c>
      <c r="B167" t="s">
        <v>32</v>
      </c>
      <c r="C167" t="str">
        <f>"13-2-CH-36"</f>
        <v>13-2-CH-36</v>
      </c>
      <c r="D167" t="s">
        <v>25</v>
      </c>
      <c r="F167" t="s">
        <v>23</v>
      </c>
      <c r="H167">
        <v>36</v>
      </c>
      <c r="J167" s="1">
        <v>23.5</v>
      </c>
      <c r="K167" s="1">
        <v>0</v>
      </c>
      <c r="M167" s="1">
        <v>0</v>
      </c>
      <c r="O167" s="1">
        <v>0</v>
      </c>
      <c r="Q167" s="2">
        <v>23.5</v>
      </c>
    </row>
    <row r="168" spans="1:17" x14ac:dyDescent="0.25">
      <c r="A168" t="s">
        <v>31</v>
      </c>
      <c r="B168" t="s">
        <v>32</v>
      </c>
      <c r="C168" t="str">
        <f>"13-2-CH-38"</f>
        <v>13-2-CH-38</v>
      </c>
      <c r="D168" t="s">
        <v>25</v>
      </c>
      <c r="F168" t="s">
        <v>23</v>
      </c>
      <c r="H168">
        <v>38</v>
      </c>
      <c r="J168" s="1">
        <v>23.5</v>
      </c>
      <c r="K168" s="1">
        <v>0</v>
      </c>
      <c r="M168" s="1">
        <v>0</v>
      </c>
      <c r="O168" s="1">
        <v>0</v>
      </c>
      <c r="Q168" s="2">
        <v>23.5</v>
      </c>
    </row>
    <row r="169" spans="1:17" x14ac:dyDescent="0.25">
      <c r="A169" t="s">
        <v>31</v>
      </c>
      <c r="B169" t="s">
        <v>32</v>
      </c>
      <c r="C169" t="str">
        <f>"13-2-CH-40"</f>
        <v>13-2-CH-40</v>
      </c>
      <c r="D169" t="s">
        <v>25</v>
      </c>
      <c r="F169" t="s">
        <v>23</v>
      </c>
      <c r="H169">
        <v>40</v>
      </c>
      <c r="J169" s="1">
        <v>23.5</v>
      </c>
      <c r="K169" s="1">
        <v>0</v>
      </c>
      <c r="M169" s="1">
        <v>0</v>
      </c>
      <c r="O169" s="1">
        <v>0</v>
      </c>
      <c r="Q169" s="2">
        <v>23.5</v>
      </c>
    </row>
    <row r="170" spans="1:17" x14ac:dyDescent="0.25">
      <c r="A170" t="s">
        <v>31</v>
      </c>
      <c r="B170" t="s">
        <v>32</v>
      </c>
      <c r="C170" t="str">
        <f>"13-2-CH-42"</f>
        <v>13-2-CH-42</v>
      </c>
      <c r="D170" t="s">
        <v>25</v>
      </c>
      <c r="F170" t="s">
        <v>23</v>
      </c>
      <c r="H170">
        <v>42</v>
      </c>
      <c r="J170" s="1">
        <v>23.5</v>
      </c>
      <c r="K170" s="1">
        <v>0</v>
      </c>
      <c r="M170" s="1">
        <v>0</v>
      </c>
      <c r="O170" s="1">
        <v>0</v>
      </c>
      <c r="Q170" s="2">
        <v>23.5</v>
      </c>
    </row>
    <row r="171" spans="1:17" x14ac:dyDescent="0.25">
      <c r="A171" t="s">
        <v>31</v>
      </c>
      <c r="B171" t="s">
        <v>32</v>
      </c>
      <c r="C171" t="str">
        <f>"13-2-CH-44"</f>
        <v>13-2-CH-44</v>
      </c>
      <c r="D171" t="s">
        <v>25</v>
      </c>
      <c r="F171" t="s">
        <v>23</v>
      </c>
      <c r="H171">
        <v>44</v>
      </c>
      <c r="J171" s="1">
        <v>23.5</v>
      </c>
      <c r="K171" s="1">
        <v>0</v>
      </c>
      <c r="M171" s="1">
        <v>0</v>
      </c>
      <c r="O171" s="1">
        <v>0</v>
      </c>
      <c r="Q171" s="2">
        <v>23.5</v>
      </c>
    </row>
    <row r="172" spans="1:17" x14ac:dyDescent="0.25">
      <c r="A172" t="s">
        <v>31</v>
      </c>
      <c r="B172" t="s">
        <v>32</v>
      </c>
      <c r="C172" t="str">
        <f>"13-2-CH-46"</f>
        <v>13-2-CH-46</v>
      </c>
      <c r="D172" t="s">
        <v>25</v>
      </c>
      <c r="F172" t="s">
        <v>23</v>
      </c>
      <c r="H172">
        <v>46</v>
      </c>
      <c r="J172" s="1">
        <v>23.5</v>
      </c>
      <c r="K172" s="1">
        <v>0</v>
      </c>
      <c r="M172" s="1">
        <v>0</v>
      </c>
      <c r="O172" s="1">
        <v>0</v>
      </c>
      <c r="Q172" s="2">
        <v>23.5</v>
      </c>
    </row>
    <row r="173" spans="1:17" x14ac:dyDescent="0.25">
      <c r="A173" t="s">
        <v>31</v>
      </c>
      <c r="B173" t="s">
        <v>32</v>
      </c>
      <c r="C173" t="str">
        <f>"13-2-CH-48"</f>
        <v>13-2-CH-48</v>
      </c>
      <c r="D173" t="s">
        <v>25</v>
      </c>
      <c r="F173" t="s">
        <v>23</v>
      </c>
      <c r="H173">
        <v>48</v>
      </c>
      <c r="J173" s="1">
        <v>23.5</v>
      </c>
      <c r="K173" s="1">
        <v>0</v>
      </c>
      <c r="M173" s="1">
        <v>0</v>
      </c>
      <c r="O173" s="1">
        <v>4</v>
      </c>
      <c r="Q173" s="2">
        <v>27.5</v>
      </c>
    </row>
    <row r="174" spans="1:17" x14ac:dyDescent="0.25">
      <c r="A174" t="s">
        <v>31</v>
      </c>
      <c r="B174" t="s">
        <v>32</v>
      </c>
      <c r="C174" t="str">
        <f>"13-2-CH-50"</f>
        <v>13-2-CH-50</v>
      </c>
      <c r="D174" t="s">
        <v>25</v>
      </c>
      <c r="F174" t="s">
        <v>23</v>
      </c>
      <c r="H174">
        <v>50</v>
      </c>
      <c r="J174" s="1">
        <v>23.5</v>
      </c>
      <c r="K174" s="1">
        <v>0</v>
      </c>
      <c r="M174" s="1">
        <v>0</v>
      </c>
      <c r="O174" s="1">
        <v>6</v>
      </c>
      <c r="Q174" s="2">
        <v>29.5</v>
      </c>
    </row>
    <row r="175" spans="1:17" x14ac:dyDescent="0.25">
      <c r="A175" t="s">
        <v>31</v>
      </c>
      <c r="B175" t="s">
        <v>32</v>
      </c>
      <c r="C175" t="str">
        <f>"13-2-CH-52"</f>
        <v>13-2-CH-52</v>
      </c>
      <c r="D175" t="s">
        <v>25</v>
      </c>
      <c r="F175" t="s">
        <v>23</v>
      </c>
      <c r="H175">
        <v>52</v>
      </c>
      <c r="J175" s="1">
        <v>23.5</v>
      </c>
      <c r="K175" s="1">
        <v>0</v>
      </c>
      <c r="M175" s="1">
        <v>0</v>
      </c>
      <c r="O175" s="1">
        <v>8</v>
      </c>
      <c r="Q175" s="2">
        <v>31.5</v>
      </c>
    </row>
    <row r="176" spans="1:17" x14ac:dyDescent="0.25">
      <c r="A176" t="s">
        <v>31</v>
      </c>
      <c r="B176" t="s">
        <v>32</v>
      </c>
      <c r="C176" t="str">
        <f>"13-2-CH-54"</f>
        <v>13-2-CH-54</v>
      </c>
      <c r="D176" t="s">
        <v>25</v>
      </c>
      <c r="F176" t="s">
        <v>23</v>
      </c>
      <c r="H176">
        <v>54</v>
      </c>
      <c r="J176" s="1">
        <v>23.5</v>
      </c>
      <c r="K176" s="1">
        <v>0</v>
      </c>
      <c r="M176" s="1">
        <v>0</v>
      </c>
      <c r="O176" s="1">
        <v>10</v>
      </c>
      <c r="Q176" s="2">
        <v>33.5</v>
      </c>
    </row>
    <row r="177" spans="1:17" x14ac:dyDescent="0.25">
      <c r="A177" t="s">
        <v>31</v>
      </c>
      <c r="B177" t="s">
        <v>32</v>
      </c>
      <c r="C177" t="str">
        <f>"13-2-CH-56"</f>
        <v>13-2-CH-56</v>
      </c>
      <c r="D177" t="s">
        <v>25</v>
      </c>
      <c r="F177" t="s">
        <v>23</v>
      </c>
      <c r="H177">
        <v>56</v>
      </c>
      <c r="J177" s="1">
        <v>23.5</v>
      </c>
      <c r="K177" s="1">
        <v>0</v>
      </c>
      <c r="M177" s="1">
        <v>0</v>
      </c>
      <c r="O177" s="1">
        <v>12</v>
      </c>
      <c r="Q177" s="2">
        <v>35.5</v>
      </c>
    </row>
    <row r="178" spans="1:17" x14ac:dyDescent="0.25">
      <c r="A178" t="s">
        <v>31</v>
      </c>
      <c r="B178" t="s">
        <v>32</v>
      </c>
      <c r="C178" t="str">
        <f>"13-2-CH-58"</f>
        <v>13-2-CH-58</v>
      </c>
      <c r="D178" t="s">
        <v>25</v>
      </c>
      <c r="F178" t="s">
        <v>23</v>
      </c>
      <c r="H178">
        <v>58</v>
      </c>
      <c r="J178" s="1">
        <v>23.5</v>
      </c>
      <c r="K178" s="1">
        <v>0</v>
      </c>
      <c r="M178" s="1">
        <v>0</v>
      </c>
      <c r="O178" s="1">
        <v>14</v>
      </c>
      <c r="Q178" s="2">
        <v>37.5</v>
      </c>
    </row>
    <row r="179" spans="1:17" x14ac:dyDescent="0.25">
      <c r="A179" t="s">
        <v>31</v>
      </c>
      <c r="B179" t="s">
        <v>32</v>
      </c>
      <c r="C179" t="str">
        <f>"13-2-CH-60"</f>
        <v>13-2-CH-60</v>
      </c>
      <c r="D179" t="s">
        <v>25</v>
      </c>
      <c r="F179" t="s">
        <v>23</v>
      </c>
      <c r="H179">
        <v>60</v>
      </c>
      <c r="J179" s="1">
        <v>23.5</v>
      </c>
      <c r="K179" s="1">
        <v>0</v>
      </c>
      <c r="M179" s="1">
        <v>0</v>
      </c>
      <c r="O179" s="1">
        <v>16</v>
      </c>
      <c r="Q179" s="2">
        <v>39.5</v>
      </c>
    </row>
    <row r="180" spans="1:17" x14ac:dyDescent="0.25">
      <c r="A180" t="s">
        <v>31</v>
      </c>
      <c r="B180" t="s">
        <v>32</v>
      </c>
      <c r="C180" t="str">
        <f>"13-2-CH-62"</f>
        <v>13-2-CH-62</v>
      </c>
      <c r="D180" t="s">
        <v>25</v>
      </c>
      <c r="F180" t="s">
        <v>23</v>
      </c>
      <c r="H180">
        <v>62</v>
      </c>
      <c r="J180" s="1">
        <v>23.5</v>
      </c>
      <c r="K180" s="1">
        <v>0</v>
      </c>
      <c r="M180" s="1">
        <v>0</v>
      </c>
      <c r="O180" s="1">
        <v>18</v>
      </c>
      <c r="Q180" s="2">
        <v>41.5</v>
      </c>
    </row>
    <row r="181" spans="1:17" x14ac:dyDescent="0.25">
      <c r="A181" t="s">
        <v>31</v>
      </c>
      <c r="B181" t="s">
        <v>32</v>
      </c>
      <c r="C181" t="str">
        <f>"13-2-CH-64"</f>
        <v>13-2-CH-64</v>
      </c>
      <c r="D181" t="s">
        <v>25</v>
      </c>
      <c r="F181" t="s">
        <v>23</v>
      </c>
      <c r="H181">
        <v>64</v>
      </c>
      <c r="J181" s="1">
        <v>23.5</v>
      </c>
      <c r="K181" s="1">
        <v>0</v>
      </c>
      <c r="M181" s="1">
        <v>0</v>
      </c>
      <c r="O181" s="1">
        <v>37</v>
      </c>
      <c r="Q181" s="2">
        <v>60.5</v>
      </c>
    </row>
    <row r="182" spans="1:17" x14ac:dyDescent="0.25">
      <c r="A182" t="s">
        <v>31</v>
      </c>
      <c r="B182" t="s">
        <v>32</v>
      </c>
      <c r="C182" t="str">
        <f>"13-2-CH-66"</f>
        <v>13-2-CH-66</v>
      </c>
      <c r="D182" t="s">
        <v>25</v>
      </c>
      <c r="F182" t="s">
        <v>23</v>
      </c>
      <c r="H182">
        <v>66</v>
      </c>
      <c r="J182" s="1">
        <v>23.5</v>
      </c>
      <c r="K182" s="1">
        <v>0</v>
      </c>
      <c r="M182" s="1">
        <v>0</v>
      </c>
      <c r="O182" s="1">
        <v>37</v>
      </c>
      <c r="Q182" s="2">
        <v>60.5</v>
      </c>
    </row>
    <row r="183" spans="1:17" x14ac:dyDescent="0.25">
      <c r="A183" t="s">
        <v>31</v>
      </c>
      <c r="B183" t="s">
        <v>32</v>
      </c>
      <c r="C183" t="str">
        <f>"13-2-CH-68"</f>
        <v>13-2-CH-68</v>
      </c>
      <c r="D183" t="s">
        <v>25</v>
      </c>
      <c r="F183" t="s">
        <v>23</v>
      </c>
      <c r="H183">
        <v>68</v>
      </c>
      <c r="J183" s="1">
        <v>23.5</v>
      </c>
      <c r="K183" s="1">
        <v>0</v>
      </c>
      <c r="M183" s="1">
        <v>0</v>
      </c>
      <c r="O183" s="1">
        <v>37</v>
      </c>
      <c r="Q183" s="2">
        <v>60.5</v>
      </c>
    </row>
    <row r="184" spans="1:17" x14ac:dyDescent="0.25">
      <c r="A184" t="s">
        <v>31</v>
      </c>
      <c r="B184" t="s">
        <v>32</v>
      </c>
      <c r="C184" t="str">
        <f>"13-2-CH-70"</f>
        <v>13-2-CH-70</v>
      </c>
      <c r="D184" t="s">
        <v>25</v>
      </c>
      <c r="F184" t="s">
        <v>23</v>
      </c>
      <c r="H184">
        <v>70</v>
      </c>
      <c r="J184" s="1">
        <v>23.5</v>
      </c>
      <c r="K184" s="1">
        <v>0</v>
      </c>
      <c r="M184" s="1">
        <v>0</v>
      </c>
      <c r="O184" s="1">
        <v>37</v>
      </c>
      <c r="Q184" s="2">
        <v>60.5</v>
      </c>
    </row>
    <row r="185" spans="1:17" x14ac:dyDescent="0.25">
      <c r="A185" t="s">
        <v>31</v>
      </c>
      <c r="B185" t="s">
        <v>32</v>
      </c>
      <c r="C185" t="str">
        <f>"13-2-CH-72"</f>
        <v>13-2-CH-72</v>
      </c>
      <c r="D185" t="s">
        <v>25</v>
      </c>
      <c r="F185" t="s">
        <v>23</v>
      </c>
      <c r="H185">
        <v>72</v>
      </c>
      <c r="J185" s="1">
        <v>23.5</v>
      </c>
      <c r="K185" s="1">
        <v>0</v>
      </c>
      <c r="M185" s="1">
        <v>0</v>
      </c>
      <c r="O185" s="1">
        <v>37</v>
      </c>
      <c r="Q185" s="2">
        <v>60.5</v>
      </c>
    </row>
    <row r="186" spans="1:17" x14ac:dyDescent="0.25">
      <c r="A186" t="s">
        <v>31</v>
      </c>
      <c r="B186" t="s">
        <v>32</v>
      </c>
      <c r="C186" t="str">
        <f>"13-2-CH-74"</f>
        <v>13-2-CH-74</v>
      </c>
      <c r="D186" t="s">
        <v>25</v>
      </c>
      <c r="F186" t="s">
        <v>23</v>
      </c>
      <c r="H186">
        <v>74</v>
      </c>
      <c r="J186" s="1">
        <v>23.5</v>
      </c>
      <c r="K186" s="1">
        <v>0</v>
      </c>
      <c r="M186" s="1">
        <v>0</v>
      </c>
      <c r="O186" s="1">
        <v>37</v>
      </c>
      <c r="Q186" s="2">
        <v>60.5</v>
      </c>
    </row>
    <row r="187" spans="1:17" x14ac:dyDescent="0.25">
      <c r="A187" t="s">
        <v>31</v>
      </c>
      <c r="B187" t="s">
        <v>32</v>
      </c>
      <c r="C187" t="str">
        <f>"13-2-CH-76"</f>
        <v>13-2-CH-76</v>
      </c>
      <c r="D187" t="s">
        <v>25</v>
      </c>
      <c r="F187" t="s">
        <v>23</v>
      </c>
      <c r="H187">
        <v>76</v>
      </c>
      <c r="J187" s="1">
        <v>23.5</v>
      </c>
      <c r="K187" s="1">
        <v>0</v>
      </c>
      <c r="M187" s="1">
        <v>0</v>
      </c>
      <c r="O187" s="1">
        <v>37</v>
      </c>
      <c r="Q187" s="2">
        <v>60.5</v>
      </c>
    </row>
    <row r="188" spans="1:17" x14ac:dyDescent="0.25">
      <c r="A188" t="s">
        <v>31</v>
      </c>
      <c r="B188" t="s">
        <v>32</v>
      </c>
      <c r="C188" t="str">
        <f>"13-2-CH-78"</f>
        <v>13-2-CH-78</v>
      </c>
      <c r="D188" t="s">
        <v>25</v>
      </c>
      <c r="F188" t="s">
        <v>23</v>
      </c>
      <c r="H188">
        <v>78</v>
      </c>
      <c r="J188" s="1">
        <v>23.5</v>
      </c>
      <c r="K188" s="1">
        <v>0</v>
      </c>
      <c r="M188" s="1">
        <v>0</v>
      </c>
      <c r="O188" s="1">
        <v>37</v>
      </c>
      <c r="Q188" s="2">
        <v>60.5</v>
      </c>
    </row>
    <row r="189" spans="1:17" x14ac:dyDescent="0.25">
      <c r="A189" t="s">
        <v>31</v>
      </c>
      <c r="B189" t="s">
        <v>32</v>
      </c>
      <c r="C189" t="str">
        <f>"13-2-CH-80"</f>
        <v>13-2-CH-80</v>
      </c>
      <c r="D189" t="s">
        <v>25</v>
      </c>
      <c r="F189" t="s">
        <v>23</v>
      </c>
      <c r="H189">
        <v>80</v>
      </c>
      <c r="J189" s="1">
        <v>23.5</v>
      </c>
      <c r="K189" s="1">
        <v>0</v>
      </c>
      <c r="M189" s="1">
        <v>0</v>
      </c>
      <c r="O189" s="1">
        <v>37</v>
      </c>
      <c r="Q189" s="2">
        <v>60.5</v>
      </c>
    </row>
    <row r="190" spans="1:17" x14ac:dyDescent="0.25">
      <c r="A190" t="s">
        <v>31</v>
      </c>
      <c r="B190" t="s">
        <v>32</v>
      </c>
      <c r="C190" t="str">
        <f>"13-3-BR-22"</f>
        <v>13-3-BR-22</v>
      </c>
      <c r="D190" t="s">
        <v>26</v>
      </c>
      <c r="F190" t="s">
        <v>22</v>
      </c>
      <c r="H190">
        <v>22</v>
      </c>
      <c r="J190" s="1">
        <v>23.5</v>
      </c>
      <c r="K190" s="1">
        <v>0</v>
      </c>
      <c r="M190" s="1">
        <v>0</v>
      </c>
      <c r="O190" s="1">
        <v>0</v>
      </c>
      <c r="Q190" s="2">
        <v>23.5</v>
      </c>
    </row>
    <row r="191" spans="1:17" x14ac:dyDescent="0.25">
      <c r="A191" t="s">
        <v>31</v>
      </c>
      <c r="B191" t="s">
        <v>32</v>
      </c>
      <c r="C191" t="str">
        <f>"13-3-BR-24"</f>
        <v>13-3-BR-24</v>
      </c>
      <c r="D191" t="s">
        <v>26</v>
      </c>
      <c r="F191" t="s">
        <v>22</v>
      </c>
      <c r="H191">
        <v>24</v>
      </c>
      <c r="J191" s="1">
        <v>23.5</v>
      </c>
      <c r="K191" s="1">
        <v>0</v>
      </c>
      <c r="M191" s="1">
        <v>0</v>
      </c>
      <c r="O191" s="1">
        <v>0</v>
      </c>
      <c r="Q191" s="2">
        <v>23.5</v>
      </c>
    </row>
    <row r="192" spans="1:17" x14ac:dyDescent="0.25">
      <c r="A192" t="s">
        <v>31</v>
      </c>
      <c r="B192" t="s">
        <v>32</v>
      </c>
      <c r="C192" t="str">
        <f>"13-3-BR-26"</f>
        <v>13-3-BR-26</v>
      </c>
      <c r="D192" t="s">
        <v>26</v>
      </c>
      <c r="F192" t="s">
        <v>22</v>
      </c>
      <c r="H192">
        <v>26</v>
      </c>
      <c r="J192" s="1">
        <v>23.5</v>
      </c>
      <c r="K192" s="1">
        <v>0</v>
      </c>
      <c r="M192" s="1">
        <v>0</v>
      </c>
      <c r="O192" s="1">
        <v>0</v>
      </c>
      <c r="Q192" s="2">
        <v>23.5</v>
      </c>
    </row>
    <row r="193" spans="1:17" x14ac:dyDescent="0.25">
      <c r="A193" t="s">
        <v>31</v>
      </c>
      <c r="B193" t="s">
        <v>32</v>
      </c>
      <c r="C193" t="str">
        <f>"13-3-BR-28"</f>
        <v>13-3-BR-28</v>
      </c>
      <c r="D193" t="s">
        <v>26</v>
      </c>
      <c r="F193" t="s">
        <v>22</v>
      </c>
      <c r="H193">
        <v>28</v>
      </c>
      <c r="J193" s="1">
        <v>23.5</v>
      </c>
      <c r="K193" s="1">
        <v>0</v>
      </c>
      <c r="M193" s="1">
        <v>0</v>
      </c>
      <c r="O193" s="1">
        <v>0</v>
      </c>
      <c r="Q193" s="2">
        <v>23.5</v>
      </c>
    </row>
    <row r="194" spans="1:17" x14ac:dyDescent="0.25">
      <c r="A194" t="s">
        <v>31</v>
      </c>
      <c r="B194" t="s">
        <v>32</v>
      </c>
      <c r="C194" t="str">
        <f>"13-3-BR-30"</f>
        <v>13-3-BR-30</v>
      </c>
      <c r="D194" t="s">
        <v>26</v>
      </c>
      <c r="F194" t="s">
        <v>22</v>
      </c>
      <c r="H194">
        <v>30</v>
      </c>
      <c r="J194" s="1">
        <v>23.5</v>
      </c>
      <c r="K194" s="1">
        <v>0</v>
      </c>
      <c r="M194" s="1">
        <v>0</v>
      </c>
      <c r="O194" s="1">
        <v>0</v>
      </c>
      <c r="Q194" s="2">
        <v>23.5</v>
      </c>
    </row>
    <row r="195" spans="1:17" x14ac:dyDescent="0.25">
      <c r="A195" t="s">
        <v>31</v>
      </c>
      <c r="B195" t="s">
        <v>32</v>
      </c>
      <c r="C195" t="str">
        <f>"13-3-BR-32"</f>
        <v>13-3-BR-32</v>
      </c>
      <c r="D195" t="s">
        <v>26</v>
      </c>
      <c r="F195" t="s">
        <v>22</v>
      </c>
      <c r="H195">
        <v>32</v>
      </c>
      <c r="J195" s="1">
        <v>23.5</v>
      </c>
      <c r="K195" s="1">
        <v>0</v>
      </c>
      <c r="M195" s="1">
        <v>0</v>
      </c>
      <c r="O195" s="1">
        <v>0</v>
      </c>
      <c r="Q195" s="2">
        <v>23.5</v>
      </c>
    </row>
    <row r="196" spans="1:17" x14ac:dyDescent="0.25">
      <c r="A196" t="s">
        <v>31</v>
      </c>
      <c r="B196" t="s">
        <v>32</v>
      </c>
      <c r="C196" t="str">
        <f>"13-3-BR-34"</f>
        <v>13-3-BR-34</v>
      </c>
      <c r="D196" t="s">
        <v>26</v>
      </c>
      <c r="F196" t="s">
        <v>22</v>
      </c>
      <c r="H196">
        <v>34</v>
      </c>
      <c r="J196" s="1">
        <v>23.5</v>
      </c>
      <c r="K196" s="1">
        <v>0</v>
      </c>
      <c r="M196" s="1">
        <v>0</v>
      </c>
      <c r="O196" s="1">
        <v>0</v>
      </c>
      <c r="Q196" s="2">
        <v>23.5</v>
      </c>
    </row>
    <row r="197" spans="1:17" x14ac:dyDescent="0.25">
      <c r="A197" t="s">
        <v>31</v>
      </c>
      <c r="B197" t="s">
        <v>32</v>
      </c>
      <c r="C197" t="str">
        <f>"13-3-BR-36"</f>
        <v>13-3-BR-36</v>
      </c>
      <c r="D197" t="s">
        <v>26</v>
      </c>
      <c r="F197" t="s">
        <v>22</v>
      </c>
      <c r="H197">
        <v>36</v>
      </c>
      <c r="J197" s="1">
        <v>23.5</v>
      </c>
      <c r="K197" s="1">
        <v>0</v>
      </c>
      <c r="M197" s="1">
        <v>0</v>
      </c>
      <c r="O197" s="1">
        <v>0</v>
      </c>
      <c r="Q197" s="2">
        <v>23.5</v>
      </c>
    </row>
    <row r="198" spans="1:17" x14ac:dyDescent="0.25">
      <c r="A198" t="s">
        <v>31</v>
      </c>
      <c r="B198" t="s">
        <v>32</v>
      </c>
      <c r="C198" t="str">
        <f>"13-3-BR-38"</f>
        <v>13-3-BR-38</v>
      </c>
      <c r="D198" t="s">
        <v>26</v>
      </c>
      <c r="F198" t="s">
        <v>22</v>
      </c>
      <c r="H198">
        <v>38</v>
      </c>
      <c r="J198" s="1">
        <v>23.5</v>
      </c>
      <c r="K198" s="1">
        <v>0</v>
      </c>
      <c r="M198" s="1">
        <v>0</v>
      </c>
      <c r="O198" s="1">
        <v>0</v>
      </c>
      <c r="Q198" s="2">
        <v>23.5</v>
      </c>
    </row>
    <row r="199" spans="1:17" x14ac:dyDescent="0.25">
      <c r="A199" t="s">
        <v>31</v>
      </c>
      <c r="B199" t="s">
        <v>32</v>
      </c>
      <c r="C199" t="str">
        <f>"13-3-BR-40"</f>
        <v>13-3-BR-40</v>
      </c>
      <c r="D199" t="s">
        <v>26</v>
      </c>
      <c r="F199" t="s">
        <v>22</v>
      </c>
      <c r="H199">
        <v>40</v>
      </c>
      <c r="J199" s="1">
        <v>23.5</v>
      </c>
      <c r="K199" s="1">
        <v>0</v>
      </c>
      <c r="M199" s="1">
        <v>0</v>
      </c>
      <c r="O199" s="1">
        <v>0</v>
      </c>
      <c r="Q199" s="2">
        <v>23.5</v>
      </c>
    </row>
    <row r="200" spans="1:17" x14ac:dyDescent="0.25">
      <c r="A200" t="s">
        <v>31</v>
      </c>
      <c r="B200" t="s">
        <v>32</v>
      </c>
      <c r="C200" t="str">
        <f>"13-3-BR-42"</f>
        <v>13-3-BR-42</v>
      </c>
      <c r="D200" t="s">
        <v>26</v>
      </c>
      <c r="F200" t="s">
        <v>22</v>
      </c>
      <c r="H200">
        <v>42</v>
      </c>
      <c r="J200" s="1">
        <v>23.5</v>
      </c>
      <c r="K200" s="1">
        <v>0</v>
      </c>
      <c r="M200" s="1">
        <v>0</v>
      </c>
      <c r="O200" s="1">
        <v>0</v>
      </c>
      <c r="Q200" s="2">
        <v>23.5</v>
      </c>
    </row>
    <row r="201" spans="1:17" x14ac:dyDescent="0.25">
      <c r="A201" t="s">
        <v>31</v>
      </c>
      <c r="B201" t="s">
        <v>32</v>
      </c>
      <c r="C201" t="str">
        <f>"13-3-BR-44"</f>
        <v>13-3-BR-44</v>
      </c>
      <c r="D201" t="s">
        <v>26</v>
      </c>
      <c r="F201" t="s">
        <v>22</v>
      </c>
      <c r="H201">
        <v>44</v>
      </c>
      <c r="J201" s="1">
        <v>23.5</v>
      </c>
      <c r="K201" s="1">
        <v>0</v>
      </c>
      <c r="M201" s="1">
        <v>0</v>
      </c>
      <c r="O201" s="1">
        <v>0</v>
      </c>
      <c r="Q201" s="2">
        <v>23.5</v>
      </c>
    </row>
    <row r="202" spans="1:17" x14ac:dyDescent="0.25">
      <c r="A202" t="s">
        <v>31</v>
      </c>
      <c r="B202" t="s">
        <v>32</v>
      </c>
      <c r="C202" t="str">
        <f>"13-3-BR-46"</f>
        <v>13-3-BR-46</v>
      </c>
      <c r="D202" t="s">
        <v>26</v>
      </c>
      <c r="F202" t="s">
        <v>22</v>
      </c>
      <c r="H202">
        <v>46</v>
      </c>
      <c r="J202" s="1">
        <v>23.5</v>
      </c>
      <c r="K202" s="1">
        <v>0</v>
      </c>
      <c r="M202" s="1">
        <v>0</v>
      </c>
      <c r="O202" s="1">
        <v>0</v>
      </c>
      <c r="Q202" s="2">
        <v>23.5</v>
      </c>
    </row>
    <row r="203" spans="1:17" x14ac:dyDescent="0.25">
      <c r="A203" t="s">
        <v>31</v>
      </c>
      <c r="B203" t="s">
        <v>32</v>
      </c>
      <c r="C203" t="str">
        <f>"13-3-BR-48"</f>
        <v>13-3-BR-48</v>
      </c>
      <c r="D203" t="s">
        <v>26</v>
      </c>
      <c r="F203" t="s">
        <v>22</v>
      </c>
      <c r="H203">
        <v>48</v>
      </c>
      <c r="J203" s="1">
        <v>23.5</v>
      </c>
      <c r="K203" s="1">
        <v>0</v>
      </c>
      <c r="M203" s="1">
        <v>0</v>
      </c>
      <c r="O203" s="1">
        <v>4</v>
      </c>
      <c r="Q203" s="2">
        <v>27.5</v>
      </c>
    </row>
    <row r="204" spans="1:17" x14ac:dyDescent="0.25">
      <c r="A204" t="s">
        <v>31</v>
      </c>
      <c r="B204" t="s">
        <v>32</v>
      </c>
      <c r="C204" t="str">
        <f>"13-3-BR-50"</f>
        <v>13-3-BR-50</v>
      </c>
      <c r="D204" t="s">
        <v>26</v>
      </c>
      <c r="F204" t="s">
        <v>22</v>
      </c>
      <c r="H204">
        <v>50</v>
      </c>
      <c r="J204" s="1">
        <v>23.5</v>
      </c>
      <c r="K204" s="1">
        <v>0</v>
      </c>
      <c r="M204" s="1">
        <v>0</v>
      </c>
      <c r="O204" s="1">
        <v>6</v>
      </c>
      <c r="Q204" s="2">
        <v>29.5</v>
      </c>
    </row>
    <row r="205" spans="1:17" x14ac:dyDescent="0.25">
      <c r="A205" t="s">
        <v>31</v>
      </c>
      <c r="B205" t="s">
        <v>32</v>
      </c>
      <c r="C205" t="str">
        <f>"13-3-BR-52"</f>
        <v>13-3-BR-52</v>
      </c>
      <c r="D205" t="s">
        <v>26</v>
      </c>
      <c r="F205" t="s">
        <v>22</v>
      </c>
      <c r="H205">
        <v>52</v>
      </c>
      <c r="J205" s="1">
        <v>23.5</v>
      </c>
      <c r="K205" s="1">
        <v>0</v>
      </c>
      <c r="M205" s="1">
        <v>0</v>
      </c>
      <c r="O205" s="1">
        <v>8</v>
      </c>
      <c r="Q205" s="2">
        <v>31.5</v>
      </c>
    </row>
    <row r="206" spans="1:17" x14ac:dyDescent="0.25">
      <c r="A206" t="s">
        <v>31</v>
      </c>
      <c r="B206" t="s">
        <v>32</v>
      </c>
      <c r="C206" t="str">
        <f>"13-3-BR-54"</f>
        <v>13-3-BR-54</v>
      </c>
      <c r="D206" t="s">
        <v>26</v>
      </c>
      <c r="F206" t="s">
        <v>22</v>
      </c>
      <c r="H206">
        <v>54</v>
      </c>
      <c r="J206" s="1">
        <v>23.5</v>
      </c>
      <c r="K206" s="1">
        <v>0</v>
      </c>
      <c r="M206" s="1">
        <v>0</v>
      </c>
      <c r="O206" s="1">
        <v>10</v>
      </c>
      <c r="Q206" s="2">
        <v>33.5</v>
      </c>
    </row>
    <row r="207" spans="1:17" x14ac:dyDescent="0.25">
      <c r="A207" t="s">
        <v>31</v>
      </c>
      <c r="B207" t="s">
        <v>32</v>
      </c>
      <c r="C207" t="str">
        <f>"13-3-BR-56"</f>
        <v>13-3-BR-56</v>
      </c>
      <c r="D207" t="s">
        <v>26</v>
      </c>
      <c r="F207" t="s">
        <v>22</v>
      </c>
      <c r="H207">
        <v>56</v>
      </c>
      <c r="J207" s="1">
        <v>23.5</v>
      </c>
      <c r="K207" s="1">
        <v>0</v>
      </c>
      <c r="M207" s="1">
        <v>0</v>
      </c>
      <c r="O207" s="1">
        <v>12</v>
      </c>
      <c r="Q207" s="2">
        <v>35.5</v>
      </c>
    </row>
    <row r="208" spans="1:17" x14ac:dyDescent="0.25">
      <c r="A208" t="s">
        <v>31</v>
      </c>
      <c r="B208" t="s">
        <v>32</v>
      </c>
      <c r="C208" t="str">
        <f>"13-3-BR-58"</f>
        <v>13-3-BR-58</v>
      </c>
      <c r="D208" t="s">
        <v>26</v>
      </c>
      <c r="F208" t="s">
        <v>22</v>
      </c>
      <c r="H208">
        <v>58</v>
      </c>
      <c r="J208" s="1">
        <v>23.5</v>
      </c>
      <c r="K208" s="1">
        <v>0</v>
      </c>
      <c r="M208" s="1">
        <v>0</v>
      </c>
      <c r="O208" s="1">
        <v>14</v>
      </c>
      <c r="Q208" s="2">
        <v>37.5</v>
      </c>
    </row>
    <row r="209" spans="1:17" x14ac:dyDescent="0.25">
      <c r="A209" t="s">
        <v>31</v>
      </c>
      <c r="B209" t="s">
        <v>32</v>
      </c>
      <c r="C209" t="str">
        <f>"13-3-BR-60"</f>
        <v>13-3-BR-60</v>
      </c>
      <c r="D209" t="s">
        <v>26</v>
      </c>
      <c r="F209" t="s">
        <v>22</v>
      </c>
      <c r="H209">
        <v>60</v>
      </c>
      <c r="J209" s="1">
        <v>23.5</v>
      </c>
      <c r="K209" s="1">
        <v>0</v>
      </c>
      <c r="M209" s="1">
        <v>0</v>
      </c>
      <c r="O209" s="1">
        <v>16</v>
      </c>
      <c r="Q209" s="2">
        <v>39.5</v>
      </c>
    </row>
    <row r="210" spans="1:17" x14ac:dyDescent="0.25">
      <c r="A210" t="s">
        <v>31</v>
      </c>
      <c r="B210" t="s">
        <v>32</v>
      </c>
      <c r="C210" t="str">
        <f>"13-3-BR-62"</f>
        <v>13-3-BR-62</v>
      </c>
      <c r="D210" t="s">
        <v>26</v>
      </c>
      <c r="F210" t="s">
        <v>22</v>
      </c>
      <c r="H210">
        <v>62</v>
      </c>
      <c r="J210" s="1">
        <v>23.5</v>
      </c>
      <c r="K210" s="1">
        <v>0</v>
      </c>
      <c r="M210" s="1">
        <v>0</v>
      </c>
      <c r="O210" s="1">
        <v>18</v>
      </c>
      <c r="Q210" s="2">
        <v>41.5</v>
      </c>
    </row>
    <row r="211" spans="1:17" x14ac:dyDescent="0.25">
      <c r="A211" t="s">
        <v>31</v>
      </c>
      <c r="B211" t="s">
        <v>32</v>
      </c>
      <c r="C211" t="str">
        <f>"13-3-BR-64"</f>
        <v>13-3-BR-64</v>
      </c>
      <c r="D211" t="s">
        <v>26</v>
      </c>
      <c r="F211" t="s">
        <v>22</v>
      </c>
      <c r="H211">
        <v>64</v>
      </c>
      <c r="J211" s="1">
        <v>23.5</v>
      </c>
      <c r="K211" s="1">
        <v>0</v>
      </c>
      <c r="M211" s="1">
        <v>0</v>
      </c>
      <c r="O211" s="1">
        <v>37</v>
      </c>
      <c r="Q211" s="2">
        <v>60.5</v>
      </c>
    </row>
    <row r="212" spans="1:17" x14ac:dyDescent="0.25">
      <c r="A212" t="s">
        <v>31</v>
      </c>
      <c r="B212" t="s">
        <v>32</v>
      </c>
      <c r="C212" t="str">
        <f>"13-3-BR-66"</f>
        <v>13-3-BR-66</v>
      </c>
      <c r="D212" t="s">
        <v>26</v>
      </c>
      <c r="F212" t="s">
        <v>22</v>
      </c>
      <c r="H212">
        <v>66</v>
      </c>
      <c r="J212" s="1">
        <v>23.5</v>
      </c>
      <c r="K212" s="1">
        <v>0</v>
      </c>
      <c r="M212" s="1">
        <v>0</v>
      </c>
      <c r="O212" s="1">
        <v>37</v>
      </c>
      <c r="Q212" s="2">
        <v>60.5</v>
      </c>
    </row>
    <row r="213" spans="1:17" x14ac:dyDescent="0.25">
      <c r="A213" t="s">
        <v>31</v>
      </c>
      <c r="B213" t="s">
        <v>32</v>
      </c>
      <c r="C213" t="str">
        <f>"13-3-BR-68"</f>
        <v>13-3-BR-68</v>
      </c>
      <c r="D213" t="s">
        <v>26</v>
      </c>
      <c r="F213" t="s">
        <v>22</v>
      </c>
      <c r="H213">
        <v>68</v>
      </c>
      <c r="J213" s="1">
        <v>23.5</v>
      </c>
      <c r="K213" s="1">
        <v>0</v>
      </c>
      <c r="M213" s="1">
        <v>0</v>
      </c>
      <c r="O213" s="1">
        <v>37</v>
      </c>
      <c r="Q213" s="2">
        <v>60.5</v>
      </c>
    </row>
    <row r="214" spans="1:17" x14ac:dyDescent="0.25">
      <c r="A214" t="s">
        <v>31</v>
      </c>
      <c r="B214" t="s">
        <v>32</v>
      </c>
      <c r="C214" t="str">
        <f>"13-3-BR-70"</f>
        <v>13-3-BR-70</v>
      </c>
      <c r="D214" t="s">
        <v>26</v>
      </c>
      <c r="F214" t="s">
        <v>22</v>
      </c>
      <c r="H214">
        <v>70</v>
      </c>
      <c r="J214" s="1">
        <v>23.5</v>
      </c>
      <c r="K214" s="1">
        <v>0</v>
      </c>
      <c r="M214" s="1">
        <v>0</v>
      </c>
      <c r="O214" s="1">
        <v>37</v>
      </c>
      <c r="Q214" s="2">
        <v>60.5</v>
      </c>
    </row>
    <row r="215" spans="1:17" x14ac:dyDescent="0.25">
      <c r="A215" t="s">
        <v>31</v>
      </c>
      <c r="B215" t="s">
        <v>32</v>
      </c>
      <c r="C215" t="str">
        <f>"13-3-BR-72"</f>
        <v>13-3-BR-72</v>
      </c>
      <c r="D215" t="s">
        <v>26</v>
      </c>
      <c r="F215" t="s">
        <v>22</v>
      </c>
      <c r="H215">
        <v>72</v>
      </c>
      <c r="J215" s="1">
        <v>23.5</v>
      </c>
      <c r="K215" s="1">
        <v>0</v>
      </c>
      <c r="M215" s="1">
        <v>0</v>
      </c>
      <c r="O215" s="1">
        <v>37</v>
      </c>
      <c r="Q215" s="2">
        <v>60.5</v>
      </c>
    </row>
    <row r="216" spans="1:17" x14ac:dyDescent="0.25">
      <c r="A216" t="s">
        <v>31</v>
      </c>
      <c r="B216" t="s">
        <v>32</v>
      </c>
      <c r="C216" t="str">
        <f>"13-3-BR-74"</f>
        <v>13-3-BR-74</v>
      </c>
      <c r="D216" t="s">
        <v>26</v>
      </c>
      <c r="F216" t="s">
        <v>22</v>
      </c>
      <c r="H216">
        <v>74</v>
      </c>
      <c r="J216" s="1">
        <v>23.5</v>
      </c>
      <c r="K216" s="1">
        <v>0</v>
      </c>
      <c r="M216" s="1">
        <v>0</v>
      </c>
      <c r="O216" s="1">
        <v>37</v>
      </c>
      <c r="Q216" s="2">
        <v>60.5</v>
      </c>
    </row>
    <row r="217" spans="1:17" x14ac:dyDescent="0.25">
      <c r="A217" t="s">
        <v>31</v>
      </c>
      <c r="B217" t="s">
        <v>32</v>
      </c>
      <c r="C217" t="str">
        <f>"13-3-BR-76"</f>
        <v>13-3-BR-76</v>
      </c>
      <c r="D217" t="s">
        <v>26</v>
      </c>
      <c r="F217" t="s">
        <v>22</v>
      </c>
      <c r="H217">
        <v>76</v>
      </c>
      <c r="J217" s="1">
        <v>23.5</v>
      </c>
      <c r="K217" s="1">
        <v>0</v>
      </c>
      <c r="M217" s="1">
        <v>0</v>
      </c>
      <c r="O217" s="1">
        <v>37</v>
      </c>
      <c r="Q217" s="2">
        <v>60.5</v>
      </c>
    </row>
    <row r="218" spans="1:17" x14ac:dyDescent="0.25">
      <c r="A218" t="s">
        <v>31</v>
      </c>
      <c r="B218" t="s">
        <v>32</v>
      </c>
      <c r="C218" t="str">
        <f>"13-3-BR-78"</f>
        <v>13-3-BR-78</v>
      </c>
      <c r="D218" t="s">
        <v>26</v>
      </c>
      <c r="F218" t="s">
        <v>22</v>
      </c>
      <c r="H218">
        <v>78</v>
      </c>
      <c r="J218" s="1">
        <v>23.5</v>
      </c>
      <c r="K218" s="1">
        <v>0</v>
      </c>
      <c r="M218" s="1">
        <v>0</v>
      </c>
      <c r="O218" s="1">
        <v>37</v>
      </c>
      <c r="Q218" s="2">
        <v>60.5</v>
      </c>
    </row>
    <row r="219" spans="1:17" x14ac:dyDescent="0.25">
      <c r="A219" t="s">
        <v>31</v>
      </c>
      <c r="B219" t="s">
        <v>32</v>
      </c>
      <c r="C219" t="str">
        <f>"13-3-BR-80"</f>
        <v>13-3-BR-80</v>
      </c>
      <c r="D219" t="s">
        <v>26</v>
      </c>
      <c r="F219" t="s">
        <v>22</v>
      </c>
      <c r="H219">
        <v>80</v>
      </c>
      <c r="J219" s="1">
        <v>23.5</v>
      </c>
      <c r="K219" s="1">
        <v>0</v>
      </c>
      <c r="M219" s="1">
        <v>0</v>
      </c>
      <c r="O219" s="1">
        <v>37</v>
      </c>
      <c r="Q219" s="2">
        <v>60.5</v>
      </c>
    </row>
    <row r="220" spans="1:17" x14ac:dyDescent="0.25">
      <c r="A220" t="s">
        <v>31</v>
      </c>
      <c r="B220" t="s">
        <v>32</v>
      </c>
      <c r="C220" t="str">
        <f>"13-3-CH-22"</f>
        <v>13-3-CH-22</v>
      </c>
      <c r="D220" t="s">
        <v>26</v>
      </c>
      <c r="F220" t="s">
        <v>23</v>
      </c>
      <c r="H220">
        <v>22</v>
      </c>
      <c r="J220" s="1">
        <v>23.5</v>
      </c>
      <c r="K220" s="1">
        <v>0</v>
      </c>
      <c r="M220" s="1">
        <v>0</v>
      </c>
      <c r="O220" s="1">
        <v>0</v>
      </c>
      <c r="Q220" s="2">
        <v>23.5</v>
      </c>
    </row>
    <row r="221" spans="1:17" x14ac:dyDescent="0.25">
      <c r="A221" t="s">
        <v>31</v>
      </c>
      <c r="B221" t="s">
        <v>32</v>
      </c>
      <c r="C221" t="str">
        <f>"13-3-CH-24"</f>
        <v>13-3-CH-24</v>
      </c>
      <c r="D221" t="s">
        <v>26</v>
      </c>
      <c r="F221" t="s">
        <v>23</v>
      </c>
      <c r="H221">
        <v>24</v>
      </c>
      <c r="J221" s="1">
        <v>23.5</v>
      </c>
      <c r="K221" s="1">
        <v>0</v>
      </c>
      <c r="M221" s="1">
        <v>0</v>
      </c>
      <c r="O221" s="1">
        <v>0</v>
      </c>
      <c r="Q221" s="2">
        <v>23.5</v>
      </c>
    </row>
    <row r="222" spans="1:17" x14ac:dyDescent="0.25">
      <c r="A222" t="s">
        <v>31</v>
      </c>
      <c r="B222" t="s">
        <v>32</v>
      </c>
      <c r="C222" t="str">
        <f>"13-3-CH-26"</f>
        <v>13-3-CH-26</v>
      </c>
      <c r="D222" t="s">
        <v>26</v>
      </c>
      <c r="F222" t="s">
        <v>23</v>
      </c>
      <c r="H222">
        <v>26</v>
      </c>
      <c r="J222" s="1">
        <v>23.5</v>
      </c>
      <c r="K222" s="1">
        <v>0</v>
      </c>
      <c r="M222" s="1">
        <v>0</v>
      </c>
      <c r="O222" s="1">
        <v>0</v>
      </c>
      <c r="Q222" s="2">
        <v>23.5</v>
      </c>
    </row>
    <row r="223" spans="1:17" x14ac:dyDescent="0.25">
      <c r="A223" t="s">
        <v>31</v>
      </c>
      <c r="B223" t="s">
        <v>32</v>
      </c>
      <c r="C223" t="str">
        <f>"13-3-CH-28"</f>
        <v>13-3-CH-28</v>
      </c>
      <c r="D223" t="s">
        <v>26</v>
      </c>
      <c r="F223" t="s">
        <v>23</v>
      </c>
      <c r="H223">
        <v>28</v>
      </c>
      <c r="J223" s="1">
        <v>23.5</v>
      </c>
      <c r="K223" s="1">
        <v>0</v>
      </c>
      <c r="M223" s="1">
        <v>0</v>
      </c>
      <c r="O223" s="1">
        <v>0</v>
      </c>
      <c r="Q223" s="2">
        <v>23.5</v>
      </c>
    </row>
    <row r="224" spans="1:17" x14ac:dyDescent="0.25">
      <c r="A224" t="s">
        <v>31</v>
      </c>
      <c r="B224" t="s">
        <v>32</v>
      </c>
      <c r="C224" t="str">
        <f>"13-3-CH-30"</f>
        <v>13-3-CH-30</v>
      </c>
      <c r="D224" t="s">
        <v>26</v>
      </c>
      <c r="F224" t="s">
        <v>23</v>
      </c>
      <c r="H224">
        <v>30</v>
      </c>
      <c r="J224" s="1">
        <v>23.5</v>
      </c>
      <c r="K224" s="1">
        <v>0</v>
      </c>
      <c r="M224" s="1">
        <v>0</v>
      </c>
      <c r="O224" s="1">
        <v>0</v>
      </c>
      <c r="Q224" s="2">
        <v>23.5</v>
      </c>
    </row>
    <row r="225" spans="1:17" x14ac:dyDescent="0.25">
      <c r="A225" t="s">
        <v>31</v>
      </c>
      <c r="B225" t="s">
        <v>32</v>
      </c>
      <c r="C225" t="str">
        <f>"13-3-CH-32"</f>
        <v>13-3-CH-32</v>
      </c>
      <c r="D225" t="s">
        <v>26</v>
      </c>
      <c r="F225" t="s">
        <v>23</v>
      </c>
      <c r="H225">
        <v>32</v>
      </c>
      <c r="J225" s="1">
        <v>23.5</v>
      </c>
      <c r="K225" s="1">
        <v>0</v>
      </c>
      <c r="M225" s="1">
        <v>0</v>
      </c>
      <c r="O225" s="1">
        <v>0</v>
      </c>
      <c r="Q225" s="2">
        <v>23.5</v>
      </c>
    </row>
    <row r="226" spans="1:17" x14ac:dyDescent="0.25">
      <c r="A226" t="s">
        <v>31</v>
      </c>
      <c r="B226" t="s">
        <v>32</v>
      </c>
      <c r="C226" t="str">
        <f>"13-3-CH-34"</f>
        <v>13-3-CH-34</v>
      </c>
      <c r="D226" t="s">
        <v>26</v>
      </c>
      <c r="F226" t="s">
        <v>23</v>
      </c>
      <c r="H226">
        <v>34</v>
      </c>
      <c r="J226" s="1">
        <v>23.5</v>
      </c>
      <c r="K226" s="1">
        <v>0</v>
      </c>
      <c r="M226" s="1">
        <v>0</v>
      </c>
      <c r="O226" s="1">
        <v>0</v>
      </c>
      <c r="Q226" s="2">
        <v>23.5</v>
      </c>
    </row>
    <row r="227" spans="1:17" x14ac:dyDescent="0.25">
      <c r="A227" t="s">
        <v>31</v>
      </c>
      <c r="B227" t="s">
        <v>32</v>
      </c>
      <c r="C227" t="str">
        <f>"13-3-CH-36"</f>
        <v>13-3-CH-36</v>
      </c>
      <c r="D227" t="s">
        <v>26</v>
      </c>
      <c r="F227" t="s">
        <v>23</v>
      </c>
      <c r="H227">
        <v>36</v>
      </c>
      <c r="J227" s="1">
        <v>23.5</v>
      </c>
      <c r="K227" s="1">
        <v>0</v>
      </c>
      <c r="M227" s="1">
        <v>0</v>
      </c>
      <c r="O227" s="1">
        <v>0</v>
      </c>
      <c r="Q227" s="2">
        <v>23.5</v>
      </c>
    </row>
    <row r="228" spans="1:17" x14ac:dyDescent="0.25">
      <c r="A228" t="s">
        <v>31</v>
      </c>
      <c r="B228" t="s">
        <v>32</v>
      </c>
      <c r="C228" t="str">
        <f>"13-3-CH-38"</f>
        <v>13-3-CH-38</v>
      </c>
      <c r="D228" t="s">
        <v>26</v>
      </c>
      <c r="F228" t="s">
        <v>23</v>
      </c>
      <c r="H228">
        <v>38</v>
      </c>
      <c r="J228" s="1">
        <v>23.5</v>
      </c>
      <c r="K228" s="1">
        <v>0</v>
      </c>
      <c r="M228" s="1">
        <v>0</v>
      </c>
      <c r="O228" s="1">
        <v>0</v>
      </c>
      <c r="Q228" s="2">
        <v>23.5</v>
      </c>
    </row>
    <row r="229" spans="1:17" x14ac:dyDescent="0.25">
      <c r="A229" t="s">
        <v>31</v>
      </c>
      <c r="B229" t="s">
        <v>32</v>
      </c>
      <c r="C229" t="str">
        <f>"13-3-CH-40"</f>
        <v>13-3-CH-40</v>
      </c>
      <c r="D229" t="s">
        <v>26</v>
      </c>
      <c r="F229" t="s">
        <v>23</v>
      </c>
      <c r="H229">
        <v>40</v>
      </c>
      <c r="J229" s="1">
        <v>23.5</v>
      </c>
      <c r="K229" s="1">
        <v>0</v>
      </c>
      <c r="M229" s="1">
        <v>0</v>
      </c>
      <c r="O229" s="1">
        <v>0</v>
      </c>
      <c r="Q229" s="2">
        <v>23.5</v>
      </c>
    </row>
    <row r="230" spans="1:17" x14ac:dyDescent="0.25">
      <c r="A230" t="s">
        <v>31</v>
      </c>
      <c r="B230" t="s">
        <v>32</v>
      </c>
      <c r="C230" t="str">
        <f>"13-3-CH-42"</f>
        <v>13-3-CH-42</v>
      </c>
      <c r="D230" t="s">
        <v>26</v>
      </c>
      <c r="F230" t="s">
        <v>23</v>
      </c>
      <c r="H230">
        <v>42</v>
      </c>
      <c r="J230" s="1">
        <v>23.5</v>
      </c>
      <c r="K230" s="1">
        <v>0</v>
      </c>
      <c r="M230" s="1">
        <v>0</v>
      </c>
      <c r="O230" s="1">
        <v>0</v>
      </c>
      <c r="Q230" s="2">
        <v>23.5</v>
      </c>
    </row>
    <row r="231" spans="1:17" x14ac:dyDescent="0.25">
      <c r="A231" t="s">
        <v>31</v>
      </c>
      <c r="B231" t="s">
        <v>32</v>
      </c>
      <c r="C231" t="str">
        <f>"13-3-CH-44"</f>
        <v>13-3-CH-44</v>
      </c>
      <c r="D231" t="s">
        <v>26</v>
      </c>
      <c r="F231" t="s">
        <v>23</v>
      </c>
      <c r="H231">
        <v>44</v>
      </c>
      <c r="J231" s="1">
        <v>23.5</v>
      </c>
      <c r="K231" s="1">
        <v>0</v>
      </c>
      <c r="M231" s="1">
        <v>0</v>
      </c>
      <c r="O231" s="1">
        <v>0</v>
      </c>
      <c r="Q231" s="2">
        <v>23.5</v>
      </c>
    </row>
    <row r="232" spans="1:17" x14ac:dyDescent="0.25">
      <c r="A232" t="s">
        <v>31</v>
      </c>
      <c r="B232" t="s">
        <v>32</v>
      </c>
      <c r="C232" t="str">
        <f>"13-3-CH-46"</f>
        <v>13-3-CH-46</v>
      </c>
      <c r="D232" t="s">
        <v>26</v>
      </c>
      <c r="F232" t="s">
        <v>23</v>
      </c>
      <c r="H232">
        <v>46</v>
      </c>
      <c r="J232" s="1">
        <v>23.5</v>
      </c>
      <c r="K232" s="1">
        <v>0</v>
      </c>
      <c r="M232" s="1">
        <v>0</v>
      </c>
      <c r="O232" s="1">
        <v>0</v>
      </c>
      <c r="Q232" s="2">
        <v>23.5</v>
      </c>
    </row>
    <row r="233" spans="1:17" x14ac:dyDescent="0.25">
      <c r="A233" t="s">
        <v>31</v>
      </c>
      <c r="B233" t="s">
        <v>32</v>
      </c>
      <c r="C233" t="str">
        <f>"13-3-CH-48"</f>
        <v>13-3-CH-48</v>
      </c>
      <c r="D233" t="s">
        <v>26</v>
      </c>
      <c r="F233" t="s">
        <v>23</v>
      </c>
      <c r="H233">
        <v>48</v>
      </c>
      <c r="J233" s="1">
        <v>23.5</v>
      </c>
      <c r="K233" s="1">
        <v>0</v>
      </c>
      <c r="M233" s="1">
        <v>0</v>
      </c>
      <c r="O233" s="1">
        <v>4</v>
      </c>
      <c r="Q233" s="2">
        <v>27.5</v>
      </c>
    </row>
    <row r="234" spans="1:17" x14ac:dyDescent="0.25">
      <c r="A234" t="s">
        <v>31</v>
      </c>
      <c r="B234" t="s">
        <v>32</v>
      </c>
      <c r="C234" t="str">
        <f>"13-3-CH-50"</f>
        <v>13-3-CH-50</v>
      </c>
      <c r="D234" t="s">
        <v>26</v>
      </c>
      <c r="F234" t="s">
        <v>23</v>
      </c>
      <c r="H234">
        <v>50</v>
      </c>
      <c r="J234" s="1">
        <v>23.5</v>
      </c>
      <c r="K234" s="1">
        <v>0</v>
      </c>
      <c r="M234" s="1">
        <v>0</v>
      </c>
      <c r="O234" s="1">
        <v>6</v>
      </c>
      <c r="Q234" s="2">
        <v>29.5</v>
      </c>
    </row>
    <row r="235" spans="1:17" x14ac:dyDescent="0.25">
      <c r="A235" t="s">
        <v>31</v>
      </c>
      <c r="B235" t="s">
        <v>32</v>
      </c>
      <c r="C235" t="str">
        <f>"13-3-CH-52"</f>
        <v>13-3-CH-52</v>
      </c>
      <c r="D235" t="s">
        <v>26</v>
      </c>
      <c r="F235" t="s">
        <v>23</v>
      </c>
      <c r="H235">
        <v>52</v>
      </c>
      <c r="J235" s="1">
        <v>23.5</v>
      </c>
      <c r="K235" s="1">
        <v>0</v>
      </c>
      <c r="M235" s="1">
        <v>0</v>
      </c>
      <c r="O235" s="1">
        <v>8</v>
      </c>
      <c r="Q235" s="2">
        <v>31.5</v>
      </c>
    </row>
    <row r="236" spans="1:17" x14ac:dyDescent="0.25">
      <c r="A236" t="s">
        <v>31</v>
      </c>
      <c r="B236" t="s">
        <v>32</v>
      </c>
      <c r="C236" t="str">
        <f>"13-3-CH-54"</f>
        <v>13-3-CH-54</v>
      </c>
      <c r="D236" t="s">
        <v>26</v>
      </c>
      <c r="F236" t="s">
        <v>23</v>
      </c>
      <c r="H236">
        <v>54</v>
      </c>
      <c r="J236" s="1">
        <v>23.5</v>
      </c>
      <c r="K236" s="1">
        <v>0</v>
      </c>
      <c r="M236" s="1">
        <v>0</v>
      </c>
      <c r="O236" s="1">
        <v>10</v>
      </c>
      <c r="Q236" s="2">
        <v>33.5</v>
      </c>
    </row>
    <row r="237" spans="1:17" x14ac:dyDescent="0.25">
      <c r="A237" t="s">
        <v>31</v>
      </c>
      <c r="B237" t="s">
        <v>32</v>
      </c>
      <c r="C237" t="str">
        <f>"13-3-CH-56"</f>
        <v>13-3-CH-56</v>
      </c>
      <c r="D237" t="s">
        <v>26</v>
      </c>
      <c r="F237" t="s">
        <v>23</v>
      </c>
      <c r="H237">
        <v>56</v>
      </c>
      <c r="J237" s="1">
        <v>23.5</v>
      </c>
      <c r="K237" s="1">
        <v>0</v>
      </c>
      <c r="M237" s="1">
        <v>0</v>
      </c>
      <c r="O237" s="1">
        <v>12</v>
      </c>
      <c r="Q237" s="2">
        <v>35.5</v>
      </c>
    </row>
    <row r="238" spans="1:17" x14ac:dyDescent="0.25">
      <c r="A238" t="s">
        <v>31</v>
      </c>
      <c r="B238" t="s">
        <v>32</v>
      </c>
      <c r="C238" t="str">
        <f>"13-3-CH-58"</f>
        <v>13-3-CH-58</v>
      </c>
      <c r="D238" t="s">
        <v>26</v>
      </c>
      <c r="F238" t="s">
        <v>23</v>
      </c>
      <c r="H238">
        <v>58</v>
      </c>
      <c r="J238" s="1">
        <v>23.5</v>
      </c>
      <c r="K238" s="1">
        <v>0</v>
      </c>
      <c r="M238" s="1">
        <v>0</v>
      </c>
      <c r="O238" s="1">
        <v>14</v>
      </c>
      <c r="Q238" s="2">
        <v>37.5</v>
      </c>
    </row>
    <row r="239" spans="1:17" x14ac:dyDescent="0.25">
      <c r="A239" t="s">
        <v>31</v>
      </c>
      <c r="B239" t="s">
        <v>32</v>
      </c>
      <c r="C239" t="str">
        <f>"13-3-CH-60"</f>
        <v>13-3-CH-60</v>
      </c>
      <c r="D239" t="s">
        <v>26</v>
      </c>
      <c r="F239" t="s">
        <v>23</v>
      </c>
      <c r="H239">
        <v>60</v>
      </c>
      <c r="J239" s="1">
        <v>23.5</v>
      </c>
      <c r="K239" s="1">
        <v>0</v>
      </c>
      <c r="M239" s="1">
        <v>0</v>
      </c>
      <c r="O239" s="1">
        <v>16</v>
      </c>
      <c r="Q239" s="2">
        <v>39.5</v>
      </c>
    </row>
    <row r="240" spans="1:17" x14ac:dyDescent="0.25">
      <c r="A240" t="s">
        <v>31</v>
      </c>
      <c r="B240" t="s">
        <v>32</v>
      </c>
      <c r="C240" t="str">
        <f>"13-3-CH-62"</f>
        <v>13-3-CH-62</v>
      </c>
      <c r="D240" t="s">
        <v>26</v>
      </c>
      <c r="F240" t="s">
        <v>23</v>
      </c>
      <c r="H240">
        <v>62</v>
      </c>
      <c r="J240" s="1">
        <v>23.5</v>
      </c>
      <c r="K240" s="1">
        <v>0</v>
      </c>
      <c r="M240" s="1">
        <v>0</v>
      </c>
      <c r="O240" s="1">
        <v>18</v>
      </c>
      <c r="Q240" s="2">
        <v>41.5</v>
      </c>
    </row>
    <row r="241" spans="1:17" x14ac:dyDescent="0.25">
      <c r="A241" t="s">
        <v>31</v>
      </c>
      <c r="B241" t="s">
        <v>32</v>
      </c>
      <c r="C241" t="str">
        <f>"13-3-CH-64"</f>
        <v>13-3-CH-64</v>
      </c>
      <c r="D241" t="s">
        <v>26</v>
      </c>
      <c r="F241" t="s">
        <v>23</v>
      </c>
      <c r="H241">
        <v>64</v>
      </c>
      <c r="J241" s="1">
        <v>23.5</v>
      </c>
      <c r="K241" s="1">
        <v>0</v>
      </c>
      <c r="M241" s="1">
        <v>0</v>
      </c>
      <c r="O241" s="1">
        <v>37</v>
      </c>
      <c r="Q241" s="2">
        <v>60.5</v>
      </c>
    </row>
    <row r="242" spans="1:17" x14ac:dyDescent="0.25">
      <c r="A242" t="s">
        <v>31</v>
      </c>
      <c r="B242" t="s">
        <v>32</v>
      </c>
      <c r="C242" t="str">
        <f>"13-3-CH-66"</f>
        <v>13-3-CH-66</v>
      </c>
      <c r="D242" t="s">
        <v>26</v>
      </c>
      <c r="F242" t="s">
        <v>23</v>
      </c>
      <c r="H242">
        <v>66</v>
      </c>
      <c r="J242" s="1">
        <v>23.5</v>
      </c>
      <c r="K242" s="1">
        <v>0</v>
      </c>
      <c r="M242" s="1">
        <v>0</v>
      </c>
      <c r="O242" s="1">
        <v>37</v>
      </c>
      <c r="Q242" s="2">
        <v>60.5</v>
      </c>
    </row>
    <row r="243" spans="1:17" x14ac:dyDescent="0.25">
      <c r="A243" t="s">
        <v>31</v>
      </c>
      <c r="B243" t="s">
        <v>32</v>
      </c>
      <c r="C243" t="str">
        <f>"13-3-CH-68"</f>
        <v>13-3-CH-68</v>
      </c>
      <c r="D243" t="s">
        <v>26</v>
      </c>
      <c r="F243" t="s">
        <v>23</v>
      </c>
      <c r="H243">
        <v>68</v>
      </c>
      <c r="J243" s="1">
        <v>23.5</v>
      </c>
      <c r="K243" s="1">
        <v>0</v>
      </c>
      <c r="M243" s="1">
        <v>0</v>
      </c>
      <c r="O243" s="1">
        <v>37</v>
      </c>
      <c r="Q243" s="2">
        <v>60.5</v>
      </c>
    </row>
    <row r="244" spans="1:17" x14ac:dyDescent="0.25">
      <c r="A244" t="s">
        <v>31</v>
      </c>
      <c r="B244" t="s">
        <v>32</v>
      </c>
      <c r="C244" t="str">
        <f>"13-3-CH-70"</f>
        <v>13-3-CH-70</v>
      </c>
      <c r="D244" t="s">
        <v>26</v>
      </c>
      <c r="F244" t="s">
        <v>23</v>
      </c>
      <c r="H244">
        <v>70</v>
      </c>
      <c r="J244" s="1">
        <v>23.5</v>
      </c>
      <c r="K244" s="1">
        <v>0</v>
      </c>
      <c r="M244" s="1">
        <v>0</v>
      </c>
      <c r="O244" s="1">
        <v>37</v>
      </c>
      <c r="Q244" s="2">
        <v>60.5</v>
      </c>
    </row>
    <row r="245" spans="1:17" x14ac:dyDescent="0.25">
      <c r="A245" t="s">
        <v>31</v>
      </c>
      <c r="B245" t="s">
        <v>32</v>
      </c>
      <c r="C245" t="str">
        <f>"13-3-CH-72"</f>
        <v>13-3-CH-72</v>
      </c>
      <c r="D245" t="s">
        <v>26</v>
      </c>
      <c r="F245" t="s">
        <v>23</v>
      </c>
      <c r="H245">
        <v>72</v>
      </c>
      <c r="J245" s="1">
        <v>23.5</v>
      </c>
      <c r="K245" s="1">
        <v>0</v>
      </c>
      <c r="M245" s="1">
        <v>0</v>
      </c>
      <c r="O245" s="1">
        <v>37</v>
      </c>
      <c r="Q245" s="2">
        <v>60.5</v>
      </c>
    </row>
    <row r="246" spans="1:17" x14ac:dyDescent="0.25">
      <c r="A246" t="s">
        <v>31</v>
      </c>
      <c r="B246" t="s">
        <v>32</v>
      </c>
      <c r="C246" t="str">
        <f>"13-3-CH-74"</f>
        <v>13-3-CH-74</v>
      </c>
      <c r="D246" t="s">
        <v>26</v>
      </c>
      <c r="F246" t="s">
        <v>23</v>
      </c>
      <c r="H246">
        <v>74</v>
      </c>
      <c r="J246" s="1">
        <v>23.5</v>
      </c>
      <c r="K246" s="1">
        <v>0</v>
      </c>
      <c r="M246" s="1">
        <v>0</v>
      </c>
      <c r="O246" s="1">
        <v>37</v>
      </c>
      <c r="Q246" s="2">
        <v>60.5</v>
      </c>
    </row>
    <row r="247" spans="1:17" x14ac:dyDescent="0.25">
      <c r="A247" t="s">
        <v>31</v>
      </c>
      <c r="B247" t="s">
        <v>32</v>
      </c>
      <c r="C247" t="str">
        <f>"13-3-CH-76"</f>
        <v>13-3-CH-76</v>
      </c>
      <c r="D247" t="s">
        <v>26</v>
      </c>
      <c r="F247" t="s">
        <v>23</v>
      </c>
      <c r="H247">
        <v>76</v>
      </c>
      <c r="J247" s="1">
        <v>23.5</v>
      </c>
      <c r="K247" s="1">
        <v>0</v>
      </c>
      <c r="M247" s="1">
        <v>0</v>
      </c>
      <c r="O247" s="1">
        <v>37</v>
      </c>
      <c r="Q247" s="2">
        <v>60.5</v>
      </c>
    </row>
    <row r="248" spans="1:17" x14ac:dyDescent="0.25">
      <c r="A248" t="s">
        <v>31</v>
      </c>
      <c r="B248" t="s">
        <v>32</v>
      </c>
      <c r="C248" t="str">
        <f>"13-3-CH-78"</f>
        <v>13-3-CH-78</v>
      </c>
      <c r="D248" t="s">
        <v>26</v>
      </c>
      <c r="F248" t="s">
        <v>23</v>
      </c>
      <c r="H248">
        <v>78</v>
      </c>
      <c r="J248" s="1">
        <v>23.5</v>
      </c>
      <c r="K248" s="1">
        <v>0</v>
      </c>
      <c r="M248" s="1">
        <v>0</v>
      </c>
      <c r="O248" s="1">
        <v>37</v>
      </c>
      <c r="Q248" s="2">
        <v>60.5</v>
      </c>
    </row>
    <row r="249" spans="1:17" x14ac:dyDescent="0.25">
      <c r="A249" t="s">
        <v>31</v>
      </c>
      <c r="B249" t="s">
        <v>32</v>
      </c>
      <c r="C249" t="str">
        <f>"13-3-CH-80"</f>
        <v>13-3-CH-80</v>
      </c>
      <c r="D249" t="s">
        <v>26</v>
      </c>
      <c r="F249" t="s">
        <v>23</v>
      </c>
      <c r="H249">
        <v>80</v>
      </c>
      <c r="J249" s="1">
        <v>23.5</v>
      </c>
      <c r="K249" s="1">
        <v>0</v>
      </c>
      <c r="M249" s="1">
        <v>0</v>
      </c>
      <c r="O249" s="1">
        <v>37</v>
      </c>
      <c r="Q249" s="2">
        <v>60.5</v>
      </c>
    </row>
    <row r="250" spans="1:17" x14ac:dyDescent="0.25">
      <c r="A250" t="s">
        <v>31</v>
      </c>
      <c r="B250" t="s">
        <v>32</v>
      </c>
      <c r="C250" t="str">
        <f>"13-5-BR-22"</f>
        <v>13-5-BR-22</v>
      </c>
      <c r="D250" t="s">
        <v>27</v>
      </c>
      <c r="F250" t="s">
        <v>22</v>
      </c>
      <c r="H250">
        <v>22</v>
      </c>
      <c r="J250" s="1">
        <v>23.5</v>
      </c>
      <c r="K250" s="1">
        <v>0</v>
      </c>
      <c r="M250" s="1">
        <v>0</v>
      </c>
      <c r="O250" s="1">
        <v>0</v>
      </c>
      <c r="Q250" s="2">
        <v>23.5</v>
      </c>
    </row>
    <row r="251" spans="1:17" x14ac:dyDescent="0.25">
      <c r="A251" t="s">
        <v>31</v>
      </c>
      <c r="B251" t="s">
        <v>32</v>
      </c>
      <c r="C251" t="str">
        <f>"13-5-BR-24"</f>
        <v>13-5-BR-24</v>
      </c>
      <c r="D251" t="s">
        <v>27</v>
      </c>
      <c r="F251" t="s">
        <v>22</v>
      </c>
      <c r="H251">
        <v>24</v>
      </c>
      <c r="J251" s="1">
        <v>23.5</v>
      </c>
      <c r="K251" s="1">
        <v>0</v>
      </c>
      <c r="M251" s="1">
        <v>0</v>
      </c>
      <c r="O251" s="1">
        <v>0</v>
      </c>
      <c r="Q251" s="2">
        <v>23.5</v>
      </c>
    </row>
    <row r="252" spans="1:17" x14ac:dyDescent="0.25">
      <c r="A252" t="s">
        <v>31</v>
      </c>
      <c r="B252" t="s">
        <v>32</v>
      </c>
      <c r="C252" t="str">
        <f>"13-5-BR-26"</f>
        <v>13-5-BR-26</v>
      </c>
      <c r="D252" t="s">
        <v>27</v>
      </c>
      <c r="F252" t="s">
        <v>22</v>
      </c>
      <c r="H252">
        <v>26</v>
      </c>
      <c r="J252" s="1">
        <v>23.5</v>
      </c>
      <c r="K252" s="1">
        <v>0</v>
      </c>
      <c r="M252" s="1">
        <v>0</v>
      </c>
      <c r="O252" s="1">
        <v>0</v>
      </c>
      <c r="Q252" s="2">
        <v>23.5</v>
      </c>
    </row>
    <row r="253" spans="1:17" x14ac:dyDescent="0.25">
      <c r="A253" t="s">
        <v>31</v>
      </c>
      <c r="B253" t="s">
        <v>32</v>
      </c>
      <c r="C253" t="str">
        <f>"13-5-BR-28"</f>
        <v>13-5-BR-28</v>
      </c>
      <c r="D253" t="s">
        <v>27</v>
      </c>
      <c r="F253" t="s">
        <v>22</v>
      </c>
      <c r="H253">
        <v>28</v>
      </c>
      <c r="J253" s="1">
        <v>23.5</v>
      </c>
      <c r="K253" s="1">
        <v>0</v>
      </c>
      <c r="M253" s="1">
        <v>0</v>
      </c>
      <c r="O253" s="1">
        <v>0</v>
      </c>
      <c r="Q253" s="2">
        <v>23.5</v>
      </c>
    </row>
    <row r="254" spans="1:17" x14ac:dyDescent="0.25">
      <c r="A254" t="s">
        <v>31</v>
      </c>
      <c r="B254" t="s">
        <v>32</v>
      </c>
      <c r="C254" t="str">
        <f>"13-5-BR-30"</f>
        <v>13-5-BR-30</v>
      </c>
      <c r="D254" t="s">
        <v>27</v>
      </c>
      <c r="F254" t="s">
        <v>22</v>
      </c>
      <c r="H254">
        <v>30</v>
      </c>
      <c r="J254" s="1">
        <v>23.5</v>
      </c>
      <c r="K254" s="1">
        <v>0</v>
      </c>
      <c r="M254" s="1">
        <v>0</v>
      </c>
      <c r="O254" s="1">
        <v>0</v>
      </c>
      <c r="Q254" s="2">
        <v>23.5</v>
      </c>
    </row>
    <row r="255" spans="1:17" x14ac:dyDescent="0.25">
      <c r="A255" t="s">
        <v>31</v>
      </c>
      <c r="B255" t="s">
        <v>32</v>
      </c>
      <c r="C255" t="str">
        <f>"13-5-BR-32"</f>
        <v>13-5-BR-32</v>
      </c>
      <c r="D255" t="s">
        <v>27</v>
      </c>
      <c r="F255" t="s">
        <v>22</v>
      </c>
      <c r="H255">
        <v>32</v>
      </c>
      <c r="J255" s="1">
        <v>23.5</v>
      </c>
      <c r="K255" s="1">
        <v>0</v>
      </c>
      <c r="M255" s="1">
        <v>0</v>
      </c>
      <c r="O255" s="1">
        <v>0</v>
      </c>
      <c r="Q255" s="2">
        <v>23.5</v>
      </c>
    </row>
    <row r="256" spans="1:17" x14ac:dyDescent="0.25">
      <c r="A256" t="s">
        <v>31</v>
      </c>
      <c r="B256" t="s">
        <v>32</v>
      </c>
      <c r="C256" t="str">
        <f>"13-5-BR-34"</f>
        <v>13-5-BR-34</v>
      </c>
      <c r="D256" t="s">
        <v>27</v>
      </c>
      <c r="F256" t="s">
        <v>22</v>
      </c>
      <c r="H256">
        <v>34</v>
      </c>
      <c r="J256" s="1">
        <v>23.5</v>
      </c>
      <c r="K256" s="1">
        <v>0</v>
      </c>
      <c r="M256" s="1">
        <v>0</v>
      </c>
      <c r="O256" s="1">
        <v>0</v>
      </c>
      <c r="Q256" s="2">
        <v>23.5</v>
      </c>
    </row>
    <row r="257" spans="1:17" x14ac:dyDescent="0.25">
      <c r="A257" t="s">
        <v>31</v>
      </c>
      <c r="B257" t="s">
        <v>32</v>
      </c>
      <c r="C257" t="str">
        <f>"13-5-BR-36"</f>
        <v>13-5-BR-36</v>
      </c>
      <c r="D257" t="s">
        <v>27</v>
      </c>
      <c r="F257" t="s">
        <v>22</v>
      </c>
      <c r="H257">
        <v>36</v>
      </c>
      <c r="J257" s="1">
        <v>23.5</v>
      </c>
      <c r="K257" s="1">
        <v>0</v>
      </c>
      <c r="M257" s="1">
        <v>0</v>
      </c>
      <c r="O257" s="1">
        <v>0</v>
      </c>
      <c r="Q257" s="2">
        <v>23.5</v>
      </c>
    </row>
    <row r="258" spans="1:17" x14ac:dyDescent="0.25">
      <c r="A258" t="s">
        <v>31</v>
      </c>
      <c r="B258" t="s">
        <v>32</v>
      </c>
      <c r="C258" t="str">
        <f>"13-5-BR-38"</f>
        <v>13-5-BR-38</v>
      </c>
      <c r="D258" t="s">
        <v>27</v>
      </c>
      <c r="F258" t="s">
        <v>22</v>
      </c>
      <c r="H258">
        <v>38</v>
      </c>
      <c r="J258" s="1">
        <v>23.5</v>
      </c>
      <c r="K258" s="1">
        <v>0</v>
      </c>
      <c r="M258" s="1">
        <v>0</v>
      </c>
      <c r="O258" s="1">
        <v>0</v>
      </c>
      <c r="Q258" s="2">
        <v>23.5</v>
      </c>
    </row>
    <row r="259" spans="1:17" x14ac:dyDescent="0.25">
      <c r="A259" t="s">
        <v>31</v>
      </c>
      <c r="B259" t="s">
        <v>32</v>
      </c>
      <c r="C259" t="str">
        <f>"13-5-BR-40"</f>
        <v>13-5-BR-40</v>
      </c>
      <c r="D259" t="s">
        <v>27</v>
      </c>
      <c r="F259" t="s">
        <v>22</v>
      </c>
      <c r="H259">
        <v>40</v>
      </c>
      <c r="J259" s="1">
        <v>23.5</v>
      </c>
      <c r="K259" s="1">
        <v>0</v>
      </c>
      <c r="M259" s="1">
        <v>0</v>
      </c>
      <c r="O259" s="1">
        <v>0</v>
      </c>
      <c r="Q259" s="2">
        <v>23.5</v>
      </c>
    </row>
    <row r="260" spans="1:17" x14ac:dyDescent="0.25">
      <c r="A260" t="s">
        <v>31</v>
      </c>
      <c r="B260" t="s">
        <v>32</v>
      </c>
      <c r="C260" t="str">
        <f>"13-5-BR-42"</f>
        <v>13-5-BR-42</v>
      </c>
      <c r="D260" t="s">
        <v>27</v>
      </c>
      <c r="F260" t="s">
        <v>22</v>
      </c>
      <c r="H260">
        <v>42</v>
      </c>
      <c r="J260" s="1">
        <v>23.5</v>
      </c>
      <c r="K260" s="1">
        <v>0</v>
      </c>
      <c r="M260" s="1">
        <v>0</v>
      </c>
      <c r="O260" s="1">
        <v>0</v>
      </c>
      <c r="Q260" s="2">
        <v>23.5</v>
      </c>
    </row>
    <row r="261" spans="1:17" x14ac:dyDescent="0.25">
      <c r="A261" t="s">
        <v>31</v>
      </c>
      <c r="B261" t="s">
        <v>32</v>
      </c>
      <c r="C261" t="str">
        <f>"13-5-BR-44"</f>
        <v>13-5-BR-44</v>
      </c>
      <c r="D261" t="s">
        <v>27</v>
      </c>
      <c r="F261" t="s">
        <v>22</v>
      </c>
      <c r="H261">
        <v>44</v>
      </c>
      <c r="J261" s="1">
        <v>23.5</v>
      </c>
      <c r="K261" s="1">
        <v>0</v>
      </c>
      <c r="M261" s="1">
        <v>0</v>
      </c>
      <c r="O261" s="1">
        <v>0</v>
      </c>
      <c r="Q261" s="2">
        <v>23.5</v>
      </c>
    </row>
    <row r="262" spans="1:17" x14ac:dyDescent="0.25">
      <c r="A262" t="s">
        <v>31</v>
      </c>
      <c r="B262" t="s">
        <v>32</v>
      </c>
      <c r="C262" t="str">
        <f>"13-5-BR-46"</f>
        <v>13-5-BR-46</v>
      </c>
      <c r="D262" t="s">
        <v>27</v>
      </c>
      <c r="F262" t="s">
        <v>22</v>
      </c>
      <c r="H262">
        <v>46</v>
      </c>
      <c r="J262" s="1">
        <v>23.5</v>
      </c>
      <c r="K262" s="1">
        <v>0</v>
      </c>
      <c r="M262" s="1">
        <v>0</v>
      </c>
      <c r="O262" s="1">
        <v>0</v>
      </c>
      <c r="Q262" s="2">
        <v>23.5</v>
      </c>
    </row>
    <row r="263" spans="1:17" x14ac:dyDescent="0.25">
      <c r="A263" t="s">
        <v>31</v>
      </c>
      <c r="B263" t="s">
        <v>32</v>
      </c>
      <c r="C263" t="str">
        <f>"13-5-BR-48"</f>
        <v>13-5-BR-48</v>
      </c>
      <c r="D263" t="s">
        <v>27</v>
      </c>
      <c r="F263" t="s">
        <v>22</v>
      </c>
      <c r="H263">
        <v>48</v>
      </c>
      <c r="J263" s="1">
        <v>23.5</v>
      </c>
      <c r="K263" s="1">
        <v>0</v>
      </c>
      <c r="M263" s="1">
        <v>0</v>
      </c>
      <c r="O263" s="1">
        <v>4</v>
      </c>
      <c r="Q263" s="2">
        <v>27.5</v>
      </c>
    </row>
    <row r="264" spans="1:17" x14ac:dyDescent="0.25">
      <c r="A264" t="s">
        <v>31</v>
      </c>
      <c r="B264" t="s">
        <v>32</v>
      </c>
      <c r="C264" t="str">
        <f>"13-5-BR-50"</f>
        <v>13-5-BR-50</v>
      </c>
      <c r="D264" t="s">
        <v>27</v>
      </c>
      <c r="F264" t="s">
        <v>22</v>
      </c>
      <c r="H264">
        <v>50</v>
      </c>
      <c r="J264" s="1">
        <v>23.5</v>
      </c>
      <c r="K264" s="1">
        <v>0</v>
      </c>
      <c r="M264" s="1">
        <v>0</v>
      </c>
      <c r="O264" s="1">
        <v>6</v>
      </c>
      <c r="Q264" s="2">
        <v>29.5</v>
      </c>
    </row>
    <row r="265" spans="1:17" x14ac:dyDescent="0.25">
      <c r="A265" t="s">
        <v>31</v>
      </c>
      <c r="B265" t="s">
        <v>32</v>
      </c>
      <c r="C265" t="str">
        <f>"13-5-BR-52"</f>
        <v>13-5-BR-52</v>
      </c>
      <c r="D265" t="s">
        <v>27</v>
      </c>
      <c r="F265" t="s">
        <v>22</v>
      </c>
      <c r="H265">
        <v>52</v>
      </c>
      <c r="J265" s="1">
        <v>23.5</v>
      </c>
      <c r="K265" s="1">
        <v>0</v>
      </c>
      <c r="M265" s="1">
        <v>0</v>
      </c>
      <c r="O265" s="1">
        <v>8</v>
      </c>
      <c r="Q265" s="2">
        <v>31.5</v>
      </c>
    </row>
    <row r="266" spans="1:17" x14ac:dyDescent="0.25">
      <c r="A266" t="s">
        <v>31</v>
      </c>
      <c r="B266" t="s">
        <v>32</v>
      </c>
      <c r="C266" t="str">
        <f>"13-5-BR-54"</f>
        <v>13-5-BR-54</v>
      </c>
      <c r="D266" t="s">
        <v>27</v>
      </c>
      <c r="F266" t="s">
        <v>22</v>
      </c>
      <c r="H266">
        <v>54</v>
      </c>
      <c r="J266" s="1">
        <v>23.5</v>
      </c>
      <c r="K266" s="1">
        <v>0</v>
      </c>
      <c r="M266" s="1">
        <v>0</v>
      </c>
      <c r="O266" s="1">
        <v>10</v>
      </c>
      <c r="Q266" s="2">
        <v>33.5</v>
      </c>
    </row>
    <row r="267" spans="1:17" x14ac:dyDescent="0.25">
      <c r="A267" t="s">
        <v>31</v>
      </c>
      <c r="B267" t="s">
        <v>32</v>
      </c>
      <c r="C267" t="str">
        <f>"13-5-BR-56"</f>
        <v>13-5-BR-56</v>
      </c>
      <c r="D267" t="s">
        <v>27</v>
      </c>
      <c r="F267" t="s">
        <v>22</v>
      </c>
      <c r="H267">
        <v>56</v>
      </c>
      <c r="J267" s="1">
        <v>23.5</v>
      </c>
      <c r="K267" s="1">
        <v>0</v>
      </c>
      <c r="M267" s="1">
        <v>0</v>
      </c>
      <c r="O267" s="1">
        <v>12</v>
      </c>
      <c r="Q267" s="2">
        <v>35.5</v>
      </c>
    </row>
    <row r="268" spans="1:17" x14ac:dyDescent="0.25">
      <c r="A268" t="s">
        <v>31</v>
      </c>
      <c r="B268" t="s">
        <v>32</v>
      </c>
      <c r="C268" t="str">
        <f>"13-5-BR-58"</f>
        <v>13-5-BR-58</v>
      </c>
      <c r="D268" t="s">
        <v>27</v>
      </c>
      <c r="F268" t="s">
        <v>22</v>
      </c>
      <c r="H268">
        <v>58</v>
      </c>
      <c r="J268" s="1">
        <v>23.5</v>
      </c>
      <c r="K268" s="1">
        <v>0</v>
      </c>
      <c r="M268" s="1">
        <v>0</v>
      </c>
      <c r="O268" s="1">
        <v>14</v>
      </c>
      <c r="Q268" s="2">
        <v>37.5</v>
      </c>
    </row>
    <row r="269" spans="1:17" x14ac:dyDescent="0.25">
      <c r="A269" t="s">
        <v>31</v>
      </c>
      <c r="B269" t="s">
        <v>32</v>
      </c>
      <c r="C269" t="str">
        <f>"13-5-BR-60"</f>
        <v>13-5-BR-60</v>
      </c>
      <c r="D269" t="s">
        <v>27</v>
      </c>
      <c r="F269" t="s">
        <v>22</v>
      </c>
      <c r="H269">
        <v>60</v>
      </c>
      <c r="J269" s="1">
        <v>23.5</v>
      </c>
      <c r="K269" s="1">
        <v>0</v>
      </c>
      <c r="M269" s="1">
        <v>0</v>
      </c>
      <c r="O269" s="1">
        <v>16</v>
      </c>
      <c r="Q269" s="2">
        <v>39.5</v>
      </c>
    </row>
    <row r="270" spans="1:17" x14ac:dyDescent="0.25">
      <c r="A270" t="s">
        <v>31</v>
      </c>
      <c r="B270" t="s">
        <v>32</v>
      </c>
      <c r="C270" t="str">
        <f>"13-5-BR-62"</f>
        <v>13-5-BR-62</v>
      </c>
      <c r="D270" t="s">
        <v>27</v>
      </c>
      <c r="F270" t="s">
        <v>22</v>
      </c>
      <c r="H270">
        <v>62</v>
      </c>
      <c r="J270" s="1">
        <v>23.5</v>
      </c>
      <c r="K270" s="1">
        <v>0</v>
      </c>
      <c r="M270" s="1">
        <v>0</v>
      </c>
      <c r="O270" s="1">
        <v>18</v>
      </c>
      <c r="Q270" s="2">
        <v>41.5</v>
      </c>
    </row>
    <row r="271" spans="1:17" x14ac:dyDescent="0.25">
      <c r="A271" t="s">
        <v>31</v>
      </c>
      <c r="B271" t="s">
        <v>32</v>
      </c>
      <c r="C271" t="str">
        <f>"13-5-BR-64"</f>
        <v>13-5-BR-64</v>
      </c>
      <c r="D271" t="s">
        <v>27</v>
      </c>
      <c r="F271" t="s">
        <v>22</v>
      </c>
      <c r="H271">
        <v>64</v>
      </c>
      <c r="J271" s="1">
        <v>23.5</v>
      </c>
      <c r="K271" s="1">
        <v>0</v>
      </c>
      <c r="M271" s="1">
        <v>0</v>
      </c>
      <c r="O271" s="1">
        <v>37</v>
      </c>
      <c r="Q271" s="2">
        <v>60.5</v>
      </c>
    </row>
    <row r="272" spans="1:17" x14ac:dyDescent="0.25">
      <c r="A272" t="s">
        <v>31</v>
      </c>
      <c r="B272" t="s">
        <v>32</v>
      </c>
      <c r="C272" t="str">
        <f>"13-5-BR-66"</f>
        <v>13-5-BR-66</v>
      </c>
      <c r="D272" t="s">
        <v>27</v>
      </c>
      <c r="F272" t="s">
        <v>22</v>
      </c>
      <c r="H272">
        <v>66</v>
      </c>
      <c r="J272" s="1">
        <v>23.5</v>
      </c>
      <c r="K272" s="1">
        <v>0</v>
      </c>
      <c r="M272" s="1">
        <v>0</v>
      </c>
      <c r="O272" s="1">
        <v>37</v>
      </c>
      <c r="Q272" s="2">
        <v>60.5</v>
      </c>
    </row>
    <row r="273" spans="1:17" x14ac:dyDescent="0.25">
      <c r="A273" t="s">
        <v>31</v>
      </c>
      <c r="B273" t="s">
        <v>32</v>
      </c>
      <c r="C273" t="str">
        <f>"13-5-BR-68"</f>
        <v>13-5-BR-68</v>
      </c>
      <c r="D273" t="s">
        <v>27</v>
      </c>
      <c r="F273" t="s">
        <v>22</v>
      </c>
      <c r="H273">
        <v>68</v>
      </c>
      <c r="J273" s="1">
        <v>23.5</v>
      </c>
      <c r="K273" s="1">
        <v>0</v>
      </c>
      <c r="M273" s="1">
        <v>0</v>
      </c>
      <c r="O273" s="1">
        <v>37</v>
      </c>
      <c r="Q273" s="2">
        <v>60.5</v>
      </c>
    </row>
    <row r="274" spans="1:17" x14ac:dyDescent="0.25">
      <c r="A274" t="s">
        <v>31</v>
      </c>
      <c r="B274" t="s">
        <v>32</v>
      </c>
      <c r="C274" t="str">
        <f>"13-5-BR-70"</f>
        <v>13-5-BR-70</v>
      </c>
      <c r="D274" t="s">
        <v>27</v>
      </c>
      <c r="F274" t="s">
        <v>22</v>
      </c>
      <c r="H274">
        <v>70</v>
      </c>
      <c r="J274" s="1">
        <v>23.5</v>
      </c>
      <c r="K274" s="1">
        <v>0</v>
      </c>
      <c r="M274" s="1">
        <v>0</v>
      </c>
      <c r="O274" s="1">
        <v>37</v>
      </c>
      <c r="Q274" s="2">
        <v>60.5</v>
      </c>
    </row>
    <row r="275" spans="1:17" x14ac:dyDescent="0.25">
      <c r="A275" t="s">
        <v>31</v>
      </c>
      <c r="B275" t="s">
        <v>32</v>
      </c>
      <c r="C275" t="str">
        <f>"13-5-BR-72"</f>
        <v>13-5-BR-72</v>
      </c>
      <c r="D275" t="s">
        <v>27</v>
      </c>
      <c r="F275" t="s">
        <v>22</v>
      </c>
      <c r="H275">
        <v>72</v>
      </c>
      <c r="J275" s="1">
        <v>23.5</v>
      </c>
      <c r="K275" s="1">
        <v>0</v>
      </c>
      <c r="M275" s="1">
        <v>0</v>
      </c>
      <c r="O275" s="1">
        <v>37</v>
      </c>
      <c r="Q275" s="2">
        <v>60.5</v>
      </c>
    </row>
    <row r="276" spans="1:17" x14ac:dyDescent="0.25">
      <c r="A276" t="s">
        <v>31</v>
      </c>
      <c r="B276" t="s">
        <v>32</v>
      </c>
      <c r="C276" t="str">
        <f>"13-5-BR-74"</f>
        <v>13-5-BR-74</v>
      </c>
      <c r="D276" t="s">
        <v>27</v>
      </c>
      <c r="F276" t="s">
        <v>22</v>
      </c>
      <c r="H276">
        <v>74</v>
      </c>
      <c r="J276" s="1">
        <v>23.5</v>
      </c>
      <c r="K276" s="1">
        <v>0</v>
      </c>
      <c r="M276" s="1">
        <v>0</v>
      </c>
      <c r="O276" s="1">
        <v>37</v>
      </c>
      <c r="Q276" s="2">
        <v>60.5</v>
      </c>
    </row>
    <row r="277" spans="1:17" x14ac:dyDescent="0.25">
      <c r="A277" t="s">
        <v>31</v>
      </c>
      <c r="B277" t="s">
        <v>32</v>
      </c>
      <c r="C277" t="str">
        <f>"13-5-BR-76"</f>
        <v>13-5-BR-76</v>
      </c>
      <c r="D277" t="s">
        <v>27</v>
      </c>
      <c r="F277" t="s">
        <v>22</v>
      </c>
      <c r="H277">
        <v>76</v>
      </c>
      <c r="J277" s="1">
        <v>23.5</v>
      </c>
      <c r="K277" s="1">
        <v>0</v>
      </c>
      <c r="M277" s="1">
        <v>0</v>
      </c>
      <c r="O277" s="1">
        <v>37</v>
      </c>
      <c r="Q277" s="2">
        <v>60.5</v>
      </c>
    </row>
    <row r="278" spans="1:17" x14ac:dyDescent="0.25">
      <c r="A278" t="s">
        <v>31</v>
      </c>
      <c r="B278" t="s">
        <v>32</v>
      </c>
      <c r="C278" t="str">
        <f>"13-5-BR-78"</f>
        <v>13-5-BR-78</v>
      </c>
      <c r="D278" t="s">
        <v>27</v>
      </c>
      <c r="F278" t="s">
        <v>22</v>
      </c>
      <c r="H278">
        <v>78</v>
      </c>
      <c r="J278" s="1">
        <v>23.5</v>
      </c>
      <c r="K278" s="1">
        <v>0</v>
      </c>
      <c r="M278" s="1">
        <v>0</v>
      </c>
      <c r="O278" s="1">
        <v>37</v>
      </c>
      <c r="Q278" s="2">
        <v>60.5</v>
      </c>
    </row>
    <row r="279" spans="1:17" x14ac:dyDescent="0.25">
      <c r="A279" t="s">
        <v>31</v>
      </c>
      <c r="B279" t="s">
        <v>32</v>
      </c>
      <c r="C279" t="str">
        <f>"13-5-BR-80"</f>
        <v>13-5-BR-80</v>
      </c>
      <c r="D279" t="s">
        <v>27</v>
      </c>
      <c r="F279" t="s">
        <v>22</v>
      </c>
      <c r="H279">
        <v>80</v>
      </c>
      <c r="J279" s="1">
        <v>23.5</v>
      </c>
      <c r="K279" s="1">
        <v>0</v>
      </c>
      <c r="M279" s="1">
        <v>0</v>
      </c>
      <c r="O279" s="1">
        <v>37</v>
      </c>
      <c r="Q279" s="2">
        <v>60.5</v>
      </c>
    </row>
    <row r="280" spans="1:17" x14ac:dyDescent="0.25">
      <c r="A280" t="s">
        <v>31</v>
      </c>
      <c r="B280" t="s">
        <v>32</v>
      </c>
      <c r="C280" t="str">
        <f>"13-5-CH-22"</f>
        <v>13-5-CH-22</v>
      </c>
      <c r="D280" t="s">
        <v>27</v>
      </c>
      <c r="F280" t="s">
        <v>23</v>
      </c>
      <c r="H280">
        <v>22</v>
      </c>
      <c r="J280" s="1">
        <v>23.5</v>
      </c>
      <c r="K280" s="1">
        <v>0</v>
      </c>
      <c r="M280" s="1">
        <v>0</v>
      </c>
      <c r="O280" s="1">
        <v>0</v>
      </c>
      <c r="Q280" s="2">
        <v>23.5</v>
      </c>
    </row>
    <row r="281" spans="1:17" x14ac:dyDescent="0.25">
      <c r="A281" t="s">
        <v>31</v>
      </c>
      <c r="B281" t="s">
        <v>32</v>
      </c>
      <c r="C281" t="str">
        <f>"13-5-CH-24"</f>
        <v>13-5-CH-24</v>
      </c>
      <c r="D281" t="s">
        <v>27</v>
      </c>
      <c r="F281" t="s">
        <v>23</v>
      </c>
      <c r="H281">
        <v>24</v>
      </c>
      <c r="J281" s="1">
        <v>23.5</v>
      </c>
      <c r="K281" s="1">
        <v>0</v>
      </c>
      <c r="M281" s="1">
        <v>0</v>
      </c>
      <c r="O281" s="1">
        <v>0</v>
      </c>
      <c r="Q281" s="2">
        <v>23.5</v>
      </c>
    </row>
    <row r="282" spans="1:17" x14ac:dyDescent="0.25">
      <c r="A282" t="s">
        <v>31</v>
      </c>
      <c r="B282" t="s">
        <v>32</v>
      </c>
      <c r="C282" t="str">
        <f>"13-5-CH-26"</f>
        <v>13-5-CH-26</v>
      </c>
      <c r="D282" t="s">
        <v>27</v>
      </c>
      <c r="F282" t="s">
        <v>23</v>
      </c>
      <c r="H282">
        <v>26</v>
      </c>
      <c r="J282" s="1">
        <v>23.5</v>
      </c>
      <c r="K282" s="1">
        <v>0</v>
      </c>
      <c r="M282" s="1">
        <v>0</v>
      </c>
      <c r="O282" s="1">
        <v>0</v>
      </c>
      <c r="Q282" s="2">
        <v>23.5</v>
      </c>
    </row>
    <row r="283" spans="1:17" x14ac:dyDescent="0.25">
      <c r="A283" t="s">
        <v>31</v>
      </c>
      <c r="B283" t="s">
        <v>32</v>
      </c>
      <c r="C283" t="str">
        <f>"13-5-CH-28"</f>
        <v>13-5-CH-28</v>
      </c>
      <c r="D283" t="s">
        <v>27</v>
      </c>
      <c r="F283" t="s">
        <v>23</v>
      </c>
      <c r="H283">
        <v>28</v>
      </c>
      <c r="J283" s="1">
        <v>23.5</v>
      </c>
      <c r="K283" s="1">
        <v>0</v>
      </c>
      <c r="M283" s="1">
        <v>0</v>
      </c>
      <c r="O283" s="1">
        <v>0</v>
      </c>
      <c r="Q283" s="2">
        <v>23.5</v>
      </c>
    </row>
    <row r="284" spans="1:17" x14ac:dyDescent="0.25">
      <c r="A284" t="s">
        <v>31</v>
      </c>
      <c r="B284" t="s">
        <v>32</v>
      </c>
      <c r="C284" t="str">
        <f>"13-5-CH-30"</f>
        <v>13-5-CH-30</v>
      </c>
      <c r="D284" t="s">
        <v>27</v>
      </c>
      <c r="F284" t="s">
        <v>23</v>
      </c>
      <c r="H284">
        <v>30</v>
      </c>
      <c r="J284" s="1">
        <v>23.5</v>
      </c>
      <c r="K284" s="1">
        <v>0</v>
      </c>
      <c r="M284" s="1">
        <v>0</v>
      </c>
      <c r="O284" s="1">
        <v>0</v>
      </c>
      <c r="Q284" s="2">
        <v>23.5</v>
      </c>
    </row>
    <row r="285" spans="1:17" x14ac:dyDescent="0.25">
      <c r="A285" t="s">
        <v>31</v>
      </c>
      <c r="B285" t="s">
        <v>32</v>
      </c>
      <c r="C285" t="str">
        <f>"13-5-CH-32"</f>
        <v>13-5-CH-32</v>
      </c>
      <c r="D285" t="s">
        <v>27</v>
      </c>
      <c r="F285" t="s">
        <v>23</v>
      </c>
      <c r="H285">
        <v>32</v>
      </c>
      <c r="J285" s="1">
        <v>23.5</v>
      </c>
      <c r="K285" s="1">
        <v>0</v>
      </c>
      <c r="M285" s="1">
        <v>0</v>
      </c>
      <c r="O285" s="1">
        <v>0</v>
      </c>
      <c r="Q285" s="2">
        <v>23.5</v>
      </c>
    </row>
    <row r="286" spans="1:17" x14ac:dyDescent="0.25">
      <c r="A286" t="s">
        <v>31</v>
      </c>
      <c r="B286" t="s">
        <v>32</v>
      </c>
      <c r="C286" t="str">
        <f>"13-5-CH-34"</f>
        <v>13-5-CH-34</v>
      </c>
      <c r="D286" t="s">
        <v>27</v>
      </c>
      <c r="F286" t="s">
        <v>23</v>
      </c>
      <c r="H286">
        <v>34</v>
      </c>
      <c r="J286" s="1">
        <v>23.5</v>
      </c>
      <c r="K286" s="1">
        <v>0</v>
      </c>
      <c r="M286" s="1">
        <v>0</v>
      </c>
      <c r="O286" s="1">
        <v>0</v>
      </c>
      <c r="Q286" s="2">
        <v>23.5</v>
      </c>
    </row>
    <row r="287" spans="1:17" x14ac:dyDescent="0.25">
      <c r="A287" t="s">
        <v>31</v>
      </c>
      <c r="B287" t="s">
        <v>32</v>
      </c>
      <c r="C287" t="str">
        <f>"13-5-CH-36"</f>
        <v>13-5-CH-36</v>
      </c>
      <c r="D287" t="s">
        <v>27</v>
      </c>
      <c r="F287" t="s">
        <v>23</v>
      </c>
      <c r="H287">
        <v>36</v>
      </c>
      <c r="J287" s="1">
        <v>23.5</v>
      </c>
      <c r="K287" s="1">
        <v>0</v>
      </c>
      <c r="M287" s="1">
        <v>0</v>
      </c>
      <c r="O287" s="1">
        <v>0</v>
      </c>
      <c r="Q287" s="2">
        <v>23.5</v>
      </c>
    </row>
    <row r="288" spans="1:17" x14ac:dyDescent="0.25">
      <c r="A288" t="s">
        <v>31</v>
      </c>
      <c r="B288" t="s">
        <v>32</v>
      </c>
      <c r="C288" t="str">
        <f>"13-5-CH-38"</f>
        <v>13-5-CH-38</v>
      </c>
      <c r="D288" t="s">
        <v>27</v>
      </c>
      <c r="F288" t="s">
        <v>23</v>
      </c>
      <c r="H288">
        <v>38</v>
      </c>
      <c r="J288" s="1">
        <v>23.5</v>
      </c>
      <c r="K288" s="1">
        <v>0</v>
      </c>
      <c r="M288" s="1">
        <v>0</v>
      </c>
      <c r="O288" s="1">
        <v>0</v>
      </c>
      <c r="Q288" s="2">
        <v>23.5</v>
      </c>
    </row>
    <row r="289" spans="1:17" x14ac:dyDescent="0.25">
      <c r="A289" t="s">
        <v>31</v>
      </c>
      <c r="B289" t="s">
        <v>32</v>
      </c>
      <c r="C289" t="str">
        <f>"13-5-CH-40"</f>
        <v>13-5-CH-40</v>
      </c>
      <c r="D289" t="s">
        <v>27</v>
      </c>
      <c r="F289" t="s">
        <v>23</v>
      </c>
      <c r="H289">
        <v>40</v>
      </c>
      <c r="J289" s="1">
        <v>23.5</v>
      </c>
      <c r="K289" s="1">
        <v>0</v>
      </c>
      <c r="M289" s="1">
        <v>0</v>
      </c>
      <c r="O289" s="1">
        <v>0</v>
      </c>
      <c r="Q289" s="2">
        <v>23.5</v>
      </c>
    </row>
    <row r="290" spans="1:17" x14ac:dyDescent="0.25">
      <c r="A290" t="s">
        <v>31</v>
      </c>
      <c r="B290" t="s">
        <v>32</v>
      </c>
      <c r="C290" t="str">
        <f>"13-5-CH-42"</f>
        <v>13-5-CH-42</v>
      </c>
      <c r="D290" t="s">
        <v>27</v>
      </c>
      <c r="F290" t="s">
        <v>23</v>
      </c>
      <c r="H290">
        <v>42</v>
      </c>
      <c r="J290" s="1">
        <v>23.5</v>
      </c>
      <c r="K290" s="1">
        <v>0</v>
      </c>
      <c r="M290" s="1">
        <v>0</v>
      </c>
      <c r="O290" s="1">
        <v>0</v>
      </c>
      <c r="Q290" s="2">
        <v>23.5</v>
      </c>
    </row>
    <row r="291" spans="1:17" x14ac:dyDescent="0.25">
      <c r="A291" t="s">
        <v>31</v>
      </c>
      <c r="B291" t="s">
        <v>32</v>
      </c>
      <c r="C291" t="str">
        <f>"13-5-CH-44"</f>
        <v>13-5-CH-44</v>
      </c>
      <c r="D291" t="s">
        <v>27</v>
      </c>
      <c r="F291" t="s">
        <v>23</v>
      </c>
      <c r="H291">
        <v>44</v>
      </c>
      <c r="J291" s="1">
        <v>23.5</v>
      </c>
      <c r="K291" s="1">
        <v>0</v>
      </c>
      <c r="M291" s="1">
        <v>0</v>
      </c>
      <c r="O291" s="1">
        <v>0</v>
      </c>
      <c r="Q291" s="2">
        <v>23.5</v>
      </c>
    </row>
    <row r="292" spans="1:17" x14ac:dyDescent="0.25">
      <c r="A292" t="s">
        <v>31</v>
      </c>
      <c r="B292" t="s">
        <v>32</v>
      </c>
      <c r="C292" t="str">
        <f>"13-5-CH-46"</f>
        <v>13-5-CH-46</v>
      </c>
      <c r="D292" t="s">
        <v>27</v>
      </c>
      <c r="F292" t="s">
        <v>23</v>
      </c>
      <c r="H292">
        <v>46</v>
      </c>
      <c r="J292" s="1">
        <v>23.5</v>
      </c>
      <c r="K292" s="1">
        <v>0</v>
      </c>
      <c r="M292" s="1">
        <v>0</v>
      </c>
      <c r="O292" s="1">
        <v>0</v>
      </c>
      <c r="Q292" s="2">
        <v>23.5</v>
      </c>
    </row>
    <row r="293" spans="1:17" x14ac:dyDescent="0.25">
      <c r="A293" t="s">
        <v>31</v>
      </c>
      <c r="B293" t="s">
        <v>32</v>
      </c>
      <c r="C293" t="str">
        <f>"13-5-CH-48"</f>
        <v>13-5-CH-48</v>
      </c>
      <c r="D293" t="s">
        <v>27</v>
      </c>
      <c r="F293" t="s">
        <v>23</v>
      </c>
      <c r="H293">
        <v>48</v>
      </c>
      <c r="J293" s="1">
        <v>23.5</v>
      </c>
      <c r="K293" s="1">
        <v>0</v>
      </c>
      <c r="M293" s="1">
        <v>0</v>
      </c>
      <c r="O293" s="1">
        <v>4</v>
      </c>
      <c r="Q293" s="2">
        <v>27.5</v>
      </c>
    </row>
    <row r="294" spans="1:17" x14ac:dyDescent="0.25">
      <c r="A294" t="s">
        <v>31</v>
      </c>
      <c r="B294" t="s">
        <v>32</v>
      </c>
      <c r="C294" t="str">
        <f>"13-5-CH-50"</f>
        <v>13-5-CH-50</v>
      </c>
      <c r="D294" t="s">
        <v>27</v>
      </c>
      <c r="F294" t="s">
        <v>23</v>
      </c>
      <c r="H294">
        <v>50</v>
      </c>
      <c r="J294" s="1">
        <v>23.5</v>
      </c>
      <c r="K294" s="1">
        <v>0</v>
      </c>
      <c r="M294" s="1">
        <v>0</v>
      </c>
      <c r="O294" s="1">
        <v>6</v>
      </c>
      <c r="Q294" s="2">
        <v>29.5</v>
      </c>
    </row>
    <row r="295" spans="1:17" x14ac:dyDescent="0.25">
      <c r="A295" t="s">
        <v>31</v>
      </c>
      <c r="B295" t="s">
        <v>32</v>
      </c>
      <c r="C295" t="str">
        <f>"13-5-CH-52"</f>
        <v>13-5-CH-52</v>
      </c>
      <c r="D295" t="s">
        <v>27</v>
      </c>
      <c r="F295" t="s">
        <v>23</v>
      </c>
      <c r="H295">
        <v>52</v>
      </c>
      <c r="J295" s="1">
        <v>23.5</v>
      </c>
      <c r="K295" s="1">
        <v>0</v>
      </c>
      <c r="M295" s="1">
        <v>0</v>
      </c>
      <c r="O295" s="1">
        <v>8</v>
      </c>
      <c r="Q295" s="2">
        <v>31.5</v>
      </c>
    </row>
    <row r="296" spans="1:17" x14ac:dyDescent="0.25">
      <c r="A296" t="s">
        <v>31</v>
      </c>
      <c r="B296" t="s">
        <v>32</v>
      </c>
      <c r="C296" t="str">
        <f>"13-5-CH-54"</f>
        <v>13-5-CH-54</v>
      </c>
      <c r="D296" t="s">
        <v>27</v>
      </c>
      <c r="F296" t="s">
        <v>23</v>
      </c>
      <c r="H296">
        <v>54</v>
      </c>
      <c r="J296" s="1">
        <v>23.5</v>
      </c>
      <c r="K296" s="1">
        <v>0</v>
      </c>
      <c r="M296" s="1">
        <v>0</v>
      </c>
      <c r="O296" s="1">
        <v>10</v>
      </c>
      <c r="Q296" s="2">
        <v>33.5</v>
      </c>
    </row>
    <row r="297" spans="1:17" x14ac:dyDescent="0.25">
      <c r="A297" t="s">
        <v>31</v>
      </c>
      <c r="B297" t="s">
        <v>32</v>
      </c>
      <c r="C297" t="str">
        <f>"13-5-CH-56"</f>
        <v>13-5-CH-56</v>
      </c>
      <c r="D297" t="s">
        <v>27</v>
      </c>
      <c r="F297" t="s">
        <v>23</v>
      </c>
      <c r="H297">
        <v>56</v>
      </c>
      <c r="J297" s="1">
        <v>23.5</v>
      </c>
      <c r="K297" s="1">
        <v>0</v>
      </c>
      <c r="M297" s="1">
        <v>0</v>
      </c>
      <c r="O297" s="1">
        <v>12</v>
      </c>
      <c r="Q297" s="2">
        <v>35.5</v>
      </c>
    </row>
    <row r="298" spans="1:17" x14ac:dyDescent="0.25">
      <c r="A298" t="s">
        <v>31</v>
      </c>
      <c r="B298" t="s">
        <v>32</v>
      </c>
      <c r="C298" t="str">
        <f>"13-5-CH-58"</f>
        <v>13-5-CH-58</v>
      </c>
      <c r="D298" t="s">
        <v>27</v>
      </c>
      <c r="F298" t="s">
        <v>23</v>
      </c>
      <c r="H298">
        <v>58</v>
      </c>
      <c r="J298" s="1">
        <v>23.5</v>
      </c>
      <c r="K298" s="1">
        <v>0</v>
      </c>
      <c r="M298" s="1">
        <v>0</v>
      </c>
      <c r="O298" s="1">
        <v>14</v>
      </c>
      <c r="Q298" s="2">
        <v>37.5</v>
      </c>
    </row>
    <row r="299" spans="1:17" x14ac:dyDescent="0.25">
      <c r="A299" t="s">
        <v>31</v>
      </c>
      <c r="B299" t="s">
        <v>32</v>
      </c>
      <c r="C299" t="str">
        <f>"13-5-CH-60"</f>
        <v>13-5-CH-60</v>
      </c>
      <c r="D299" t="s">
        <v>27</v>
      </c>
      <c r="F299" t="s">
        <v>23</v>
      </c>
      <c r="H299">
        <v>60</v>
      </c>
      <c r="J299" s="1">
        <v>23.5</v>
      </c>
      <c r="K299" s="1">
        <v>0</v>
      </c>
      <c r="M299" s="1">
        <v>0</v>
      </c>
      <c r="O299" s="1">
        <v>16</v>
      </c>
      <c r="Q299" s="2">
        <v>39.5</v>
      </c>
    </row>
    <row r="300" spans="1:17" x14ac:dyDescent="0.25">
      <c r="A300" t="s">
        <v>31</v>
      </c>
      <c r="B300" t="s">
        <v>32</v>
      </c>
      <c r="C300" t="str">
        <f>"13-5-CH-62"</f>
        <v>13-5-CH-62</v>
      </c>
      <c r="D300" t="s">
        <v>27</v>
      </c>
      <c r="F300" t="s">
        <v>23</v>
      </c>
      <c r="H300">
        <v>62</v>
      </c>
      <c r="J300" s="1">
        <v>23.5</v>
      </c>
      <c r="K300" s="1">
        <v>0</v>
      </c>
      <c r="M300" s="1">
        <v>0</v>
      </c>
      <c r="O300" s="1">
        <v>18</v>
      </c>
      <c r="Q300" s="2">
        <v>41.5</v>
      </c>
    </row>
    <row r="301" spans="1:17" x14ac:dyDescent="0.25">
      <c r="A301" t="s">
        <v>31</v>
      </c>
      <c r="B301" t="s">
        <v>32</v>
      </c>
      <c r="C301" t="str">
        <f>"13-5-CH-64"</f>
        <v>13-5-CH-64</v>
      </c>
      <c r="D301" t="s">
        <v>27</v>
      </c>
      <c r="F301" t="s">
        <v>23</v>
      </c>
      <c r="H301">
        <v>64</v>
      </c>
      <c r="J301" s="1">
        <v>23.5</v>
      </c>
      <c r="K301" s="1">
        <v>0</v>
      </c>
      <c r="M301" s="1">
        <v>0</v>
      </c>
      <c r="O301" s="1">
        <v>37</v>
      </c>
      <c r="Q301" s="2">
        <v>60.5</v>
      </c>
    </row>
    <row r="302" spans="1:17" x14ac:dyDescent="0.25">
      <c r="A302" t="s">
        <v>31</v>
      </c>
      <c r="B302" t="s">
        <v>32</v>
      </c>
      <c r="C302" t="str">
        <f>"13-5-CH-66"</f>
        <v>13-5-CH-66</v>
      </c>
      <c r="D302" t="s">
        <v>27</v>
      </c>
      <c r="F302" t="s">
        <v>23</v>
      </c>
      <c r="H302">
        <v>66</v>
      </c>
      <c r="J302" s="1">
        <v>23.5</v>
      </c>
      <c r="K302" s="1">
        <v>0</v>
      </c>
      <c r="M302" s="1">
        <v>0</v>
      </c>
      <c r="O302" s="1">
        <v>37</v>
      </c>
      <c r="Q302" s="2">
        <v>60.5</v>
      </c>
    </row>
    <row r="303" spans="1:17" x14ac:dyDescent="0.25">
      <c r="A303" t="s">
        <v>31</v>
      </c>
      <c r="B303" t="s">
        <v>32</v>
      </c>
      <c r="C303" t="str">
        <f>"13-5-CH-68"</f>
        <v>13-5-CH-68</v>
      </c>
      <c r="D303" t="s">
        <v>27</v>
      </c>
      <c r="F303" t="s">
        <v>23</v>
      </c>
      <c r="H303">
        <v>68</v>
      </c>
      <c r="J303" s="1">
        <v>23.5</v>
      </c>
      <c r="K303" s="1">
        <v>0</v>
      </c>
      <c r="M303" s="1">
        <v>0</v>
      </c>
      <c r="O303" s="1">
        <v>37</v>
      </c>
      <c r="Q303" s="2">
        <v>60.5</v>
      </c>
    </row>
    <row r="304" spans="1:17" x14ac:dyDescent="0.25">
      <c r="A304" t="s">
        <v>31</v>
      </c>
      <c r="B304" t="s">
        <v>32</v>
      </c>
      <c r="C304" t="str">
        <f>"13-5-CH-70"</f>
        <v>13-5-CH-70</v>
      </c>
      <c r="D304" t="s">
        <v>27</v>
      </c>
      <c r="F304" t="s">
        <v>23</v>
      </c>
      <c r="H304">
        <v>70</v>
      </c>
      <c r="J304" s="1">
        <v>23.5</v>
      </c>
      <c r="K304" s="1">
        <v>0</v>
      </c>
      <c r="M304" s="1">
        <v>0</v>
      </c>
      <c r="O304" s="1">
        <v>37</v>
      </c>
      <c r="Q304" s="2">
        <v>60.5</v>
      </c>
    </row>
    <row r="305" spans="1:17" x14ac:dyDescent="0.25">
      <c r="A305" t="s">
        <v>31</v>
      </c>
      <c r="B305" t="s">
        <v>32</v>
      </c>
      <c r="C305" t="str">
        <f>"13-5-CH-72"</f>
        <v>13-5-CH-72</v>
      </c>
      <c r="D305" t="s">
        <v>27</v>
      </c>
      <c r="F305" t="s">
        <v>23</v>
      </c>
      <c r="H305">
        <v>72</v>
      </c>
      <c r="J305" s="1">
        <v>23.5</v>
      </c>
      <c r="K305" s="1">
        <v>0</v>
      </c>
      <c r="M305" s="1">
        <v>0</v>
      </c>
      <c r="O305" s="1">
        <v>37</v>
      </c>
      <c r="Q305" s="2">
        <v>60.5</v>
      </c>
    </row>
    <row r="306" spans="1:17" x14ac:dyDescent="0.25">
      <c r="A306" t="s">
        <v>31</v>
      </c>
      <c r="B306" t="s">
        <v>32</v>
      </c>
      <c r="C306" t="str">
        <f>"13-5-CH-74"</f>
        <v>13-5-CH-74</v>
      </c>
      <c r="D306" t="s">
        <v>27</v>
      </c>
      <c r="F306" t="s">
        <v>23</v>
      </c>
      <c r="H306">
        <v>74</v>
      </c>
      <c r="J306" s="1">
        <v>23.5</v>
      </c>
      <c r="K306" s="1">
        <v>0</v>
      </c>
      <c r="M306" s="1">
        <v>0</v>
      </c>
      <c r="O306" s="1">
        <v>37</v>
      </c>
      <c r="Q306" s="2">
        <v>60.5</v>
      </c>
    </row>
    <row r="307" spans="1:17" x14ac:dyDescent="0.25">
      <c r="A307" t="s">
        <v>31</v>
      </c>
      <c r="B307" t="s">
        <v>32</v>
      </c>
      <c r="C307" t="str">
        <f>"13-5-CH-76"</f>
        <v>13-5-CH-76</v>
      </c>
      <c r="D307" t="s">
        <v>27</v>
      </c>
      <c r="F307" t="s">
        <v>23</v>
      </c>
      <c r="H307">
        <v>76</v>
      </c>
      <c r="J307" s="1">
        <v>23.5</v>
      </c>
      <c r="K307" s="1">
        <v>0</v>
      </c>
      <c r="M307" s="1">
        <v>0</v>
      </c>
      <c r="O307" s="1">
        <v>37</v>
      </c>
      <c r="Q307" s="2">
        <v>60.5</v>
      </c>
    </row>
    <row r="308" spans="1:17" x14ac:dyDescent="0.25">
      <c r="A308" t="s">
        <v>31</v>
      </c>
      <c r="B308" t="s">
        <v>32</v>
      </c>
      <c r="C308" t="str">
        <f>"13-5-CH-78"</f>
        <v>13-5-CH-78</v>
      </c>
      <c r="D308" t="s">
        <v>27</v>
      </c>
      <c r="F308" t="s">
        <v>23</v>
      </c>
      <c r="H308">
        <v>78</v>
      </c>
      <c r="J308" s="1">
        <v>23.5</v>
      </c>
      <c r="K308" s="1">
        <v>0</v>
      </c>
      <c r="M308" s="1">
        <v>0</v>
      </c>
      <c r="O308" s="1">
        <v>37</v>
      </c>
      <c r="Q308" s="2">
        <v>60.5</v>
      </c>
    </row>
    <row r="309" spans="1:17" x14ac:dyDescent="0.25">
      <c r="A309" t="s">
        <v>31</v>
      </c>
      <c r="B309" t="s">
        <v>32</v>
      </c>
      <c r="C309" t="str">
        <f>"13-5-CH-80"</f>
        <v>13-5-CH-80</v>
      </c>
      <c r="D309" t="s">
        <v>27</v>
      </c>
      <c r="F309" t="s">
        <v>23</v>
      </c>
      <c r="H309">
        <v>80</v>
      </c>
      <c r="J309" s="1">
        <v>23.5</v>
      </c>
      <c r="K309" s="1">
        <v>0</v>
      </c>
      <c r="M309" s="1">
        <v>0</v>
      </c>
      <c r="O309" s="1">
        <v>37</v>
      </c>
      <c r="Q309" s="2">
        <v>60.5</v>
      </c>
    </row>
    <row r="310" spans="1:17" x14ac:dyDescent="0.25">
      <c r="A310" t="s">
        <v>31</v>
      </c>
      <c r="B310" t="s">
        <v>33</v>
      </c>
      <c r="C310" t="str">
        <f>"12-1-22"</f>
        <v>12-1-22</v>
      </c>
      <c r="D310" t="s">
        <v>19</v>
      </c>
      <c r="H310">
        <v>22</v>
      </c>
      <c r="J310" s="1">
        <v>21.5</v>
      </c>
      <c r="K310" s="1">
        <v>0</v>
      </c>
      <c r="O310" s="1">
        <v>0</v>
      </c>
      <c r="Q310" s="2">
        <v>21.5</v>
      </c>
    </row>
    <row r="311" spans="1:17" x14ac:dyDescent="0.25">
      <c r="A311" t="s">
        <v>31</v>
      </c>
      <c r="B311" t="s">
        <v>33</v>
      </c>
      <c r="C311" t="str">
        <f>"12-1-24"</f>
        <v>12-1-24</v>
      </c>
      <c r="D311" t="s">
        <v>19</v>
      </c>
      <c r="H311">
        <v>24</v>
      </c>
      <c r="J311" s="1">
        <v>21.5</v>
      </c>
      <c r="K311" s="1">
        <v>0</v>
      </c>
      <c r="O311" s="1">
        <v>0</v>
      </c>
      <c r="Q311" s="2">
        <v>21.5</v>
      </c>
    </row>
    <row r="312" spans="1:17" x14ac:dyDescent="0.25">
      <c r="A312" t="s">
        <v>31</v>
      </c>
      <c r="B312" t="s">
        <v>33</v>
      </c>
      <c r="C312" t="str">
        <f>"12-1-26"</f>
        <v>12-1-26</v>
      </c>
      <c r="D312" t="s">
        <v>19</v>
      </c>
      <c r="H312">
        <v>26</v>
      </c>
      <c r="J312" s="1">
        <v>21.5</v>
      </c>
      <c r="K312" s="1">
        <v>0</v>
      </c>
      <c r="O312" s="1">
        <v>0</v>
      </c>
      <c r="Q312" s="2">
        <v>21.5</v>
      </c>
    </row>
    <row r="313" spans="1:17" x14ac:dyDescent="0.25">
      <c r="A313" t="s">
        <v>31</v>
      </c>
      <c r="B313" t="s">
        <v>33</v>
      </c>
      <c r="C313" t="str">
        <f>"12-1-28"</f>
        <v>12-1-28</v>
      </c>
      <c r="D313" t="s">
        <v>19</v>
      </c>
      <c r="H313">
        <v>28</v>
      </c>
      <c r="J313" s="1">
        <v>21.5</v>
      </c>
      <c r="K313" s="1">
        <v>0</v>
      </c>
      <c r="O313" s="1">
        <v>0</v>
      </c>
      <c r="Q313" s="2">
        <v>21.5</v>
      </c>
    </row>
    <row r="314" spans="1:17" x14ac:dyDescent="0.25">
      <c r="A314" t="s">
        <v>31</v>
      </c>
      <c r="B314" t="s">
        <v>33</v>
      </c>
      <c r="C314" t="str">
        <f>"12-1-30"</f>
        <v>12-1-30</v>
      </c>
      <c r="D314" t="s">
        <v>19</v>
      </c>
      <c r="H314">
        <v>30</v>
      </c>
      <c r="J314" s="1">
        <v>21.5</v>
      </c>
      <c r="K314" s="1">
        <v>0</v>
      </c>
      <c r="O314" s="1">
        <v>0</v>
      </c>
      <c r="Q314" s="2">
        <v>21.5</v>
      </c>
    </row>
    <row r="315" spans="1:17" x14ac:dyDescent="0.25">
      <c r="A315" t="s">
        <v>31</v>
      </c>
      <c r="B315" t="s">
        <v>33</v>
      </c>
      <c r="C315" t="str">
        <f>"12-1-32"</f>
        <v>12-1-32</v>
      </c>
      <c r="D315" t="s">
        <v>19</v>
      </c>
      <c r="H315">
        <v>32</v>
      </c>
      <c r="J315" s="1">
        <v>21.5</v>
      </c>
      <c r="K315" s="1">
        <v>0</v>
      </c>
      <c r="O315" s="1">
        <v>0</v>
      </c>
      <c r="Q315" s="2">
        <v>21.5</v>
      </c>
    </row>
    <row r="316" spans="1:17" x14ac:dyDescent="0.25">
      <c r="A316" t="s">
        <v>31</v>
      </c>
      <c r="B316" t="s">
        <v>33</v>
      </c>
      <c r="C316" t="str">
        <f>"12-1-34"</f>
        <v>12-1-34</v>
      </c>
      <c r="D316" t="s">
        <v>19</v>
      </c>
      <c r="H316">
        <v>34</v>
      </c>
      <c r="J316" s="1">
        <v>21.5</v>
      </c>
      <c r="K316" s="1">
        <v>0</v>
      </c>
      <c r="O316" s="1">
        <v>0</v>
      </c>
      <c r="Q316" s="2">
        <v>21.5</v>
      </c>
    </row>
    <row r="317" spans="1:17" x14ac:dyDescent="0.25">
      <c r="A317" t="s">
        <v>31</v>
      </c>
      <c r="B317" t="s">
        <v>33</v>
      </c>
      <c r="C317" t="str">
        <f>"12-1-36"</f>
        <v>12-1-36</v>
      </c>
      <c r="D317" t="s">
        <v>19</v>
      </c>
      <c r="H317">
        <v>36</v>
      </c>
      <c r="J317" s="1">
        <v>21.5</v>
      </c>
      <c r="K317" s="1">
        <v>0</v>
      </c>
      <c r="O317" s="1">
        <v>0</v>
      </c>
      <c r="Q317" s="2">
        <v>21.5</v>
      </c>
    </row>
    <row r="318" spans="1:17" x14ac:dyDescent="0.25">
      <c r="A318" t="s">
        <v>31</v>
      </c>
      <c r="B318" t="s">
        <v>33</v>
      </c>
      <c r="C318" t="str">
        <f>"12-1-38"</f>
        <v>12-1-38</v>
      </c>
      <c r="D318" t="s">
        <v>19</v>
      </c>
      <c r="H318">
        <v>38</v>
      </c>
      <c r="J318" s="1">
        <v>21.5</v>
      </c>
      <c r="K318" s="1">
        <v>0</v>
      </c>
      <c r="O318" s="1">
        <v>0</v>
      </c>
      <c r="Q318" s="2">
        <v>21.5</v>
      </c>
    </row>
    <row r="319" spans="1:17" x14ac:dyDescent="0.25">
      <c r="A319" t="s">
        <v>31</v>
      </c>
      <c r="B319" t="s">
        <v>33</v>
      </c>
      <c r="C319" t="str">
        <f>"12-1-40"</f>
        <v>12-1-40</v>
      </c>
      <c r="D319" t="s">
        <v>19</v>
      </c>
      <c r="H319">
        <v>40</v>
      </c>
      <c r="J319" s="1">
        <v>21.5</v>
      </c>
      <c r="K319" s="1">
        <v>0</v>
      </c>
      <c r="O319" s="1">
        <v>0</v>
      </c>
      <c r="Q319" s="2">
        <v>21.5</v>
      </c>
    </row>
    <row r="320" spans="1:17" x14ac:dyDescent="0.25">
      <c r="A320" t="s">
        <v>31</v>
      </c>
      <c r="B320" t="s">
        <v>33</v>
      </c>
      <c r="C320" t="str">
        <f>"12-1-42"</f>
        <v>12-1-42</v>
      </c>
      <c r="D320" t="s">
        <v>19</v>
      </c>
      <c r="H320">
        <v>42</v>
      </c>
      <c r="J320" s="1">
        <v>21.5</v>
      </c>
      <c r="K320" s="1">
        <v>0</v>
      </c>
      <c r="O320" s="1">
        <v>0</v>
      </c>
      <c r="Q320" s="2">
        <v>21.5</v>
      </c>
    </row>
    <row r="321" spans="1:17" x14ac:dyDescent="0.25">
      <c r="A321" t="s">
        <v>31</v>
      </c>
      <c r="B321" t="s">
        <v>33</v>
      </c>
      <c r="C321" t="str">
        <f>"12-1-44"</f>
        <v>12-1-44</v>
      </c>
      <c r="D321" t="s">
        <v>19</v>
      </c>
      <c r="H321">
        <v>44</v>
      </c>
      <c r="J321" s="1">
        <v>21.5</v>
      </c>
      <c r="K321" s="1">
        <v>0</v>
      </c>
      <c r="O321" s="1">
        <v>0</v>
      </c>
      <c r="Q321" s="2">
        <v>21.5</v>
      </c>
    </row>
    <row r="322" spans="1:17" x14ac:dyDescent="0.25">
      <c r="A322" t="s">
        <v>31</v>
      </c>
      <c r="B322" t="s">
        <v>33</v>
      </c>
      <c r="C322" t="str">
        <f>"12-1-46"</f>
        <v>12-1-46</v>
      </c>
      <c r="D322" t="s">
        <v>19</v>
      </c>
      <c r="H322">
        <v>46</v>
      </c>
      <c r="J322" s="1">
        <v>21.5</v>
      </c>
      <c r="K322" s="1">
        <v>0</v>
      </c>
      <c r="O322" s="1">
        <v>0</v>
      </c>
      <c r="Q322" s="2">
        <v>21.5</v>
      </c>
    </row>
    <row r="323" spans="1:17" x14ac:dyDescent="0.25">
      <c r="A323" t="s">
        <v>31</v>
      </c>
      <c r="B323" t="s">
        <v>33</v>
      </c>
      <c r="C323" t="str">
        <f>"12-1-48"</f>
        <v>12-1-48</v>
      </c>
      <c r="D323" t="s">
        <v>19</v>
      </c>
      <c r="H323">
        <v>48</v>
      </c>
      <c r="J323" s="1">
        <v>21.5</v>
      </c>
      <c r="K323" s="1">
        <v>0</v>
      </c>
      <c r="O323" s="1">
        <v>4</v>
      </c>
      <c r="Q323" s="2">
        <v>25.5</v>
      </c>
    </row>
    <row r="324" spans="1:17" x14ac:dyDescent="0.25">
      <c r="A324" t="s">
        <v>31</v>
      </c>
      <c r="B324" t="s">
        <v>33</v>
      </c>
      <c r="C324" t="str">
        <f>"12-1-50"</f>
        <v>12-1-50</v>
      </c>
      <c r="D324" t="s">
        <v>19</v>
      </c>
      <c r="H324">
        <v>50</v>
      </c>
      <c r="J324" s="1">
        <v>21.5</v>
      </c>
      <c r="K324" s="1">
        <v>0</v>
      </c>
      <c r="O324" s="1">
        <v>6</v>
      </c>
      <c r="Q324" s="2">
        <v>27.5</v>
      </c>
    </row>
    <row r="325" spans="1:17" x14ac:dyDescent="0.25">
      <c r="A325" t="s">
        <v>31</v>
      </c>
      <c r="B325" t="s">
        <v>33</v>
      </c>
      <c r="C325" t="str">
        <f>"12-1-52"</f>
        <v>12-1-52</v>
      </c>
      <c r="D325" t="s">
        <v>19</v>
      </c>
      <c r="H325">
        <v>52</v>
      </c>
      <c r="J325" s="1">
        <v>21.5</v>
      </c>
      <c r="K325" s="1">
        <v>0</v>
      </c>
      <c r="O325" s="1">
        <v>8</v>
      </c>
      <c r="Q325" s="2">
        <v>29.5</v>
      </c>
    </row>
    <row r="326" spans="1:17" x14ac:dyDescent="0.25">
      <c r="A326" t="s">
        <v>31</v>
      </c>
      <c r="B326" t="s">
        <v>33</v>
      </c>
      <c r="C326" t="str">
        <f>"12-1-54"</f>
        <v>12-1-54</v>
      </c>
      <c r="D326" t="s">
        <v>19</v>
      </c>
      <c r="H326">
        <v>54</v>
      </c>
      <c r="J326" s="1">
        <v>21.5</v>
      </c>
      <c r="K326" s="1">
        <v>0</v>
      </c>
      <c r="O326" s="1">
        <v>10</v>
      </c>
      <c r="Q326" s="2">
        <v>31.5</v>
      </c>
    </row>
    <row r="327" spans="1:17" x14ac:dyDescent="0.25">
      <c r="A327" t="s">
        <v>31</v>
      </c>
      <c r="B327" t="s">
        <v>33</v>
      </c>
      <c r="C327" t="str">
        <f>"12-1-56"</f>
        <v>12-1-56</v>
      </c>
      <c r="D327" t="s">
        <v>19</v>
      </c>
      <c r="H327">
        <v>56</v>
      </c>
      <c r="J327" s="1">
        <v>21.5</v>
      </c>
      <c r="K327" s="1">
        <v>0</v>
      </c>
      <c r="O327" s="1">
        <v>12</v>
      </c>
      <c r="Q327" s="2">
        <v>33.5</v>
      </c>
    </row>
    <row r="328" spans="1:17" x14ac:dyDescent="0.25">
      <c r="A328" t="s">
        <v>31</v>
      </c>
      <c r="B328" t="s">
        <v>33</v>
      </c>
      <c r="C328" t="str">
        <f>"12-1-58"</f>
        <v>12-1-58</v>
      </c>
      <c r="D328" t="s">
        <v>19</v>
      </c>
      <c r="H328">
        <v>58</v>
      </c>
      <c r="J328" s="1">
        <v>21.5</v>
      </c>
      <c r="K328" s="1">
        <v>0</v>
      </c>
      <c r="O328" s="1">
        <v>14</v>
      </c>
      <c r="Q328" s="2">
        <v>35.5</v>
      </c>
    </row>
    <row r="329" spans="1:17" x14ac:dyDescent="0.25">
      <c r="A329" t="s">
        <v>31</v>
      </c>
      <c r="B329" t="s">
        <v>33</v>
      </c>
      <c r="C329" t="str">
        <f>"12-1-60"</f>
        <v>12-1-60</v>
      </c>
      <c r="D329" t="s">
        <v>19</v>
      </c>
      <c r="H329">
        <v>60</v>
      </c>
      <c r="J329" s="1">
        <v>21.5</v>
      </c>
      <c r="K329" s="1">
        <v>0</v>
      </c>
      <c r="O329" s="1">
        <v>16</v>
      </c>
      <c r="Q329" s="2">
        <v>37.5</v>
      </c>
    </row>
    <row r="330" spans="1:17" x14ac:dyDescent="0.25">
      <c r="A330" t="s">
        <v>31</v>
      </c>
      <c r="B330" t="s">
        <v>33</v>
      </c>
      <c r="C330" t="str">
        <f>"12-1-62"</f>
        <v>12-1-62</v>
      </c>
      <c r="D330" t="s">
        <v>19</v>
      </c>
      <c r="H330">
        <v>62</v>
      </c>
      <c r="J330" s="1">
        <v>21.5</v>
      </c>
      <c r="K330" s="1">
        <v>0</v>
      </c>
      <c r="O330" s="1">
        <v>18</v>
      </c>
      <c r="Q330" s="2">
        <v>39.5</v>
      </c>
    </row>
    <row r="331" spans="1:17" x14ac:dyDescent="0.25">
      <c r="A331" t="s">
        <v>31</v>
      </c>
      <c r="B331" t="s">
        <v>33</v>
      </c>
      <c r="C331" t="str">
        <f>"12-1-64"</f>
        <v>12-1-64</v>
      </c>
      <c r="D331" t="s">
        <v>19</v>
      </c>
      <c r="H331">
        <v>64</v>
      </c>
      <c r="J331" s="1">
        <v>21.5</v>
      </c>
      <c r="K331" s="1">
        <v>0</v>
      </c>
      <c r="O331" s="1">
        <v>35</v>
      </c>
      <c r="Q331" s="2">
        <v>56.5</v>
      </c>
    </row>
    <row r="332" spans="1:17" x14ac:dyDescent="0.25">
      <c r="A332" t="s">
        <v>31</v>
      </c>
      <c r="B332" t="s">
        <v>33</v>
      </c>
      <c r="C332" t="str">
        <f>"12-1-66"</f>
        <v>12-1-66</v>
      </c>
      <c r="D332" t="s">
        <v>19</v>
      </c>
      <c r="H332">
        <v>66</v>
      </c>
      <c r="J332" s="1">
        <v>21.5</v>
      </c>
      <c r="K332" s="1">
        <v>0</v>
      </c>
      <c r="O332" s="1">
        <v>35</v>
      </c>
      <c r="Q332" s="2">
        <v>56.5</v>
      </c>
    </row>
    <row r="333" spans="1:17" x14ac:dyDescent="0.25">
      <c r="A333" t="s">
        <v>31</v>
      </c>
      <c r="B333" t="s">
        <v>33</v>
      </c>
      <c r="C333" t="str">
        <f>"12-1-68"</f>
        <v>12-1-68</v>
      </c>
      <c r="D333" t="s">
        <v>19</v>
      </c>
      <c r="H333">
        <v>68</v>
      </c>
      <c r="J333" s="1">
        <v>21.5</v>
      </c>
      <c r="K333" s="1">
        <v>0</v>
      </c>
      <c r="O333" s="1">
        <v>35</v>
      </c>
      <c r="Q333" s="2">
        <v>56.5</v>
      </c>
    </row>
    <row r="334" spans="1:17" x14ac:dyDescent="0.25">
      <c r="A334" t="s">
        <v>31</v>
      </c>
      <c r="B334" t="s">
        <v>33</v>
      </c>
      <c r="C334" t="str">
        <f>"12-1-70"</f>
        <v>12-1-70</v>
      </c>
      <c r="D334" t="s">
        <v>19</v>
      </c>
      <c r="H334">
        <v>70</v>
      </c>
      <c r="J334" s="1">
        <v>21.5</v>
      </c>
      <c r="K334" s="1">
        <v>0</v>
      </c>
      <c r="O334" s="1">
        <v>35</v>
      </c>
      <c r="Q334" s="2">
        <v>56.5</v>
      </c>
    </row>
    <row r="335" spans="1:17" x14ac:dyDescent="0.25">
      <c r="A335" t="s">
        <v>31</v>
      </c>
      <c r="B335" t="s">
        <v>33</v>
      </c>
      <c r="C335" t="str">
        <f>"12-1-72"</f>
        <v>12-1-72</v>
      </c>
      <c r="D335" t="s">
        <v>19</v>
      </c>
      <c r="H335">
        <v>72</v>
      </c>
      <c r="J335" s="1">
        <v>21.5</v>
      </c>
      <c r="K335" s="1">
        <v>0</v>
      </c>
      <c r="O335" s="1">
        <v>35</v>
      </c>
      <c r="Q335" s="2">
        <v>56.5</v>
      </c>
    </row>
    <row r="336" spans="1:17" x14ac:dyDescent="0.25">
      <c r="A336" t="s">
        <v>31</v>
      </c>
      <c r="B336" t="s">
        <v>33</v>
      </c>
      <c r="C336" t="str">
        <f>"12-1-74"</f>
        <v>12-1-74</v>
      </c>
      <c r="D336" t="s">
        <v>19</v>
      </c>
      <c r="H336">
        <v>74</v>
      </c>
      <c r="J336" s="1">
        <v>21.5</v>
      </c>
      <c r="K336" s="1">
        <v>0</v>
      </c>
      <c r="O336" s="1">
        <v>35</v>
      </c>
      <c r="Q336" s="2">
        <v>56.5</v>
      </c>
    </row>
    <row r="337" spans="1:17" x14ac:dyDescent="0.25">
      <c r="A337" t="s">
        <v>31</v>
      </c>
      <c r="B337" t="s">
        <v>33</v>
      </c>
      <c r="C337" t="str">
        <f>"12-1-76"</f>
        <v>12-1-76</v>
      </c>
      <c r="D337" t="s">
        <v>19</v>
      </c>
      <c r="H337">
        <v>76</v>
      </c>
      <c r="J337" s="1">
        <v>21.5</v>
      </c>
      <c r="K337" s="1">
        <v>0</v>
      </c>
      <c r="O337" s="1">
        <v>35</v>
      </c>
      <c r="Q337" s="2">
        <v>56.5</v>
      </c>
    </row>
    <row r="338" spans="1:17" x14ac:dyDescent="0.25">
      <c r="A338" t="s">
        <v>31</v>
      </c>
      <c r="B338" t="s">
        <v>33</v>
      </c>
      <c r="C338" t="str">
        <f>"12-1-78"</f>
        <v>12-1-78</v>
      </c>
      <c r="D338" t="s">
        <v>19</v>
      </c>
      <c r="H338">
        <v>78</v>
      </c>
      <c r="J338" s="1">
        <v>21.5</v>
      </c>
      <c r="K338" s="1">
        <v>0</v>
      </c>
      <c r="O338" s="1">
        <v>35</v>
      </c>
      <c r="Q338" s="2">
        <v>56.5</v>
      </c>
    </row>
    <row r="339" spans="1:17" x14ac:dyDescent="0.25">
      <c r="A339" t="s">
        <v>31</v>
      </c>
      <c r="B339" t="s">
        <v>33</v>
      </c>
      <c r="C339" t="str">
        <f>"12-1-80"</f>
        <v>12-1-80</v>
      </c>
      <c r="D339" t="s">
        <v>19</v>
      </c>
      <c r="H339">
        <v>80</v>
      </c>
      <c r="J339" s="1">
        <v>21.5</v>
      </c>
      <c r="K339" s="1">
        <v>0</v>
      </c>
      <c r="O339" s="1">
        <v>35</v>
      </c>
      <c r="Q339" s="2">
        <v>56.5</v>
      </c>
    </row>
    <row r="340" spans="1:17" x14ac:dyDescent="0.25">
      <c r="A340" t="s">
        <v>31</v>
      </c>
      <c r="B340" t="s">
        <v>33</v>
      </c>
      <c r="C340" t="str">
        <f>"12-2-22"</f>
        <v>12-2-22</v>
      </c>
      <c r="D340" t="s">
        <v>25</v>
      </c>
      <c r="H340">
        <v>22</v>
      </c>
      <c r="J340" s="1">
        <v>21.5</v>
      </c>
      <c r="K340" s="1">
        <v>0</v>
      </c>
      <c r="O340" s="1">
        <v>0</v>
      </c>
      <c r="Q340" s="2">
        <v>21.5</v>
      </c>
    </row>
    <row r="341" spans="1:17" x14ac:dyDescent="0.25">
      <c r="A341" t="s">
        <v>31</v>
      </c>
      <c r="B341" t="s">
        <v>33</v>
      </c>
      <c r="C341" t="str">
        <f>"12-2-24"</f>
        <v>12-2-24</v>
      </c>
      <c r="D341" t="s">
        <v>25</v>
      </c>
      <c r="H341">
        <v>24</v>
      </c>
      <c r="J341" s="1">
        <v>21.5</v>
      </c>
      <c r="K341" s="1">
        <v>0</v>
      </c>
      <c r="O341" s="1">
        <v>0</v>
      </c>
      <c r="Q341" s="2">
        <v>21.5</v>
      </c>
    </row>
    <row r="342" spans="1:17" x14ac:dyDescent="0.25">
      <c r="A342" t="s">
        <v>31</v>
      </c>
      <c r="B342" t="s">
        <v>33</v>
      </c>
      <c r="C342" t="str">
        <f>"12-2-26"</f>
        <v>12-2-26</v>
      </c>
      <c r="D342" t="s">
        <v>25</v>
      </c>
      <c r="H342">
        <v>26</v>
      </c>
      <c r="J342" s="1">
        <v>21.5</v>
      </c>
      <c r="K342" s="1">
        <v>0</v>
      </c>
      <c r="O342" s="1">
        <v>0</v>
      </c>
      <c r="Q342" s="2">
        <v>21.5</v>
      </c>
    </row>
    <row r="343" spans="1:17" x14ac:dyDescent="0.25">
      <c r="A343" t="s">
        <v>31</v>
      </c>
      <c r="B343" t="s">
        <v>33</v>
      </c>
      <c r="C343" t="str">
        <f>"12-2-28"</f>
        <v>12-2-28</v>
      </c>
      <c r="D343" t="s">
        <v>25</v>
      </c>
      <c r="H343">
        <v>28</v>
      </c>
      <c r="J343" s="1">
        <v>21.5</v>
      </c>
      <c r="K343" s="1">
        <v>0</v>
      </c>
      <c r="O343" s="1">
        <v>0</v>
      </c>
      <c r="Q343" s="2">
        <v>21.5</v>
      </c>
    </row>
    <row r="344" spans="1:17" x14ac:dyDescent="0.25">
      <c r="A344" t="s">
        <v>31</v>
      </c>
      <c r="B344" t="s">
        <v>33</v>
      </c>
      <c r="C344" t="str">
        <f>"12-2-30"</f>
        <v>12-2-30</v>
      </c>
      <c r="D344" t="s">
        <v>25</v>
      </c>
      <c r="H344">
        <v>30</v>
      </c>
      <c r="J344" s="1">
        <v>21.5</v>
      </c>
      <c r="K344" s="1">
        <v>0</v>
      </c>
      <c r="O344" s="1">
        <v>0</v>
      </c>
      <c r="Q344" s="2">
        <v>21.5</v>
      </c>
    </row>
    <row r="345" spans="1:17" x14ac:dyDescent="0.25">
      <c r="A345" t="s">
        <v>31</v>
      </c>
      <c r="B345" t="s">
        <v>33</v>
      </c>
      <c r="C345" t="str">
        <f>"12-2-32"</f>
        <v>12-2-32</v>
      </c>
      <c r="D345" t="s">
        <v>25</v>
      </c>
      <c r="H345">
        <v>32</v>
      </c>
      <c r="J345" s="1">
        <v>21.5</v>
      </c>
      <c r="K345" s="1">
        <v>0</v>
      </c>
      <c r="O345" s="1">
        <v>0</v>
      </c>
      <c r="Q345" s="2">
        <v>21.5</v>
      </c>
    </row>
    <row r="346" spans="1:17" x14ac:dyDescent="0.25">
      <c r="A346" t="s">
        <v>31</v>
      </c>
      <c r="B346" t="s">
        <v>33</v>
      </c>
      <c r="C346" t="str">
        <f>"12-2-34"</f>
        <v>12-2-34</v>
      </c>
      <c r="D346" t="s">
        <v>25</v>
      </c>
      <c r="H346">
        <v>34</v>
      </c>
      <c r="J346" s="1">
        <v>21.5</v>
      </c>
      <c r="K346" s="1">
        <v>0</v>
      </c>
      <c r="O346" s="1">
        <v>0</v>
      </c>
      <c r="Q346" s="2">
        <v>21.5</v>
      </c>
    </row>
    <row r="347" spans="1:17" x14ac:dyDescent="0.25">
      <c r="A347" t="s">
        <v>31</v>
      </c>
      <c r="B347" t="s">
        <v>33</v>
      </c>
      <c r="C347" t="str">
        <f>"12-2-36"</f>
        <v>12-2-36</v>
      </c>
      <c r="D347" t="s">
        <v>25</v>
      </c>
      <c r="H347">
        <v>36</v>
      </c>
      <c r="J347" s="1">
        <v>21.5</v>
      </c>
      <c r="K347" s="1">
        <v>0</v>
      </c>
      <c r="O347" s="1">
        <v>0</v>
      </c>
      <c r="Q347" s="2">
        <v>21.5</v>
      </c>
    </row>
    <row r="348" spans="1:17" x14ac:dyDescent="0.25">
      <c r="A348" t="s">
        <v>31</v>
      </c>
      <c r="B348" t="s">
        <v>33</v>
      </c>
      <c r="C348" t="str">
        <f>"12-2-38"</f>
        <v>12-2-38</v>
      </c>
      <c r="D348" t="s">
        <v>25</v>
      </c>
      <c r="H348">
        <v>38</v>
      </c>
      <c r="J348" s="1">
        <v>21.5</v>
      </c>
      <c r="K348" s="1">
        <v>0</v>
      </c>
      <c r="O348" s="1">
        <v>0</v>
      </c>
      <c r="Q348" s="2">
        <v>21.5</v>
      </c>
    </row>
    <row r="349" spans="1:17" x14ac:dyDescent="0.25">
      <c r="A349" t="s">
        <v>31</v>
      </c>
      <c r="B349" t="s">
        <v>33</v>
      </c>
      <c r="C349" t="str">
        <f>"12-2-40"</f>
        <v>12-2-40</v>
      </c>
      <c r="D349" t="s">
        <v>25</v>
      </c>
      <c r="H349">
        <v>40</v>
      </c>
      <c r="J349" s="1">
        <v>21.5</v>
      </c>
      <c r="K349" s="1">
        <v>0</v>
      </c>
      <c r="O349" s="1">
        <v>0</v>
      </c>
      <c r="Q349" s="2">
        <v>21.5</v>
      </c>
    </row>
    <row r="350" spans="1:17" x14ac:dyDescent="0.25">
      <c r="A350" t="s">
        <v>31</v>
      </c>
      <c r="B350" t="s">
        <v>33</v>
      </c>
      <c r="C350" t="str">
        <f>"12-2-42"</f>
        <v>12-2-42</v>
      </c>
      <c r="D350" t="s">
        <v>25</v>
      </c>
      <c r="H350">
        <v>42</v>
      </c>
      <c r="J350" s="1">
        <v>21.5</v>
      </c>
      <c r="K350" s="1">
        <v>0</v>
      </c>
      <c r="O350" s="1">
        <v>0</v>
      </c>
      <c r="Q350" s="2">
        <v>21.5</v>
      </c>
    </row>
    <row r="351" spans="1:17" x14ac:dyDescent="0.25">
      <c r="A351" t="s">
        <v>31</v>
      </c>
      <c r="B351" t="s">
        <v>33</v>
      </c>
      <c r="C351" t="str">
        <f>"12-2-44"</f>
        <v>12-2-44</v>
      </c>
      <c r="D351" t="s">
        <v>25</v>
      </c>
      <c r="H351">
        <v>44</v>
      </c>
      <c r="J351" s="1">
        <v>21.5</v>
      </c>
      <c r="K351" s="1">
        <v>0</v>
      </c>
      <c r="O351" s="1">
        <v>0</v>
      </c>
      <c r="Q351" s="2">
        <v>21.5</v>
      </c>
    </row>
    <row r="352" spans="1:17" x14ac:dyDescent="0.25">
      <c r="A352" t="s">
        <v>31</v>
      </c>
      <c r="B352" t="s">
        <v>33</v>
      </c>
      <c r="C352" t="str">
        <f>"12-2-46"</f>
        <v>12-2-46</v>
      </c>
      <c r="D352" t="s">
        <v>25</v>
      </c>
      <c r="H352">
        <v>46</v>
      </c>
      <c r="J352" s="1">
        <v>21.5</v>
      </c>
      <c r="K352" s="1">
        <v>0</v>
      </c>
      <c r="O352" s="1">
        <v>0</v>
      </c>
      <c r="Q352" s="2">
        <v>21.5</v>
      </c>
    </row>
    <row r="353" spans="1:17" x14ac:dyDescent="0.25">
      <c r="A353" t="s">
        <v>31</v>
      </c>
      <c r="B353" t="s">
        <v>33</v>
      </c>
      <c r="C353" t="str">
        <f>"12-2-48"</f>
        <v>12-2-48</v>
      </c>
      <c r="D353" t="s">
        <v>25</v>
      </c>
      <c r="H353">
        <v>48</v>
      </c>
      <c r="J353" s="1">
        <v>21.5</v>
      </c>
      <c r="K353" s="1">
        <v>0</v>
      </c>
      <c r="O353" s="1">
        <v>4</v>
      </c>
      <c r="Q353" s="2">
        <v>25.5</v>
      </c>
    </row>
    <row r="354" spans="1:17" x14ac:dyDescent="0.25">
      <c r="A354" t="s">
        <v>31</v>
      </c>
      <c r="B354" t="s">
        <v>33</v>
      </c>
      <c r="C354" t="str">
        <f>"12-2-50"</f>
        <v>12-2-50</v>
      </c>
      <c r="D354" t="s">
        <v>25</v>
      </c>
      <c r="H354">
        <v>50</v>
      </c>
      <c r="J354" s="1">
        <v>21.5</v>
      </c>
      <c r="K354" s="1">
        <v>0</v>
      </c>
      <c r="O354" s="1">
        <v>6</v>
      </c>
      <c r="Q354" s="2">
        <v>27.5</v>
      </c>
    </row>
    <row r="355" spans="1:17" x14ac:dyDescent="0.25">
      <c r="A355" t="s">
        <v>31</v>
      </c>
      <c r="B355" t="s">
        <v>33</v>
      </c>
      <c r="C355" t="str">
        <f>"12-2-52"</f>
        <v>12-2-52</v>
      </c>
      <c r="D355" t="s">
        <v>25</v>
      </c>
      <c r="H355">
        <v>52</v>
      </c>
      <c r="J355" s="1">
        <v>21.5</v>
      </c>
      <c r="K355" s="1">
        <v>0</v>
      </c>
      <c r="O355" s="1">
        <v>8</v>
      </c>
      <c r="Q355" s="2">
        <v>29.5</v>
      </c>
    </row>
    <row r="356" spans="1:17" x14ac:dyDescent="0.25">
      <c r="A356" t="s">
        <v>31</v>
      </c>
      <c r="B356" t="s">
        <v>33</v>
      </c>
      <c r="C356" t="str">
        <f>"12-2-54"</f>
        <v>12-2-54</v>
      </c>
      <c r="D356" t="s">
        <v>25</v>
      </c>
      <c r="H356">
        <v>54</v>
      </c>
      <c r="J356" s="1">
        <v>21.5</v>
      </c>
      <c r="K356" s="1">
        <v>0</v>
      </c>
      <c r="O356" s="1">
        <v>10</v>
      </c>
      <c r="Q356" s="2">
        <v>31.5</v>
      </c>
    </row>
    <row r="357" spans="1:17" x14ac:dyDescent="0.25">
      <c r="A357" t="s">
        <v>31</v>
      </c>
      <c r="B357" t="s">
        <v>33</v>
      </c>
      <c r="C357" t="str">
        <f>"12-2-56"</f>
        <v>12-2-56</v>
      </c>
      <c r="D357" t="s">
        <v>25</v>
      </c>
      <c r="H357">
        <v>56</v>
      </c>
      <c r="J357" s="1">
        <v>21.5</v>
      </c>
      <c r="K357" s="1">
        <v>0</v>
      </c>
      <c r="O357" s="1">
        <v>12</v>
      </c>
      <c r="Q357" s="2">
        <v>33.5</v>
      </c>
    </row>
    <row r="358" spans="1:17" x14ac:dyDescent="0.25">
      <c r="A358" t="s">
        <v>31</v>
      </c>
      <c r="B358" t="s">
        <v>33</v>
      </c>
      <c r="C358" t="str">
        <f>"12-2-58"</f>
        <v>12-2-58</v>
      </c>
      <c r="D358" t="s">
        <v>25</v>
      </c>
      <c r="H358">
        <v>58</v>
      </c>
      <c r="J358" s="1">
        <v>21.5</v>
      </c>
      <c r="K358" s="1">
        <v>0</v>
      </c>
      <c r="O358" s="1">
        <v>14</v>
      </c>
      <c r="Q358" s="2">
        <v>35.5</v>
      </c>
    </row>
    <row r="359" spans="1:17" x14ac:dyDescent="0.25">
      <c r="A359" t="s">
        <v>31</v>
      </c>
      <c r="B359" t="s">
        <v>33</v>
      </c>
      <c r="C359" t="str">
        <f>"12-2-60"</f>
        <v>12-2-60</v>
      </c>
      <c r="D359" t="s">
        <v>25</v>
      </c>
      <c r="H359">
        <v>60</v>
      </c>
      <c r="J359" s="1">
        <v>21.5</v>
      </c>
      <c r="K359" s="1">
        <v>0</v>
      </c>
      <c r="O359" s="1">
        <v>16</v>
      </c>
      <c r="Q359" s="2">
        <v>37.5</v>
      </c>
    </row>
    <row r="360" spans="1:17" x14ac:dyDescent="0.25">
      <c r="A360" t="s">
        <v>31</v>
      </c>
      <c r="B360" t="s">
        <v>33</v>
      </c>
      <c r="C360" t="str">
        <f>"12-2-62"</f>
        <v>12-2-62</v>
      </c>
      <c r="D360" t="s">
        <v>25</v>
      </c>
      <c r="H360">
        <v>62</v>
      </c>
      <c r="J360" s="1">
        <v>21.5</v>
      </c>
      <c r="K360" s="1">
        <v>0</v>
      </c>
      <c r="O360" s="1">
        <v>18</v>
      </c>
      <c r="Q360" s="2">
        <v>39.5</v>
      </c>
    </row>
    <row r="361" spans="1:17" x14ac:dyDescent="0.25">
      <c r="A361" t="s">
        <v>31</v>
      </c>
      <c r="B361" t="s">
        <v>33</v>
      </c>
      <c r="C361" t="str">
        <f>"12-2-64"</f>
        <v>12-2-64</v>
      </c>
      <c r="D361" t="s">
        <v>25</v>
      </c>
      <c r="H361">
        <v>64</v>
      </c>
      <c r="J361" s="1">
        <v>21.5</v>
      </c>
      <c r="K361" s="1">
        <v>0</v>
      </c>
      <c r="O361" s="1">
        <v>35</v>
      </c>
      <c r="Q361" s="2">
        <v>56.5</v>
      </c>
    </row>
    <row r="362" spans="1:17" x14ac:dyDescent="0.25">
      <c r="A362" t="s">
        <v>31</v>
      </c>
      <c r="B362" t="s">
        <v>33</v>
      </c>
      <c r="C362" t="str">
        <f>"12-2-66"</f>
        <v>12-2-66</v>
      </c>
      <c r="D362" t="s">
        <v>25</v>
      </c>
      <c r="H362">
        <v>66</v>
      </c>
      <c r="J362" s="1">
        <v>21.5</v>
      </c>
      <c r="K362" s="1">
        <v>0</v>
      </c>
      <c r="O362" s="1">
        <v>35</v>
      </c>
      <c r="Q362" s="2">
        <v>56.5</v>
      </c>
    </row>
    <row r="363" spans="1:17" x14ac:dyDescent="0.25">
      <c r="A363" t="s">
        <v>31</v>
      </c>
      <c r="B363" t="s">
        <v>33</v>
      </c>
      <c r="C363" t="str">
        <f>"12-2-68"</f>
        <v>12-2-68</v>
      </c>
      <c r="D363" t="s">
        <v>25</v>
      </c>
      <c r="H363">
        <v>68</v>
      </c>
      <c r="J363" s="1">
        <v>21.5</v>
      </c>
      <c r="K363" s="1">
        <v>0</v>
      </c>
      <c r="O363" s="1">
        <v>35</v>
      </c>
      <c r="Q363" s="2">
        <v>56.5</v>
      </c>
    </row>
    <row r="364" spans="1:17" x14ac:dyDescent="0.25">
      <c r="A364" t="s">
        <v>31</v>
      </c>
      <c r="B364" t="s">
        <v>33</v>
      </c>
      <c r="C364" t="str">
        <f>"12-2-70"</f>
        <v>12-2-70</v>
      </c>
      <c r="D364" t="s">
        <v>25</v>
      </c>
      <c r="H364">
        <v>70</v>
      </c>
      <c r="J364" s="1">
        <v>21.5</v>
      </c>
      <c r="K364" s="1">
        <v>0</v>
      </c>
      <c r="O364" s="1">
        <v>35</v>
      </c>
      <c r="Q364" s="2">
        <v>56.5</v>
      </c>
    </row>
    <row r="365" spans="1:17" x14ac:dyDescent="0.25">
      <c r="A365" t="s">
        <v>31</v>
      </c>
      <c r="B365" t="s">
        <v>33</v>
      </c>
      <c r="C365" t="str">
        <f>"12-2-72"</f>
        <v>12-2-72</v>
      </c>
      <c r="D365" t="s">
        <v>25</v>
      </c>
      <c r="H365">
        <v>72</v>
      </c>
      <c r="J365" s="1">
        <v>21.5</v>
      </c>
      <c r="K365" s="1">
        <v>0</v>
      </c>
      <c r="O365" s="1">
        <v>35</v>
      </c>
      <c r="Q365" s="2">
        <v>56.5</v>
      </c>
    </row>
    <row r="366" spans="1:17" x14ac:dyDescent="0.25">
      <c r="A366" t="s">
        <v>31</v>
      </c>
      <c r="B366" t="s">
        <v>33</v>
      </c>
      <c r="C366" t="str">
        <f>"12-2-74"</f>
        <v>12-2-74</v>
      </c>
      <c r="D366" t="s">
        <v>25</v>
      </c>
      <c r="H366">
        <v>74</v>
      </c>
      <c r="J366" s="1">
        <v>21.5</v>
      </c>
      <c r="K366" s="1">
        <v>0</v>
      </c>
      <c r="O366" s="1">
        <v>35</v>
      </c>
      <c r="Q366" s="2">
        <v>56.5</v>
      </c>
    </row>
    <row r="367" spans="1:17" x14ac:dyDescent="0.25">
      <c r="A367" t="s">
        <v>31</v>
      </c>
      <c r="B367" t="s">
        <v>33</v>
      </c>
      <c r="C367" t="str">
        <f>"12-2-76"</f>
        <v>12-2-76</v>
      </c>
      <c r="D367" t="s">
        <v>25</v>
      </c>
      <c r="H367">
        <v>76</v>
      </c>
      <c r="J367" s="1">
        <v>21.5</v>
      </c>
      <c r="K367" s="1">
        <v>0</v>
      </c>
      <c r="O367" s="1">
        <v>35</v>
      </c>
      <c r="Q367" s="2">
        <v>56.5</v>
      </c>
    </row>
    <row r="368" spans="1:17" x14ac:dyDescent="0.25">
      <c r="A368" t="s">
        <v>31</v>
      </c>
      <c r="B368" t="s">
        <v>33</v>
      </c>
      <c r="C368" t="str">
        <f>"12-2-78"</f>
        <v>12-2-78</v>
      </c>
      <c r="D368" t="s">
        <v>25</v>
      </c>
      <c r="H368">
        <v>78</v>
      </c>
      <c r="J368" s="1">
        <v>21.5</v>
      </c>
      <c r="K368" s="1">
        <v>0</v>
      </c>
      <c r="O368" s="1">
        <v>35</v>
      </c>
      <c r="Q368" s="2">
        <v>56.5</v>
      </c>
    </row>
    <row r="369" spans="1:17" x14ac:dyDescent="0.25">
      <c r="A369" t="s">
        <v>31</v>
      </c>
      <c r="B369" t="s">
        <v>33</v>
      </c>
      <c r="C369" t="str">
        <f>"12-2-80"</f>
        <v>12-2-80</v>
      </c>
      <c r="D369" t="s">
        <v>25</v>
      </c>
      <c r="H369">
        <v>80</v>
      </c>
      <c r="J369" s="1">
        <v>21.5</v>
      </c>
      <c r="K369" s="1">
        <v>0</v>
      </c>
      <c r="O369" s="1">
        <v>35</v>
      </c>
      <c r="Q369" s="2">
        <v>56.5</v>
      </c>
    </row>
    <row r="370" spans="1:17" x14ac:dyDescent="0.25">
      <c r="A370" t="s">
        <v>31</v>
      </c>
      <c r="B370" t="s">
        <v>33</v>
      </c>
      <c r="C370" t="str">
        <f>"12-3-22"</f>
        <v>12-3-22</v>
      </c>
      <c r="D370" t="s">
        <v>26</v>
      </c>
      <c r="H370">
        <v>22</v>
      </c>
      <c r="J370" s="1">
        <v>21.5</v>
      </c>
      <c r="K370" s="1">
        <v>0</v>
      </c>
      <c r="O370" s="1">
        <v>0</v>
      </c>
      <c r="Q370" s="2">
        <v>21.5</v>
      </c>
    </row>
    <row r="371" spans="1:17" x14ac:dyDescent="0.25">
      <c r="A371" t="s">
        <v>31</v>
      </c>
      <c r="B371" t="s">
        <v>33</v>
      </c>
      <c r="C371" t="str">
        <f>"12-3-24"</f>
        <v>12-3-24</v>
      </c>
      <c r="D371" t="s">
        <v>26</v>
      </c>
      <c r="H371">
        <v>24</v>
      </c>
      <c r="J371" s="1">
        <v>21.5</v>
      </c>
      <c r="K371" s="1">
        <v>0</v>
      </c>
      <c r="O371" s="1">
        <v>0</v>
      </c>
      <c r="Q371" s="2">
        <v>21.5</v>
      </c>
    </row>
    <row r="372" spans="1:17" x14ac:dyDescent="0.25">
      <c r="A372" t="s">
        <v>31</v>
      </c>
      <c r="B372" t="s">
        <v>33</v>
      </c>
      <c r="C372" t="str">
        <f>"12-3-26"</f>
        <v>12-3-26</v>
      </c>
      <c r="D372" t="s">
        <v>26</v>
      </c>
      <c r="H372">
        <v>26</v>
      </c>
      <c r="J372" s="1">
        <v>21.5</v>
      </c>
      <c r="K372" s="1">
        <v>0</v>
      </c>
      <c r="O372" s="1">
        <v>0</v>
      </c>
      <c r="Q372" s="2">
        <v>21.5</v>
      </c>
    </row>
    <row r="373" spans="1:17" x14ac:dyDescent="0.25">
      <c r="A373" t="s">
        <v>31</v>
      </c>
      <c r="B373" t="s">
        <v>33</v>
      </c>
      <c r="C373" t="str">
        <f>"12-3-28"</f>
        <v>12-3-28</v>
      </c>
      <c r="D373" t="s">
        <v>26</v>
      </c>
      <c r="H373">
        <v>28</v>
      </c>
      <c r="J373" s="1">
        <v>21.5</v>
      </c>
      <c r="K373" s="1">
        <v>0</v>
      </c>
      <c r="O373" s="1">
        <v>0</v>
      </c>
      <c r="Q373" s="2">
        <v>21.5</v>
      </c>
    </row>
    <row r="374" spans="1:17" x14ac:dyDescent="0.25">
      <c r="A374" t="s">
        <v>31</v>
      </c>
      <c r="B374" t="s">
        <v>33</v>
      </c>
      <c r="C374" t="str">
        <f>"12-3-30"</f>
        <v>12-3-30</v>
      </c>
      <c r="D374" t="s">
        <v>26</v>
      </c>
      <c r="H374">
        <v>30</v>
      </c>
      <c r="J374" s="1">
        <v>21.5</v>
      </c>
      <c r="K374" s="1">
        <v>0</v>
      </c>
      <c r="O374" s="1">
        <v>0</v>
      </c>
      <c r="Q374" s="2">
        <v>21.5</v>
      </c>
    </row>
    <row r="375" spans="1:17" x14ac:dyDescent="0.25">
      <c r="A375" t="s">
        <v>31</v>
      </c>
      <c r="B375" t="s">
        <v>33</v>
      </c>
      <c r="C375" t="str">
        <f>"12-3-32"</f>
        <v>12-3-32</v>
      </c>
      <c r="D375" t="s">
        <v>26</v>
      </c>
      <c r="H375">
        <v>32</v>
      </c>
      <c r="J375" s="1">
        <v>21.5</v>
      </c>
      <c r="K375" s="1">
        <v>0</v>
      </c>
      <c r="O375" s="1">
        <v>0</v>
      </c>
      <c r="Q375" s="2">
        <v>21.5</v>
      </c>
    </row>
    <row r="376" spans="1:17" x14ac:dyDescent="0.25">
      <c r="A376" t="s">
        <v>31</v>
      </c>
      <c r="B376" t="s">
        <v>33</v>
      </c>
      <c r="C376" t="str">
        <f>"12-3-34"</f>
        <v>12-3-34</v>
      </c>
      <c r="D376" t="s">
        <v>26</v>
      </c>
      <c r="H376">
        <v>34</v>
      </c>
      <c r="J376" s="1">
        <v>21.5</v>
      </c>
      <c r="K376" s="1">
        <v>0</v>
      </c>
      <c r="O376" s="1">
        <v>0</v>
      </c>
      <c r="Q376" s="2">
        <v>21.5</v>
      </c>
    </row>
    <row r="377" spans="1:17" x14ac:dyDescent="0.25">
      <c r="A377" t="s">
        <v>31</v>
      </c>
      <c r="B377" t="s">
        <v>33</v>
      </c>
      <c r="C377" t="str">
        <f>"12-3-36"</f>
        <v>12-3-36</v>
      </c>
      <c r="D377" t="s">
        <v>26</v>
      </c>
      <c r="H377">
        <v>36</v>
      </c>
      <c r="J377" s="1">
        <v>21.5</v>
      </c>
      <c r="K377" s="1">
        <v>0</v>
      </c>
      <c r="O377" s="1">
        <v>0</v>
      </c>
      <c r="Q377" s="2">
        <v>21.5</v>
      </c>
    </row>
    <row r="378" spans="1:17" x14ac:dyDescent="0.25">
      <c r="A378" t="s">
        <v>31</v>
      </c>
      <c r="B378" t="s">
        <v>33</v>
      </c>
      <c r="C378" t="str">
        <f>"12-3-38"</f>
        <v>12-3-38</v>
      </c>
      <c r="D378" t="s">
        <v>26</v>
      </c>
      <c r="H378">
        <v>38</v>
      </c>
      <c r="J378" s="1">
        <v>21.5</v>
      </c>
      <c r="K378" s="1">
        <v>0</v>
      </c>
      <c r="O378" s="1">
        <v>0</v>
      </c>
      <c r="Q378" s="2">
        <v>21.5</v>
      </c>
    </row>
    <row r="379" spans="1:17" x14ac:dyDescent="0.25">
      <c r="A379" t="s">
        <v>31</v>
      </c>
      <c r="B379" t="s">
        <v>33</v>
      </c>
      <c r="C379" t="str">
        <f>"12-3-40"</f>
        <v>12-3-40</v>
      </c>
      <c r="D379" t="s">
        <v>26</v>
      </c>
      <c r="H379">
        <v>40</v>
      </c>
      <c r="J379" s="1">
        <v>21.5</v>
      </c>
      <c r="K379" s="1">
        <v>0</v>
      </c>
      <c r="O379" s="1">
        <v>0</v>
      </c>
      <c r="Q379" s="2">
        <v>21.5</v>
      </c>
    </row>
    <row r="380" spans="1:17" x14ac:dyDescent="0.25">
      <c r="A380" t="s">
        <v>31</v>
      </c>
      <c r="B380" t="s">
        <v>33</v>
      </c>
      <c r="C380" t="str">
        <f>"12-3-42"</f>
        <v>12-3-42</v>
      </c>
      <c r="D380" t="s">
        <v>26</v>
      </c>
      <c r="H380">
        <v>42</v>
      </c>
      <c r="J380" s="1">
        <v>21.5</v>
      </c>
      <c r="K380" s="1">
        <v>0</v>
      </c>
      <c r="O380" s="1">
        <v>0</v>
      </c>
      <c r="Q380" s="2">
        <v>21.5</v>
      </c>
    </row>
    <row r="381" spans="1:17" x14ac:dyDescent="0.25">
      <c r="A381" t="s">
        <v>31</v>
      </c>
      <c r="B381" t="s">
        <v>33</v>
      </c>
      <c r="C381" t="str">
        <f>"12-3-44"</f>
        <v>12-3-44</v>
      </c>
      <c r="D381" t="s">
        <v>26</v>
      </c>
      <c r="H381">
        <v>44</v>
      </c>
      <c r="J381" s="1">
        <v>21.5</v>
      </c>
      <c r="K381" s="1">
        <v>0</v>
      </c>
      <c r="O381" s="1">
        <v>0</v>
      </c>
      <c r="Q381" s="2">
        <v>21.5</v>
      </c>
    </row>
    <row r="382" spans="1:17" x14ac:dyDescent="0.25">
      <c r="A382" t="s">
        <v>31</v>
      </c>
      <c r="B382" t="s">
        <v>33</v>
      </c>
      <c r="C382" t="str">
        <f>"12-3-46"</f>
        <v>12-3-46</v>
      </c>
      <c r="D382" t="s">
        <v>26</v>
      </c>
      <c r="H382">
        <v>46</v>
      </c>
      <c r="J382" s="1">
        <v>21.5</v>
      </c>
      <c r="K382" s="1">
        <v>0</v>
      </c>
      <c r="O382" s="1">
        <v>0</v>
      </c>
      <c r="Q382" s="2">
        <v>21.5</v>
      </c>
    </row>
    <row r="383" spans="1:17" x14ac:dyDescent="0.25">
      <c r="A383" t="s">
        <v>31</v>
      </c>
      <c r="B383" t="s">
        <v>33</v>
      </c>
      <c r="C383" t="str">
        <f>"12-3-48"</f>
        <v>12-3-48</v>
      </c>
      <c r="D383" t="s">
        <v>26</v>
      </c>
      <c r="H383">
        <v>48</v>
      </c>
      <c r="J383" s="1">
        <v>21.5</v>
      </c>
      <c r="K383" s="1">
        <v>0</v>
      </c>
      <c r="O383" s="1">
        <v>4</v>
      </c>
      <c r="Q383" s="2">
        <v>25.5</v>
      </c>
    </row>
    <row r="384" spans="1:17" x14ac:dyDescent="0.25">
      <c r="A384" t="s">
        <v>31</v>
      </c>
      <c r="B384" t="s">
        <v>33</v>
      </c>
      <c r="C384" t="str">
        <f>"12-3-50"</f>
        <v>12-3-50</v>
      </c>
      <c r="D384" t="s">
        <v>26</v>
      </c>
      <c r="H384">
        <v>50</v>
      </c>
      <c r="J384" s="1">
        <v>21.5</v>
      </c>
      <c r="K384" s="1">
        <v>0</v>
      </c>
      <c r="O384" s="1">
        <v>6</v>
      </c>
      <c r="Q384" s="2">
        <v>27.5</v>
      </c>
    </row>
    <row r="385" spans="1:17" x14ac:dyDescent="0.25">
      <c r="A385" t="s">
        <v>31</v>
      </c>
      <c r="B385" t="s">
        <v>33</v>
      </c>
      <c r="C385" t="str">
        <f>"12-3-52"</f>
        <v>12-3-52</v>
      </c>
      <c r="D385" t="s">
        <v>26</v>
      </c>
      <c r="H385">
        <v>52</v>
      </c>
      <c r="J385" s="1">
        <v>21.5</v>
      </c>
      <c r="K385" s="1">
        <v>0</v>
      </c>
      <c r="O385" s="1">
        <v>8</v>
      </c>
      <c r="Q385" s="2">
        <v>29.5</v>
      </c>
    </row>
    <row r="386" spans="1:17" x14ac:dyDescent="0.25">
      <c r="A386" t="s">
        <v>31</v>
      </c>
      <c r="B386" t="s">
        <v>33</v>
      </c>
      <c r="C386" t="str">
        <f>"12-3-54"</f>
        <v>12-3-54</v>
      </c>
      <c r="D386" t="s">
        <v>26</v>
      </c>
      <c r="H386">
        <v>54</v>
      </c>
      <c r="J386" s="1">
        <v>21.5</v>
      </c>
      <c r="K386" s="1">
        <v>0</v>
      </c>
      <c r="O386" s="1">
        <v>10</v>
      </c>
      <c r="Q386" s="2">
        <v>31.5</v>
      </c>
    </row>
    <row r="387" spans="1:17" x14ac:dyDescent="0.25">
      <c r="A387" t="s">
        <v>31</v>
      </c>
      <c r="B387" t="s">
        <v>33</v>
      </c>
      <c r="C387" t="str">
        <f>"12-3-56"</f>
        <v>12-3-56</v>
      </c>
      <c r="D387" t="s">
        <v>26</v>
      </c>
      <c r="H387">
        <v>56</v>
      </c>
      <c r="J387" s="1">
        <v>21.5</v>
      </c>
      <c r="K387" s="1">
        <v>0</v>
      </c>
      <c r="O387" s="1">
        <v>12</v>
      </c>
      <c r="Q387" s="2">
        <v>33.5</v>
      </c>
    </row>
    <row r="388" spans="1:17" x14ac:dyDescent="0.25">
      <c r="A388" t="s">
        <v>31</v>
      </c>
      <c r="B388" t="s">
        <v>33</v>
      </c>
      <c r="C388" t="str">
        <f>"12-3-58"</f>
        <v>12-3-58</v>
      </c>
      <c r="D388" t="s">
        <v>26</v>
      </c>
      <c r="H388">
        <v>58</v>
      </c>
      <c r="J388" s="1">
        <v>21.5</v>
      </c>
      <c r="K388" s="1">
        <v>0</v>
      </c>
      <c r="O388" s="1">
        <v>14</v>
      </c>
      <c r="Q388" s="2">
        <v>35.5</v>
      </c>
    </row>
    <row r="389" spans="1:17" x14ac:dyDescent="0.25">
      <c r="A389" t="s">
        <v>31</v>
      </c>
      <c r="B389" t="s">
        <v>33</v>
      </c>
      <c r="C389" t="str">
        <f>"12-3-60"</f>
        <v>12-3-60</v>
      </c>
      <c r="D389" t="s">
        <v>26</v>
      </c>
      <c r="H389">
        <v>60</v>
      </c>
      <c r="J389" s="1">
        <v>21.5</v>
      </c>
      <c r="K389" s="1">
        <v>0</v>
      </c>
      <c r="O389" s="1">
        <v>16</v>
      </c>
      <c r="Q389" s="2">
        <v>37.5</v>
      </c>
    </row>
    <row r="390" spans="1:17" x14ac:dyDescent="0.25">
      <c r="A390" t="s">
        <v>31</v>
      </c>
      <c r="B390" t="s">
        <v>33</v>
      </c>
      <c r="C390" t="str">
        <f>"12-3-62"</f>
        <v>12-3-62</v>
      </c>
      <c r="D390" t="s">
        <v>26</v>
      </c>
      <c r="H390">
        <v>62</v>
      </c>
      <c r="J390" s="1">
        <v>21.5</v>
      </c>
      <c r="K390" s="1">
        <v>0</v>
      </c>
      <c r="O390" s="1">
        <v>18</v>
      </c>
      <c r="Q390" s="2">
        <v>39.5</v>
      </c>
    </row>
    <row r="391" spans="1:17" x14ac:dyDescent="0.25">
      <c r="A391" t="s">
        <v>31</v>
      </c>
      <c r="B391" t="s">
        <v>33</v>
      </c>
      <c r="C391" t="str">
        <f>"12-3-64"</f>
        <v>12-3-64</v>
      </c>
      <c r="D391" t="s">
        <v>26</v>
      </c>
      <c r="H391">
        <v>64</v>
      </c>
      <c r="J391" s="1">
        <v>21.5</v>
      </c>
      <c r="K391" s="1">
        <v>0</v>
      </c>
      <c r="O391" s="1">
        <v>35</v>
      </c>
      <c r="Q391" s="2">
        <v>56.5</v>
      </c>
    </row>
    <row r="392" spans="1:17" x14ac:dyDescent="0.25">
      <c r="A392" t="s">
        <v>31</v>
      </c>
      <c r="B392" t="s">
        <v>33</v>
      </c>
      <c r="C392" t="str">
        <f>"12-3-66"</f>
        <v>12-3-66</v>
      </c>
      <c r="D392" t="s">
        <v>26</v>
      </c>
      <c r="H392">
        <v>66</v>
      </c>
      <c r="J392" s="1">
        <v>21.5</v>
      </c>
      <c r="K392" s="1">
        <v>0</v>
      </c>
      <c r="O392" s="1">
        <v>35</v>
      </c>
      <c r="Q392" s="2">
        <v>56.5</v>
      </c>
    </row>
    <row r="393" spans="1:17" x14ac:dyDescent="0.25">
      <c r="A393" t="s">
        <v>31</v>
      </c>
      <c r="B393" t="s">
        <v>33</v>
      </c>
      <c r="C393" t="str">
        <f>"12-3-68"</f>
        <v>12-3-68</v>
      </c>
      <c r="D393" t="s">
        <v>26</v>
      </c>
      <c r="H393">
        <v>68</v>
      </c>
      <c r="J393" s="1">
        <v>21.5</v>
      </c>
      <c r="K393" s="1">
        <v>0</v>
      </c>
      <c r="O393" s="1">
        <v>35</v>
      </c>
      <c r="Q393" s="2">
        <v>56.5</v>
      </c>
    </row>
    <row r="394" spans="1:17" x14ac:dyDescent="0.25">
      <c r="A394" t="s">
        <v>31</v>
      </c>
      <c r="B394" t="s">
        <v>33</v>
      </c>
      <c r="C394" t="str">
        <f>"12-3-70"</f>
        <v>12-3-70</v>
      </c>
      <c r="D394" t="s">
        <v>26</v>
      </c>
      <c r="H394">
        <v>70</v>
      </c>
      <c r="J394" s="1">
        <v>21.5</v>
      </c>
      <c r="K394" s="1">
        <v>0</v>
      </c>
      <c r="O394" s="1">
        <v>35</v>
      </c>
      <c r="Q394" s="2">
        <v>56.5</v>
      </c>
    </row>
    <row r="395" spans="1:17" x14ac:dyDescent="0.25">
      <c r="A395" t="s">
        <v>31</v>
      </c>
      <c r="B395" t="s">
        <v>33</v>
      </c>
      <c r="C395" t="str">
        <f>"12-3-72"</f>
        <v>12-3-72</v>
      </c>
      <c r="D395" t="s">
        <v>26</v>
      </c>
      <c r="H395">
        <v>72</v>
      </c>
      <c r="J395" s="1">
        <v>21.5</v>
      </c>
      <c r="K395" s="1">
        <v>0</v>
      </c>
      <c r="O395" s="1">
        <v>35</v>
      </c>
      <c r="Q395" s="2">
        <v>56.5</v>
      </c>
    </row>
    <row r="396" spans="1:17" x14ac:dyDescent="0.25">
      <c r="A396" t="s">
        <v>31</v>
      </c>
      <c r="B396" t="s">
        <v>33</v>
      </c>
      <c r="C396" t="str">
        <f>"12-3-74"</f>
        <v>12-3-74</v>
      </c>
      <c r="D396" t="s">
        <v>26</v>
      </c>
      <c r="H396">
        <v>74</v>
      </c>
      <c r="J396" s="1">
        <v>21.5</v>
      </c>
      <c r="K396" s="1">
        <v>0</v>
      </c>
      <c r="O396" s="1">
        <v>35</v>
      </c>
      <c r="Q396" s="2">
        <v>56.5</v>
      </c>
    </row>
    <row r="397" spans="1:17" x14ac:dyDescent="0.25">
      <c r="A397" t="s">
        <v>31</v>
      </c>
      <c r="B397" t="s">
        <v>33</v>
      </c>
      <c r="C397" t="str">
        <f>"12-3-76"</f>
        <v>12-3-76</v>
      </c>
      <c r="D397" t="s">
        <v>26</v>
      </c>
      <c r="H397">
        <v>76</v>
      </c>
      <c r="J397" s="1">
        <v>21.5</v>
      </c>
      <c r="K397" s="1">
        <v>0</v>
      </c>
      <c r="O397" s="1">
        <v>35</v>
      </c>
      <c r="Q397" s="2">
        <v>56.5</v>
      </c>
    </row>
    <row r="398" spans="1:17" x14ac:dyDescent="0.25">
      <c r="A398" t="s">
        <v>31</v>
      </c>
      <c r="B398" t="s">
        <v>33</v>
      </c>
      <c r="C398" t="str">
        <f>"12-3-78"</f>
        <v>12-3-78</v>
      </c>
      <c r="D398" t="s">
        <v>26</v>
      </c>
      <c r="H398">
        <v>78</v>
      </c>
      <c r="J398" s="1">
        <v>21.5</v>
      </c>
      <c r="K398" s="1">
        <v>0</v>
      </c>
      <c r="O398" s="1">
        <v>35</v>
      </c>
      <c r="Q398" s="2">
        <v>56.5</v>
      </c>
    </row>
    <row r="399" spans="1:17" x14ac:dyDescent="0.25">
      <c r="A399" t="s">
        <v>31</v>
      </c>
      <c r="B399" t="s">
        <v>33</v>
      </c>
      <c r="C399" t="str">
        <f>"12-3-80"</f>
        <v>12-3-80</v>
      </c>
      <c r="D399" t="s">
        <v>26</v>
      </c>
      <c r="H399">
        <v>80</v>
      </c>
      <c r="J399" s="1">
        <v>21.5</v>
      </c>
      <c r="K399" s="1">
        <v>0</v>
      </c>
      <c r="O399" s="1">
        <v>35</v>
      </c>
      <c r="Q399" s="2">
        <v>56.5</v>
      </c>
    </row>
    <row r="400" spans="1:17" x14ac:dyDescent="0.25">
      <c r="A400" t="s">
        <v>31</v>
      </c>
      <c r="B400" t="s">
        <v>33</v>
      </c>
      <c r="C400" t="str">
        <f>"12-5-22"</f>
        <v>12-5-22</v>
      </c>
      <c r="D400" t="s">
        <v>27</v>
      </c>
      <c r="H400">
        <v>22</v>
      </c>
      <c r="J400" s="1">
        <v>21.5</v>
      </c>
      <c r="K400" s="1">
        <v>0</v>
      </c>
      <c r="O400" s="1">
        <v>0</v>
      </c>
      <c r="Q400" s="2">
        <v>21.5</v>
      </c>
    </row>
    <row r="401" spans="1:17" x14ac:dyDescent="0.25">
      <c r="A401" t="s">
        <v>31</v>
      </c>
      <c r="B401" t="s">
        <v>33</v>
      </c>
      <c r="C401" t="str">
        <f>"12-5-24"</f>
        <v>12-5-24</v>
      </c>
      <c r="D401" t="s">
        <v>27</v>
      </c>
      <c r="H401">
        <v>24</v>
      </c>
      <c r="J401" s="1">
        <v>21.5</v>
      </c>
      <c r="K401" s="1">
        <v>0</v>
      </c>
      <c r="O401" s="1">
        <v>0</v>
      </c>
      <c r="Q401" s="2">
        <v>21.5</v>
      </c>
    </row>
    <row r="402" spans="1:17" x14ac:dyDescent="0.25">
      <c r="A402" t="s">
        <v>31</v>
      </c>
      <c r="B402" t="s">
        <v>33</v>
      </c>
      <c r="C402" t="str">
        <f>"12-5-26"</f>
        <v>12-5-26</v>
      </c>
      <c r="D402" t="s">
        <v>27</v>
      </c>
      <c r="H402">
        <v>26</v>
      </c>
      <c r="J402" s="1">
        <v>21.5</v>
      </c>
      <c r="K402" s="1">
        <v>0</v>
      </c>
      <c r="O402" s="1">
        <v>0</v>
      </c>
      <c r="Q402" s="2">
        <v>21.5</v>
      </c>
    </row>
    <row r="403" spans="1:17" x14ac:dyDescent="0.25">
      <c r="A403" t="s">
        <v>31</v>
      </c>
      <c r="B403" t="s">
        <v>33</v>
      </c>
      <c r="C403" t="str">
        <f>"12-5-28"</f>
        <v>12-5-28</v>
      </c>
      <c r="D403" t="s">
        <v>27</v>
      </c>
      <c r="H403">
        <v>28</v>
      </c>
      <c r="J403" s="1">
        <v>21.5</v>
      </c>
      <c r="K403" s="1">
        <v>0</v>
      </c>
      <c r="O403" s="1">
        <v>0</v>
      </c>
      <c r="Q403" s="2">
        <v>21.5</v>
      </c>
    </row>
    <row r="404" spans="1:17" x14ac:dyDescent="0.25">
      <c r="A404" t="s">
        <v>31</v>
      </c>
      <c r="B404" t="s">
        <v>33</v>
      </c>
      <c r="C404" t="str">
        <f>"12-5-30"</f>
        <v>12-5-30</v>
      </c>
      <c r="D404" t="s">
        <v>27</v>
      </c>
      <c r="H404">
        <v>30</v>
      </c>
      <c r="J404" s="1">
        <v>21.5</v>
      </c>
      <c r="K404" s="1">
        <v>0</v>
      </c>
      <c r="O404" s="1">
        <v>0</v>
      </c>
      <c r="Q404" s="2">
        <v>21.5</v>
      </c>
    </row>
    <row r="405" spans="1:17" x14ac:dyDescent="0.25">
      <c r="A405" t="s">
        <v>31</v>
      </c>
      <c r="B405" t="s">
        <v>33</v>
      </c>
      <c r="C405" t="str">
        <f>"12-5-32"</f>
        <v>12-5-32</v>
      </c>
      <c r="D405" t="s">
        <v>27</v>
      </c>
      <c r="H405">
        <v>32</v>
      </c>
      <c r="J405" s="1">
        <v>21.5</v>
      </c>
      <c r="K405" s="1">
        <v>0</v>
      </c>
      <c r="O405" s="1">
        <v>0</v>
      </c>
      <c r="Q405" s="2">
        <v>21.5</v>
      </c>
    </row>
    <row r="406" spans="1:17" x14ac:dyDescent="0.25">
      <c r="A406" t="s">
        <v>31</v>
      </c>
      <c r="B406" t="s">
        <v>33</v>
      </c>
      <c r="C406" t="str">
        <f>"12-5-34"</f>
        <v>12-5-34</v>
      </c>
      <c r="D406" t="s">
        <v>27</v>
      </c>
      <c r="H406">
        <v>34</v>
      </c>
      <c r="J406" s="1">
        <v>21.5</v>
      </c>
      <c r="K406" s="1">
        <v>0</v>
      </c>
      <c r="O406" s="1">
        <v>0</v>
      </c>
      <c r="Q406" s="2">
        <v>21.5</v>
      </c>
    </row>
    <row r="407" spans="1:17" x14ac:dyDescent="0.25">
      <c r="A407" t="s">
        <v>31</v>
      </c>
      <c r="B407" t="s">
        <v>33</v>
      </c>
      <c r="C407" t="str">
        <f>"12-5-36"</f>
        <v>12-5-36</v>
      </c>
      <c r="D407" t="s">
        <v>27</v>
      </c>
      <c r="H407">
        <v>36</v>
      </c>
      <c r="J407" s="1">
        <v>21.5</v>
      </c>
      <c r="K407" s="1">
        <v>0</v>
      </c>
      <c r="O407" s="1">
        <v>0</v>
      </c>
      <c r="Q407" s="2">
        <v>21.5</v>
      </c>
    </row>
    <row r="408" spans="1:17" x14ac:dyDescent="0.25">
      <c r="A408" t="s">
        <v>31</v>
      </c>
      <c r="B408" t="s">
        <v>33</v>
      </c>
      <c r="C408" t="str">
        <f>"12-5-38"</f>
        <v>12-5-38</v>
      </c>
      <c r="D408" t="s">
        <v>27</v>
      </c>
      <c r="H408">
        <v>38</v>
      </c>
      <c r="J408" s="1">
        <v>21.5</v>
      </c>
      <c r="K408" s="1">
        <v>0</v>
      </c>
      <c r="O408" s="1">
        <v>0</v>
      </c>
      <c r="Q408" s="2">
        <v>21.5</v>
      </c>
    </row>
    <row r="409" spans="1:17" x14ac:dyDescent="0.25">
      <c r="A409" t="s">
        <v>31</v>
      </c>
      <c r="B409" t="s">
        <v>33</v>
      </c>
      <c r="C409" t="str">
        <f>"12-5-40"</f>
        <v>12-5-40</v>
      </c>
      <c r="D409" t="s">
        <v>27</v>
      </c>
      <c r="H409">
        <v>40</v>
      </c>
      <c r="J409" s="1">
        <v>21.5</v>
      </c>
      <c r="K409" s="1">
        <v>0</v>
      </c>
      <c r="O409" s="1">
        <v>0</v>
      </c>
      <c r="Q409" s="2">
        <v>21.5</v>
      </c>
    </row>
    <row r="410" spans="1:17" x14ac:dyDescent="0.25">
      <c r="A410" t="s">
        <v>31</v>
      </c>
      <c r="B410" t="s">
        <v>33</v>
      </c>
      <c r="C410" t="str">
        <f>"12-5-42"</f>
        <v>12-5-42</v>
      </c>
      <c r="D410" t="s">
        <v>27</v>
      </c>
      <c r="H410">
        <v>42</v>
      </c>
      <c r="J410" s="1">
        <v>21.5</v>
      </c>
      <c r="K410" s="1">
        <v>0</v>
      </c>
      <c r="O410" s="1">
        <v>0</v>
      </c>
      <c r="Q410" s="2">
        <v>21.5</v>
      </c>
    </row>
    <row r="411" spans="1:17" x14ac:dyDescent="0.25">
      <c r="A411" t="s">
        <v>31</v>
      </c>
      <c r="B411" t="s">
        <v>33</v>
      </c>
      <c r="C411" t="str">
        <f>"12-5-44"</f>
        <v>12-5-44</v>
      </c>
      <c r="D411" t="s">
        <v>27</v>
      </c>
      <c r="H411">
        <v>44</v>
      </c>
      <c r="J411" s="1">
        <v>21.5</v>
      </c>
      <c r="K411" s="1">
        <v>0</v>
      </c>
      <c r="O411" s="1">
        <v>0</v>
      </c>
      <c r="Q411" s="2">
        <v>21.5</v>
      </c>
    </row>
    <row r="412" spans="1:17" x14ac:dyDescent="0.25">
      <c r="A412" t="s">
        <v>31</v>
      </c>
      <c r="B412" t="s">
        <v>33</v>
      </c>
      <c r="C412" t="str">
        <f>"12-5-46"</f>
        <v>12-5-46</v>
      </c>
      <c r="D412" t="s">
        <v>27</v>
      </c>
      <c r="H412">
        <v>46</v>
      </c>
      <c r="J412" s="1">
        <v>21.5</v>
      </c>
      <c r="K412" s="1">
        <v>0</v>
      </c>
      <c r="O412" s="1">
        <v>0</v>
      </c>
      <c r="Q412" s="2">
        <v>21.5</v>
      </c>
    </row>
    <row r="413" spans="1:17" x14ac:dyDescent="0.25">
      <c r="A413" t="s">
        <v>31</v>
      </c>
      <c r="B413" t="s">
        <v>33</v>
      </c>
      <c r="C413" t="str">
        <f>"12-5-48"</f>
        <v>12-5-48</v>
      </c>
      <c r="D413" t="s">
        <v>27</v>
      </c>
      <c r="H413">
        <v>48</v>
      </c>
      <c r="J413" s="1">
        <v>21.5</v>
      </c>
      <c r="K413" s="1">
        <v>0</v>
      </c>
      <c r="O413" s="1">
        <v>4</v>
      </c>
      <c r="Q413" s="2">
        <v>25.5</v>
      </c>
    </row>
    <row r="414" spans="1:17" x14ac:dyDescent="0.25">
      <c r="A414" t="s">
        <v>31</v>
      </c>
      <c r="B414" t="s">
        <v>33</v>
      </c>
      <c r="C414" t="str">
        <f>"12-5-50"</f>
        <v>12-5-50</v>
      </c>
      <c r="D414" t="s">
        <v>27</v>
      </c>
      <c r="H414">
        <v>50</v>
      </c>
      <c r="J414" s="1">
        <v>21.5</v>
      </c>
      <c r="K414" s="1">
        <v>0</v>
      </c>
      <c r="O414" s="1">
        <v>6</v>
      </c>
      <c r="Q414" s="2">
        <v>27.5</v>
      </c>
    </row>
    <row r="415" spans="1:17" x14ac:dyDescent="0.25">
      <c r="A415" t="s">
        <v>31</v>
      </c>
      <c r="B415" t="s">
        <v>33</v>
      </c>
      <c r="C415" t="str">
        <f>"12-5-52"</f>
        <v>12-5-52</v>
      </c>
      <c r="D415" t="s">
        <v>27</v>
      </c>
      <c r="H415">
        <v>52</v>
      </c>
      <c r="J415" s="1">
        <v>21.5</v>
      </c>
      <c r="K415" s="1">
        <v>0</v>
      </c>
      <c r="O415" s="1">
        <v>8</v>
      </c>
      <c r="Q415" s="2">
        <v>29.5</v>
      </c>
    </row>
    <row r="416" spans="1:17" x14ac:dyDescent="0.25">
      <c r="A416" t="s">
        <v>31</v>
      </c>
      <c r="B416" t="s">
        <v>33</v>
      </c>
      <c r="C416" t="str">
        <f>"12-5-54"</f>
        <v>12-5-54</v>
      </c>
      <c r="D416" t="s">
        <v>27</v>
      </c>
      <c r="H416">
        <v>54</v>
      </c>
      <c r="J416" s="1">
        <v>21.5</v>
      </c>
      <c r="K416" s="1">
        <v>0</v>
      </c>
      <c r="O416" s="1">
        <v>10</v>
      </c>
      <c r="Q416" s="2">
        <v>31.5</v>
      </c>
    </row>
    <row r="417" spans="1:17" x14ac:dyDescent="0.25">
      <c r="A417" t="s">
        <v>31</v>
      </c>
      <c r="B417" t="s">
        <v>33</v>
      </c>
      <c r="C417" t="str">
        <f>"12-5-56"</f>
        <v>12-5-56</v>
      </c>
      <c r="D417" t="s">
        <v>27</v>
      </c>
      <c r="H417">
        <v>56</v>
      </c>
      <c r="J417" s="1">
        <v>21.5</v>
      </c>
      <c r="K417" s="1">
        <v>0</v>
      </c>
      <c r="O417" s="1">
        <v>12</v>
      </c>
      <c r="Q417" s="2">
        <v>33.5</v>
      </c>
    </row>
    <row r="418" spans="1:17" x14ac:dyDescent="0.25">
      <c r="A418" t="s">
        <v>31</v>
      </c>
      <c r="B418" t="s">
        <v>33</v>
      </c>
      <c r="C418" t="str">
        <f>"12-5-58"</f>
        <v>12-5-58</v>
      </c>
      <c r="D418" t="s">
        <v>27</v>
      </c>
      <c r="H418">
        <v>58</v>
      </c>
      <c r="J418" s="1">
        <v>21.5</v>
      </c>
      <c r="K418" s="1">
        <v>0</v>
      </c>
      <c r="O418" s="1">
        <v>14</v>
      </c>
      <c r="Q418" s="2">
        <v>35.5</v>
      </c>
    </row>
    <row r="419" spans="1:17" x14ac:dyDescent="0.25">
      <c r="A419" t="s">
        <v>31</v>
      </c>
      <c r="B419" t="s">
        <v>33</v>
      </c>
      <c r="C419" t="str">
        <f>"12-5-60"</f>
        <v>12-5-60</v>
      </c>
      <c r="D419" t="s">
        <v>27</v>
      </c>
      <c r="H419">
        <v>60</v>
      </c>
      <c r="J419" s="1">
        <v>21.5</v>
      </c>
      <c r="K419" s="1">
        <v>0</v>
      </c>
      <c r="O419" s="1">
        <v>16</v>
      </c>
      <c r="Q419" s="2">
        <v>37.5</v>
      </c>
    </row>
    <row r="420" spans="1:17" x14ac:dyDescent="0.25">
      <c r="A420" t="s">
        <v>31</v>
      </c>
      <c r="B420" t="s">
        <v>33</v>
      </c>
      <c r="C420" t="str">
        <f>"12-5-62"</f>
        <v>12-5-62</v>
      </c>
      <c r="D420" t="s">
        <v>27</v>
      </c>
      <c r="H420">
        <v>62</v>
      </c>
      <c r="J420" s="1">
        <v>21.5</v>
      </c>
      <c r="K420" s="1">
        <v>0</v>
      </c>
      <c r="O420" s="1">
        <v>18</v>
      </c>
      <c r="Q420" s="2">
        <v>39.5</v>
      </c>
    </row>
    <row r="421" spans="1:17" x14ac:dyDescent="0.25">
      <c r="A421" t="s">
        <v>31</v>
      </c>
      <c r="B421" t="s">
        <v>33</v>
      </c>
      <c r="C421" t="str">
        <f>"12-5-64"</f>
        <v>12-5-64</v>
      </c>
      <c r="D421" t="s">
        <v>27</v>
      </c>
      <c r="H421">
        <v>64</v>
      </c>
      <c r="J421" s="1">
        <v>21.5</v>
      </c>
      <c r="K421" s="1">
        <v>0</v>
      </c>
      <c r="O421" s="1">
        <v>35</v>
      </c>
      <c r="Q421" s="2">
        <v>56.5</v>
      </c>
    </row>
    <row r="422" spans="1:17" x14ac:dyDescent="0.25">
      <c r="A422" t="s">
        <v>31</v>
      </c>
      <c r="B422" t="s">
        <v>33</v>
      </c>
      <c r="C422" t="str">
        <f>"12-5-66"</f>
        <v>12-5-66</v>
      </c>
      <c r="D422" t="s">
        <v>27</v>
      </c>
      <c r="H422">
        <v>66</v>
      </c>
      <c r="J422" s="1">
        <v>21.5</v>
      </c>
      <c r="K422" s="1">
        <v>0</v>
      </c>
      <c r="O422" s="1">
        <v>35</v>
      </c>
      <c r="Q422" s="2">
        <v>56.5</v>
      </c>
    </row>
    <row r="423" spans="1:17" x14ac:dyDescent="0.25">
      <c r="A423" t="s">
        <v>31</v>
      </c>
      <c r="B423" t="s">
        <v>33</v>
      </c>
      <c r="C423" t="str">
        <f>"12-5-68"</f>
        <v>12-5-68</v>
      </c>
      <c r="D423" t="s">
        <v>27</v>
      </c>
      <c r="H423">
        <v>68</v>
      </c>
      <c r="J423" s="1">
        <v>21.5</v>
      </c>
      <c r="K423" s="1">
        <v>0</v>
      </c>
      <c r="O423" s="1">
        <v>35</v>
      </c>
      <c r="Q423" s="2">
        <v>56.5</v>
      </c>
    </row>
    <row r="424" spans="1:17" x14ac:dyDescent="0.25">
      <c r="A424" t="s">
        <v>31</v>
      </c>
      <c r="B424" t="s">
        <v>33</v>
      </c>
      <c r="C424" t="str">
        <f>"12-5-70"</f>
        <v>12-5-70</v>
      </c>
      <c r="D424" t="s">
        <v>27</v>
      </c>
      <c r="H424">
        <v>70</v>
      </c>
      <c r="J424" s="1">
        <v>21.5</v>
      </c>
      <c r="K424" s="1">
        <v>0</v>
      </c>
      <c r="O424" s="1">
        <v>35</v>
      </c>
      <c r="Q424" s="2">
        <v>56.5</v>
      </c>
    </row>
    <row r="425" spans="1:17" x14ac:dyDescent="0.25">
      <c r="A425" t="s">
        <v>31</v>
      </c>
      <c r="B425" t="s">
        <v>33</v>
      </c>
      <c r="C425" t="str">
        <f>"12-5-72"</f>
        <v>12-5-72</v>
      </c>
      <c r="D425" t="s">
        <v>27</v>
      </c>
      <c r="H425">
        <v>72</v>
      </c>
      <c r="J425" s="1">
        <v>21.5</v>
      </c>
      <c r="K425" s="1">
        <v>0</v>
      </c>
      <c r="O425" s="1">
        <v>35</v>
      </c>
      <c r="Q425" s="2">
        <v>56.5</v>
      </c>
    </row>
    <row r="426" spans="1:17" x14ac:dyDescent="0.25">
      <c r="A426" t="s">
        <v>31</v>
      </c>
      <c r="B426" t="s">
        <v>33</v>
      </c>
      <c r="C426" t="str">
        <f>"12-5-74"</f>
        <v>12-5-74</v>
      </c>
      <c r="D426" t="s">
        <v>27</v>
      </c>
      <c r="H426">
        <v>74</v>
      </c>
      <c r="J426" s="1">
        <v>21.5</v>
      </c>
      <c r="K426" s="1">
        <v>0</v>
      </c>
      <c r="O426" s="1">
        <v>35</v>
      </c>
      <c r="Q426" s="2">
        <v>56.5</v>
      </c>
    </row>
    <row r="427" spans="1:17" x14ac:dyDescent="0.25">
      <c r="A427" t="s">
        <v>31</v>
      </c>
      <c r="B427" t="s">
        <v>33</v>
      </c>
      <c r="C427" t="str">
        <f>"12-5-76"</f>
        <v>12-5-76</v>
      </c>
      <c r="D427" t="s">
        <v>27</v>
      </c>
      <c r="H427">
        <v>76</v>
      </c>
      <c r="J427" s="1">
        <v>21.5</v>
      </c>
      <c r="K427" s="1">
        <v>0</v>
      </c>
      <c r="O427" s="1">
        <v>35</v>
      </c>
      <c r="Q427" s="2">
        <v>56.5</v>
      </c>
    </row>
    <row r="428" spans="1:17" x14ac:dyDescent="0.25">
      <c r="A428" t="s">
        <v>31</v>
      </c>
      <c r="B428" t="s">
        <v>33</v>
      </c>
      <c r="C428" t="str">
        <f>"12-5-78"</f>
        <v>12-5-78</v>
      </c>
      <c r="D428" t="s">
        <v>27</v>
      </c>
      <c r="H428">
        <v>78</v>
      </c>
      <c r="J428" s="1">
        <v>21.5</v>
      </c>
      <c r="K428" s="1">
        <v>0</v>
      </c>
      <c r="O428" s="1">
        <v>35</v>
      </c>
      <c r="Q428" s="2">
        <v>56.5</v>
      </c>
    </row>
    <row r="429" spans="1:17" x14ac:dyDescent="0.25">
      <c r="A429" t="s">
        <v>31</v>
      </c>
      <c r="B429" t="s">
        <v>33</v>
      </c>
      <c r="C429" t="str">
        <f>"12-5-80"</f>
        <v>12-5-80</v>
      </c>
      <c r="D429" t="s">
        <v>27</v>
      </c>
      <c r="H429">
        <v>80</v>
      </c>
      <c r="J429" s="1">
        <v>21.5</v>
      </c>
      <c r="K429" s="1">
        <v>0</v>
      </c>
      <c r="O429" s="1">
        <v>35</v>
      </c>
      <c r="Q429" s="2">
        <v>56.5</v>
      </c>
    </row>
    <row r="430" spans="1:17" x14ac:dyDescent="0.25">
      <c r="A430" t="s">
        <v>31</v>
      </c>
      <c r="B430" t="s">
        <v>34</v>
      </c>
      <c r="C430" t="str">
        <f>"100-24"</f>
        <v>100-24</v>
      </c>
      <c r="H430">
        <v>24</v>
      </c>
      <c r="J430" s="1">
        <v>17</v>
      </c>
      <c r="O430" s="1">
        <v>0</v>
      </c>
      <c r="Q430" s="2">
        <v>17</v>
      </c>
    </row>
    <row r="431" spans="1:17" x14ac:dyDescent="0.25">
      <c r="A431" t="s">
        <v>31</v>
      </c>
      <c r="B431" t="s">
        <v>34</v>
      </c>
      <c r="C431" t="str">
        <f>"100-26"</f>
        <v>100-26</v>
      </c>
      <c r="H431">
        <v>26</v>
      </c>
      <c r="J431" s="1">
        <v>17</v>
      </c>
      <c r="O431" s="1">
        <v>0</v>
      </c>
      <c r="Q431" s="2">
        <v>17</v>
      </c>
    </row>
    <row r="432" spans="1:17" x14ac:dyDescent="0.25">
      <c r="A432" t="s">
        <v>31</v>
      </c>
      <c r="B432" t="s">
        <v>34</v>
      </c>
      <c r="C432" t="str">
        <f>"100-28"</f>
        <v>100-28</v>
      </c>
      <c r="H432">
        <v>28</v>
      </c>
      <c r="J432" s="1">
        <v>17</v>
      </c>
      <c r="O432" s="1">
        <v>0</v>
      </c>
      <c r="Q432" s="2">
        <v>17</v>
      </c>
    </row>
    <row r="433" spans="1:17" x14ac:dyDescent="0.25">
      <c r="A433" t="s">
        <v>31</v>
      </c>
      <c r="B433" t="s">
        <v>34</v>
      </c>
      <c r="C433" t="str">
        <f>"100-30"</f>
        <v>100-30</v>
      </c>
      <c r="H433">
        <v>30</v>
      </c>
      <c r="J433" s="1">
        <v>17</v>
      </c>
      <c r="O433" s="1">
        <v>0</v>
      </c>
      <c r="Q433" s="2">
        <v>17</v>
      </c>
    </row>
    <row r="434" spans="1:17" x14ac:dyDescent="0.25">
      <c r="A434" t="s">
        <v>31</v>
      </c>
      <c r="B434" t="s">
        <v>34</v>
      </c>
      <c r="C434" t="str">
        <f>"100-32"</f>
        <v>100-32</v>
      </c>
      <c r="H434">
        <v>32</v>
      </c>
      <c r="J434" s="1">
        <v>17</v>
      </c>
      <c r="O434" s="1">
        <v>0</v>
      </c>
      <c r="Q434" s="2">
        <v>17</v>
      </c>
    </row>
    <row r="435" spans="1:17" x14ac:dyDescent="0.25">
      <c r="A435" t="s">
        <v>31</v>
      </c>
      <c r="B435" t="s">
        <v>34</v>
      </c>
      <c r="C435" t="str">
        <f>"100-34"</f>
        <v>100-34</v>
      </c>
      <c r="H435">
        <v>34</v>
      </c>
      <c r="J435" s="1">
        <v>17</v>
      </c>
      <c r="O435" s="1">
        <v>0</v>
      </c>
      <c r="Q435" s="2">
        <v>17</v>
      </c>
    </row>
    <row r="436" spans="1:17" x14ac:dyDescent="0.25">
      <c r="A436" t="s">
        <v>31</v>
      </c>
      <c r="B436" t="s">
        <v>34</v>
      </c>
      <c r="C436" t="str">
        <f>"100-36"</f>
        <v>100-36</v>
      </c>
      <c r="H436">
        <v>36</v>
      </c>
      <c r="J436" s="1">
        <v>17</v>
      </c>
      <c r="O436" s="1">
        <v>0</v>
      </c>
      <c r="Q436" s="2">
        <v>17</v>
      </c>
    </row>
    <row r="437" spans="1:17" x14ac:dyDescent="0.25">
      <c r="A437" t="s">
        <v>31</v>
      </c>
      <c r="B437" t="s">
        <v>34</v>
      </c>
      <c r="C437" t="str">
        <f>"100-38"</f>
        <v>100-38</v>
      </c>
      <c r="H437">
        <v>38</v>
      </c>
      <c r="J437" s="1">
        <v>17</v>
      </c>
      <c r="O437" s="1">
        <v>0</v>
      </c>
      <c r="Q437" s="2">
        <v>17</v>
      </c>
    </row>
    <row r="438" spans="1:17" x14ac:dyDescent="0.25">
      <c r="A438" t="s">
        <v>31</v>
      </c>
      <c r="B438" t="s">
        <v>34</v>
      </c>
      <c r="C438" t="str">
        <f>"100-40"</f>
        <v>100-40</v>
      </c>
      <c r="H438">
        <v>40</v>
      </c>
      <c r="J438" s="1">
        <v>17</v>
      </c>
      <c r="O438" s="1">
        <v>0</v>
      </c>
      <c r="Q438" s="2">
        <v>17</v>
      </c>
    </row>
    <row r="439" spans="1:17" x14ac:dyDescent="0.25">
      <c r="A439" t="s">
        <v>31</v>
      </c>
      <c r="B439" t="s">
        <v>34</v>
      </c>
      <c r="C439" t="str">
        <f>"100-42"</f>
        <v>100-42</v>
      </c>
      <c r="H439">
        <v>42</v>
      </c>
      <c r="J439" s="1">
        <v>17</v>
      </c>
      <c r="O439" s="1">
        <v>0</v>
      </c>
      <c r="Q439" s="2">
        <v>17</v>
      </c>
    </row>
    <row r="440" spans="1:17" x14ac:dyDescent="0.25">
      <c r="A440" t="s">
        <v>31</v>
      </c>
      <c r="B440" t="s">
        <v>34</v>
      </c>
      <c r="C440" t="str">
        <f>"100-44"</f>
        <v>100-44</v>
      </c>
      <c r="H440">
        <v>44</v>
      </c>
      <c r="J440" s="1">
        <v>17</v>
      </c>
      <c r="O440" s="1">
        <v>0</v>
      </c>
      <c r="Q440" s="2">
        <v>17</v>
      </c>
    </row>
    <row r="441" spans="1:17" x14ac:dyDescent="0.25">
      <c r="A441" t="s">
        <v>31</v>
      </c>
      <c r="B441" t="s">
        <v>34</v>
      </c>
      <c r="C441" t="str">
        <f>"100-46"</f>
        <v>100-46</v>
      </c>
      <c r="H441">
        <v>46</v>
      </c>
      <c r="J441" s="1">
        <v>17</v>
      </c>
      <c r="O441" s="1">
        <v>0</v>
      </c>
      <c r="Q441" s="2">
        <v>17</v>
      </c>
    </row>
    <row r="442" spans="1:17" x14ac:dyDescent="0.25">
      <c r="A442" t="s">
        <v>31</v>
      </c>
      <c r="B442" t="s">
        <v>34</v>
      </c>
      <c r="C442" t="str">
        <f>"100-48"</f>
        <v>100-48</v>
      </c>
      <c r="H442">
        <v>48</v>
      </c>
      <c r="J442" s="1">
        <v>17</v>
      </c>
      <c r="O442" s="1">
        <v>0</v>
      </c>
      <c r="Q442" s="2">
        <v>17</v>
      </c>
    </row>
    <row r="443" spans="1:17" x14ac:dyDescent="0.25">
      <c r="A443" t="s">
        <v>31</v>
      </c>
      <c r="B443" t="s">
        <v>34</v>
      </c>
      <c r="C443" t="str">
        <f>"100-50"</f>
        <v>100-50</v>
      </c>
      <c r="H443">
        <v>50</v>
      </c>
      <c r="J443" s="1">
        <v>17</v>
      </c>
      <c r="O443" s="1">
        <v>0</v>
      </c>
      <c r="Q443" s="2">
        <v>17</v>
      </c>
    </row>
    <row r="444" spans="1:17" x14ac:dyDescent="0.25">
      <c r="A444" t="s">
        <v>31</v>
      </c>
      <c r="B444" t="s">
        <v>34</v>
      </c>
      <c r="C444" t="str">
        <f>"100-52"</f>
        <v>100-52</v>
      </c>
      <c r="H444">
        <v>52</v>
      </c>
      <c r="J444" s="1">
        <v>17</v>
      </c>
      <c r="O444" s="1">
        <v>0</v>
      </c>
      <c r="Q444" s="2">
        <v>17</v>
      </c>
    </row>
    <row r="445" spans="1:17" x14ac:dyDescent="0.25">
      <c r="A445" t="s">
        <v>31</v>
      </c>
      <c r="B445" t="s">
        <v>34</v>
      </c>
      <c r="C445" t="str">
        <f>"100-54"</f>
        <v>100-54</v>
      </c>
      <c r="H445">
        <v>54</v>
      </c>
      <c r="J445" s="1">
        <v>17</v>
      </c>
      <c r="O445" s="1">
        <v>0</v>
      </c>
      <c r="Q445" s="2">
        <v>17</v>
      </c>
    </row>
    <row r="446" spans="1:17" x14ac:dyDescent="0.25">
      <c r="A446" t="s">
        <v>31</v>
      </c>
      <c r="B446" t="s">
        <v>34</v>
      </c>
      <c r="C446" t="str">
        <f>"100-56"</f>
        <v>100-56</v>
      </c>
      <c r="H446">
        <v>56</v>
      </c>
      <c r="J446" s="1">
        <v>17</v>
      </c>
      <c r="O446" s="1">
        <v>0</v>
      </c>
      <c r="Q446" s="2">
        <v>17</v>
      </c>
    </row>
    <row r="447" spans="1:17" x14ac:dyDescent="0.25">
      <c r="A447" t="s">
        <v>31</v>
      </c>
      <c r="B447" t="s">
        <v>34</v>
      </c>
      <c r="C447" t="str">
        <f>"100-58"</f>
        <v>100-58</v>
      </c>
      <c r="H447">
        <v>58</v>
      </c>
      <c r="J447" s="1">
        <v>17</v>
      </c>
      <c r="O447" s="1">
        <v>0</v>
      </c>
      <c r="Q447" s="2">
        <v>17</v>
      </c>
    </row>
    <row r="448" spans="1:17" x14ac:dyDescent="0.25">
      <c r="A448" t="s">
        <v>31</v>
      </c>
      <c r="B448" t="s">
        <v>35</v>
      </c>
      <c r="C448" t="str">
        <f>"120-24"</f>
        <v>120-24</v>
      </c>
      <c r="H448">
        <v>24</v>
      </c>
      <c r="J448" s="1">
        <v>33.58</v>
      </c>
      <c r="O448" s="1">
        <v>0</v>
      </c>
      <c r="Q448" s="2">
        <v>33.58</v>
      </c>
    </row>
    <row r="449" spans="1:17" x14ac:dyDescent="0.25">
      <c r="A449" t="s">
        <v>31</v>
      </c>
      <c r="B449" t="s">
        <v>35</v>
      </c>
      <c r="C449" t="str">
        <f>"120-26"</f>
        <v>120-26</v>
      </c>
      <c r="H449">
        <v>26</v>
      </c>
      <c r="J449" s="1">
        <v>33.58</v>
      </c>
      <c r="O449" s="1">
        <v>0</v>
      </c>
      <c r="Q449" s="2">
        <v>33.58</v>
      </c>
    </row>
    <row r="450" spans="1:17" x14ac:dyDescent="0.25">
      <c r="A450" t="s">
        <v>31</v>
      </c>
      <c r="B450" t="s">
        <v>35</v>
      </c>
      <c r="C450" t="str">
        <f>"120-28"</f>
        <v>120-28</v>
      </c>
      <c r="H450">
        <v>28</v>
      </c>
      <c r="J450" s="1">
        <v>33.58</v>
      </c>
      <c r="O450" s="1">
        <v>0</v>
      </c>
      <c r="Q450" s="2">
        <v>33.58</v>
      </c>
    </row>
    <row r="451" spans="1:17" x14ac:dyDescent="0.25">
      <c r="A451" t="s">
        <v>31</v>
      </c>
      <c r="B451" t="s">
        <v>35</v>
      </c>
      <c r="C451" t="str">
        <f>"120-30"</f>
        <v>120-30</v>
      </c>
      <c r="H451">
        <v>30</v>
      </c>
      <c r="J451" s="1">
        <v>33.58</v>
      </c>
      <c r="O451" s="1">
        <v>0</v>
      </c>
      <c r="Q451" s="2">
        <v>33.58</v>
      </c>
    </row>
    <row r="452" spans="1:17" x14ac:dyDescent="0.25">
      <c r="A452" t="s">
        <v>31</v>
      </c>
      <c r="B452" t="s">
        <v>35</v>
      </c>
      <c r="C452" t="str">
        <f>"120-32"</f>
        <v>120-32</v>
      </c>
      <c r="H452">
        <v>32</v>
      </c>
      <c r="J452" s="1">
        <v>33.58</v>
      </c>
      <c r="O452" s="1">
        <v>0</v>
      </c>
      <c r="Q452" s="2">
        <v>33.58</v>
      </c>
    </row>
    <row r="453" spans="1:17" x14ac:dyDescent="0.25">
      <c r="A453" t="s">
        <v>31</v>
      </c>
      <c r="B453" t="s">
        <v>35</v>
      </c>
      <c r="C453" t="str">
        <f>"120-34"</f>
        <v>120-34</v>
      </c>
      <c r="H453">
        <v>34</v>
      </c>
      <c r="J453" s="1">
        <v>33.58</v>
      </c>
      <c r="O453" s="1">
        <v>0</v>
      </c>
      <c r="Q453" s="2">
        <v>33.58</v>
      </c>
    </row>
    <row r="454" spans="1:17" x14ac:dyDescent="0.25">
      <c r="A454" t="s">
        <v>31</v>
      </c>
      <c r="B454" t="s">
        <v>35</v>
      </c>
      <c r="C454" t="str">
        <f>"120-36"</f>
        <v>120-36</v>
      </c>
      <c r="H454">
        <v>36</v>
      </c>
      <c r="J454" s="1">
        <v>33.58</v>
      </c>
      <c r="O454" s="1">
        <v>0</v>
      </c>
      <c r="Q454" s="2">
        <v>33.58</v>
      </c>
    </row>
    <row r="455" spans="1:17" x14ac:dyDescent="0.25">
      <c r="A455" t="s">
        <v>31</v>
      </c>
      <c r="B455" t="s">
        <v>35</v>
      </c>
      <c r="C455" t="str">
        <f>"120-38"</f>
        <v>120-38</v>
      </c>
      <c r="H455">
        <v>38</v>
      </c>
      <c r="J455" s="1">
        <v>33.58</v>
      </c>
      <c r="O455" s="1">
        <v>0</v>
      </c>
      <c r="Q455" s="2">
        <v>33.58</v>
      </c>
    </row>
    <row r="456" spans="1:17" x14ac:dyDescent="0.25">
      <c r="A456" t="s">
        <v>31</v>
      </c>
      <c r="B456" t="s">
        <v>35</v>
      </c>
      <c r="C456" t="str">
        <f>"120-40"</f>
        <v>120-40</v>
      </c>
      <c r="H456">
        <v>40</v>
      </c>
      <c r="J456" s="1">
        <v>33.58</v>
      </c>
      <c r="O456" s="1">
        <v>0</v>
      </c>
      <c r="Q456" s="2">
        <v>33.58</v>
      </c>
    </row>
    <row r="457" spans="1:17" x14ac:dyDescent="0.25">
      <c r="A457" t="s">
        <v>31</v>
      </c>
      <c r="B457" t="s">
        <v>35</v>
      </c>
      <c r="C457" t="str">
        <f>"120-42"</f>
        <v>120-42</v>
      </c>
      <c r="H457">
        <v>42</v>
      </c>
      <c r="J457" s="1">
        <v>33.58</v>
      </c>
      <c r="O457" s="1">
        <v>0</v>
      </c>
      <c r="Q457" s="2">
        <v>33.58</v>
      </c>
    </row>
    <row r="458" spans="1:17" x14ac:dyDescent="0.25">
      <c r="A458" t="s">
        <v>31</v>
      </c>
      <c r="B458" t="s">
        <v>35</v>
      </c>
      <c r="C458" t="str">
        <f>"120-44"</f>
        <v>120-44</v>
      </c>
      <c r="H458">
        <v>44</v>
      </c>
      <c r="J458" s="1">
        <v>33.58</v>
      </c>
      <c r="O458" s="1">
        <v>0</v>
      </c>
      <c r="Q458" s="2">
        <v>33.58</v>
      </c>
    </row>
    <row r="459" spans="1:17" x14ac:dyDescent="0.25">
      <c r="A459" t="s">
        <v>31</v>
      </c>
      <c r="B459" t="s">
        <v>35</v>
      </c>
      <c r="C459" t="str">
        <f>"120-46"</f>
        <v>120-46</v>
      </c>
      <c r="H459">
        <v>46</v>
      </c>
      <c r="J459" s="1">
        <v>33.58</v>
      </c>
      <c r="O459" s="1">
        <v>0</v>
      </c>
      <c r="Q459" s="2">
        <v>33.58</v>
      </c>
    </row>
    <row r="460" spans="1:17" x14ac:dyDescent="0.25">
      <c r="A460" t="s">
        <v>31</v>
      </c>
      <c r="B460" t="s">
        <v>35</v>
      </c>
      <c r="C460" t="str">
        <f>"120-48"</f>
        <v>120-48</v>
      </c>
      <c r="H460">
        <v>48</v>
      </c>
      <c r="J460" s="1">
        <v>33.58</v>
      </c>
      <c r="O460" s="1">
        <v>0</v>
      </c>
      <c r="Q460" s="2">
        <v>33.58</v>
      </c>
    </row>
    <row r="461" spans="1:17" x14ac:dyDescent="0.25">
      <c r="A461" t="s">
        <v>31</v>
      </c>
      <c r="B461" t="s">
        <v>35</v>
      </c>
      <c r="C461" t="str">
        <f>"120-50"</f>
        <v>120-50</v>
      </c>
      <c r="H461">
        <v>50</v>
      </c>
      <c r="J461" s="1">
        <v>33.58</v>
      </c>
      <c r="O461" s="1">
        <v>0</v>
      </c>
      <c r="Q461" s="2">
        <v>33.58</v>
      </c>
    </row>
    <row r="462" spans="1:17" x14ac:dyDescent="0.25">
      <c r="A462" t="s">
        <v>31</v>
      </c>
      <c r="B462" t="s">
        <v>35</v>
      </c>
      <c r="C462" t="str">
        <f>"120-52"</f>
        <v>120-52</v>
      </c>
      <c r="H462">
        <v>52</v>
      </c>
      <c r="J462" s="1">
        <v>33.58</v>
      </c>
      <c r="O462" s="1">
        <v>0</v>
      </c>
      <c r="Q462" s="2">
        <v>33.58</v>
      </c>
    </row>
    <row r="463" spans="1:17" x14ac:dyDescent="0.25">
      <c r="A463" t="s">
        <v>31</v>
      </c>
      <c r="B463" t="s">
        <v>35</v>
      </c>
      <c r="C463" t="str">
        <f>"120-54"</f>
        <v>120-54</v>
      </c>
      <c r="H463">
        <v>54</v>
      </c>
      <c r="J463" s="1">
        <v>33.58</v>
      </c>
      <c r="O463" s="1">
        <v>0</v>
      </c>
      <c r="Q463" s="2">
        <v>33.58</v>
      </c>
    </row>
    <row r="464" spans="1:17" x14ac:dyDescent="0.25">
      <c r="A464" t="s">
        <v>31</v>
      </c>
      <c r="B464" t="s">
        <v>35</v>
      </c>
      <c r="C464" t="str">
        <f>"120-56"</f>
        <v>120-56</v>
      </c>
      <c r="H464">
        <v>56</v>
      </c>
      <c r="J464" s="1">
        <v>33.58</v>
      </c>
      <c r="O464" s="1">
        <v>0</v>
      </c>
      <c r="Q464" s="2">
        <v>33.58</v>
      </c>
    </row>
    <row r="465" spans="1:17" x14ac:dyDescent="0.25">
      <c r="A465" t="s">
        <v>31</v>
      </c>
      <c r="B465" t="s">
        <v>35</v>
      </c>
      <c r="C465" t="str">
        <f>"120-58"</f>
        <v>120-58</v>
      </c>
      <c r="H465">
        <v>58</v>
      </c>
      <c r="J465" s="1">
        <v>33.58</v>
      </c>
      <c r="O465" s="1">
        <v>0</v>
      </c>
      <c r="Q465" s="2">
        <v>33.58</v>
      </c>
    </row>
    <row r="466" spans="1:17" x14ac:dyDescent="0.25">
      <c r="A466" t="s">
        <v>31</v>
      </c>
      <c r="B466" t="s">
        <v>36</v>
      </c>
      <c r="C466" t="str">
        <f>"15-1-BR-22"</f>
        <v>15-1-BR-22</v>
      </c>
      <c r="D466" t="s">
        <v>19</v>
      </c>
      <c r="F466" t="s">
        <v>22</v>
      </c>
      <c r="H466">
        <v>22</v>
      </c>
      <c r="J466" s="1">
        <v>32.5</v>
      </c>
      <c r="K466" s="1">
        <v>0</v>
      </c>
      <c r="M466" s="1">
        <v>0</v>
      </c>
      <c r="O466" s="1">
        <v>0</v>
      </c>
      <c r="Q466" s="2">
        <v>32.5</v>
      </c>
    </row>
    <row r="467" spans="1:17" x14ac:dyDescent="0.25">
      <c r="A467" t="s">
        <v>31</v>
      </c>
      <c r="B467" t="s">
        <v>36</v>
      </c>
      <c r="C467" t="str">
        <f>"15-1-BR-24"</f>
        <v>15-1-BR-24</v>
      </c>
      <c r="D467" t="s">
        <v>19</v>
      </c>
      <c r="F467" t="s">
        <v>22</v>
      </c>
      <c r="H467">
        <v>24</v>
      </c>
      <c r="J467" s="1">
        <v>32.5</v>
      </c>
      <c r="K467" s="1">
        <v>0</v>
      </c>
      <c r="M467" s="1">
        <v>0</v>
      </c>
      <c r="O467" s="1">
        <v>0</v>
      </c>
      <c r="Q467" s="2">
        <v>32.5</v>
      </c>
    </row>
    <row r="468" spans="1:17" x14ac:dyDescent="0.25">
      <c r="A468" t="s">
        <v>31</v>
      </c>
      <c r="B468" t="s">
        <v>36</v>
      </c>
      <c r="C468" t="str">
        <f>"15-1-BR-26"</f>
        <v>15-1-BR-26</v>
      </c>
      <c r="D468" t="s">
        <v>19</v>
      </c>
      <c r="F468" t="s">
        <v>22</v>
      </c>
      <c r="H468">
        <v>26</v>
      </c>
      <c r="J468" s="1">
        <v>32.5</v>
      </c>
      <c r="K468" s="1">
        <v>0</v>
      </c>
      <c r="M468" s="1">
        <v>0</v>
      </c>
      <c r="O468" s="1">
        <v>0</v>
      </c>
      <c r="Q468" s="2">
        <v>32.5</v>
      </c>
    </row>
    <row r="469" spans="1:17" x14ac:dyDescent="0.25">
      <c r="A469" t="s">
        <v>31</v>
      </c>
      <c r="B469" t="s">
        <v>36</v>
      </c>
      <c r="C469" t="str">
        <f>"15-1-BR-28"</f>
        <v>15-1-BR-28</v>
      </c>
      <c r="D469" t="s">
        <v>19</v>
      </c>
      <c r="F469" t="s">
        <v>22</v>
      </c>
      <c r="H469">
        <v>28</v>
      </c>
      <c r="J469" s="1">
        <v>32.5</v>
      </c>
      <c r="K469" s="1">
        <v>0</v>
      </c>
      <c r="M469" s="1">
        <v>0</v>
      </c>
      <c r="O469" s="1">
        <v>0</v>
      </c>
      <c r="Q469" s="2">
        <v>32.5</v>
      </c>
    </row>
    <row r="470" spans="1:17" x14ac:dyDescent="0.25">
      <c r="A470" t="s">
        <v>31</v>
      </c>
      <c r="B470" t="s">
        <v>36</v>
      </c>
      <c r="C470" t="str">
        <f>"15-1-BR-30"</f>
        <v>15-1-BR-30</v>
      </c>
      <c r="D470" t="s">
        <v>19</v>
      </c>
      <c r="F470" t="s">
        <v>22</v>
      </c>
      <c r="H470">
        <v>30</v>
      </c>
      <c r="J470" s="1">
        <v>32.5</v>
      </c>
      <c r="K470" s="1">
        <v>0</v>
      </c>
      <c r="M470" s="1">
        <v>0</v>
      </c>
      <c r="O470" s="1">
        <v>0</v>
      </c>
      <c r="Q470" s="2">
        <v>32.5</v>
      </c>
    </row>
    <row r="471" spans="1:17" x14ac:dyDescent="0.25">
      <c r="A471" t="s">
        <v>31</v>
      </c>
      <c r="B471" t="s">
        <v>36</v>
      </c>
      <c r="C471" t="str">
        <f>"15-1-BR-32"</f>
        <v>15-1-BR-32</v>
      </c>
      <c r="D471" t="s">
        <v>19</v>
      </c>
      <c r="F471" t="s">
        <v>22</v>
      </c>
      <c r="H471">
        <v>32</v>
      </c>
      <c r="J471" s="1">
        <v>32.5</v>
      </c>
      <c r="K471" s="1">
        <v>0</v>
      </c>
      <c r="M471" s="1">
        <v>0</v>
      </c>
      <c r="O471" s="1">
        <v>0</v>
      </c>
      <c r="Q471" s="2">
        <v>32.5</v>
      </c>
    </row>
    <row r="472" spans="1:17" x14ac:dyDescent="0.25">
      <c r="A472" t="s">
        <v>31</v>
      </c>
      <c r="B472" t="s">
        <v>36</v>
      </c>
      <c r="C472" t="str">
        <f>"15-1-BR-34"</f>
        <v>15-1-BR-34</v>
      </c>
      <c r="D472" t="s">
        <v>19</v>
      </c>
      <c r="F472" t="s">
        <v>22</v>
      </c>
      <c r="H472">
        <v>34</v>
      </c>
      <c r="J472" s="1">
        <v>32.5</v>
      </c>
      <c r="K472" s="1">
        <v>0</v>
      </c>
      <c r="M472" s="1">
        <v>0</v>
      </c>
      <c r="O472" s="1">
        <v>0</v>
      </c>
      <c r="Q472" s="2">
        <v>32.5</v>
      </c>
    </row>
    <row r="473" spans="1:17" x14ac:dyDescent="0.25">
      <c r="A473" t="s">
        <v>31</v>
      </c>
      <c r="B473" t="s">
        <v>36</v>
      </c>
      <c r="C473" t="str">
        <f>"15-1-BR-36"</f>
        <v>15-1-BR-36</v>
      </c>
      <c r="D473" t="s">
        <v>19</v>
      </c>
      <c r="F473" t="s">
        <v>22</v>
      </c>
      <c r="H473">
        <v>36</v>
      </c>
      <c r="J473" s="1">
        <v>32.5</v>
      </c>
      <c r="K473" s="1">
        <v>0</v>
      </c>
      <c r="M473" s="1">
        <v>0</v>
      </c>
      <c r="O473" s="1">
        <v>0</v>
      </c>
      <c r="Q473" s="2">
        <v>32.5</v>
      </c>
    </row>
    <row r="474" spans="1:17" x14ac:dyDescent="0.25">
      <c r="A474" t="s">
        <v>31</v>
      </c>
      <c r="B474" t="s">
        <v>36</v>
      </c>
      <c r="C474" t="str">
        <f>"15-1-BR-38"</f>
        <v>15-1-BR-38</v>
      </c>
      <c r="D474" t="s">
        <v>19</v>
      </c>
      <c r="F474" t="s">
        <v>22</v>
      </c>
      <c r="H474">
        <v>38</v>
      </c>
      <c r="J474" s="1">
        <v>32.5</v>
      </c>
      <c r="K474" s="1">
        <v>0</v>
      </c>
      <c r="M474" s="1">
        <v>0</v>
      </c>
      <c r="O474" s="1">
        <v>0</v>
      </c>
      <c r="Q474" s="2">
        <v>32.5</v>
      </c>
    </row>
    <row r="475" spans="1:17" x14ac:dyDescent="0.25">
      <c r="A475" t="s">
        <v>31</v>
      </c>
      <c r="B475" t="s">
        <v>36</v>
      </c>
      <c r="C475" t="str">
        <f>"15-1-BR-40"</f>
        <v>15-1-BR-40</v>
      </c>
      <c r="D475" t="s">
        <v>19</v>
      </c>
      <c r="F475" t="s">
        <v>22</v>
      </c>
      <c r="H475">
        <v>40</v>
      </c>
      <c r="J475" s="1">
        <v>32.5</v>
      </c>
      <c r="K475" s="1">
        <v>0</v>
      </c>
      <c r="M475" s="1">
        <v>0</v>
      </c>
      <c r="O475" s="1">
        <v>0</v>
      </c>
      <c r="Q475" s="2">
        <v>32.5</v>
      </c>
    </row>
    <row r="476" spans="1:17" x14ac:dyDescent="0.25">
      <c r="A476" t="s">
        <v>31</v>
      </c>
      <c r="B476" t="s">
        <v>36</v>
      </c>
      <c r="C476" t="str">
        <f>"15-1-BR-42"</f>
        <v>15-1-BR-42</v>
      </c>
      <c r="D476" t="s">
        <v>19</v>
      </c>
      <c r="F476" t="s">
        <v>22</v>
      </c>
      <c r="H476">
        <v>42</v>
      </c>
      <c r="J476" s="1">
        <v>32.5</v>
      </c>
      <c r="K476" s="1">
        <v>0</v>
      </c>
      <c r="M476" s="1">
        <v>0</v>
      </c>
      <c r="O476" s="1">
        <v>0</v>
      </c>
      <c r="Q476" s="2">
        <v>32.5</v>
      </c>
    </row>
    <row r="477" spans="1:17" x14ac:dyDescent="0.25">
      <c r="A477" t="s">
        <v>31</v>
      </c>
      <c r="B477" t="s">
        <v>36</v>
      </c>
      <c r="C477" t="str">
        <f>"15-1-BR-44"</f>
        <v>15-1-BR-44</v>
      </c>
      <c r="D477" t="s">
        <v>19</v>
      </c>
      <c r="F477" t="s">
        <v>22</v>
      </c>
      <c r="H477">
        <v>44</v>
      </c>
      <c r="J477" s="1">
        <v>32.5</v>
      </c>
      <c r="K477" s="1">
        <v>0</v>
      </c>
      <c r="M477" s="1">
        <v>0</v>
      </c>
      <c r="O477" s="1">
        <v>0</v>
      </c>
      <c r="Q477" s="2">
        <v>32.5</v>
      </c>
    </row>
    <row r="478" spans="1:17" x14ac:dyDescent="0.25">
      <c r="A478" t="s">
        <v>31</v>
      </c>
      <c r="B478" t="s">
        <v>36</v>
      </c>
      <c r="C478" t="str">
        <f>"15-1-BR-46"</f>
        <v>15-1-BR-46</v>
      </c>
      <c r="D478" t="s">
        <v>19</v>
      </c>
      <c r="F478" t="s">
        <v>22</v>
      </c>
      <c r="H478">
        <v>46</v>
      </c>
      <c r="J478" s="1">
        <v>32.5</v>
      </c>
      <c r="K478" s="1">
        <v>0</v>
      </c>
      <c r="M478" s="1">
        <v>0</v>
      </c>
      <c r="O478" s="1">
        <v>0</v>
      </c>
      <c r="Q478" s="2">
        <v>32.5</v>
      </c>
    </row>
    <row r="479" spans="1:17" x14ac:dyDescent="0.25">
      <c r="A479" t="s">
        <v>31</v>
      </c>
      <c r="B479" t="s">
        <v>36</v>
      </c>
      <c r="C479" t="str">
        <f>"15-1-BR-48"</f>
        <v>15-1-BR-48</v>
      </c>
      <c r="D479" t="s">
        <v>19</v>
      </c>
      <c r="F479" t="s">
        <v>22</v>
      </c>
      <c r="H479">
        <v>48</v>
      </c>
      <c r="J479" s="1">
        <v>32.5</v>
      </c>
      <c r="K479" s="1">
        <v>0</v>
      </c>
      <c r="M479" s="1">
        <v>0</v>
      </c>
      <c r="O479" s="1">
        <v>4</v>
      </c>
      <c r="Q479" s="2">
        <v>36.5</v>
      </c>
    </row>
    <row r="480" spans="1:17" x14ac:dyDescent="0.25">
      <c r="A480" t="s">
        <v>31</v>
      </c>
      <c r="B480" t="s">
        <v>36</v>
      </c>
      <c r="C480" t="str">
        <f>"15-1-BR-50"</f>
        <v>15-1-BR-50</v>
      </c>
      <c r="D480" t="s">
        <v>19</v>
      </c>
      <c r="F480" t="s">
        <v>22</v>
      </c>
      <c r="H480">
        <v>50</v>
      </c>
      <c r="J480" s="1">
        <v>32.5</v>
      </c>
      <c r="K480" s="1">
        <v>0</v>
      </c>
      <c r="M480" s="1">
        <v>0</v>
      </c>
      <c r="O480" s="1">
        <v>6</v>
      </c>
      <c r="Q480" s="2">
        <v>38.5</v>
      </c>
    </row>
    <row r="481" spans="1:17" x14ac:dyDescent="0.25">
      <c r="A481" t="s">
        <v>31</v>
      </c>
      <c r="B481" t="s">
        <v>36</v>
      </c>
      <c r="C481" t="str">
        <f>"15-1-BR-52"</f>
        <v>15-1-BR-52</v>
      </c>
      <c r="D481" t="s">
        <v>19</v>
      </c>
      <c r="F481" t="s">
        <v>22</v>
      </c>
      <c r="H481">
        <v>52</v>
      </c>
      <c r="J481" s="1">
        <v>32.5</v>
      </c>
      <c r="K481" s="1">
        <v>0</v>
      </c>
      <c r="M481" s="1">
        <v>0</v>
      </c>
      <c r="O481" s="1">
        <v>8</v>
      </c>
      <c r="Q481" s="2">
        <v>40.5</v>
      </c>
    </row>
    <row r="482" spans="1:17" x14ac:dyDescent="0.25">
      <c r="A482" t="s">
        <v>31</v>
      </c>
      <c r="B482" t="s">
        <v>36</v>
      </c>
      <c r="C482" t="str">
        <f>"15-1-BR-54"</f>
        <v>15-1-BR-54</v>
      </c>
      <c r="D482" t="s">
        <v>19</v>
      </c>
      <c r="F482" t="s">
        <v>22</v>
      </c>
      <c r="H482">
        <v>54</v>
      </c>
      <c r="J482" s="1">
        <v>32.5</v>
      </c>
      <c r="K482" s="1">
        <v>0</v>
      </c>
      <c r="M482" s="1">
        <v>0</v>
      </c>
      <c r="O482" s="1">
        <v>10</v>
      </c>
      <c r="Q482" s="2">
        <v>42.5</v>
      </c>
    </row>
    <row r="483" spans="1:17" x14ac:dyDescent="0.25">
      <c r="A483" t="s">
        <v>31</v>
      </c>
      <c r="B483" t="s">
        <v>36</v>
      </c>
      <c r="C483" t="str">
        <f>"15-1-BR-56"</f>
        <v>15-1-BR-56</v>
      </c>
      <c r="D483" t="s">
        <v>19</v>
      </c>
      <c r="F483" t="s">
        <v>22</v>
      </c>
      <c r="H483">
        <v>56</v>
      </c>
      <c r="J483" s="1">
        <v>32.5</v>
      </c>
      <c r="K483" s="1">
        <v>0</v>
      </c>
      <c r="M483" s="1">
        <v>0</v>
      </c>
      <c r="O483" s="1">
        <v>12</v>
      </c>
      <c r="Q483" s="2">
        <v>44.5</v>
      </c>
    </row>
    <row r="484" spans="1:17" x14ac:dyDescent="0.25">
      <c r="A484" t="s">
        <v>31</v>
      </c>
      <c r="B484" t="s">
        <v>36</v>
      </c>
      <c r="C484" t="str">
        <f>"15-1-BR-58"</f>
        <v>15-1-BR-58</v>
      </c>
      <c r="D484" t="s">
        <v>19</v>
      </c>
      <c r="F484" t="s">
        <v>22</v>
      </c>
      <c r="H484">
        <v>58</v>
      </c>
      <c r="J484" s="1">
        <v>32.5</v>
      </c>
      <c r="K484" s="1">
        <v>0</v>
      </c>
      <c r="M484" s="1">
        <v>0</v>
      </c>
      <c r="O484" s="1">
        <v>14</v>
      </c>
      <c r="Q484" s="2">
        <v>46.5</v>
      </c>
    </row>
    <row r="485" spans="1:17" x14ac:dyDescent="0.25">
      <c r="A485" t="s">
        <v>31</v>
      </c>
      <c r="B485" t="s">
        <v>36</v>
      </c>
      <c r="C485" t="str">
        <f>"15-1-BR-60"</f>
        <v>15-1-BR-60</v>
      </c>
      <c r="D485" t="s">
        <v>19</v>
      </c>
      <c r="F485" t="s">
        <v>22</v>
      </c>
      <c r="H485">
        <v>60</v>
      </c>
      <c r="J485" s="1">
        <v>32.5</v>
      </c>
      <c r="K485" s="1">
        <v>0</v>
      </c>
      <c r="M485" s="1">
        <v>0</v>
      </c>
      <c r="O485" s="1">
        <v>16</v>
      </c>
      <c r="Q485" s="2">
        <v>48.5</v>
      </c>
    </row>
    <row r="486" spans="1:17" x14ac:dyDescent="0.25">
      <c r="A486" t="s">
        <v>31</v>
      </c>
      <c r="B486" t="s">
        <v>36</v>
      </c>
      <c r="C486" t="str">
        <f>"15-1-BR-62"</f>
        <v>15-1-BR-62</v>
      </c>
      <c r="D486" t="s">
        <v>19</v>
      </c>
      <c r="F486" t="s">
        <v>22</v>
      </c>
      <c r="H486">
        <v>62</v>
      </c>
      <c r="J486" s="1">
        <v>32.5</v>
      </c>
      <c r="K486" s="1">
        <v>0</v>
      </c>
      <c r="M486" s="1">
        <v>0</v>
      </c>
      <c r="O486" s="1">
        <v>18</v>
      </c>
      <c r="Q486" s="2">
        <v>50.5</v>
      </c>
    </row>
    <row r="487" spans="1:17" x14ac:dyDescent="0.25">
      <c r="A487" t="s">
        <v>31</v>
      </c>
      <c r="B487" t="s">
        <v>36</v>
      </c>
      <c r="C487" t="str">
        <f>"15-1-BR-64"</f>
        <v>15-1-BR-64</v>
      </c>
      <c r="D487" t="s">
        <v>19</v>
      </c>
      <c r="F487" t="s">
        <v>22</v>
      </c>
      <c r="H487">
        <v>64</v>
      </c>
      <c r="J487" s="1">
        <v>32.5</v>
      </c>
      <c r="K487" s="1">
        <v>0</v>
      </c>
      <c r="M487" s="1">
        <v>0</v>
      </c>
      <c r="O487" s="1">
        <v>35</v>
      </c>
      <c r="Q487" s="2">
        <v>67.5</v>
      </c>
    </row>
    <row r="488" spans="1:17" x14ac:dyDescent="0.25">
      <c r="A488" t="s">
        <v>31</v>
      </c>
      <c r="B488" t="s">
        <v>36</v>
      </c>
      <c r="C488" t="str">
        <f>"15-1-BR-66"</f>
        <v>15-1-BR-66</v>
      </c>
      <c r="D488" t="s">
        <v>19</v>
      </c>
      <c r="F488" t="s">
        <v>22</v>
      </c>
      <c r="H488">
        <v>66</v>
      </c>
      <c r="J488" s="1">
        <v>32.5</v>
      </c>
      <c r="K488" s="1">
        <v>0</v>
      </c>
      <c r="M488" s="1">
        <v>0</v>
      </c>
      <c r="O488" s="1">
        <v>35</v>
      </c>
      <c r="Q488" s="2">
        <v>67.5</v>
      </c>
    </row>
    <row r="489" spans="1:17" x14ac:dyDescent="0.25">
      <c r="A489" t="s">
        <v>31</v>
      </c>
      <c r="B489" t="s">
        <v>36</v>
      </c>
      <c r="C489" t="str">
        <f>"15-1-BR-68"</f>
        <v>15-1-BR-68</v>
      </c>
      <c r="D489" t="s">
        <v>19</v>
      </c>
      <c r="F489" t="s">
        <v>22</v>
      </c>
      <c r="H489">
        <v>68</v>
      </c>
      <c r="J489" s="1">
        <v>32.5</v>
      </c>
      <c r="K489" s="1">
        <v>0</v>
      </c>
      <c r="M489" s="1">
        <v>0</v>
      </c>
      <c r="O489" s="1">
        <v>35</v>
      </c>
      <c r="Q489" s="2">
        <v>67.5</v>
      </c>
    </row>
    <row r="490" spans="1:17" x14ac:dyDescent="0.25">
      <c r="A490" t="s">
        <v>31</v>
      </c>
      <c r="B490" t="s">
        <v>36</v>
      </c>
      <c r="C490" t="str">
        <f>"15-1-BR-70"</f>
        <v>15-1-BR-70</v>
      </c>
      <c r="D490" t="s">
        <v>19</v>
      </c>
      <c r="F490" t="s">
        <v>22</v>
      </c>
      <c r="H490">
        <v>70</v>
      </c>
      <c r="J490" s="1">
        <v>32.5</v>
      </c>
      <c r="K490" s="1">
        <v>0</v>
      </c>
      <c r="M490" s="1">
        <v>0</v>
      </c>
      <c r="O490" s="1">
        <v>35</v>
      </c>
      <c r="Q490" s="2">
        <v>67.5</v>
      </c>
    </row>
    <row r="491" spans="1:17" x14ac:dyDescent="0.25">
      <c r="A491" t="s">
        <v>31</v>
      </c>
      <c r="B491" t="s">
        <v>36</v>
      </c>
      <c r="C491" t="str">
        <f>"15-1-BR-72"</f>
        <v>15-1-BR-72</v>
      </c>
      <c r="D491" t="s">
        <v>19</v>
      </c>
      <c r="F491" t="s">
        <v>22</v>
      </c>
      <c r="H491">
        <v>72</v>
      </c>
      <c r="J491" s="1">
        <v>32.5</v>
      </c>
      <c r="K491" s="1">
        <v>0</v>
      </c>
      <c r="M491" s="1">
        <v>0</v>
      </c>
      <c r="O491" s="1">
        <v>35</v>
      </c>
      <c r="Q491" s="2">
        <v>67.5</v>
      </c>
    </row>
    <row r="492" spans="1:17" x14ac:dyDescent="0.25">
      <c r="A492" t="s">
        <v>31</v>
      </c>
      <c r="B492" t="s">
        <v>36</v>
      </c>
      <c r="C492" t="str">
        <f>"15-1-BR-74"</f>
        <v>15-1-BR-74</v>
      </c>
      <c r="D492" t="s">
        <v>19</v>
      </c>
      <c r="F492" t="s">
        <v>22</v>
      </c>
      <c r="H492">
        <v>74</v>
      </c>
      <c r="J492" s="1">
        <v>32.5</v>
      </c>
      <c r="K492" s="1">
        <v>0</v>
      </c>
      <c r="M492" s="1">
        <v>0</v>
      </c>
      <c r="O492" s="1">
        <v>35</v>
      </c>
      <c r="Q492" s="2">
        <v>67.5</v>
      </c>
    </row>
    <row r="493" spans="1:17" x14ac:dyDescent="0.25">
      <c r="A493" t="s">
        <v>31</v>
      </c>
      <c r="B493" t="s">
        <v>36</v>
      </c>
      <c r="C493" t="str">
        <f>"15-1-BR-76"</f>
        <v>15-1-BR-76</v>
      </c>
      <c r="D493" t="s">
        <v>19</v>
      </c>
      <c r="F493" t="s">
        <v>22</v>
      </c>
      <c r="H493">
        <v>76</v>
      </c>
      <c r="J493" s="1">
        <v>32.5</v>
      </c>
      <c r="K493" s="1">
        <v>0</v>
      </c>
      <c r="M493" s="1">
        <v>0</v>
      </c>
      <c r="O493" s="1">
        <v>35</v>
      </c>
      <c r="Q493" s="2">
        <v>67.5</v>
      </c>
    </row>
    <row r="494" spans="1:17" x14ac:dyDescent="0.25">
      <c r="A494" t="s">
        <v>31</v>
      </c>
      <c r="B494" t="s">
        <v>36</v>
      </c>
      <c r="C494" t="str">
        <f>"15-1-BR-78"</f>
        <v>15-1-BR-78</v>
      </c>
      <c r="D494" t="s">
        <v>19</v>
      </c>
      <c r="F494" t="s">
        <v>22</v>
      </c>
      <c r="H494">
        <v>78</v>
      </c>
      <c r="J494" s="1">
        <v>32.5</v>
      </c>
      <c r="K494" s="1">
        <v>0</v>
      </c>
      <c r="M494" s="1">
        <v>0</v>
      </c>
      <c r="O494" s="1">
        <v>35</v>
      </c>
      <c r="Q494" s="2">
        <v>67.5</v>
      </c>
    </row>
    <row r="495" spans="1:17" x14ac:dyDescent="0.25">
      <c r="A495" t="s">
        <v>31</v>
      </c>
      <c r="B495" t="s">
        <v>36</v>
      </c>
      <c r="C495" t="str">
        <f>"15-1-BR-80"</f>
        <v>15-1-BR-80</v>
      </c>
      <c r="D495" t="s">
        <v>19</v>
      </c>
      <c r="F495" t="s">
        <v>22</v>
      </c>
      <c r="H495">
        <v>80</v>
      </c>
      <c r="J495" s="1">
        <v>32.5</v>
      </c>
      <c r="K495" s="1">
        <v>0</v>
      </c>
      <c r="M495" s="1">
        <v>0</v>
      </c>
      <c r="O495" s="1">
        <v>35</v>
      </c>
      <c r="Q495" s="2">
        <v>67.5</v>
      </c>
    </row>
    <row r="496" spans="1:17" x14ac:dyDescent="0.25">
      <c r="A496" t="s">
        <v>31</v>
      </c>
      <c r="B496" t="s">
        <v>36</v>
      </c>
      <c r="C496" t="str">
        <f>"15-1-CH-22"</f>
        <v>15-1-CH-22</v>
      </c>
      <c r="D496" t="s">
        <v>19</v>
      </c>
      <c r="F496" t="s">
        <v>23</v>
      </c>
      <c r="H496">
        <v>22</v>
      </c>
      <c r="J496" s="1">
        <v>32.5</v>
      </c>
      <c r="K496" s="1">
        <v>0</v>
      </c>
      <c r="M496" s="1">
        <v>0</v>
      </c>
      <c r="O496" s="1">
        <v>0</v>
      </c>
      <c r="Q496" s="2">
        <v>32.5</v>
      </c>
    </row>
    <row r="497" spans="1:17" x14ac:dyDescent="0.25">
      <c r="A497" t="s">
        <v>31</v>
      </c>
      <c r="B497" t="s">
        <v>36</v>
      </c>
      <c r="C497" t="str">
        <f>"15-1-CH-24"</f>
        <v>15-1-CH-24</v>
      </c>
      <c r="D497" t="s">
        <v>19</v>
      </c>
      <c r="F497" t="s">
        <v>23</v>
      </c>
      <c r="H497">
        <v>24</v>
      </c>
      <c r="J497" s="1">
        <v>32.5</v>
      </c>
      <c r="K497" s="1">
        <v>0</v>
      </c>
      <c r="M497" s="1">
        <v>0</v>
      </c>
      <c r="O497" s="1">
        <v>0</v>
      </c>
      <c r="Q497" s="2">
        <v>32.5</v>
      </c>
    </row>
    <row r="498" spans="1:17" x14ac:dyDescent="0.25">
      <c r="A498" t="s">
        <v>31</v>
      </c>
      <c r="B498" t="s">
        <v>36</v>
      </c>
      <c r="C498" t="str">
        <f>"15-1-CH-26"</f>
        <v>15-1-CH-26</v>
      </c>
      <c r="D498" t="s">
        <v>19</v>
      </c>
      <c r="F498" t="s">
        <v>23</v>
      </c>
      <c r="H498">
        <v>26</v>
      </c>
      <c r="J498" s="1">
        <v>32.5</v>
      </c>
      <c r="K498" s="1">
        <v>0</v>
      </c>
      <c r="M498" s="1">
        <v>0</v>
      </c>
      <c r="O498" s="1">
        <v>0</v>
      </c>
      <c r="Q498" s="2">
        <v>32.5</v>
      </c>
    </row>
    <row r="499" spans="1:17" x14ac:dyDescent="0.25">
      <c r="A499" t="s">
        <v>31</v>
      </c>
      <c r="B499" t="s">
        <v>36</v>
      </c>
      <c r="C499" t="str">
        <f>"15-1-CH-28"</f>
        <v>15-1-CH-28</v>
      </c>
      <c r="D499" t="s">
        <v>19</v>
      </c>
      <c r="F499" t="s">
        <v>23</v>
      </c>
      <c r="H499">
        <v>28</v>
      </c>
      <c r="J499" s="1">
        <v>32.5</v>
      </c>
      <c r="K499" s="1">
        <v>0</v>
      </c>
      <c r="M499" s="1">
        <v>0</v>
      </c>
      <c r="O499" s="1">
        <v>0</v>
      </c>
      <c r="Q499" s="2">
        <v>32.5</v>
      </c>
    </row>
    <row r="500" spans="1:17" x14ac:dyDescent="0.25">
      <c r="A500" t="s">
        <v>31</v>
      </c>
      <c r="B500" t="s">
        <v>36</v>
      </c>
      <c r="C500" t="str">
        <f>"15-1-CH-30"</f>
        <v>15-1-CH-30</v>
      </c>
      <c r="D500" t="s">
        <v>19</v>
      </c>
      <c r="F500" t="s">
        <v>23</v>
      </c>
      <c r="H500">
        <v>30</v>
      </c>
      <c r="J500" s="1">
        <v>32.5</v>
      </c>
      <c r="K500" s="1">
        <v>0</v>
      </c>
      <c r="M500" s="1">
        <v>0</v>
      </c>
      <c r="O500" s="1">
        <v>0</v>
      </c>
      <c r="Q500" s="2">
        <v>32.5</v>
      </c>
    </row>
    <row r="501" spans="1:17" x14ac:dyDescent="0.25">
      <c r="A501" t="s">
        <v>31</v>
      </c>
      <c r="B501" t="s">
        <v>36</v>
      </c>
      <c r="C501" t="str">
        <f>"15-1-CH-32"</f>
        <v>15-1-CH-32</v>
      </c>
      <c r="D501" t="s">
        <v>19</v>
      </c>
      <c r="F501" t="s">
        <v>23</v>
      </c>
      <c r="H501">
        <v>32</v>
      </c>
      <c r="J501" s="1">
        <v>32.5</v>
      </c>
      <c r="K501" s="1">
        <v>0</v>
      </c>
      <c r="M501" s="1">
        <v>0</v>
      </c>
      <c r="O501" s="1">
        <v>0</v>
      </c>
      <c r="Q501" s="2">
        <v>32.5</v>
      </c>
    </row>
    <row r="502" spans="1:17" x14ac:dyDescent="0.25">
      <c r="A502" t="s">
        <v>31</v>
      </c>
      <c r="B502" t="s">
        <v>36</v>
      </c>
      <c r="C502" t="str">
        <f>"15-1-CH-34"</f>
        <v>15-1-CH-34</v>
      </c>
      <c r="D502" t="s">
        <v>19</v>
      </c>
      <c r="F502" t="s">
        <v>23</v>
      </c>
      <c r="H502">
        <v>34</v>
      </c>
      <c r="J502" s="1">
        <v>32.5</v>
      </c>
      <c r="K502" s="1">
        <v>0</v>
      </c>
      <c r="M502" s="1">
        <v>0</v>
      </c>
      <c r="O502" s="1">
        <v>0</v>
      </c>
      <c r="Q502" s="2">
        <v>32.5</v>
      </c>
    </row>
    <row r="503" spans="1:17" x14ac:dyDescent="0.25">
      <c r="A503" t="s">
        <v>31</v>
      </c>
      <c r="B503" t="s">
        <v>36</v>
      </c>
      <c r="C503" t="str">
        <f>"15-1-CH-36"</f>
        <v>15-1-CH-36</v>
      </c>
      <c r="D503" t="s">
        <v>19</v>
      </c>
      <c r="F503" t="s">
        <v>23</v>
      </c>
      <c r="H503">
        <v>36</v>
      </c>
      <c r="J503" s="1">
        <v>32.5</v>
      </c>
      <c r="K503" s="1">
        <v>0</v>
      </c>
      <c r="M503" s="1">
        <v>0</v>
      </c>
      <c r="O503" s="1">
        <v>0</v>
      </c>
      <c r="Q503" s="2">
        <v>32.5</v>
      </c>
    </row>
    <row r="504" spans="1:17" x14ac:dyDescent="0.25">
      <c r="A504" t="s">
        <v>31</v>
      </c>
      <c r="B504" t="s">
        <v>36</v>
      </c>
      <c r="C504" t="str">
        <f>"15-1-CH-38"</f>
        <v>15-1-CH-38</v>
      </c>
      <c r="D504" t="s">
        <v>19</v>
      </c>
      <c r="F504" t="s">
        <v>23</v>
      </c>
      <c r="H504">
        <v>38</v>
      </c>
      <c r="J504" s="1">
        <v>32.5</v>
      </c>
      <c r="K504" s="1">
        <v>0</v>
      </c>
      <c r="M504" s="1">
        <v>0</v>
      </c>
      <c r="O504" s="1">
        <v>0</v>
      </c>
      <c r="Q504" s="2">
        <v>32.5</v>
      </c>
    </row>
    <row r="505" spans="1:17" x14ac:dyDescent="0.25">
      <c r="A505" t="s">
        <v>31</v>
      </c>
      <c r="B505" t="s">
        <v>36</v>
      </c>
      <c r="C505" t="str">
        <f>"15-1-CH-40"</f>
        <v>15-1-CH-40</v>
      </c>
      <c r="D505" t="s">
        <v>19</v>
      </c>
      <c r="F505" t="s">
        <v>23</v>
      </c>
      <c r="H505">
        <v>40</v>
      </c>
      <c r="J505" s="1">
        <v>32.5</v>
      </c>
      <c r="K505" s="1">
        <v>0</v>
      </c>
      <c r="M505" s="1">
        <v>0</v>
      </c>
      <c r="O505" s="1">
        <v>0</v>
      </c>
      <c r="Q505" s="2">
        <v>32.5</v>
      </c>
    </row>
    <row r="506" spans="1:17" x14ac:dyDescent="0.25">
      <c r="A506" t="s">
        <v>31</v>
      </c>
      <c r="B506" t="s">
        <v>36</v>
      </c>
      <c r="C506" t="str">
        <f>"15-1-CH-42"</f>
        <v>15-1-CH-42</v>
      </c>
      <c r="D506" t="s">
        <v>19</v>
      </c>
      <c r="F506" t="s">
        <v>23</v>
      </c>
      <c r="H506">
        <v>42</v>
      </c>
      <c r="J506" s="1">
        <v>32.5</v>
      </c>
      <c r="K506" s="1">
        <v>0</v>
      </c>
      <c r="M506" s="1">
        <v>0</v>
      </c>
      <c r="O506" s="1">
        <v>0</v>
      </c>
      <c r="Q506" s="2">
        <v>32.5</v>
      </c>
    </row>
    <row r="507" spans="1:17" x14ac:dyDescent="0.25">
      <c r="A507" t="s">
        <v>31</v>
      </c>
      <c r="B507" t="s">
        <v>36</v>
      </c>
      <c r="C507" t="str">
        <f>"15-1-CH-44"</f>
        <v>15-1-CH-44</v>
      </c>
      <c r="D507" t="s">
        <v>19</v>
      </c>
      <c r="F507" t="s">
        <v>23</v>
      </c>
      <c r="H507">
        <v>44</v>
      </c>
      <c r="J507" s="1">
        <v>32.5</v>
      </c>
      <c r="K507" s="1">
        <v>0</v>
      </c>
      <c r="M507" s="1">
        <v>0</v>
      </c>
      <c r="O507" s="1">
        <v>0</v>
      </c>
      <c r="Q507" s="2">
        <v>32.5</v>
      </c>
    </row>
    <row r="508" spans="1:17" x14ac:dyDescent="0.25">
      <c r="A508" t="s">
        <v>31</v>
      </c>
      <c r="B508" t="s">
        <v>36</v>
      </c>
      <c r="C508" t="str">
        <f>"15-1-CH-46"</f>
        <v>15-1-CH-46</v>
      </c>
      <c r="D508" t="s">
        <v>19</v>
      </c>
      <c r="F508" t="s">
        <v>23</v>
      </c>
      <c r="H508">
        <v>46</v>
      </c>
      <c r="J508" s="1">
        <v>32.5</v>
      </c>
      <c r="K508" s="1">
        <v>0</v>
      </c>
      <c r="M508" s="1">
        <v>0</v>
      </c>
      <c r="O508" s="1">
        <v>0</v>
      </c>
      <c r="Q508" s="2">
        <v>32.5</v>
      </c>
    </row>
    <row r="509" spans="1:17" x14ac:dyDescent="0.25">
      <c r="A509" t="s">
        <v>31</v>
      </c>
      <c r="B509" t="s">
        <v>36</v>
      </c>
      <c r="C509" t="str">
        <f>"15-1-CH-48"</f>
        <v>15-1-CH-48</v>
      </c>
      <c r="D509" t="s">
        <v>19</v>
      </c>
      <c r="F509" t="s">
        <v>23</v>
      </c>
      <c r="H509">
        <v>48</v>
      </c>
      <c r="J509" s="1">
        <v>32.5</v>
      </c>
      <c r="K509" s="1">
        <v>0</v>
      </c>
      <c r="M509" s="1">
        <v>0</v>
      </c>
      <c r="O509" s="1">
        <v>4</v>
      </c>
      <c r="Q509" s="2">
        <v>36.5</v>
      </c>
    </row>
    <row r="510" spans="1:17" x14ac:dyDescent="0.25">
      <c r="A510" t="s">
        <v>31</v>
      </c>
      <c r="B510" t="s">
        <v>36</v>
      </c>
      <c r="C510" t="str">
        <f>"15-1-CH-50"</f>
        <v>15-1-CH-50</v>
      </c>
      <c r="D510" t="s">
        <v>19</v>
      </c>
      <c r="F510" t="s">
        <v>23</v>
      </c>
      <c r="H510">
        <v>50</v>
      </c>
      <c r="J510" s="1">
        <v>32.5</v>
      </c>
      <c r="K510" s="1">
        <v>0</v>
      </c>
      <c r="M510" s="1">
        <v>0</v>
      </c>
      <c r="O510" s="1">
        <v>6</v>
      </c>
      <c r="Q510" s="2">
        <v>38.5</v>
      </c>
    </row>
    <row r="511" spans="1:17" x14ac:dyDescent="0.25">
      <c r="A511" t="s">
        <v>31</v>
      </c>
      <c r="B511" t="s">
        <v>36</v>
      </c>
      <c r="C511" t="str">
        <f>"15-1-CH-52"</f>
        <v>15-1-CH-52</v>
      </c>
      <c r="D511" t="s">
        <v>19</v>
      </c>
      <c r="F511" t="s">
        <v>23</v>
      </c>
      <c r="H511">
        <v>52</v>
      </c>
      <c r="J511" s="1">
        <v>32.5</v>
      </c>
      <c r="K511" s="1">
        <v>0</v>
      </c>
      <c r="M511" s="1">
        <v>0</v>
      </c>
      <c r="O511" s="1">
        <v>8</v>
      </c>
      <c r="Q511" s="2">
        <v>40.5</v>
      </c>
    </row>
    <row r="512" spans="1:17" x14ac:dyDescent="0.25">
      <c r="A512" t="s">
        <v>31</v>
      </c>
      <c r="B512" t="s">
        <v>36</v>
      </c>
      <c r="C512" t="str">
        <f>"15-1-CH-54"</f>
        <v>15-1-CH-54</v>
      </c>
      <c r="D512" t="s">
        <v>19</v>
      </c>
      <c r="F512" t="s">
        <v>23</v>
      </c>
      <c r="H512">
        <v>54</v>
      </c>
      <c r="J512" s="1">
        <v>32.5</v>
      </c>
      <c r="K512" s="1">
        <v>0</v>
      </c>
      <c r="M512" s="1">
        <v>0</v>
      </c>
      <c r="O512" s="1">
        <v>10</v>
      </c>
      <c r="Q512" s="2">
        <v>42.5</v>
      </c>
    </row>
    <row r="513" spans="1:17" x14ac:dyDescent="0.25">
      <c r="A513" t="s">
        <v>31</v>
      </c>
      <c r="B513" t="s">
        <v>36</v>
      </c>
      <c r="C513" t="str">
        <f>"15-1-CH-56"</f>
        <v>15-1-CH-56</v>
      </c>
      <c r="D513" t="s">
        <v>19</v>
      </c>
      <c r="F513" t="s">
        <v>23</v>
      </c>
      <c r="H513">
        <v>56</v>
      </c>
      <c r="J513" s="1">
        <v>32.5</v>
      </c>
      <c r="K513" s="1">
        <v>0</v>
      </c>
      <c r="M513" s="1">
        <v>0</v>
      </c>
      <c r="O513" s="1">
        <v>12</v>
      </c>
      <c r="Q513" s="2">
        <v>44.5</v>
      </c>
    </row>
    <row r="514" spans="1:17" x14ac:dyDescent="0.25">
      <c r="A514" t="s">
        <v>31</v>
      </c>
      <c r="B514" t="s">
        <v>36</v>
      </c>
      <c r="C514" t="str">
        <f>"15-1-CH-58"</f>
        <v>15-1-CH-58</v>
      </c>
      <c r="D514" t="s">
        <v>19</v>
      </c>
      <c r="F514" t="s">
        <v>23</v>
      </c>
      <c r="H514">
        <v>58</v>
      </c>
      <c r="J514" s="1">
        <v>32.5</v>
      </c>
      <c r="K514" s="1">
        <v>0</v>
      </c>
      <c r="M514" s="1">
        <v>0</v>
      </c>
      <c r="O514" s="1">
        <v>14</v>
      </c>
      <c r="Q514" s="2">
        <v>46.5</v>
      </c>
    </row>
    <row r="515" spans="1:17" x14ac:dyDescent="0.25">
      <c r="A515" t="s">
        <v>31</v>
      </c>
      <c r="B515" t="s">
        <v>36</v>
      </c>
      <c r="C515" t="str">
        <f>"15-1-CH-60"</f>
        <v>15-1-CH-60</v>
      </c>
      <c r="D515" t="s">
        <v>19</v>
      </c>
      <c r="F515" t="s">
        <v>23</v>
      </c>
      <c r="H515">
        <v>60</v>
      </c>
      <c r="J515" s="1">
        <v>32.5</v>
      </c>
      <c r="K515" s="1">
        <v>0</v>
      </c>
      <c r="M515" s="1">
        <v>0</v>
      </c>
      <c r="O515" s="1">
        <v>16</v>
      </c>
      <c r="Q515" s="2">
        <v>48.5</v>
      </c>
    </row>
    <row r="516" spans="1:17" x14ac:dyDescent="0.25">
      <c r="A516" t="s">
        <v>31</v>
      </c>
      <c r="B516" t="s">
        <v>36</v>
      </c>
      <c r="C516" t="str">
        <f>"15-1-CH-62"</f>
        <v>15-1-CH-62</v>
      </c>
      <c r="D516" t="s">
        <v>19</v>
      </c>
      <c r="F516" t="s">
        <v>23</v>
      </c>
      <c r="H516">
        <v>62</v>
      </c>
      <c r="J516" s="1">
        <v>32.5</v>
      </c>
      <c r="K516" s="1">
        <v>0</v>
      </c>
      <c r="M516" s="1">
        <v>0</v>
      </c>
      <c r="O516" s="1">
        <v>18</v>
      </c>
      <c r="Q516" s="2">
        <v>50.5</v>
      </c>
    </row>
    <row r="517" spans="1:17" x14ac:dyDescent="0.25">
      <c r="A517" t="s">
        <v>31</v>
      </c>
      <c r="B517" t="s">
        <v>36</v>
      </c>
      <c r="C517" t="str">
        <f>"15-1-CH-64"</f>
        <v>15-1-CH-64</v>
      </c>
      <c r="D517" t="s">
        <v>19</v>
      </c>
      <c r="F517" t="s">
        <v>23</v>
      </c>
      <c r="H517">
        <v>64</v>
      </c>
      <c r="J517" s="1">
        <v>32.5</v>
      </c>
      <c r="K517" s="1">
        <v>0</v>
      </c>
      <c r="M517" s="1">
        <v>0</v>
      </c>
      <c r="O517" s="1">
        <v>35</v>
      </c>
      <c r="Q517" s="2">
        <v>67.5</v>
      </c>
    </row>
    <row r="518" spans="1:17" x14ac:dyDescent="0.25">
      <c r="A518" t="s">
        <v>31</v>
      </c>
      <c r="B518" t="s">
        <v>36</v>
      </c>
      <c r="C518" t="str">
        <f>"15-1-CH-66"</f>
        <v>15-1-CH-66</v>
      </c>
      <c r="D518" t="s">
        <v>19</v>
      </c>
      <c r="F518" t="s">
        <v>23</v>
      </c>
      <c r="H518">
        <v>66</v>
      </c>
      <c r="J518" s="1">
        <v>32.5</v>
      </c>
      <c r="K518" s="1">
        <v>0</v>
      </c>
      <c r="M518" s="1">
        <v>0</v>
      </c>
      <c r="O518" s="1">
        <v>35</v>
      </c>
      <c r="Q518" s="2">
        <v>67.5</v>
      </c>
    </row>
    <row r="519" spans="1:17" x14ac:dyDescent="0.25">
      <c r="A519" t="s">
        <v>31</v>
      </c>
      <c r="B519" t="s">
        <v>36</v>
      </c>
      <c r="C519" t="str">
        <f>"15-1-CH-68"</f>
        <v>15-1-CH-68</v>
      </c>
      <c r="D519" t="s">
        <v>19</v>
      </c>
      <c r="F519" t="s">
        <v>23</v>
      </c>
      <c r="H519">
        <v>68</v>
      </c>
      <c r="J519" s="1">
        <v>32.5</v>
      </c>
      <c r="K519" s="1">
        <v>0</v>
      </c>
      <c r="M519" s="1">
        <v>0</v>
      </c>
      <c r="O519" s="1">
        <v>35</v>
      </c>
      <c r="Q519" s="2">
        <v>67.5</v>
      </c>
    </row>
    <row r="520" spans="1:17" x14ac:dyDescent="0.25">
      <c r="A520" t="s">
        <v>31</v>
      </c>
      <c r="B520" t="s">
        <v>36</v>
      </c>
      <c r="C520" t="str">
        <f>"15-1-CH-70"</f>
        <v>15-1-CH-70</v>
      </c>
      <c r="D520" t="s">
        <v>19</v>
      </c>
      <c r="F520" t="s">
        <v>23</v>
      </c>
      <c r="H520">
        <v>70</v>
      </c>
      <c r="J520" s="1">
        <v>32.5</v>
      </c>
      <c r="K520" s="1">
        <v>0</v>
      </c>
      <c r="M520" s="1">
        <v>0</v>
      </c>
      <c r="O520" s="1">
        <v>35</v>
      </c>
      <c r="Q520" s="2">
        <v>67.5</v>
      </c>
    </row>
    <row r="521" spans="1:17" x14ac:dyDescent="0.25">
      <c r="A521" t="s">
        <v>31</v>
      </c>
      <c r="B521" t="s">
        <v>36</v>
      </c>
      <c r="C521" t="str">
        <f>"15-1-CH-72"</f>
        <v>15-1-CH-72</v>
      </c>
      <c r="D521" t="s">
        <v>19</v>
      </c>
      <c r="F521" t="s">
        <v>23</v>
      </c>
      <c r="H521">
        <v>72</v>
      </c>
      <c r="J521" s="1">
        <v>32.5</v>
      </c>
      <c r="K521" s="1">
        <v>0</v>
      </c>
      <c r="M521" s="1">
        <v>0</v>
      </c>
      <c r="O521" s="1">
        <v>35</v>
      </c>
      <c r="Q521" s="2">
        <v>67.5</v>
      </c>
    </row>
    <row r="522" spans="1:17" x14ac:dyDescent="0.25">
      <c r="A522" t="s">
        <v>31</v>
      </c>
      <c r="B522" t="s">
        <v>36</v>
      </c>
      <c r="C522" t="str">
        <f>"15-1-CH-74"</f>
        <v>15-1-CH-74</v>
      </c>
      <c r="D522" t="s">
        <v>19</v>
      </c>
      <c r="F522" t="s">
        <v>23</v>
      </c>
      <c r="H522">
        <v>74</v>
      </c>
      <c r="J522" s="1">
        <v>32.5</v>
      </c>
      <c r="K522" s="1">
        <v>0</v>
      </c>
      <c r="M522" s="1">
        <v>0</v>
      </c>
      <c r="O522" s="1">
        <v>35</v>
      </c>
      <c r="Q522" s="2">
        <v>67.5</v>
      </c>
    </row>
    <row r="523" spans="1:17" x14ac:dyDescent="0.25">
      <c r="A523" t="s">
        <v>31</v>
      </c>
      <c r="B523" t="s">
        <v>36</v>
      </c>
      <c r="C523" t="str">
        <f>"15-1-CH-76"</f>
        <v>15-1-CH-76</v>
      </c>
      <c r="D523" t="s">
        <v>19</v>
      </c>
      <c r="F523" t="s">
        <v>23</v>
      </c>
      <c r="H523">
        <v>76</v>
      </c>
      <c r="J523" s="1">
        <v>32.5</v>
      </c>
      <c r="K523" s="1">
        <v>0</v>
      </c>
      <c r="M523" s="1">
        <v>0</v>
      </c>
      <c r="O523" s="1">
        <v>35</v>
      </c>
      <c r="Q523" s="2">
        <v>67.5</v>
      </c>
    </row>
    <row r="524" spans="1:17" x14ac:dyDescent="0.25">
      <c r="A524" t="s">
        <v>31</v>
      </c>
      <c r="B524" t="s">
        <v>36</v>
      </c>
      <c r="C524" t="str">
        <f>"15-1-CH-78"</f>
        <v>15-1-CH-78</v>
      </c>
      <c r="D524" t="s">
        <v>19</v>
      </c>
      <c r="F524" t="s">
        <v>23</v>
      </c>
      <c r="H524">
        <v>78</v>
      </c>
      <c r="J524" s="1">
        <v>32.5</v>
      </c>
      <c r="K524" s="1">
        <v>0</v>
      </c>
      <c r="M524" s="1">
        <v>0</v>
      </c>
      <c r="O524" s="1">
        <v>35</v>
      </c>
      <c r="Q524" s="2">
        <v>67.5</v>
      </c>
    </row>
    <row r="525" spans="1:17" x14ac:dyDescent="0.25">
      <c r="A525" t="s">
        <v>31</v>
      </c>
      <c r="B525" t="s">
        <v>36</v>
      </c>
      <c r="C525" t="str">
        <f>"15-1-CH-80"</f>
        <v>15-1-CH-80</v>
      </c>
      <c r="D525" t="s">
        <v>19</v>
      </c>
      <c r="F525" t="s">
        <v>23</v>
      </c>
      <c r="H525">
        <v>80</v>
      </c>
      <c r="J525" s="1">
        <v>32.5</v>
      </c>
      <c r="K525" s="1">
        <v>0</v>
      </c>
      <c r="M525" s="1">
        <v>0</v>
      </c>
      <c r="O525" s="1">
        <v>35</v>
      </c>
      <c r="Q525" s="2">
        <v>67.5</v>
      </c>
    </row>
    <row r="526" spans="1:17" x14ac:dyDescent="0.25">
      <c r="A526" t="s">
        <v>31</v>
      </c>
      <c r="B526" t="s">
        <v>36</v>
      </c>
      <c r="C526" t="str">
        <f>"15-2-BR-22"</f>
        <v>15-2-BR-22</v>
      </c>
      <c r="D526" t="s">
        <v>25</v>
      </c>
      <c r="F526" t="s">
        <v>22</v>
      </c>
      <c r="H526">
        <v>22</v>
      </c>
      <c r="J526" s="1">
        <v>32.5</v>
      </c>
      <c r="K526" s="1">
        <v>0</v>
      </c>
      <c r="M526" s="1">
        <v>0</v>
      </c>
      <c r="O526" s="1">
        <v>0</v>
      </c>
      <c r="Q526" s="2">
        <v>32.5</v>
      </c>
    </row>
    <row r="527" spans="1:17" x14ac:dyDescent="0.25">
      <c r="A527" t="s">
        <v>31</v>
      </c>
      <c r="B527" t="s">
        <v>36</v>
      </c>
      <c r="C527" t="str">
        <f>"15-2-BR-24"</f>
        <v>15-2-BR-24</v>
      </c>
      <c r="D527" t="s">
        <v>25</v>
      </c>
      <c r="F527" t="s">
        <v>22</v>
      </c>
      <c r="H527">
        <v>24</v>
      </c>
      <c r="J527" s="1">
        <v>32.5</v>
      </c>
      <c r="K527" s="1">
        <v>0</v>
      </c>
      <c r="M527" s="1">
        <v>0</v>
      </c>
      <c r="O527" s="1">
        <v>0</v>
      </c>
      <c r="Q527" s="2">
        <v>32.5</v>
      </c>
    </row>
    <row r="528" spans="1:17" x14ac:dyDescent="0.25">
      <c r="A528" t="s">
        <v>31</v>
      </c>
      <c r="B528" t="s">
        <v>36</v>
      </c>
      <c r="C528" t="str">
        <f>"15-2-BR-26"</f>
        <v>15-2-BR-26</v>
      </c>
      <c r="D528" t="s">
        <v>25</v>
      </c>
      <c r="F528" t="s">
        <v>22</v>
      </c>
      <c r="H528">
        <v>26</v>
      </c>
      <c r="J528" s="1">
        <v>32.5</v>
      </c>
      <c r="K528" s="1">
        <v>0</v>
      </c>
      <c r="M528" s="1">
        <v>0</v>
      </c>
      <c r="O528" s="1">
        <v>0</v>
      </c>
      <c r="Q528" s="2">
        <v>32.5</v>
      </c>
    </row>
    <row r="529" spans="1:17" x14ac:dyDescent="0.25">
      <c r="A529" t="s">
        <v>31</v>
      </c>
      <c r="B529" t="s">
        <v>36</v>
      </c>
      <c r="C529" t="str">
        <f>"15-2-BR-28"</f>
        <v>15-2-BR-28</v>
      </c>
      <c r="D529" t="s">
        <v>25</v>
      </c>
      <c r="F529" t="s">
        <v>22</v>
      </c>
      <c r="H529">
        <v>28</v>
      </c>
      <c r="J529" s="1">
        <v>32.5</v>
      </c>
      <c r="K529" s="1">
        <v>0</v>
      </c>
      <c r="M529" s="1">
        <v>0</v>
      </c>
      <c r="O529" s="1">
        <v>0</v>
      </c>
      <c r="Q529" s="2">
        <v>32.5</v>
      </c>
    </row>
    <row r="530" spans="1:17" x14ac:dyDescent="0.25">
      <c r="A530" t="s">
        <v>31</v>
      </c>
      <c r="B530" t="s">
        <v>36</v>
      </c>
      <c r="C530" t="str">
        <f>"15-2-BR-30"</f>
        <v>15-2-BR-30</v>
      </c>
      <c r="D530" t="s">
        <v>25</v>
      </c>
      <c r="F530" t="s">
        <v>22</v>
      </c>
      <c r="H530">
        <v>30</v>
      </c>
      <c r="J530" s="1">
        <v>32.5</v>
      </c>
      <c r="K530" s="1">
        <v>0</v>
      </c>
      <c r="M530" s="1">
        <v>0</v>
      </c>
      <c r="O530" s="1">
        <v>0</v>
      </c>
      <c r="Q530" s="2">
        <v>32.5</v>
      </c>
    </row>
    <row r="531" spans="1:17" x14ac:dyDescent="0.25">
      <c r="A531" t="s">
        <v>31</v>
      </c>
      <c r="B531" t="s">
        <v>36</v>
      </c>
      <c r="C531" t="str">
        <f>"15-2-BR-32"</f>
        <v>15-2-BR-32</v>
      </c>
      <c r="D531" t="s">
        <v>25</v>
      </c>
      <c r="F531" t="s">
        <v>22</v>
      </c>
      <c r="H531">
        <v>32</v>
      </c>
      <c r="J531" s="1">
        <v>32.5</v>
      </c>
      <c r="K531" s="1">
        <v>0</v>
      </c>
      <c r="M531" s="1">
        <v>0</v>
      </c>
      <c r="O531" s="1">
        <v>0</v>
      </c>
      <c r="Q531" s="2">
        <v>32.5</v>
      </c>
    </row>
    <row r="532" spans="1:17" x14ac:dyDescent="0.25">
      <c r="A532" t="s">
        <v>31</v>
      </c>
      <c r="B532" t="s">
        <v>36</v>
      </c>
      <c r="C532" t="str">
        <f>"15-2-BR-34"</f>
        <v>15-2-BR-34</v>
      </c>
      <c r="D532" t="s">
        <v>25</v>
      </c>
      <c r="F532" t="s">
        <v>22</v>
      </c>
      <c r="H532">
        <v>34</v>
      </c>
      <c r="J532" s="1">
        <v>32.5</v>
      </c>
      <c r="K532" s="1">
        <v>0</v>
      </c>
      <c r="M532" s="1">
        <v>0</v>
      </c>
      <c r="O532" s="1">
        <v>0</v>
      </c>
      <c r="Q532" s="2">
        <v>32.5</v>
      </c>
    </row>
    <row r="533" spans="1:17" x14ac:dyDescent="0.25">
      <c r="A533" t="s">
        <v>31</v>
      </c>
      <c r="B533" t="s">
        <v>36</v>
      </c>
      <c r="C533" t="str">
        <f>"15-2-BR-36"</f>
        <v>15-2-BR-36</v>
      </c>
      <c r="D533" t="s">
        <v>25</v>
      </c>
      <c r="F533" t="s">
        <v>22</v>
      </c>
      <c r="H533">
        <v>36</v>
      </c>
      <c r="J533" s="1">
        <v>32.5</v>
      </c>
      <c r="K533" s="1">
        <v>0</v>
      </c>
      <c r="M533" s="1">
        <v>0</v>
      </c>
      <c r="O533" s="1">
        <v>0</v>
      </c>
      <c r="Q533" s="2">
        <v>32.5</v>
      </c>
    </row>
    <row r="534" spans="1:17" x14ac:dyDescent="0.25">
      <c r="A534" t="s">
        <v>31</v>
      </c>
      <c r="B534" t="s">
        <v>36</v>
      </c>
      <c r="C534" t="str">
        <f>"15-2-BR-38"</f>
        <v>15-2-BR-38</v>
      </c>
      <c r="D534" t="s">
        <v>25</v>
      </c>
      <c r="F534" t="s">
        <v>22</v>
      </c>
      <c r="H534">
        <v>38</v>
      </c>
      <c r="J534" s="1">
        <v>32.5</v>
      </c>
      <c r="K534" s="1">
        <v>0</v>
      </c>
      <c r="M534" s="1">
        <v>0</v>
      </c>
      <c r="O534" s="1">
        <v>0</v>
      </c>
      <c r="Q534" s="2">
        <v>32.5</v>
      </c>
    </row>
    <row r="535" spans="1:17" x14ac:dyDescent="0.25">
      <c r="A535" t="s">
        <v>31</v>
      </c>
      <c r="B535" t="s">
        <v>36</v>
      </c>
      <c r="C535" t="str">
        <f>"15-2-BR-40"</f>
        <v>15-2-BR-40</v>
      </c>
      <c r="D535" t="s">
        <v>25</v>
      </c>
      <c r="F535" t="s">
        <v>22</v>
      </c>
      <c r="H535">
        <v>40</v>
      </c>
      <c r="J535" s="1">
        <v>32.5</v>
      </c>
      <c r="K535" s="1">
        <v>0</v>
      </c>
      <c r="M535" s="1">
        <v>0</v>
      </c>
      <c r="O535" s="1">
        <v>0</v>
      </c>
      <c r="Q535" s="2">
        <v>32.5</v>
      </c>
    </row>
    <row r="536" spans="1:17" x14ac:dyDescent="0.25">
      <c r="A536" t="s">
        <v>31</v>
      </c>
      <c r="B536" t="s">
        <v>36</v>
      </c>
      <c r="C536" t="str">
        <f>"15-2-BR-42"</f>
        <v>15-2-BR-42</v>
      </c>
      <c r="D536" t="s">
        <v>25</v>
      </c>
      <c r="F536" t="s">
        <v>22</v>
      </c>
      <c r="H536">
        <v>42</v>
      </c>
      <c r="J536" s="1">
        <v>32.5</v>
      </c>
      <c r="K536" s="1">
        <v>0</v>
      </c>
      <c r="M536" s="1">
        <v>0</v>
      </c>
      <c r="O536" s="1">
        <v>0</v>
      </c>
      <c r="Q536" s="2">
        <v>32.5</v>
      </c>
    </row>
    <row r="537" spans="1:17" x14ac:dyDescent="0.25">
      <c r="A537" t="s">
        <v>31</v>
      </c>
      <c r="B537" t="s">
        <v>36</v>
      </c>
      <c r="C537" t="str">
        <f>"15-2-BR-44"</f>
        <v>15-2-BR-44</v>
      </c>
      <c r="D537" t="s">
        <v>25</v>
      </c>
      <c r="F537" t="s">
        <v>22</v>
      </c>
      <c r="H537">
        <v>44</v>
      </c>
      <c r="J537" s="1">
        <v>32.5</v>
      </c>
      <c r="K537" s="1">
        <v>0</v>
      </c>
      <c r="M537" s="1">
        <v>0</v>
      </c>
      <c r="O537" s="1">
        <v>0</v>
      </c>
      <c r="Q537" s="2">
        <v>32.5</v>
      </c>
    </row>
    <row r="538" spans="1:17" x14ac:dyDescent="0.25">
      <c r="A538" t="s">
        <v>31</v>
      </c>
      <c r="B538" t="s">
        <v>36</v>
      </c>
      <c r="C538" t="str">
        <f>"15-2-BR-46"</f>
        <v>15-2-BR-46</v>
      </c>
      <c r="D538" t="s">
        <v>25</v>
      </c>
      <c r="F538" t="s">
        <v>22</v>
      </c>
      <c r="H538">
        <v>46</v>
      </c>
      <c r="J538" s="1">
        <v>32.5</v>
      </c>
      <c r="K538" s="1">
        <v>0</v>
      </c>
      <c r="M538" s="1">
        <v>0</v>
      </c>
      <c r="O538" s="1">
        <v>0</v>
      </c>
      <c r="Q538" s="2">
        <v>32.5</v>
      </c>
    </row>
    <row r="539" spans="1:17" x14ac:dyDescent="0.25">
      <c r="A539" t="s">
        <v>31</v>
      </c>
      <c r="B539" t="s">
        <v>36</v>
      </c>
      <c r="C539" t="str">
        <f>"15-2-BR-48"</f>
        <v>15-2-BR-48</v>
      </c>
      <c r="D539" t="s">
        <v>25</v>
      </c>
      <c r="F539" t="s">
        <v>22</v>
      </c>
      <c r="H539">
        <v>48</v>
      </c>
      <c r="J539" s="1">
        <v>32.5</v>
      </c>
      <c r="K539" s="1">
        <v>0</v>
      </c>
      <c r="M539" s="1">
        <v>0</v>
      </c>
      <c r="O539" s="1">
        <v>4</v>
      </c>
      <c r="Q539" s="2">
        <v>36.5</v>
      </c>
    </row>
    <row r="540" spans="1:17" x14ac:dyDescent="0.25">
      <c r="A540" t="s">
        <v>31</v>
      </c>
      <c r="B540" t="s">
        <v>36</v>
      </c>
      <c r="C540" t="str">
        <f>"15-2-BR-50"</f>
        <v>15-2-BR-50</v>
      </c>
      <c r="D540" t="s">
        <v>25</v>
      </c>
      <c r="F540" t="s">
        <v>22</v>
      </c>
      <c r="H540">
        <v>50</v>
      </c>
      <c r="J540" s="1">
        <v>32.5</v>
      </c>
      <c r="K540" s="1">
        <v>0</v>
      </c>
      <c r="M540" s="1">
        <v>0</v>
      </c>
      <c r="O540" s="1">
        <v>6</v>
      </c>
      <c r="Q540" s="2">
        <v>38.5</v>
      </c>
    </row>
    <row r="541" spans="1:17" x14ac:dyDescent="0.25">
      <c r="A541" t="s">
        <v>31</v>
      </c>
      <c r="B541" t="s">
        <v>36</v>
      </c>
      <c r="C541" t="str">
        <f>"15-2-BR-52"</f>
        <v>15-2-BR-52</v>
      </c>
      <c r="D541" t="s">
        <v>25</v>
      </c>
      <c r="F541" t="s">
        <v>22</v>
      </c>
      <c r="H541">
        <v>52</v>
      </c>
      <c r="J541" s="1">
        <v>32.5</v>
      </c>
      <c r="K541" s="1">
        <v>0</v>
      </c>
      <c r="M541" s="1">
        <v>0</v>
      </c>
      <c r="O541" s="1">
        <v>8</v>
      </c>
      <c r="Q541" s="2">
        <v>40.5</v>
      </c>
    </row>
    <row r="542" spans="1:17" x14ac:dyDescent="0.25">
      <c r="A542" t="s">
        <v>31</v>
      </c>
      <c r="B542" t="s">
        <v>36</v>
      </c>
      <c r="C542" t="str">
        <f>"15-2-BR-54"</f>
        <v>15-2-BR-54</v>
      </c>
      <c r="D542" t="s">
        <v>25</v>
      </c>
      <c r="F542" t="s">
        <v>22</v>
      </c>
      <c r="H542">
        <v>54</v>
      </c>
      <c r="J542" s="1">
        <v>32.5</v>
      </c>
      <c r="K542" s="1">
        <v>0</v>
      </c>
      <c r="M542" s="1">
        <v>0</v>
      </c>
      <c r="O542" s="1">
        <v>10</v>
      </c>
      <c r="Q542" s="2">
        <v>42.5</v>
      </c>
    </row>
    <row r="543" spans="1:17" x14ac:dyDescent="0.25">
      <c r="A543" t="s">
        <v>31</v>
      </c>
      <c r="B543" t="s">
        <v>36</v>
      </c>
      <c r="C543" t="str">
        <f>"15-2-BR-56"</f>
        <v>15-2-BR-56</v>
      </c>
      <c r="D543" t="s">
        <v>25</v>
      </c>
      <c r="F543" t="s">
        <v>22</v>
      </c>
      <c r="H543">
        <v>56</v>
      </c>
      <c r="J543" s="1">
        <v>32.5</v>
      </c>
      <c r="K543" s="1">
        <v>0</v>
      </c>
      <c r="M543" s="1">
        <v>0</v>
      </c>
      <c r="O543" s="1">
        <v>12</v>
      </c>
      <c r="Q543" s="2">
        <v>44.5</v>
      </c>
    </row>
    <row r="544" spans="1:17" x14ac:dyDescent="0.25">
      <c r="A544" t="s">
        <v>31</v>
      </c>
      <c r="B544" t="s">
        <v>36</v>
      </c>
      <c r="C544" t="str">
        <f>"15-2-BR-58"</f>
        <v>15-2-BR-58</v>
      </c>
      <c r="D544" t="s">
        <v>25</v>
      </c>
      <c r="F544" t="s">
        <v>22</v>
      </c>
      <c r="H544">
        <v>58</v>
      </c>
      <c r="J544" s="1">
        <v>32.5</v>
      </c>
      <c r="K544" s="1">
        <v>0</v>
      </c>
      <c r="M544" s="1">
        <v>0</v>
      </c>
      <c r="O544" s="1">
        <v>14</v>
      </c>
      <c r="Q544" s="2">
        <v>46.5</v>
      </c>
    </row>
    <row r="545" spans="1:17" x14ac:dyDescent="0.25">
      <c r="A545" t="s">
        <v>31</v>
      </c>
      <c r="B545" t="s">
        <v>36</v>
      </c>
      <c r="C545" t="str">
        <f>"15-2-BR-60"</f>
        <v>15-2-BR-60</v>
      </c>
      <c r="D545" t="s">
        <v>25</v>
      </c>
      <c r="F545" t="s">
        <v>22</v>
      </c>
      <c r="H545">
        <v>60</v>
      </c>
      <c r="J545" s="1">
        <v>32.5</v>
      </c>
      <c r="K545" s="1">
        <v>0</v>
      </c>
      <c r="M545" s="1">
        <v>0</v>
      </c>
      <c r="O545" s="1">
        <v>16</v>
      </c>
      <c r="Q545" s="2">
        <v>48.5</v>
      </c>
    </row>
    <row r="546" spans="1:17" x14ac:dyDescent="0.25">
      <c r="A546" t="s">
        <v>31</v>
      </c>
      <c r="B546" t="s">
        <v>36</v>
      </c>
      <c r="C546" t="str">
        <f>"15-2-BR-62"</f>
        <v>15-2-BR-62</v>
      </c>
      <c r="D546" t="s">
        <v>25</v>
      </c>
      <c r="F546" t="s">
        <v>22</v>
      </c>
      <c r="H546">
        <v>62</v>
      </c>
      <c r="J546" s="1">
        <v>32.5</v>
      </c>
      <c r="K546" s="1">
        <v>0</v>
      </c>
      <c r="M546" s="1">
        <v>0</v>
      </c>
      <c r="O546" s="1">
        <v>18</v>
      </c>
      <c r="Q546" s="2">
        <v>50.5</v>
      </c>
    </row>
    <row r="547" spans="1:17" x14ac:dyDescent="0.25">
      <c r="A547" t="s">
        <v>31</v>
      </c>
      <c r="B547" t="s">
        <v>36</v>
      </c>
      <c r="C547" t="str">
        <f>"15-2-BR-64"</f>
        <v>15-2-BR-64</v>
      </c>
      <c r="D547" t="s">
        <v>25</v>
      </c>
      <c r="F547" t="s">
        <v>22</v>
      </c>
      <c r="H547">
        <v>64</v>
      </c>
      <c r="J547" s="1">
        <v>32.5</v>
      </c>
      <c r="K547" s="1">
        <v>0</v>
      </c>
      <c r="M547" s="1">
        <v>0</v>
      </c>
      <c r="O547" s="1">
        <v>35</v>
      </c>
      <c r="Q547" s="2">
        <v>67.5</v>
      </c>
    </row>
    <row r="548" spans="1:17" x14ac:dyDescent="0.25">
      <c r="A548" t="s">
        <v>31</v>
      </c>
      <c r="B548" t="s">
        <v>36</v>
      </c>
      <c r="C548" t="str">
        <f>"15-2-BR-66"</f>
        <v>15-2-BR-66</v>
      </c>
      <c r="D548" t="s">
        <v>25</v>
      </c>
      <c r="F548" t="s">
        <v>22</v>
      </c>
      <c r="H548">
        <v>66</v>
      </c>
      <c r="J548" s="1">
        <v>32.5</v>
      </c>
      <c r="K548" s="1">
        <v>0</v>
      </c>
      <c r="M548" s="1">
        <v>0</v>
      </c>
      <c r="O548" s="1">
        <v>35</v>
      </c>
      <c r="Q548" s="2">
        <v>67.5</v>
      </c>
    </row>
    <row r="549" spans="1:17" x14ac:dyDescent="0.25">
      <c r="A549" t="s">
        <v>31</v>
      </c>
      <c r="B549" t="s">
        <v>36</v>
      </c>
      <c r="C549" t="str">
        <f>"15-2-BR-68"</f>
        <v>15-2-BR-68</v>
      </c>
      <c r="D549" t="s">
        <v>25</v>
      </c>
      <c r="F549" t="s">
        <v>22</v>
      </c>
      <c r="H549">
        <v>68</v>
      </c>
      <c r="J549" s="1">
        <v>32.5</v>
      </c>
      <c r="K549" s="1">
        <v>0</v>
      </c>
      <c r="M549" s="1">
        <v>0</v>
      </c>
      <c r="O549" s="1">
        <v>35</v>
      </c>
      <c r="Q549" s="2">
        <v>67.5</v>
      </c>
    </row>
    <row r="550" spans="1:17" x14ac:dyDescent="0.25">
      <c r="A550" t="s">
        <v>31</v>
      </c>
      <c r="B550" t="s">
        <v>36</v>
      </c>
      <c r="C550" t="str">
        <f>"15-2-BR-70"</f>
        <v>15-2-BR-70</v>
      </c>
      <c r="D550" t="s">
        <v>25</v>
      </c>
      <c r="F550" t="s">
        <v>22</v>
      </c>
      <c r="H550">
        <v>70</v>
      </c>
      <c r="J550" s="1">
        <v>32.5</v>
      </c>
      <c r="K550" s="1">
        <v>0</v>
      </c>
      <c r="M550" s="1">
        <v>0</v>
      </c>
      <c r="O550" s="1">
        <v>35</v>
      </c>
      <c r="Q550" s="2">
        <v>67.5</v>
      </c>
    </row>
    <row r="551" spans="1:17" x14ac:dyDescent="0.25">
      <c r="A551" t="s">
        <v>31</v>
      </c>
      <c r="B551" t="s">
        <v>36</v>
      </c>
      <c r="C551" t="str">
        <f>"15-2-BR-72"</f>
        <v>15-2-BR-72</v>
      </c>
      <c r="D551" t="s">
        <v>25</v>
      </c>
      <c r="F551" t="s">
        <v>22</v>
      </c>
      <c r="H551">
        <v>72</v>
      </c>
      <c r="J551" s="1">
        <v>32.5</v>
      </c>
      <c r="K551" s="1">
        <v>0</v>
      </c>
      <c r="M551" s="1">
        <v>0</v>
      </c>
      <c r="O551" s="1">
        <v>35</v>
      </c>
      <c r="Q551" s="2">
        <v>67.5</v>
      </c>
    </row>
    <row r="552" spans="1:17" x14ac:dyDescent="0.25">
      <c r="A552" t="s">
        <v>31</v>
      </c>
      <c r="B552" t="s">
        <v>36</v>
      </c>
      <c r="C552" t="str">
        <f>"15-2-BR-74"</f>
        <v>15-2-BR-74</v>
      </c>
      <c r="D552" t="s">
        <v>25</v>
      </c>
      <c r="F552" t="s">
        <v>22</v>
      </c>
      <c r="H552">
        <v>74</v>
      </c>
      <c r="J552" s="1">
        <v>32.5</v>
      </c>
      <c r="K552" s="1">
        <v>0</v>
      </c>
      <c r="M552" s="1">
        <v>0</v>
      </c>
      <c r="O552" s="1">
        <v>35</v>
      </c>
      <c r="Q552" s="2">
        <v>67.5</v>
      </c>
    </row>
    <row r="553" spans="1:17" x14ac:dyDescent="0.25">
      <c r="A553" t="s">
        <v>31</v>
      </c>
      <c r="B553" t="s">
        <v>36</v>
      </c>
      <c r="C553" t="str">
        <f>"15-2-BR-76"</f>
        <v>15-2-BR-76</v>
      </c>
      <c r="D553" t="s">
        <v>25</v>
      </c>
      <c r="F553" t="s">
        <v>22</v>
      </c>
      <c r="H553">
        <v>76</v>
      </c>
      <c r="J553" s="1">
        <v>32.5</v>
      </c>
      <c r="K553" s="1">
        <v>0</v>
      </c>
      <c r="M553" s="1">
        <v>0</v>
      </c>
      <c r="O553" s="1">
        <v>35</v>
      </c>
      <c r="Q553" s="2">
        <v>67.5</v>
      </c>
    </row>
    <row r="554" spans="1:17" x14ac:dyDescent="0.25">
      <c r="A554" t="s">
        <v>31</v>
      </c>
      <c r="B554" t="s">
        <v>36</v>
      </c>
      <c r="C554" t="str">
        <f>"15-2-BR-78"</f>
        <v>15-2-BR-78</v>
      </c>
      <c r="D554" t="s">
        <v>25</v>
      </c>
      <c r="F554" t="s">
        <v>22</v>
      </c>
      <c r="H554">
        <v>78</v>
      </c>
      <c r="J554" s="1">
        <v>32.5</v>
      </c>
      <c r="K554" s="1">
        <v>0</v>
      </c>
      <c r="M554" s="1">
        <v>0</v>
      </c>
      <c r="O554" s="1">
        <v>35</v>
      </c>
      <c r="Q554" s="2">
        <v>67.5</v>
      </c>
    </row>
    <row r="555" spans="1:17" x14ac:dyDescent="0.25">
      <c r="A555" t="s">
        <v>31</v>
      </c>
      <c r="B555" t="s">
        <v>36</v>
      </c>
      <c r="C555" t="str">
        <f>"15-2-BR-80"</f>
        <v>15-2-BR-80</v>
      </c>
      <c r="D555" t="s">
        <v>25</v>
      </c>
      <c r="F555" t="s">
        <v>22</v>
      </c>
      <c r="H555">
        <v>80</v>
      </c>
      <c r="J555" s="1">
        <v>32.5</v>
      </c>
      <c r="K555" s="1">
        <v>0</v>
      </c>
      <c r="M555" s="1">
        <v>0</v>
      </c>
      <c r="O555" s="1">
        <v>35</v>
      </c>
      <c r="Q555" s="2">
        <v>67.5</v>
      </c>
    </row>
    <row r="556" spans="1:17" x14ac:dyDescent="0.25">
      <c r="A556" t="s">
        <v>31</v>
      </c>
      <c r="B556" t="s">
        <v>36</v>
      </c>
      <c r="C556" t="str">
        <f>"15-2-CH-22"</f>
        <v>15-2-CH-22</v>
      </c>
      <c r="D556" t="s">
        <v>25</v>
      </c>
      <c r="F556" t="s">
        <v>23</v>
      </c>
      <c r="H556">
        <v>22</v>
      </c>
      <c r="J556" s="1">
        <v>32.5</v>
      </c>
      <c r="K556" s="1">
        <v>0</v>
      </c>
      <c r="M556" s="1">
        <v>0</v>
      </c>
      <c r="O556" s="1">
        <v>0</v>
      </c>
      <c r="Q556" s="2">
        <v>32.5</v>
      </c>
    </row>
    <row r="557" spans="1:17" x14ac:dyDescent="0.25">
      <c r="A557" t="s">
        <v>31</v>
      </c>
      <c r="B557" t="s">
        <v>36</v>
      </c>
      <c r="C557" t="str">
        <f>"15-2-CH-24"</f>
        <v>15-2-CH-24</v>
      </c>
      <c r="D557" t="s">
        <v>25</v>
      </c>
      <c r="F557" t="s">
        <v>23</v>
      </c>
      <c r="H557">
        <v>24</v>
      </c>
      <c r="J557" s="1">
        <v>32.5</v>
      </c>
      <c r="K557" s="1">
        <v>0</v>
      </c>
      <c r="M557" s="1">
        <v>0</v>
      </c>
      <c r="O557" s="1">
        <v>0</v>
      </c>
      <c r="Q557" s="2">
        <v>32.5</v>
      </c>
    </row>
    <row r="558" spans="1:17" x14ac:dyDescent="0.25">
      <c r="A558" t="s">
        <v>31</v>
      </c>
      <c r="B558" t="s">
        <v>36</v>
      </c>
      <c r="C558" t="str">
        <f>"15-2-CH-26"</f>
        <v>15-2-CH-26</v>
      </c>
      <c r="D558" t="s">
        <v>25</v>
      </c>
      <c r="F558" t="s">
        <v>23</v>
      </c>
      <c r="H558">
        <v>26</v>
      </c>
      <c r="J558" s="1">
        <v>32.5</v>
      </c>
      <c r="K558" s="1">
        <v>0</v>
      </c>
      <c r="M558" s="1">
        <v>0</v>
      </c>
      <c r="O558" s="1">
        <v>0</v>
      </c>
      <c r="Q558" s="2">
        <v>32.5</v>
      </c>
    </row>
    <row r="559" spans="1:17" x14ac:dyDescent="0.25">
      <c r="A559" t="s">
        <v>31</v>
      </c>
      <c r="B559" t="s">
        <v>36</v>
      </c>
      <c r="C559" t="str">
        <f>"15-2-CH-28"</f>
        <v>15-2-CH-28</v>
      </c>
      <c r="D559" t="s">
        <v>25</v>
      </c>
      <c r="F559" t="s">
        <v>23</v>
      </c>
      <c r="H559">
        <v>28</v>
      </c>
      <c r="J559" s="1">
        <v>32.5</v>
      </c>
      <c r="K559" s="1">
        <v>0</v>
      </c>
      <c r="M559" s="1">
        <v>0</v>
      </c>
      <c r="O559" s="1">
        <v>0</v>
      </c>
      <c r="Q559" s="2">
        <v>32.5</v>
      </c>
    </row>
    <row r="560" spans="1:17" x14ac:dyDescent="0.25">
      <c r="A560" t="s">
        <v>31</v>
      </c>
      <c r="B560" t="s">
        <v>36</v>
      </c>
      <c r="C560" t="str">
        <f>"15-2-CH-30"</f>
        <v>15-2-CH-30</v>
      </c>
      <c r="D560" t="s">
        <v>25</v>
      </c>
      <c r="F560" t="s">
        <v>23</v>
      </c>
      <c r="H560">
        <v>30</v>
      </c>
      <c r="J560" s="1">
        <v>32.5</v>
      </c>
      <c r="K560" s="1">
        <v>0</v>
      </c>
      <c r="M560" s="1">
        <v>0</v>
      </c>
      <c r="O560" s="1">
        <v>0</v>
      </c>
      <c r="Q560" s="2">
        <v>32.5</v>
      </c>
    </row>
    <row r="561" spans="1:17" x14ac:dyDescent="0.25">
      <c r="A561" t="s">
        <v>31</v>
      </c>
      <c r="B561" t="s">
        <v>36</v>
      </c>
      <c r="C561" t="str">
        <f>"15-2-CH-32"</f>
        <v>15-2-CH-32</v>
      </c>
      <c r="D561" t="s">
        <v>25</v>
      </c>
      <c r="F561" t="s">
        <v>23</v>
      </c>
      <c r="H561">
        <v>32</v>
      </c>
      <c r="J561" s="1">
        <v>32.5</v>
      </c>
      <c r="K561" s="1">
        <v>0</v>
      </c>
      <c r="M561" s="1">
        <v>0</v>
      </c>
      <c r="O561" s="1">
        <v>0</v>
      </c>
      <c r="Q561" s="2">
        <v>32.5</v>
      </c>
    </row>
    <row r="562" spans="1:17" x14ac:dyDescent="0.25">
      <c r="A562" t="s">
        <v>31</v>
      </c>
      <c r="B562" t="s">
        <v>36</v>
      </c>
      <c r="C562" t="str">
        <f>"15-2-CH-34"</f>
        <v>15-2-CH-34</v>
      </c>
      <c r="D562" t="s">
        <v>25</v>
      </c>
      <c r="F562" t="s">
        <v>23</v>
      </c>
      <c r="H562">
        <v>34</v>
      </c>
      <c r="J562" s="1">
        <v>32.5</v>
      </c>
      <c r="K562" s="1">
        <v>0</v>
      </c>
      <c r="M562" s="1">
        <v>0</v>
      </c>
      <c r="O562" s="1">
        <v>0</v>
      </c>
      <c r="Q562" s="2">
        <v>32.5</v>
      </c>
    </row>
    <row r="563" spans="1:17" x14ac:dyDescent="0.25">
      <c r="A563" t="s">
        <v>31</v>
      </c>
      <c r="B563" t="s">
        <v>36</v>
      </c>
      <c r="C563" t="str">
        <f>"15-2-CH-36"</f>
        <v>15-2-CH-36</v>
      </c>
      <c r="D563" t="s">
        <v>25</v>
      </c>
      <c r="F563" t="s">
        <v>23</v>
      </c>
      <c r="H563">
        <v>36</v>
      </c>
      <c r="J563" s="1">
        <v>32.5</v>
      </c>
      <c r="K563" s="1">
        <v>0</v>
      </c>
      <c r="M563" s="1">
        <v>0</v>
      </c>
      <c r="O563" s="1">
        <v>0</v>
      </c>
      <c r="Q563" s="2">
        <v>32.5</v>
      </c>
    </row>
    <row r="564" spans="1:17" x14ac:dyDescent="0.25">
      <c r="A564" t="s">
        <v>31</v>
      </c>
      <c r="B564" t="s">
        <v>36</v>
      </c>
      <c r="C564" t="str">
        <f>"15-2-CH-38"</f>
        <v>15-2-CH-38</v>
      </c>
      <c r="D564" t="s">
        <v>25</v>
      </c>
      <c r="F564" t="s">
        <v>23</v>
      </c>
      <c r="H564">
        <v>38</v>
      </c>
      <c r="J564" s="1">
        <v>32.5</v>
      </c>
      <c r="K564" s="1">
        <v>0</v>
      </c>
      <c r="M564" s="1">
        <v>0</v>
      </c>
      <c r="O564" s="1">
        <v>0</v>
      </c>
      <c r="Q564" s="2">
        <v>32.5</v>
      </c>
    </row>
    <row r="565" spans="1:17" x14ac:dyDescent="0.25">
      <c r="A565" t="s">
        <v>31</v>
      </c>
      <c r="B565" t="s">
        <v>36</v>
      </c>
      <c r="C565" t="str">
        <f>"15-2-CH-40"</f>
        <v>15-2-CH-40</v>
      </c>
      <c r="D565" t="s">
        <v>25</v>
      </c>
      <c r="F565" t="s">
        <v>23</v>
      </c>
      <c r="H565">
        <v>40</v>
      </c>
      <c r="J565" s="1">
        <v>32.5</v>
      </c>
      <c r="K565" s="1">
        <v>0</v>
      </c>
      <c r="M565" s="1">
        <v>0</v>
      </c>
      <c r="O565" s="1">
        <v>0</v>
      </c>
      <c r="Q565" s="2">
        <v>32.5</v>
      </c>
    </row>
    <row r="566" spans="1:17" x14ac:dyDescent="0.25">
      <c r="A566" t="s">
        <v>31</v>
      </c>
      <c r="B566" t="s">
        <v>36</v>
      </c>
      <c r="C566" t="str">
        <f>"15-2-CH-42"</f>
        <v>15-2-CH-42</v>
      </c>
      <c r="D566" t="s">
        <v>25</v>
      </c>
      <c r="F566" t="s">
        <v>23</v>
      </c>
      <c r="H566">
        <v>42</v>
      </c>
      <c r="J566" s="1">
        <v>32.5</v>
      </c>
      <c r="K566" s="1">
        <v>0</v>
      </c>
      <c r="M566" s="1">
        <v>0</v>
      </c>
      <c r="O566" s="1">
        <v>0</v>
      </c>
      <c r="Q566" s="2">
        <v>32.5</v>
      </c>
    </row>
    <row r="567" spans="1:17" x14ac:dyDescent="0.25">
      <c r="A567" t="s">
        <v>31</v>
      </c>
      <c r="B567" t="s">
        <v>36</v>
      </c>
      <c r="C567" t="str">
        <f>"15-2-CH-44"</f>
        <v>15-2-CH-44</v>
      </c>
      <c r="D567" t="s">
        <v>25</v>
      </c>
      <c r="F567" t="s">
        <v>23</v>
      </c>
      <c r="H567">
        <v>44</v>
      </c>
      <c r="J567" s="1">
        <v>32.5</v>
      </c>
      <c r="K567" s="1">
        <v>0</v>
      </c>
      <c r="M567" s="1">
        <v>0</v>
      </c>
      <c r="O567" s="1">
        <v>0</v>
      </c>
      <c r="Q567" s="2">
        <v>32.5</v>
      </c>
    </row>
    <row r="568" spans="1:17" x14ac:dyDescent="0.25">
      <c r="A568" t="s">
        <v>31</v>
      </c>
      <c r="B568" t="s">
        <v>36</v>
      </c>
      <c r="C568" t="str">
        <f>"15-2-CH-46"</f>
        <v>15-2-CH-46</v>
      </c>
      <c r="D568" t="s">
        <v>25</v>
      </c>
      <c r="F568" t="s">
        <v>23</v>
      </c>
      <c r="H568">
        <v>46</v>
      </c>
      <c r="J568" s="1">
        <v>32.5</v>
      </c>
      <c r="K568" s="1">
        <v>0</v>
      </c>
      <c r="M568" s="1">
        <v>0</v>
      </c>
      <c r="O568" s="1">
        <v>0</v>
      </c>
      <c r="Q568" s="2">
        <v>32.5</v>
      </c>
    </row>
    <row r="569" spans="1:17" x14ac:dyDescent="0.25">
      <c r="A569" t="s">
        <v>31</v>
      </c>
      <c r="B569" t="s">
        <v>36</v>
      </c>
      <c r="C569" t="str">
        <f>"15-2-CH-48"</f>
        <v>15-2-CH-48</v>
      </c>
      <c r="D569" t="s">
        <v>25</v>
      </c>
      <c r="F569" t="s">
        <v>23</v>
      </c>
      <c r="H569">
        <v>48</v>
      </c>
      <c r="J569" s="1">
        <v>32.5</v>
      </c>
      <c r="K569" s="1">
        <v>0</v>
      </c>
      <c r="M569" s="1">
        <v>0</v>
      </c>
      <c r="O569" s="1">
        <v>4</v>
      </c>
      <c r="Q569" s="2">
        <v>36.5</v>
      </c>
    </row>
    <row r="570" spans="1:17" x14ac:dyDescent="0.25">
      <c r="A570" t="s">
        <v>31</v>
      </c>
      <c r="B570" t="s">
        <v>36</v>
      </c>
      <c r="C570" t="str">
        <f>"15-2-CH-50"</f>
        <v>15-2-CH-50</v>
      </c>
      <c r="D570" t="s">
        <v>25</v>
      </c>
      <c r="F570" t="s">
        <v>23</v>
      </c>
      <c r="H570">
        <v>50</v>
      </c>
      <c r="J570" s="1">
        <v>32.5</v>
      </c>
      <c r="K570" s="1">
        <v>0</v>
      </c>
      <c r="M570" s="1">
        <v>0</v>
      </c>
      <c r="O570" s="1">
        <v>6</v>
      </c>
      <c r="Q570" s="2">
        <v>38.5</v>
      </c>
    </row>
    <row r="571" spans="1:17" x14ac:dyDescent="0.25">
      <c r="A571" t="s">
        <v>31</v>
      </c>
      <c r="B571" t="s">
        <v>36</v>
      </c>
      <c r="C571" t="str">
        <f>"15-2-CH-52"</f>
        <v>15-2-CH-52</v>
      </c>
      <c r="D571" t="s">
        <v>25</v>
      </c>
      <c r="F571" t="s">
        <v>23</v>
      </c>
      <c r="H571">
        <v>52</v>
      </c>
      <c r="J571" s="1">
        <v>32.5</v>
      </c>
      <c r="K571" s="1">
        <v>0</v>
      </c>
      <c r="M571" s="1">
        <v>0</v>
      </c>
      <c r="O571" s="1">
        <v>8</v>
      </c>
      <c r="Q571" s="2">
        <v>40.5</v>
      </c>
    </row>
    <row r="572" spans="1:17" x14ac:dyDescent="0.25">
      <c r="A572" t="s">
        <v>31</v>
      </c>
      <c r="B572" t="s">
        <v>36</v>
      </c>
      <c r="C572" t="str">
        <f>"15-2-CH-54"</f>
        <v>15-2-CH-54</v>
      </c>
      <c r="D572" t="s">
        <v>25</v>
      </c>
      <c r="F572" t="s">
        <v>23</v>
      </c>
      <c r="H572">
        <v>54</v>
      </c>
      <c r="J572" s="1">
        <v>32.5</v>
      </c>
      <c r="K572" s="1">
        <v>0</v>
      </c>
      <c r="M572" s="1">
        <v>0</v>
      </c>
      <c r="O572" s="1">
        <v>10</v>
      </c>
      <c r="Q572" s="2">
        <v>42.5</v>
      </c>
    </row>
    <row r="573" spans="1:17" x14ac:dyDescent="0.25">
      <c r="A573" t="s">
        <v>31</v>
      </c>
      <c r="B573" t="s">
        <v>36</v>
      </c>
      <c r="C573" t="str">
        <f>"15-2-CH-56"</f>
        <v>15-2-CH-56</v>
      </c>
      <c r="D573" t="s">
        <v>25</v>
      </c>
      <c r="F573" t="s">
        <v>23</v>
      </c>
      <c r="H573">
        <v>56</v>
      </c>
      <c r="J573" s="1">
        <v>32.5</v>
      </c>
      <c r="K573" s="1">
        <v>0</v>
      </c>
      <c r="M573" s="1">
        <v>0</v>
      </c>
      <c r="O573" s="1">
        <v>12</v>
      </c>
      <c r="Q573" s="2">
        <v>44.5</v>
      </c>
    </row>
    <row r="574" spans="1:17" x14ac:dyDescent="0.25">
      <c r="A574" t="s">
        <v>31</v>
      </c>
      <c r="B574" t="s">
        <v>36</v>
      </c>
      <c r="C574" t="str">
        <f>"15-2-CH-58"</f>
        <v>15-2-CH-58</v>
      </c>
      <c r="D574" t="s">
        <v>25</v>
      </c>
      <c r="F574" t="s">
        <v>23</v>
      </c>
      <c r="H574">
        <v>58</v>
      </c>
      <c r="J574" s="1">
        <v>32.5</v>
      </c>
      <c r="K574" s="1">
        <v>0</v>
      </c>
      <c r="M574" s="1">
        <v>0</v>
      </c>
      <c r="O574" s="1">
        <v>14</v>
      </c>
      <c r="Q574" s="2">
        <v>46.5</v>
      </c>
    </row>
    <row r="575" spans="1:17" x14ac:dyDescent="0.25">
      <c r="A575" t="s">
        <v>31</v>
      </c>
      <c r="B575" t="s">
        <v>36</v>
      </c>
      <c r="C575" t="str">
        <f>"15-2-CH-60"</f>
        <v>15-2-CH-60</v>
      </c>
      <c r="D575" t="s">
        <v>25</v>
      </c>
      <c r="F575" t="s">
        <v>23</v>
      </c>
      <c r="H575">
        <v>60</v>
      </c>
      <c r="J575" s="1">
        <v>32.5</v>
      </c>
      <c r="K575" s="1">
        <v>0</v>
      </c>
      <c r="M575" s="1">
        <v>0</v>
      </c>
      <c r="O575" s="1">
        <v>16</v>
      </c>
      <c r="Q575" s="2">
        <v>48.5</v>
      </c>
    </row>
    <row r="576" spans="1:17" x14ac:dyDescent="0.25">
      <c r="A576" t="s">
        <v>31</v>
      </c>
      <c r="B576" t="s">
        <v>36</v>
      </c>
      <c r="C576" t="str">
        <f>"15-2-CH-62"</f>
        <v>15-2-CH-62</v>
      </c>
      <c r="D576" t="s">
        <v>25</v>
      </c>
      <c r="F576" t="s">
        <v>23</v>
      </c>
      <c r="H576">
        <v>62</v>
      </c>
      <c r="J576" s="1">
        <v>32.5</v>
      </c>
      <c r="K576" s="1">
        <v>0</v>
      </c>
      <c r="M576" s="1">
        <v>0</v>
      </c>
      <c r="O576" s="1">
        <v>18</v>
      </c>
      <c r="Q576" s="2">
        <v>50.5</v>
      </c>
    </row>
    <row r="577" spans="1:17" x14ac:dyDescent="0.25">
      <c r="A577" t="s">
        <v>31</v>
      </c>
      <c r="B577" t="s">
        <v>36</v>
      </c>
      <c r="C577" t="str">
        <f>"15-2-CH-64"</f>
        <v>15-2-CH-64</v>
      </c>
      <c r="D577" t="s">
        <v>25</v>
      </c>
      <c r="F577" t="s">
        <v>23</v>
      </c>
      <c r="H577">
        <v>64</v>
      </c>
      <c r="J577" s="1">
        <v>32.5</v>
      </c>
      <c r="K577" s="1">
        <v>0</v>
      </c>
      <c r="M577" s="1">
        <v>0</v>
      </c>
      <c r="O577" s="1">
        <v>35</v>
      </c>
      <c r="Q577" s="2">
        <v>67.5</v>
      </c>
    </row>
    <row r="578" spans="1:17" x14ac:dyDescent="0.25">
      <c r="A578" t="s">
        <v>31</v>
      </c>
      <c r="B578" t="s">
        <v>36</v>
      </c>
      <c r="C578" t="str">
        <f>"15-2-CH-66"</f>
        <v>15-2-CH-66</v>
      </c>
      <c r="D578" t="s">
        <v>25</v>
      </c>
      <c r="F578" t="s">
        <v>23</v>
      </c>
      <c r="H578">
        <v>66</v>
      </c>
      <c r="J578" s="1">
        <v>32.5</v>
      </c>
      <c r="K578" s="1">
        <v>0</v>
      </c>
      <c r="M578" s="1">
        <v>0</v>
      </c>
      <c r="O578" s="1">
        <v>35</v>
      </c>
      <c r="Q578" s="2">
        <v>67.5</v>
      </c>
    </row>
    <row r="579" spans="1:17" x14ac:dyDescent="0.25">
      <c r="A579" t="s">
        <v>31</v>
      </c>
      <c r="B579" t="s">
        <v>36</v>
      </c>
      <c r="C579" t="str">
        <f>"15-2-CH-68"</f>
        <v>15-2-CH-68</v>
      </c>
      <c r="D579" t="s">
        <v>25</v>
      </c>
      <c r="F579" t="s">
        <v>23</v>
      </c>
      <c r="H579">
        <v>68</v>
      </c>
      <c r="J579" s="1">
        <v>32.5</v>
      </c>
      <c r="K579" s="1">
        <v>0</v>
      </c>
      <c r="M579" s="1">
        <v>0</v>
      </c>
      <c r="O579" s="1">
        <v>35</v>
      </c>
      <c r="Q579" s="2">
        <v>67.5</v>
      </c>
    </row>
    <row r="580" spans="1:17" x14ac:dyDescent="0.25">
      <c r="A580" t="s">
        <v>31</v>
      </c>
      <c r="B580" t="s">
        <v>36</v>
      </c>
      <c r="C580" t="str">
        <f>"15-2-CH-70"</f>
        <v>15-2-CH-70</v>
      </c>
      <c r="D580" t="s">
        <v>25</v>
      </c>
      <c r="F580" t="s">
        <v>23</v>
      </c>
      <c r="H580">
        <v>70</v>
      </c>
      <c r="J580" s="1">
        <v>32.5</v>
      </c>
      <c r="K580" s="1">
        <v>0</v>
      </c>
      <c r="M580" s="1">
        <v>0</v>
      </c>
      <c r="O580" s="1">
        <v>35</v>
      </c>
      <c r="Q580" s="2">
        <v>67.5</v>
      </c>
    </row>
    <row r="581" spans="1:17" x14ac:dyDescent="0.25">
      <c r="A581" t="s">
        <v>31</v>
      </c>
      <c r="B581" t="s">
        <v>36</v>
      </c>
      <c r="C581" t="str">
        <f>"15-2-CH-72"</f>
        <v>15-2-CH-72</v>
      </c>
      <c r="D581" t="s">
        <v>25</v>
      </c>
      <c r="F581" t="s">
        <v>23</v>
      </c>
      <c r="H581">
        <v>72</v>
      </c>
      <c r="J581" s="1">
        <v>32.5</v>
      </c>
      <c r="K581" s="1">
        <v>0</v>
      </c>
      <c r="M581" s="1">
        <v>0</v>
      </c>
      <c r="O581" s="1">
        <v>35</v>
      </c>
      <c r="Q581" s="2">
        <v>67.5</v>
      </c>
    </row>
    <row r="582" spans="1:17" x14ac:dyDescent="0.25">
      <c r="A582" t="s">
        <v>31</v>
      </c>
      <c r="B582" t="s">
        <v>36</v>
      </c>
      <c r="C582" t="str">
        <f>"15-2-CH-74"</f>
        <v>15-2-CH-74</v>
      </c>
      <c r="D582" t="s">
        <v>25</v>
      </c>
      <c r="F582" t="s">
        <v>23</v>
      </c>
      <c r="H582">
        <v>74</v>
      </c>
      <c r="J582" s="1">
        <v>32.5</v>
      </c>
      <c r="K582" s="1">
        <v>0</v>
      </c>
      <c r="M582" s="1">
        <v>0</v>
      </c>
      <c r="O582" s="1">
        <v>35</v>
      </c>
      <c r="Q582" s="2">
        <v>67.5</v>
      </c>
    </row>
    <row r="583" spans="1:17" x14ac:dyDescent="0.25">
      <c r="A583" t="s">
        <v>31</v>
      </c>
      <c r="B583" t="s">
        <v>36</v>
      </c>
      <c r="C583" t="str">
        <f>"15-2-CH-76"</f>
        <v>15-2-CH-76</v>
      </c>
      <c r="D583" t="s">
        <v>25</v>
      </c>
      <c r="F583" t="s">
        <v>23</v>
      </c>
      <c r="H583">
        <v>76</v>
      </c>
      <c r="J583" s="1">
        <v>32.5</v>
      </c>
      <c r="K583" s="1">
        <v>0</v>
      </c>
      <c r="M583" s="1">
        <v>0</v>
      </c>
      <c r="O583" s="1">
        <v>35</v>
      </c>
      <c r="Q583" s="2">
        <v>67.5</v>
      </c>
    </row>
    <row r="584" spans="1:17" x14ac:dyDescent="0.25">
      <c r="A584" t="s">
        <v>31</v>
      </c>
      <c r="B584" t="s">
        <v>36</v>
      </c>
      <c r="C584" t="str">
        <f>"15-2-CH-78"</f>
        <v>15-2-CH-78</v>
      </c>
      <c r="D584" t="s">
        <v>25</v>
      </c>
      <c r="F584" t="s">
        <v>23</v>
      </c>
      <c r="H584">
        <v>78</v>
      </c>
      <c r="J584" s="1">
        <v>32.5</v>
      </c>
      <c r="K584" s="1">
        <v>0</v>
      </c>
      <c r="M584" s="1">
        <v>0</v>
      </c>
      <c r="O584" s="1">
        <v>35</v>
      </c>
      <c r="Q584" s="2">
        <v>67.5</v>
      </c>
    </row>
    <row r="585" spans="1:17" x14ac:dyDescent="0.25">
      <c r="A585" t="s">
        <v>31</v>
      </c>
      <c r="B585" t="s">
        <v>36</v>
      </c>
      <c r="C585" t="str">
        <f>"15-2-CH-80"</f>
        <v>15-2-CH-80</v>
      </c>
      <c r="D585" t="s">
        <v>25</v>
      </c>
      <c r="F585" t="s">
        <v>23</v>
      </c>
      <c r="H585">
        <v>80</v>
      </c>
      <c r="J585" s="1">
        <v>32.5</v>
      </c>
      <c r="K585" s="1">
        <v>0</v>
      </c>
      <c r="M585" s="1">
        <v>0</v>
      </c>
      <c r="O585" s="1">
        <v>35</v>
      </c>
      <c r="Q585" s="2">
        <v>67.5</v>
      </c>
    </row>
    <row r="586" spans="1:17" x14ac:dyDescent="0.25">
      <c r="A586" t="s">
        <v>31</v>
      </c>
      <c r="B586" t="s">
        <v>36</v>
      </c>
      <c r="C586" t="str">
        <f>"15-3-BR-22"</f>
        <v>15-3-BR-22</v>
      </c>
      <c r="D586" t="s">
        <v>26</v>
      </c>
      <c r="F586" t="s">
        <v>22</v>
      </c>
      <c r="H586">
        <v>22</v>
      </c>
      <c r="J586" s="1">
        <v>32.5</v>
      </c>
      <c r="K586" s="1">
        <v>0</v>
      </c>
      <c r="M586" s="1">
        <v>0</v>
      </c>
      <c r="O586" s="1">
        <v>0</v>
      </c>
      <c r="Q586" s="2">
        <v>32.5</v>
      </c>
    </row>
    <row r="587" spans="1:17" x14ac:dyDescent="0.25">
      <c r="A587" t="s">
        <v>31</v>
      </c>
      <c r="B587" t="s">
        <v>36</v>
      </c>
      <c r="C587" t="str">
        <f>"15-3-BR-24"</f>
        <v>15-3-BR-24</v>
      </c>
      <c r="D587" t="s">
        <v>26</v>
      </c>
      <c r="F587" t="s">
        <v>22</v>
      </c>
      <c r="H587">
        <v>24</v>
      </c>
      <c r="J587" s="1">
        <v>32.5</v>
      </c>
      <c r="K587" s="1">
        <v>0</v>
      </c>
      <c r="M587" s="1">
        <v>0</v>
      </c>
      <c r="O587" s="1">
        <v>0</v>
      </c>
      <c r="Q587" s="2">
        <v>32.5</v>
      </c>
    </row>
    <row r="588" spans="1:17" x14ac:dyDescent="0.25">
      <c r="A588" t="s">
        <v>31</v>
      </c>
      <c r="B588" t="s">
        <v>36</v>
      </c>
      <c r="C588" t="str">
        <f>"15-3-BR-26"</f>
        <v>15-3-BR-26</v>
      </c>
      <c r="D588" t="s">
        <v>26</v>
      </c>
      <c r="F588" t="s">
        <v>22</v>
      </c>
      <c r="H588">
        <v>26</v>
      </c>
      <c r="J588" s="1">
        <v>32.5</v>
      </c>
      <c r="K588" s="1">
        <v>0</v>
      </c>
      <c r="M588" s="1">
        <v>0</v>
      </c>
      <c r="O588" s="1">
        <v>0</v>
      </c>
      <c r="Q588" s="2">
        <v>32.5</v>
      </c>
    </row>
    <row r="589" spans="1:17" x14ac:dyDescent="0.25">
      <c r="A589" t="s">
        <v>31</v>
      </c>
      <c r="B589" t="s">
        <v>36</v>
      </c>
      <c r="C589" t="str">
        <f>"15-3-BR-28"</f>
        <v>15-3-BR-28</v>
      </c>
      <c r="D589" t="s">
        <v>26</v>
      </c>
      <c r="F589" t="s">
        <v>22</v>
      </c>
      <c r="H589">
        <v>28</v>
      </c>
      <c r="J589" s="1">
        <v>32.5</v>
      </c>
      <c r="K589" s="1">
        <v>0</v>
      </c>
      <c r="M589" s="1">
        <v>0</v>
      </c>
      <c r="O589" s="1">
        <v>0</v>
      </c>
      <c r="Q589" s="2">
        <v>32.5</v>
      </c>
    </row>
    <row r="590" spans="1:17" x14ac:dyDescent="0.25">
      <c r="A590" t="s">
        <v>31</v>
      </c>
      <c r="B590" t="s">
        <v>36</v>
      </c>
      <c r="C590" t="str">
        <f>"15-3-BR-30"</f>
        <v>15-3-BR-30</v>
      </c>
      <c r="D590" t="s">
        <v>26</v>
      </c>
      <c r="F590" t="s">
        <v>22</v>
      </c>
      <c r="H590">
        <v>30</v>
      </c>
      <c r="J590" s="1">
        <v>32.5</v>
      </c>
      <c r="K590" s="1">
        <v>0</v>
      </c>
      <c r="M590" s="1">
        <v>0</v>
      </c>
      <c r="O590" s="1">
        <v>0</v>
      </c>
      <c r="Q590" s="2">
        <v>32.5</v>
      </c>
    </row>
    <row r="591" spans="1:17" x14ac:dyDescent="0.25">
      <c r="A591" t="s">
        <v>31</v>
      </c>
      <c r="B591" t="s">
        <v>36</v>
      </c>
      <c r="C591" t="str">
        <f>"15-3-BR-32"</f>
        <v>15-3-BR-32</v>
      </c>
      <c r="D591" t="s">
        <v>26</v>
      </c>
      <c r="F591" t="s">
        <v>22</v>
      </c>
      <c r="H591">
        <v>32</v>
      </c>
      <c r="J591" s="1">
        <v>32.5</v>
      </c>
      <c r="K591" s="1">
        <v>0</v>
      </c>
      <c r="M591" s="1">
        <v>0</v>
      </c>
      <c r="O591" s="1">
        <v>0</v>
      </c>
      <c r="Q591" s="2">
        <v>32.5</v>
      </c>
    </row>
    <row r="592" spans="1:17" x14ac:dyDescent="0.25">
      <c r="A592" t="s">
        <v>31</v>
      </c>
      <c r="B592" t="s">
        <v>36</v>
      </c>
      <c r="C592" t="str">
        <f>"15-3-BR-34"</f>
        <v>15-3-BR-34</v>
      </c>
      <c r="D592" t="s">
        <v>26</v>
      </c>
      <c r="F592" t="s">
        <v>22</v>
      </c>
      <c r="H592">
        <v>34</v>
      </c>
      <c r="J592" s="1">
        <v>32.5</v>
      </c>
      <c r="K592" s="1">
        <v>0</v>
      </c>
      <c r="M592" s="1">
        <v>0</v>
      </c>
      <c r="O592" s="1">
        <v>0</v>
      </c>
      <c r="Q592" s="2">
        <v>32.5</v>
      </c>
    </row>
    <row r="593" spans="1:17" x14ac:dyDescent="0.25">
      <c r="A593" t="s">
        <v>31</v>
      </c>
      <c r="B593" t="s">
        <v>36</v>
      </c>
      <c r="C593" t="str">
        <f>"15-3-BR-36"</f>
        <v>15-3-BR-36</v>
      </c>
      <c r="D593" t="s">
        <v>26</v>
      </c>
      <c r="F593" t="s">
        <v>22</v>
      </c>
      <c r="H593">
        <v>36</v>
      </c>
      <c r="J593" s="1">
        <v>32.5</v>
      </c>
      <c r="K593" s="1">
        <v>0</v>
      </c>
      <c r="M593" s="1">
        <v>0</v>
      </c>
      <c r="O593" s="1">
        <v>0</v>
      </c>
      <c r="Q593" s="2">
        <v>32.5</v>
      </c>
    </row>
    <row r="594" spans="1:17" x14ac:dyDescent="0.25">
      <c r="A594" t="s">
        <v>31</v>
      </c>
      <c r="B594" t="s">
        <v>36</v>
      </c>
      <c r="C594" t="str">
        <f>"15-3-BR-38"</f>
        <v>15-3-BR-38</v>
      </c>
      <c r="D594" t="s">
        <v>26</v>
      </c>
      <c r="F594" t="s">
        <v>22</v>
      </c>
      <c r="H594">
        <v>38</v>
      </c>
      <c r="J594" s="1">
        <v>32.5</v>
      </c>
      <c r="K594" s="1">
        <v>0</v>
      </c>
      <c r="M594" s="1">
        <v>0</v>
      </c>
      <c r="O594" s="1">
        <v>0</v>
      </c>
      <c r="Q594" s="2">
        <v>32.5</v>
      </c>
    </row>
    <row r="595" spans="1:17" x14ac:dyDescent="0.25">
      <c r="A595" t="s">
        <v>31</v>
      </c>
      <c r="B595" t="s">
        <v>36</v>
      </c>
      <c r="C595" t="str">
        <f>"15-3-BR-40"</f>
        <v>15-3-BR-40</v>
      </c>
      <c r="D595" t="s">
        <v>26</v>
      </c>
      <c r="F595" t="s">
        <v>22</v>
      </c>
      <c r="H595">
        <v>40</v>
      </c>
      <c r="J595" s="1">
        <v>32.5</v>
      </c>
      <c r="K595" s="1">
        <v>0</v>
      </c>
      <c r="M595" s="1">
        <v>0</v>
      </c>
      <c r="O595" s="1">
        <v>0</v>
      </c>
      <c r="Q595" s="2">
        <v>32.5</v>
      </c>
    </row>
    <row r="596" spans="1:17" x14ac:dyDescent="0.25">
      <c r="A596" t="s">
        <v>31</v>
      </c>
      <c r="B596" t="s">
        <v>36</v>
      </c>
      <c r="C596" t="str">
        <f>"15-3-BR-42"</f>
        <v>15-3-BR-42</v>
      </c>
      <c r="D596" t="s">
        <v>26</v>
      </c>
      <c r="F596" t="s">
        <v>22</v>
      </c>
      <c r="H596">
        <v>42</v>
      </c>
      <c r="J596" s="1">
        <v>32.5</v>
      </c>
      <c r="K596" s="1">
        <v>0</v>
      </c>
      <c r="M596" s="1">
        <v>0</v>
      </c>
      <c r="O596" s="1">
        <v>0</v>
      </c>
      <c r="Q596" s="2">
        <v>32.5</v>
      </c>
    </row>
    <row r="597" spans="1:17" x14ac:dyDescent="0.25">
      <c r="A597" t="s">
        <v>31</v>
      </c>
      <c r="B597" t="s">
        <v>36</v>
      </c>
      <c r="C597" t="str">
        <f>"15-3-BR-44"</f>
        <v>15-3-BR-44</v>
      </c>
      <c r="D597" t="s">
        <v>26</v>
      </c>
      <c r="F597" t="s">
        <v>22</v>
      </c>
      <c r="H597">
        <v>44</v>
      </c>
      <c r="J597" s="1">
        <v>32.5</v>
      </c>
      <c r="K597" s="1">
        <v>0</v>
      </c>
      <c r="M597" s="1">
        <v>0</v>
      </c>
      <c r="O597" s="1">
        <v>0</v>
      </c>
      <c r="Q597" s="2">
        <v>32.5</v>
      </c>
    </row>
    <row r="598" spans="1:17" x14ac:dyDescent="0.25">
      <c r="A598" t="s">
        <v>31</v>
      </c>
      <c r="B598" t="s">
        <v>36</v>
      </c>
      <c r="C598" t="str">
        <f>"15-3-BR-46"</f>
        <v>15-3-BR-46</v>
      </c>
      <c r="D598" t="s">
        <v>26</v>
      </c>
      <c r="F598" t="s">
        <v>22</v>
      </c>
      <c r="H598">
        <v>46</v>
      </c>
      <c r="J598" s="1">
        <v>32.5</v>
      </c>
      <c r="K598" s="1">
        <v>0</v>
      </c>
      <c r="M598" s="1">
        <v>0</v>
      </c>
      <c r="O598" s="1">
        <v>0</v>
      </c>
      <c r="Q598" s="2">
        <v>32.5</v>
      </c>
    </row>
    <row r="599" spans="1:17" x14ac:dyDescent="0.25">
      <c r="A599" t="s">
        <v>31</v>
      </c>
      <c r="B599" t="s">
        <v>36</v>
      </c>
      <c r="C599" t="str">
        <f>"15-3-BR-48"</f>
        <v>15-3-BR-48</v>
      </c>
      <c r="D599" t="s">
        <v>26</v>
      </c>
      <c r="F599" t="s">
        <v>22</v>
      </c>
      <c r="H599">
        <v>48</v>
      </c>
      <c r="J599" s="1">
        <v>32.5</v>
      </c>
      <c r="K599" s="1">
        <v>0</v>
      </c>
      <c r="M599" s="1">
        <v>0</v>
      </c>
      <c r="O599" s="1">
        <v>4</v>
      </c>
      <c r="Q599" s="2">
        <v>36.5</v>
      </c>
    </row>
    <row r="600" spans="1:17" x14ac:dyDescent="0.25">
      <c r="A600" t="s">
        <v>31</v>
      </c>
      <c r="B600" t="s">
        <v>36</v>
      </c>
      <c r="C600" t="str">
        <f>"15-3-BR-50"</f>
        <v>15-3-BR-50</v>
      </c>
      <c r="D600" t="s">
        <v>26</v>
      </c>
      <c r="F600" t="s">
        <v>22</v>
      </c>
      <c r="H600">
        <v>50</v>
      </c>
      <c r="J600" s="1">
        <v>32.5</v>
      </c>
      <c r="K600" s="1">
        <v>0</v>
      </c>
      <c r="M600" s="1">
        <v>0</v>
      </c>
      <c r="O600" s="1">
        <v>6</v>
      </c>
      <c r="Q600" s="2">
        <v>38.5</v>
      </c>
    </row>
    <row r="601" spans="1:17" x14ac:dyDescent="0.25">
      <c r="A601" t="s">
        <v>31</v>
      </c>
      <c r="B601" t="s">
        <v>36</v>
      </c>
      <c r="C601" t="str">
        <f>"15-3-BR-52"</f>
        <v>15-3-BR-52</v>
      </c>
      <c r="D601" t="s">
        <v>26</v>
      </c>
      <c r="F601" t="s">
        <v>22</v>
      </c>
      <c r="H601">
        <v>52</v>
      </c>
      <c r="J601" s="1">
        <v>32.5</v>
      </c>
      <c r="K601" s="1">
        <v>0</v>
      </c>
      <c r="M601" s="1">
        <v>0</v>
      </c>
      <c r="O601" s="1">
        <v>8</v>
      </c>
      <c r="Q601" s="2">
        <v>40.5</v>
      </c>
    </row>
    <row r="602" spans="1:17" x14ac:dyDescent="0.25">
      <c r="A602" t="s">
        <v>31</v>
      </c>
      <c r="B602" t="s">
        <v>36</v>
      </c>
      <c r="C602" t="str">
        <f>"15-3-BR-54"</f>
        <v>15-3-BR-54</v>
      </c>
      <c r="D602" t="s">
        <v>26</v>
      </c>
      <c r="F602" t="s">
        <v>22</v>
      </c>
      <c r="H602">
        <v>54</v>
      </c>
      <c r="J602" s="1">
        <v>32.5</v>
      </c>
      <c r="K602" s="1">
        <v>0</v>
      </c>
      <c r="M602" s="1">
        <v>0</v>
      </c>
      <c r="O602" s="1">
        <v>10</v>
      </c>
      <c r="Q602" s="2">
        <v>42.5</v>
      </c>
    </row>
    <row r="603" spans="1:17" x14ac:dyDescent="0.25">
      <c r="A603" t="s">
        <v>31</v>
      </c>
      <c r="B603" t="s">
        <v>36</v>
      </c>
      <c r="C603" t="str">
        <f>"15-3-BR-56"</f>
        <v>15-3-BR-56</v>
      </c>
      <c r="D603" t="s">
        <v>26</v>
      </c>
      <c r="F603" t="s">
        <v>22</v>
      </c>
      <c r="H603">
        <v>56</v>
      </c>
      <c r="J603" s="1">
        <v>32.5</v>
      </c>
      <c r="K603" s="1">
        <v>0</v>
      </c>
      <c r="M603" s="1">
        <v>0</v>
      </c>
      <c r="O603" s="1">
        <v>12</v>
      </c>
      <c r="Q603" s="2">
        <v>44.5</v>
      </c>
    </row>
    <row r="604" spans="1:17" x14ac:dyDescent="0.25">
      <c r="A604" t="s">
        <v>31</v>
      </c>
      <c r="B604" t="s">
        <v>36</v>
      </c>
      <c r="C604" t="str">
        <f>"15-3-BR-58"</f>
        <v>15-3-BR-58</v>
      </c>
      <c r="D604" t="s">
        <v>26</v>
      </c>
      <c r="F604" t="s">
        <v>22</v>
      </c>
      <c r="H604">
        <v>58</v>
      </c>
      <c r="J604" s="1">
        <v>32.5</v>
      </c>
      <c r="K604" s="1">
        <v>0</v>
      </c>
      <c r="M604" s="1">
        <v>0</v>
      </c>
      <c r="O604" s="1">
        <v>14</v>
      </c>
      <c r="Q604" s="2">
        <v>46.5</v>
      </c>
    </row>
    <row r="605" spans="1:17" x14ac:dyDescent="0.25">
      <c r="A605" t="s">
        <v>31</v>
      </c>
      <c r="B605" t="s">
        <v>36</v>
      </c>
      <c r="C605" t="str">
        <f>"15-3-BR-60"</f>
        <v>15-3-BR-60</v>
      </c>
      <c r="D605" t="s">
        <v>26</v>
      </c>
      <c r="F605" t="s">
        <v>22</v>
      </c>
      <c r="H605">
        <v>60</v>
      </c>
      <c r="J605" s="1">
        <v>32.5</v>
      </c>
      <c r="K605" s="1">
        <v>0</v>
      </c>
      <c r="M605" s="1">
        <v>0</v>
      </c>
      <c r="O605" s="1">
        <v>16</v>
      </c>
      <c r="Q605" s="2">
        <v>48.5</v>
      </c>
    </row>
    <row r="606" spans="1:17" x14ac:dyDescent="0.25">
      <c r="A606" t="s">
        <v>31</v>
      </c>
      <c r="B606" t="s">
        <v>36</v>
      </c>
      <c r="C606" t="str">
        <f>"15-3-BR-62"</f>
        <v>15-3-BR-62</v>
      </c>
      <c r="D606" t="s">
        <v>26</v>
      </c>
      <c r="F606" t="s">
        <v>22</v>
      </c>
      <c r="H606">
        <v>62</v>
      </c>
      <c r="J606" s="1">
        <v>32.5</v>
      </c>
      <c r="K606" s="1">
        <v>0</v>
      </c>
      <c r="M606" s="1">
        <v>0</v>
      </c>
      <c r="O606" s="1">
        <v>18</v>
      </c>
      <c r="Q606" s="2">
        <v>50.5</v>
      </c>
    </row>
    <row r="607" spans="1:17" x14ac:dyDescent="0.25">
      <c r="A607" t="s">
        <v>31</v>
      </c>
      <c r="B607" t="s">
        <v>36</v>
      </c>
      <c r="C607" t="str">
        <f>"15-3-BR-64"</f>
        <v>15-3-BR-64</v>
      </c>
      <c r="D607" t="s">
        <v>26</v>
      </c>
      <c r="F607" t="s">
        <v>22</v>
      </c>
      <c r="H607">
        <v>64</v>
      </c>
      <c r="J607" s="1">
        <v>32.5</v>
      </c>
      <c r="K607" s="1">
        <v>0</v>
      </c>
      <c r="M607" s="1">
        <v>0</v>
      </c>
      <c r="O607" s="1">
        <v>35</v>
      </c>
      <c r="Q607" s="2">
        <v>67.5</v>
      </c>
    </row>
    <row r="608" spans="1:17" x14ac:dyDescent="0.25">
      <c r="A608" t="s">
        <v>31</v>
      </c>
      <c r="B608" t="s">
        <v>36</v>
      </c>
      <c r="C608" t="str">
        <f>"15-3-BR-66"</f>
        <v>15-3-BR-66</v>
      </c>
      <c r="D608" t="s">
        <v>26</v>
      </c>
      <c r="F608" t="s">
        <v>22</v>
      </c>
      <c r="H608">
        <v>66</v>
      </c>
      <c r="J608" s="1">
        <v>32.5</v>
      </c>
      <c r="K608" s="1">
        <v>0</v>
      </c>
      <c r="M608" s="1">
        <v>0</v>
      </c>
      <c r="O608" s="1">
        <v>35</v>
      </c>
      <c r="Q608" s="2">
        <v>67.5</v>
      </c>
    </row>
    <row r="609" spans="1:17" x14ac:dyDescent="0.25">
      <c r="A609" t="s">
        <v>31</v>
      </c>
      <c r="B609" t="s">
        <v>36</v>
      </c>
      <c r="C609" t="str">
        <f>"15-3-BR-68"</f>
        <v>15-3-BR-68</v>
      </c>
      <c r="D609" t="s">
        <v>26</v>
      </c>
      <c r="F609" t="s">
        <v>22</v>
      </c>
      <c r="H609">
        <v>68</v>
      </c>
      <c r="J609" s="1">
        <v>32.5</v>
      </c>
      <c r="K609" s="1">
        <v>0</v>
      </c>
      <c r="M609" s="1">
        <v>0</v>
      </c>
      <c r="O609" s="1">
        <v>35</v>
      </c>
      <c r="Q609" s="2">
        <v>67.5</v>
      </c>
    </row>
    <row r="610" spans="1:17" x14ac:dyDescent="0.25">
      <c r="A610" t="s">
        <v>31</v>
      </c>
      <c r="B610" t="s">
        <v>36</v>
      </c>
      <c r="C610" t="str">
        <f>"15-3-BR-70"</f>
        <v>15-3-BR-70</v>
      </c>
      <c r="D610" t="s">
        <v>26</v>
      </c>
      <c r="F610" t="s">
        <v>22</v>
      </c>
      <c r="H610">
        <v>70</v>
      </c>
      <c r="J610" s="1">
        <v>32.5</v>
      </c>
      <c r="K610" s="1">
        <v>0</v>
      </c>
      <c r="M610" s="1">
        <v>0</v>
      </c>
      <c r="O610" s="1">
        <v>35</v>
      </c>
      <c r="Q610" s="2">
        <v>67.5</v>
      </c>
    </row>
    <row r="611" spans="1:17" x14ac:dyDescent="0.25">
      <c r="A611" t="s">
        <v>31</v>
      </c>
      <c r="B611" t="s">
        <v>36</v>
      </c>
      <c r="C611" t="str">
        <f>"15-3-BR-72"</f>
        <v>15-3-BR-72</v>
      </c>
      <c r="D611" t="s">
        <v>26</v>
      </c>
      <c r="F611" t="s">
        <v>22</v>
      </c>
      <c r="H611">
        <v>72</v>
      </c>
      <c r="J611" s="1">
        <v>32.5</v>
      </c>
      <c r="K611" s="1">
        <v>0</v>
      </c>
      <c r="M611" s="1">
        <v>0</v>
      </c>
      <c r="O611" s="1">
        <v>35</v>
      </c>
      <c r="Q611" s="2">
        <v>67.5</v>
      </c>
    </row>
    <row r="612" spans="1:17" x14ac:dyDescent="0.25">
      <c r="A612" t="s">
        <v>31</v>
      </c>
      <c r="B612" t="s">
        <v>36</v>
      </c>
      <c r="C612" t="str">
        <f>"15-3-BR-74"</f>
        <v>15-3-BR-74</v>
      </c>
      <c r="D612" t="s">
        <v>26</v>
      </c>
      <c r="F612" t="s">
        <v>22</v>
      </c>
      <c r="H612">
        <v>74</v>
      </c>
      <c r="J612" s="1">
        <v>32.5</v>
      </c>
      <c r="K612" s="1">
        <v>0</v>
      </c>
      <c r="M612" s="1">
        <v>0</v>
      </c>
      <c r="O612" s="1">
        <v>35</v>
      </c>
      <c r="Q612" s="2">
        <v>67.5</v>
      </c>
    </row>
    <row r="613" spans="1:17" x14ac:dyDescent="0.25">
      <c r="A613" t="s">
        <v>31</v>
      </c>
      <c r="B613" t="s">
        <v>36</v>
      </c>
      <c r="C613" t="str">
        <f>"15-3-BR-76"</f>
        <v>15-3-BR-76</v>
      </c>
      <c r="D613" t="s">
        <v>26</v>
      </c>
      <c r="F613" t="s">
        <v>22</v>
      </c>
      <c r="H613">
        <v>76</v>
      </c>
      <c r="J613" s="1">
        <v>32.5</v>
      </c>
      <c r="K613" s="1">
        <v>0</v>
      </c>
      <c r="M613" s="1">
        <v>0</v>
      </c>
      <c r="O613" s="1">
        <v>35</v>
      </c>
      <c r="Q613" s="2">
        <v>67.5</v>
      </c>
    </row>
    <row r="614" spans="1:17" x14ac:dyDescent="0.25">
      <c r="A614" t="s">
        <v>31</v>
      </c>
      <c r="B614" t="s">
        <v>36</v>
      </c>
      <c r="C614" t="str">
        <f>"15-3-BR-78"</f>
        <v>15-3-BR-78</v>
      </c>
      <c r="D614" t="s">
        <v>26</v>
      </c>
      <c r="F614" t="s">
        <v>22</v>
      </c>
      <c r="H614">
        <v>78</v>
      </c>
      <c r="J614" s="1">
        <v>32.5</v>
      </c>
      <c r="K614" s="1">
        <v>0</v>
      </c>
      <c r="M614" s="1">
        <v>0</v>
      </c>
      <c r="O614" s="1">
        <v>35</v>
      </c>
      <c r="Q614" s="2">
        <v>67.5</v>
      </c>
    </row>
    <row r="615" spans="1:17" x14ac:dyDescent="0.25">
      <c r="A615" t="s">
        <v>31</v>
      </c>
      <c r="B615" t="s">
        <v>36</v>
      </c>
      <c r="C615" t="str">
        <f>"15-3-BR-80"</f>
        <v>15-3-BR-80</v>
      </c>
      <c r="D615" t="s">
        <v>26</v>
      </c>
      <c r="F615" t="s">
        <v>22</v>
      </c>
      <c r="H615">
        <v>80</v>
      </c>
      <c r="J615" s="1">
        <v>32.5</v>
      </c>
      <c r="K615" s="1">
        <v>0</v>
      </c>
      <c r="M615" s="1">
        <v>0</v>
      </c>
      <c r="O615" s="1">
        <v>35</v>
      </c>
      <c r="Q615" s="2">
        <v>67.5</v>
      </c>
    </row>
    <row r="616" spans="1:17" x14ac:dyDescent="0.25">
      <c r="A616" t="s">
        <v>31</v>
      </c>
      <c r="B616" t="s">
        <v>36</v>
      </c>
      <c r="C616" t="str">
        <f>"15-3-CH-22"</f>
        <v>15-3-CH-22</v>
      </c>
      <c r="D616" t="s">
        <v>26</v>
      </c>
      <c r="F616" t="s">
        <v>23</v>
      </c>
      <c r="H616">
        <v>22</v>
      </c>
      <c r="J616" s="1">
        <v>32.5</v>
      </c>
      <c r="K616" s="1">
        <v>0</v>
      </c>
      <c r="M616" s="1">
        <v>0</v>
      </c>
      <c r="O616" s="1">
        <v>0</v>
      </c>
      <c r="Q616" s="2">
        <v>32.5</v>
      </c>
    </row>
    <row r="617" spans="1:17" x14ac:dyDescent="0.25">
      <c r="A617" t="s">
        <v>31</v>
      </c>
      <c r="B617" t="s">
        <v>36</v>
      </c>
      <c r="C617" t="str">
        <f>"15-3-CH-24"</f>
        <v>15-3-CH-24</v>
      </c>
      <c r="D617" t="s">
        <v>26</v>
      </c>
      <c r="F617" t="s">
        <v>23</v>
      </c>
      <c r="H617">
        <v>24</v>
      </c>
      <c r="J617" s="1">
        <v>32.5</v>
      </c>
      <c r="K617" s="1">
        <v>0</v>
      </c>
      <c r="M617" s="1">
        <v>0</v>
      </c>
      <c r="O617" s="1">
        <v>0</v>
      </c>
      <c r="Q617" s="2">
        <v>32.5</v>
      </c>
    </row>
    <row r="618" spans="1:17" x14ac:dyDescent="0.25">
      <c r="A618" t="s">
        <v>31</v>
      </c>
      <c r="B618" t="s">
        <v>36</v>
      </c>
      <c r="C618" t="str">
        <f>"15-3-CH-26"</f>
        <v>15-3-CH-26</v>
      </c>
      <c r="D618" t="s">
        <v>26</v>
      </c>
      <c r="F618" t="s">
        <v>23</v>
      </c>
      <c r="H618">
        <v>26</v>
      </c>
      <c r="J618" s="1">
        <v>32.5</v>
      </c>
      <c r="K618" s="1">
        <v>0</v>
      </c>
      <c r="M618" s="1">
        <v>0</v>
      </c>
      <c r="O618" s="1">
        <v>0</v>
      </c>
      <c r="Q618" s="2">
        <v>32.5</v>
      </c>
    </row>
    <row r="619" spans="1:17" x14ac:dyDescent="0.25">
      <c r="A619" t="s">
        <v>31</v>
      </c>
      <c r="B619" t="s">
        <v>36</v>
      </c>
      <c r="C619" t="str">
        <f>"15-3-CH-28"</f>
        <v>15-3-CH-28</v>
      </c>
      <c r="D619" t="s">
        <v>26</v>
      </c>
      <c r="F619" t="s">
        <v>23</v>
      </c>
      <c r="H619">
        <v>28</v>
      </c>
      <c r="J619" s="1">
        <v>32.5</v>
      </c>
      <c r="K619" s="1">
        <v>0</v>
      </c>
      <c r="M619" s="1">
        <v>0</v>
      </c>
      <c r="O619" s="1">
        <v>0</v>
      </c>
      <c r="Q619" s="2">
        <v>32.5</v>
      </c>
    </row>
    <row r="620" spans="1:17" x14ac:dyDescent="0.25">
      <c r="A620" t="s">
        <v>31</v>
      </c>
      <c r="B620" t="s">
        <v>36</v>
      </c>
      <c r="C620" t="str">
        <f>"15-3-CH-30"</f>
        <v>15-3-CH-30</v>
      </c>
      <c r="D620" t="s">
        <v>26</v>
      </c>
      <c r="F620" t="s">
        <v>23</v>
      </c>
      <c r="H620">
        <v>30</v>
      </c>
      <c r="J620" s="1">
        <v>32.5</v>
      </c>
      <c r="K620" s="1">
        <v>0</v>
      </c>
      <c r="M620" s="1">
        <v>0</v>
      </c>
      <c r="O620" s="1">
        <v>0</v>
      </c>
      <c r="Q620" s="2">
        <v>32.5</v>
      </c>
    </row>
    <row r="621" spans="1:17" x14ac:dyDescent="0.25">
      <c r="A621" t="s">
        <v>31</v>
      </c>
      <c r="B621" t="s">
        <v>36</v>
      </c>
      <c r="C621" t="str">
        <f>"15-3-CH-32"</f>
        <v>15-3-CH-32</v>
      </c>
      <c r="D621" t="s">
        <v>26</v>
      </c>
      <c r="F621" t="s">
        <v>23</v>
      </c>
      <c r="H621">
        <v>32</v>
      </c>
      <c r="J621" s="1">
        <v>32.5</v>
      </c>
      <c r="K621" s="1">
        <v>0</v>
      </c>
      <c r="M621" s="1">
        <v>0</v>
      </c>
      <c r="O621" s="1">
        <v>0</v>
      </c>
      <c r="Q621" s="2">
        <v>32.5</v>
      </c>
    </row>
    <row r="622" spans="1:17" x14ac:dyDescent="0.25">
      <c r="A622" t="s">
        <v>31</v>
      </c>
      <c r="B622" t="s">
        <v>36</v>
      </c>
      <c r="C622" t="str">
        <f>"15-3-CH-34"</f>
        <v>15-3-CH-34</v>
      </c>
      <c r="D622" t="s">
        <v>26</v>
      </c>
      <c r="F622" t="s">
        <v>23</v>
      </c>
      <c r="H622">
        <v>34</v>
      </c>
      <c r="J622" s="1">
        <v>32.5</v>
      </c>
      <c r="K622" s="1">
        <v>0</v>
      </c>
      <c r="M622" s="1">
        <v>0</v>
      </c>
      <c r="O622" s="1">
        <v>0</v>
      </c>
      <c r="Q622" s="2">
        <v>32.5</v>
      </c>
    </row>
    <row r="623" spans="1:17" x14ac:dyDescent="0.25">
      <c r="A623" t="s">
        <v>31</v>
      </c>
      <c r="B623" t="s">
        <v>36</v>
      </c>
      <c r="C623" t="str">
        <f>"15-3-CH-36"</f>
        <v>15-3-CH-36</v>
      </c>
      <c r="D623" t="s">
        <v>26</v>
      </c>
      <c r="F623" t="s">
        <v>23</v>
      </c>
      <c r="H623">
        <v>36</v>
      </c>
      <c r="J623" s="1">
        <v>32.5</v>
      </c>
      <c r="K623" s="1">
        <v>0</v>
      </c>
      <c r="M623" s="1">
        <v>0</v>
      </c>
      <c r="O623" s="1">
        <v>0</v>
      </c>
      <c r="Q623" s="2">
        <v>32.5</v>
      </c>
    </row>
    <row r="624" spans="1:17" x14ac:dyDescent="0.25">
      <c r="A624" t="s">
        <v>31</v>
      </c>
      <c r="B624" t="s">
        <v>36</v>
      </c>
      <c r="C624" t="str">
        <f>"15-3-CH-38"</f>
        <v>15-3-CH-38</v>
      </c>
      <c r="D624" t="s">
        <v>26</v>
      </c>
      <c r="F624" t="s">
        <v>23</v>
      </c>
      <c r="H624">
        <v>38</v>
      </c>
      <c r="J624" s="1">
        <v>32.5</v>
      </c>
      <c r="K624" s="1">
        <v>0</v>
      </c>
      <c r="M624" s="1">
        <v>0</v>
      </c>
      <c r="O624" s="1">
        <v>0</v>
      </c>
      <c r="Q624" s="2">
        <v>32.5</v>
      </c>
    </row>
    <row r="625" spans="1:17" x14ac:dyDescent="0.25">
      <c r="A625" t="s">
        <v>31</v>
      </c>
      <c r="B625" t="s">
        <v>36</v>
      </c>
      <c r="C625" t="str">
        <f>"15-3-CH-40"</f>
        <v>15-3-CH-40</v>
      </c>
      <c r="D625" t="s">
        <v>26</v>
      </c>
      <c r="F625" t="s">
        <v>23</v>
      </c>
      <c r="H625">
        <v>40</v>
      </c>
      <c r="J625" s="1">
        <v>32.5</v>
      </c>
      <c r="K625" s="1">
        <v>0</v>
      </c>
      <c r="M625" s="1">
        <v>0</v>
      </c>
      <c r="O625" s="1">
        <v>0</v>
      </c>
      <c r="Q625" s="2">
        <v>32.5</v>
      </c>
    </row>
    <row r="626" spans="1:17" x14ac:dyDescent="0.25">
      <c r="A626" t="s">
        <v>31</v>
      </c>
      <c r="B626" t="s">
        <v>36</v>
      </c>
      <c r="C626" t="str">
        <f>"15-3-CH-42"</f>
        <v>15-3-CH-42</v>
      </c>
      <c r="D626" t="s">
        <v>26</v>
      </c>
      <c r="F626" t="s">
        <v>23</v>
      </c>
      <c r="H626">
        <v>42</v>
      </c>
      <c r="J626" s="1">
        <v>32.5</v>
      </c>
      <c r="K626" s="1">
        <v>0</v>
      </c>
      <c r="M626" s="1">
        <v>0</v>
      </c>
      <c r="O626" s="1">
        <v>0</v>
      </c>
      <c r="Q626" s="2">
        <v>32.5</v>
      </c>
    </row>
    <row r="627" spans="1:17" x14ac:dyDescent="0.25">
      <c r="A627" t="s">
        <v>31</v>
      </c>
      <c r="B627" t="s">
        <v>36</v>
      </c>
      <c r="C627" t="str">
        <f>"15-3-CH-44"</f>
        <v>15-3-CH-44</v>
      </c>
      <c r="D627" t="s">
        <v>26</v>
      </c>
      <c r="F627" t="s">
        <v>23</v>
      </c>
      <c r="H627">
        <v>44</v>
      </c>
      <c r="J627" s="1">
        <v>32.5</v>
      </c>
      <c r="K627" s="1">
        <v>0</v>
      </c>
      <c r="M627" s="1">
        <v>0</v>
      </c>
      <c r="O627" s="1">
        <v>0</v>
      </c>
      <c r="Q627" s="2">
        <v>32.5</v>
      </c>
    </row>
    <row r="628" spans="1:17" x14ac:dyDescent="0.25">
      <c r="A628" t="s">
        <v>31</v>
      </c>
      <c r="B628" t="s">
        <v>36</v>
      </c>
      <c r="C628" t="str">
        <f>"15-3-CH-46"</f>
        <v>15-3-CH-46</v>
      </c>
      <c r="D628" t="s">
        <v>26</v>
      </c>
      <c r="F628" t="s">
        <v>23</v>
      </c>
      <c r="H628">
        <v>46</v>
      </c>
      <c r="J628" s="1">
        <v>32.5</v>
      </c>
      <c r="K628" s="1">
        <v>0</v>
      </c>
      <c r="M628" s="1">
        <v>0</v>
      </c>
      <c r="O628" s="1">
        <v>0</v>
      </c>
      <c r="Q628" s="2">
        <v>32.5</v>
      </c>
    </row>
    <row r="629" spans="1:17" x14ac:dyDescent="0.25">
      <c r="A629" t="s">
        <v>31</v>
      </c>
      <c r="B629" t="s">
        <v>36</v>
      </c>
      <c r="C629" t="str">
        <f>"15-3-CH-48"</f>
        <v>15-3-CH-48</v>
      </c>
      <c r="D629" t="s">
        <v>26</v>
      </c>
      <c r="F629" t="s">
        <v>23</v>
      </c>
      <c r="H629">
        <v>48</v>
      </c>
      <c r="J629" s="1">
        <v>32.5</v>
      </c>
      <c r="K629" s="1">
        <v>0</v>
      </c>
      <c r="M629" s="1">
        <v>0</v>
      </c>
      <c r="O629" s="1">
        <v>4</v>
      </c>
      <c r="Q629" s="2">
        <v>36.5</v>
      </c>
    </row>
    <row r="630" spans="1:17" x14ac:dyDescent="0.25">
      <c r="A630" t="s">
        <v>31</v>
      </c>
      <c r="B630" t="s">
        <v>36</v>
      </c>
      <c r="C630" t="str">
        <f>"15-3-CH-50"</f>
        <v>15-3-CH-50</v>
      </c>
      <c r="D630" t="s">
        <v>26</v>
      </c>
      <c r="F630" t="s">
        <v>23</v>
      </c>
      <c r="H630">
        <v>50</v>
      </c>
      <c r="J630" s="1">
        <v>32.5</v>
      </c>
      <c r="K630" s="1">
        <v>0</v>
      </c>
      <c r="M630" s="1">
        <v>0</v>
      </c>
      <c r="O630" s="1">
        <v>6</v>
      </c>
      <c r="Q630" s="2">
        <v>38.5</v>
      </c>
    </row>
    <row r="631" spans="1:17" x14ac:dyDescent="0.25">
      <c r="A631" t="s">
        <v>31</v>
      </c>
      <c r="B631" t="s">
        <v>36</v>
      </c>
      <c r="C631" t="str">
        <f>"15-3-CH-52"</f>
        <v>15-3-CH-52</v>
      </c>
      <c r="D631" t="s">
        <v>26</v>
      </c>
      <c r="F631" t="s">
        <v>23</v>
      </c>
      <c r="H631">
        <v>52</v>
      </c>
      <c r="J631" s="1">
        <v>32.5</v>
      </c>
      <c r="K631" s="1">
        <v>0</v>
      </c>
      <c r="M631" s="1">
        <v>0</v>
      </c>
      <c r="O631" s="1">
        <v>8</v>
      </c>
      <c r="Q631" s="2">
        <v>40.5</v>
      </c>
    </row>
    <row r="632" spans="1:17" x14ac:dyDescent="0.25">
      <c r="A632" t="s">
        <v>31</v>
      </c>
      <c r="B632" t="s">
        <v>36</v>
      </c>
      <c r="C632" t="str">
        <f>"15-3-CH-54"</f>
        <v>15-3-CH-54</v>
      </c>
      <c r="D632" t="s">
        <v>26</v>
      </c>
      <c r="F632" t="s">
        <v>23</v>
      </c>
      <c r="H632">
        <v>54</v>
      </c>
      <c r="J632" s="1">
        <v>32.5</v>
      </c>
      <c r="K632" s="1">
        <v>0</v>
      </c>
      <c r="M632" s="1">
        <v>0</v>
      </c>
      <c r="O632" s="1">
        <v>10</v>
      </c>
      <c r="Q632" s="2">
        <v>42.5</v>
      </c>
    </row>
    <row r="633" spans="1:17" x14ac:dyDescent="0.25">
      <c r="A633" t="s">
        <v>31</v>
      </c>
      <c r="B633" t="s">
        <v>36</v>
      </c>
      <c r="C633" t="str">
        <f>"15-3-CH-56"</f>
        <v>15-3-CH-56</v>
      </c>
      <c r="D633" t="s">
        <v>26</v>
      </c>
      <c r="F633" t="s">
        <v>23</v>
      </c>
      <c r="H633">
        <v>56</v>
      </c>
      <c r="J633" s="1">
        <v>32.5</v>
      </c>
      <c r="K633" s="1">
        <v>0</v>
      </c>
      <c r="M633" s="1">
        <v>0</v>
      </c>
      <c r="O633" s="1">
        <v>12</v>
      </c>
      <c r="Q633" s="2">
        <v>44.5</v>
      </c>
    </row>
    <row r="634" spans="1:17" x14ac:dyDescent="0.25">
      <c r="A634" t="s">
        <v>31</v>
      </c>
      <c r="B634" t="s">
        <v>36</v>
      </c>
      <c r="C634" t="str">
        <f>"15-3-CH-58"</f>
        <v>15-3-CH-58</v>
      </c>
      <c r="D634" t="s">
        <v>26</v>
      </c>
      <c r="F634" t="s">
        <v>23</v>
      </c>
      <c r="H634">
        <v>58</v>
      </c>
      <c r="J634" s="1">
        <v>32.5</v>
      </c>
      <c r="K634" s="1">
        <v>0</v>
      </c>
      <c r="M634" s="1">
        <v>0</v>
      </c>
      <c r="O634" s="1">
        <v>14</v>
      </c>
      <c r="Q634" s="2">
        <v>46.5</v>
      </c>
    </row>
    <row r="635" spans="1:17" x14ac:dyDescent="0.25">
      <c r="A635" t="s">
        <v>31</v>
      </c>
      <c r="B635" t="s">
        <v>36</v>
      </c>
      <c r="C635" t="str">
        <f>"15-3-CH-60"</f>
        <v>15-3-CH-60</v>
      </c>
      <c r="D635" t="s">
        <v>26</v>
      </c>
      <c r="F635" t="s">
        <v>23</v>
      </c>
      <c r="H635">
        <v>60</v>
      </c>
      <c r="J635" s="1">
        <v>32.5</v>
      </c>
      <c r="K635" s="1">
        <v>0</v>
      </c>
      <c r="M635" s="1">
        <v>0</v>
      </c>
      <c r="O635" s="1">
        <v>16</v>
      </c>
      <c r="Q635" s="2">
        <v>48.5</v>
      </c>
    </row>
    <row r="636" spans="1:17" x14ac:dyDescent="0.25">
      <c r="A636" t="s">
        <v>31</v>
      </c>
      <c r="B636" t="s">
        <v>36</v>
      </c>
      <c r="C636" t="str">
        <f>"15-3-CH-62"</f>
        <v>15-3-CH-62</v>
      </c>
      <c r="D636" t="s">
        <v>26</v>
      </c>
      <c r="F636" t="s">
        <v>23</v>
      </c>
      <c r="H636">
        <v>62</v>
      </c>
      <c r="J636" s="1">
        <v>32.5</v>
      </c>
      <c r="K636" s="1">
        <v>0</v>
      </c>
      <c r="M636" s="1">
        <v>0</v>
      </c>
      <c r="O636" s="1">
        <v>18</v>
      </c>
      <c r="Q636" s="2">
        <v>50.5</v>
      </c>
    </row>
    <row r="637" spans="1:17" x14ac:dyDescent="0.25">
      <c r="A637" t="s">
        <v>31</v>
      </c>
      <c r="B637" t="s">
        <v>36</v>
      </c>
      <c r="C637" t="str">
        <f>"15-3-CH-64"</f>
        <v>15-3-CH-64</v>
      </c>
      <c r="D637" t="s">
        <v>26</v>
      </c>
      <c r="F637" t="s">
        <v>23</v>
      </c>
      <c r="H637">
        <v>64</v>
      </c>
      <c r="J637" s="1">
        <v>32.5</v>
      </c>
      <c r="K637" s="1">
        <v>0</v>
      </c>
      <c r="M637" s="1">
        <v>0</v>
      </c>
      <c r="O637" s="1">
        <v>35</v>
      </c>
      <c r="Q637" s="2">
        <v>67.5</v>
      </c>
    </row>
    <row r="638" spans="1:17" x14ac:dyDescent="0.25">
      <c r="A638" t="s">
        <v>31</v>
      </c>
      <c r="B638" t="s">
        <v>36</v>
      </c>
      <c r="C638" t="str">
        <f>"15-3-CH-66"</f>
        <v>15-3-CH-66</v>
      </c>
      <c r="D638" t="s">
        <v>26</v>
      </c>
      <c r="F638" t="s">
        <v>23</v>
      </c>
      <c r="H638">
        <v>66</v>
      </c>
      <c r="J638" s="1">
        <v>32.5</v>
      </c>
      <c r="K638" s="1">
        <v>0</v>
      </c>
      <c r="M638" s="1">
        <v>0</v>
      </c>
      <c r="O638" s="1">
        <v>35</v>
      </c>
      <c r="Q638" s="2">
        <v>67.5</v>
      </c>
    </row>
    <row r="639" spans="1:17" x14ac:dyDescent="0.25">
      <c r="A639" t="s">
        <v>31</v>
      </c>
      <c r="B639" t="s">
        <v>36</v>
      </c>
      <c r="C639" t="str">
        <f>"15-3-CH-68"</f>
        <v>15-3-CH-68</v>
      </c>
      <c r="D639" t="s">
        <v>26</v>
      </c>
      <c r="F639" t="s">
        <v>23</v>
      </c>
      <c r="H639">
        <v>68</v>
      </c>
      <c r="J639" s="1">
        <v>32.5</v>
      </c>
      <c r="K639" s="1">
        <v>0</v>
      </c>
      <c r="M639" s="1">
        <v>0</v>
      </c>
      <c r="O639" s="1">
        <v>35</v>
      </c>
      <c r="Q639" s="2">
        <v>67.5</v>
      </c>
    </row>
    <row r="640" spans="1:17" x14ac:dyDescent="0.25">
      <c r="A640" t="s">
        <v>31</v>
      </c>
      <c r="B640" t="s">
        <v>36</v>
      </c>
      <c r="C640" t="str">
        <f>"15-3-CH-70"</f>
        <v>15-3-CH-70</v>
      </c>
      <c r="D640" t="s">
        <v>26</v>
      </c>
      <c r="F640" t="s">
        <v>23</v>
      </c>
      <c r="H640">
        <v>70</v>
      </c>
      <c r="J640" s="1">
        <v>32.5</v>
      </c>
      <c r="K640" s="1">
        <v>0</v>
      </c>
      <c r="M640" s="1">
        <v>0</v>
      </c>
      <c r="O640" s="1">
        <v>35</v>
      </c>
      <c r="Q640" s="2">
        <v>67.5</v>
      </c>
    </row>
    <row r="641" spans="1:17" x14ac:dyDescent="0.25">
      <c r="A641" t="s">
        <v>31</v>
      </c>
      <c r="B641" t="s">
        <v>36</v>
      </c>
      <c r="C641" t="str">
        <f>"15-3-CH-72"</f>
        <v>15-3-CH-72</v>
      </c>
      <c r="D641" t="s">
        <v>26</v>
      </c>
      <c r="F641" t="s">
        <v>23</v>
      </c>
      <c r="H641">
        <v>72</v>
      </c>
      <c r="J641" s="1">
        <v>32.5</v>
      </c>
      <c r="K641" s="1">
        <v>0</v>
      </c>
      <c r="M641" s="1">
        <v>0</v>
      </c>
      <c r="O641" s="1">
        <v>35</v>
      </c>
      <c r="Q641" s="2">
        <v>67.5</v>
      </c>
    </row>
    <row r="642" spans="1:17" x14ac:dyDescent="0.25">
      <c r="A642" t="s">
        <v>31</v>
      </c>
      <c r="B642" t="s">
        <v>36</v>
      </c>
      <c r="C642" t="str">
        <f>"15-3-CH-74"</f>
        <v>15-3-CH-74</v>
      </c>
      <c r="D642" t="s">
        <v>26</v>
      </c>
      <c r="F642" t="s">
        <v>23</v>
      </c>
      <c r="H642">
        <v>74</v>
      </c>
      <c r="J642" s="1">
        <v>32.5</v>
      </c>
      <c r="K642" s="1">
        <v>0</v>
      </c>
      <c r="M642" s="1">
        <v>0</v>
      </c>
      <c r="O642" s="1">
        <v>35</v>
      </c>
      <c r="Q642" s="2">
        <v>67.5</v>
      </c>
    </row>
    <row r="643" spans="1:17" x14ac:dyDescent="0.25">
      <c r="A643" t="s">
        <v>31</v>
      </c>
      <c r="B643" t="s">
        <v>36</v>
      </c>
      <c r="C643" t="str">
        <f>"15-3-CH-76"</f>
        <v>15-3-CH-76</v>
      </c>
      <c r="D643" t="s">
        <v>26</v>
      </c>
      <c r="F643" t="s">
        <v>23</v>
      </c>
      <c r="H643">
        <v>76</v>
      </c>
      <c r="J643" s="1">
        <v>32.5</v>
      </c>
      <c r="K643" s="1">
        <v>0</v>
      </c>
      <c r="M643" s="1">
        <v>0</v>
      </c>
      <c r="O643" s="1">
        <v>35</v>
      </c>
      <c r="Q643" s="2">
        <v>67.5</v>
      </c>
    </row>
    <row r="644" spans="1:17" x14ac:dyDescent="0.25">
      <c r="A644" t="s">
        <v>31</v>
      </c>
      <c r="B644" t="s">
        <v>36</v>
      </c>
      <c r="C644" t="str">
        <f>"15-3-CH-78"</f>
        <v>15-3-CH-78</v>
      </c>
      <c r="D644" t="s">
        <v>26</v>
      </c>
      <c r="F644" t="s">
        <v>23</v>
      </c>
      <c r="H644">
        <v>78</v>
      </c>
      <c r="J644" s="1">
        <v>32.5</v>
      </c>
      <c r="K644" s="1">
        <v>0</v>
      </c>
      <c r="M644" s="1">
        <v>0</v>
      </c>
      <c r="O644" s="1">
        <v>35</v>
      </c>
      <c r="Q644" s="2">
        <v>67.5</v>
      </c>
    </row>
    <row r="645" spans="1:17" x14ac:dyDescent="0.25">
      <c r="A645" t="s">
        <v>31</v>
      </c>
      <c r="B645" t="s">
        <v>36</v>
      </c>
      <c r="C645" t="str">
        <f>"15-3-CH-80"</f>
        <v>15-3-CH-80</v>
      </c>
      <c r="D645" t="s">
        <v>26</v>
      </c>
      <c r="F645" t="s">
        <v>23</v>
      </c>
      <c r="H645">
        <v>80</v>
      </c>
      <c r="J645" s="1">
        <v>32.5</v>
      </c>
      <c r="K645" s="1">
        <v>0</v>
      </c>
      <c r="M645" s="1">
        <v>0</v>
      </c>
      <c r="O645" s="1">
        <v>35</v>
      </c>
      <c r="Q645" s="2">
        <v>67.5</v>
      </c>
    </row>
    <row r="646" spans="1:17" x14ac:dyDescent="0.25">
      <c r="A646" t="s">
        <v>31</v>
      </c>
      <c r="B646" t="s">
        <v>36</v>
      </c>
      <c r="C646" t="str">
        <f>"15-5-BR-22"</f>
        <v>15-5-BR-22</v>
      </c>
      <c r="D646" t="s">
        <v>37</v>
      </c>
      <c r="F646" t="s">
        <v>22</v>
      </c>
      <c r="H646">
        <v>22</v>
      </c>
      <c r="J646" s="1">
        <v>32.5</v>
      </c>
      <c r="K646" s="1">
        <v>0</v>
      </c>
      <c r="M646" s="1">
        <v>0</v>
      </c>
      <c r="O646" s="1">
        <v>0</v>
      </c>
      <c r="Q646" s="2">
        <v>32.5</v>
      </c>
    </row>
    <row r="647" spans="1:17" x14ac:dyDescent="0.25">
      <c r="A647" t="s">
        <v>31</v>
      </c>
      <c r="B647" t="s">
        <v>36</v>
      </c>
      <c r="C647" t="str">
        <f>"15-5-BR-24"</f>
        <v>15-5-BR-24</v>
      </c>
      <c r="D647" t="s">
        <v>37</v>
      </c>
      <c r="F647" t="s">
        <v>22</v>
      </c>
      <c r="H647">
        <v>24</v>
      </c>
      <c r="J647" s="1">
        <v>32.5</v>
      </c>
      <c r="K647" s="1">
        <v>0</v>
      </c>
      <c r="M647" s="1">
        <v>0</v>
      </c>
      <c r="O647" s="1">
        <v>0</v>
      </c>
      <c r="Q647" s="2">
        <v>32.5</v>
      </c>
    </row>
    <row r="648" spans="1:17" x14ac:dyDescent="0.25">
      <c r="A648" t="s">
        <v>31</v>
      </c>
      <c r="B648" t="s">
        <v>36</v>
      </c>
      <c r="C648" t="str">
        <f>"15-5-BR-26"</f>
        <v>15-5-BR-26</v>
      </c>
      <c r="D648" t="s">
        <v>37</v>
      </c>
      <c r="F648" t="s">
        <v>22</v>
      </c>
      <c r="H648">
        <v>26</v>
      </c>
      <c r="J648" s="1">
        <v>32.5</v>
      </c>
      <c r="K648" s="1">
        <v>0</v>
      </c>
      <c r="M648" s="1">
        <v>0</v>
      </c>
      <c r="O648" s="1">
        <v>0</v>
      </c>
      <c r="Q648" s="2">
        <v>32.5</v>
      </c>
    </row>
    <row r="649" spans="1:17" x14ac:dyDescent="0.25">
      <c r="A649" t="s">
        <v>31</v>
      </c>
      <c r="B649" t="s">
        <v>36</v>
      </c>
      <c r="C649" t="str">
        <f>"15-5-BR-28"</f>
        <v>15-5-BR-28</v>
      </c>
      <c r="D649" t="s">
        <v>37</v>
      </c>
      <c r="F649" t="s">
        <v>22</v>
      </c>
      <c r="H649">
        <v>28</v>
      </c>
      <c r="J649" s="1">
        <v>32.5</v>
      </c>
      <c r="K649" s="1">
        <v>0</v>
      </c>
      <c r="M649" s="1">
        <v>0</v>
      </c>
      <c r="O649" s="1">
        <v>0</v>
      </c>
      <c r="Q649" s="2">
        <v>32.5</v>
      </c>
    </row>
    <row r="650" spans="1:17" x14ac:dyDescent="0.25">
      <c r="A650" t="s">
        <v>31</v>
      </c>
      <c r="B650" t="s">
        <v>36</v>
      </c>
      <c r="C650" t="str">
        <f>"15-5-BR-30"</f>
        <v>15-5-BR-30</v>
      </c>
      <c r="D650" t="s">
        <v>37</v>
      </c>
      <c r="F650" t="s">
        <v>22</v>
      </c>
      <c r="H650">
        <v>30</v>
      </c>
      <c r="J650" s="1">
        <v>32.5</v>
      </c>
      <c r="K650" s="1">
        <v>0</v>
      </c>
      <c r="M650" s="1">
        <v>0</v>
      </c>
      <c r="O650" s="1">
        <v>0</v>
      </c>
      <c r="Q650" s="2">
        <v>32.5</v>
      </c>
    </row>
    <row r="651" spans="1:17" x14ac:dyDescent="0.25">
      <c r="A651" t="s">
        <v>31</v>
      </c>
      <c r="B651" t="s">
        <v>36</v>
      </c>
      <c r="C651" t="str">
        <f>"15-5-BR-32"</f>
        <v>15-5-BR-32</v>
      </c>
      <c r="D651" t="s">
        <v>37</v>
      </c>
      <c r="F651" t="s">
        <v>22</v>
      </c>
      <c r="H651">
        <v>32</v>
      </c>
      <c r="J651" s="1">
        <v>32.5</v>
      </c>
      <c r="K651" s="1">
        <v>0</v>
      </c>
      <c r="M651" s="1">
        <v>0</v>
      </c>
      <c r="O651" s="1">
        <v>0</v>
      </c>
      <c r="Q651" s="2">
        <v>32.5</v>
      </c>
    </row>
    <row r="652" spans="1:17" x14ac:dyDescent="0.25">
      <c r="A652" t="s">
        <v>31</v>
      </c>
      <c r="B652" t="s">
        <v>36</v>
      </c>
      <c r="C652" t="str">
        <f>"15-5-BR-34"</f>
        <v>15-5-BR-34</v>
      </c>
      <c r="D652" t="s">
        <v>37</v>
      </c>
      <c r="F652" t="s">
        <v>22</v>
      </c>
      <c r="H652">
        <v>34</v>
      </c>
      <c r="J652" s="1">
        <v>32.5</v>
      </c>
      <c r="K652" s="1">
        <v>0</v>
      </c>
      <c r="M652" s="1">
        <v>0</v>
      </c>
      <c r="O652" s="1">
        <v>0</v>
      </c>
      <c r="Q652" s="2">
        <v>32.5</v>
      </c>
    </row>
    <row r="653" spans="1:17" x14ac:dyDescent="0.25">
      <c r="A653" t="s">
        <v>31</v>
      </c>
      <c r="B653" t="s">
        <v>36</v>
      </c>
      <c r="C653" t="str">
        <f>"15-5-BR-36"</f>
        <v>15-5-BR-36</v>
      </c>
      <c r="D653" t="s">
        <v>37</v>
      </c>
      <c r="F653" t="s">
        <v>22</v>
      </c>
      <c r="H653">
        <v>36</v>
      </c>
      <c r="J653" s="1">
        <v>32.5</v>
      </c>
      <c r="K653" s="1">
        <v>0</v>
      </c>
      <c r="M653" s="1">
        <v>0</v>
      </c>
      <c r="O653" s="1">
        <v>0</v>
      </c>
      <c r="Q653" s="2">
        <v>32.5</v>
      </c>
    </row>
    <row r="654" spans="1:17" x14ac:dyDescent="0.25">
      <c r="A654" t="s">
        <v>31</v>
      </c>
      <c r="B654" t="s">
        <v>36</v>
      </c>
      <c r="C654" t="str">
        <f>"15-5-BR-38"</f>
        <v>15-5-BR-38</v>
      </c>
      <c r="D654" t="s">
        <v>37</v>
      </c>
      <c r="F654" t="s">
        <v>22</v>
      </c>
      <c r="H654">
        <v>38</v>
      </c>
      <c r="J654" s="1">
        <v>32.5</v>
      </c>
      <c r="K654" s="1">
        <v>0</v>
      </c>
      <c r="M654" s="1">
        <v>0</v>
      </c>
      <c r="O654" s="1">
        <v>0</v>
      </c>
      <c r="Q654" s="2">
        <v>32.5</v>
      </c>
    </row>
    <row r="655" spans="1:17" x14ac:dyDescent="0.25">
      <c r="A655" t="s">
        <v>31</v>
      </c>
      <c r="B655" t="s">
        <v>36</v>
      </c>
      <c r="C655" t="str">
        <f>"15-5-BR-40"</f>
        <v>15-5-BR-40</v>
      </c>
      <c r="D655" t="s">
        <v>37</v>
      </c>
      <c r="F655" t="s">
        <v>22</v>
      </c>
      <c r="H655">
        <v>40</v>
      </c>
      <c r="J655" s="1">
        <v>32.5</v>
      </c>
      <c r="K655" s="1">
        <v>0</v>
      </c>
      <c r="M655" s="1">
        <v>0</v>
      </c>
      <c r="O655" s="1">
        <v>0</v>
      </c>
      <c r="Q655" s="2">
        <v>32.5</v>
      </c>
    </row>
    <row r="656" spans="1:17" x14ac:dyDescent="0.25">
      <c r="A656" t="s">
        <v>31</v>
      </c>
      <c r="B656" t="s">
        <v>36</v>
      </c>
      <c r="C656" t="str">
        <f>"15-5-BR-42"</f>
        <v>15-5-BR-42</v>
      </c>
      <c r="D656" t="s">
        <v>37</v>
      </c>
      <c r="F656" t="s">
        <v>22</v>
      </c>
      <c r="H656">
        <v>42</v>
      </c>
      <c r="J656" s="1">
        <v>32.5</v>
      </c>
      <c r="K656" s="1">
        <v>0</v>
      </c>
      <c r="M656" s="1">
        <v>0</v>
      </c>
      <c r="O656" s="1">
        <v>0</v>
      </c>
      <c r="Q656" s="2">
        <v>32.5</v>
      </c>
    </row>
    <row r="657" spans="1:17" x14ac:dyDescent="0.25">
      <c r="A657" t="s">
        <v>31</v>
      </c>
      <c r="B657" t="s">
        <v>36</v>
      </c>
      <c r="C657" t="str">
        <f>"15-5-BR-44"</f>
        <v>15-5-BR-44</v>
      </c>
      <c r="D657" t="s">
        <v>37</v>
      </c>
      <c r="F657" t="s">
        <v>22</v>
      </c>
      <c r="H657">
        <v>44</v>
      </c>
      <c r="J657" s="1">
        <v>32.5</v>
      </c>
      <c r="K657" s="1">
        <v>0</v>
      </c>
      <c r="M657" s="1">
        <v>0</v>
      </c>
      <c r="O657" s="1">
        <v>0</v>
      </c>
      <c r="Q657" s="2">
        <v>32.5</v>
      </c>
    </row>
    <row r="658" spans="1:17" x14ac:dyDescent="0.25">
      <c r="A658" t="s">
        <v>31</v>
      </c>
      <c r="B658" t="s">
        <v>36</v>
      </c>
      <c r="C658" t="str">
        <f>"15-5-BR-46"</f>
        <v>15-5-BR-46</v>
      </c>
      <c r="D658" t="s">
        <v>37</v>
      </c>
      <c r="F658" t="s">
        <v>22</v>
      </c>
      <c r="H658">
        <v>46</v>
      </c>
      <c r="J658" s="1">
        <v>32.5</v>
      </c>
      <c r="K658" s="1">
        <v>0</v>
      </c>
      <c r="M658" s="1">
        <v>0</v>
      </c>
      <c r="O658" s="1">
        <v>0</v>
      </c>
      <c r="Q658" s="2">
        <v>32.5</v>
      </c>
    </row>
    <row r="659" spans="1:17" x14ac:dyDescent="0.25">
      <c r="A659" t="s">
        <v>31</v>
      </c>
      <c r="B659" t="s">
        <v>36</v>
      </c>
      <c r="C659" t="str">
        <f>"15-5-BR-48"</f>
        <v>15-5-BR-48</v>
      </c>
      <c r="D659" t="s">
        <v>37</v>
      </c>
      <c r="F659" t="s">
        <v>22</v>
      </c>
      <c r="H659">
        <v>48</v>
      </c>
      <c r="J659" s="1">
        <v>32.5</v>
      </c>
      <c r="K659" s="1">
        <v>0</v>
      </c>
      <c r="M659" s="1">
        <v>0</v>
      </c>
      <c r="O659" s="1">
        <v>4</v>
      </c>
      <c r="Q659" s="2">
        <v>36.5</v>
      </c>
    </row>
    <row r="660" spans="1:17" x14ac:dyDescent="0.25">
      <c r="A660" t="s">
        <v>31</v>
      </c>
      <c r="B660" t="s">
        <v>36</v>
      </c>
      <c r="C660" t="str">
        <f>"15-5-BR-50"</f>
        <v>15-5-BR-50</v>
      </c>
      <c r="D660" t="s">
        <v>37</v>
      </c>
      <c r="F660" t="s">
        <v>22</v>
      </c>
      <c r="H660">
        <v>50</v>
      </c>
      <c r="J660" s="1">
        <v>32.5</v>
      </c>
      <c r="K660" s="1">
        <v>0</v>
      </c>
      <c r="M660" s="1">
        <v>0</v>
      </c>
      <c r="O660" s="1">
        <v>6</v>
      </c>
      <c r="Q660" s="2">
        <v>38.5</v>
      </c>
    </row>
    <row r="661" spans="1:17" x14ac:dyDescent="0.25">
      <c r="A661" t="s">
        <v>31</v>
      </c>
      <c r="B661" t="s">
        <v>36</v>
      </c>
      <c r="C661" t="str">
        <f>"15-5-BR-52"</f>
        <v>15-5-BR-52</v>
      </c>
      <c r="D661" t="s">
        <v>37</v>
      </c>
      <c r="F661" t="s">
        <v>22</v>
      </c>
      <c r="H661">
        <v>52</v>
      </c>
      <c r="J661" s="1">
        <v>32.5</v>
      </c>
      <c r="K661" s="1">
        <v>0</v>
      </c>
      <c r="M661" s="1">
        <v>0</v>
      </c>
      <c r="O661" s="1">
        <v>8</v>
      </c>
      <c r="Q661" s="2">
        <v>40.5</v>
      </c>
    </row>
    <row r="662" spans="1:17" x14ac:dyDescent="0.25">
      <c r="A662" t="s">
        <v>31</v>
      </c>
      <c r="B662" t="s">
        <v>36</v>
      </c>
      <c r="C662" t="str">
        <f>"15-5-BR-54"</f>
        <v>15-5-BR-54</v>
      </c>
      <c r="D662" t="s">
        <v>37</v>
      </c>
      <c r="F662" t="s">
        <v>22</v>
      </c>
      <c r="H662">
        <v>54</v>
      </c>
      <c r="J662" s="1">
        <v>32.5</v>
      </c>
      <c r="K662" s="1">
        <v>0</v>
      </c>
      <c r="M662" s="1">
        <v>0</v>
      </c>
      <c r="O662" s="1">
        <v>10</v>
      </c>
      <c r="Q662" s="2">
        <v>42.5</v>
      </c>
    </row>
    <row r="663" spans="1:17" x14ac:dyDescent="0.25">
      <c r="A663" t="s">
        <v>31</v>
      </c>
      <c r="B663" t="s">
        <v>36</v>
      </c>
      <c r="C663" t="str">
        <f>"15-5-BR-56"</f>
        <v>15-5-BR-56</v>
      </c>
      <c r="D663" t="s">
        <v>37</v>
      </c>
      <c r="F663" t="s">
        <v>22</v>
      </c>
      <c r="H663">
        <v>56</v>
      </c>
      <c r="J663" s="1">
        <v>32.5</v>
      </c>
      <c r="K663" s="1">
        <v>0</v>
      </c>
      <c r="M663" s="1">
        <v>0</v>
      </c>
      <c r="O663" s="1">
        <v>12</v>
      </c>
      <c r="Q663" s="2">
        <v>44.5</v>
      </c>
    </row>
    <row r="664" spans="1:17" x14ac:dyDescent="0.25">
      <c r="A664" t="s">
        <v>31</v>
      </c>
      <c r="B664" t="s">
        <v>36</v>
      </c>
      <c r="C664" t="str">
        <f>"15-5-BR-58"</f>
        <v>15-5-BR-58</v>
      </c>
      <c r="D664" t="s">
        <v>37</v>
      </c>
      <c r="F664" t="s">
        <v>22</v>
      </c>
      <c r="H664">
        <v>58</v>
      </c>
      <c r="J664" s="1">
        <v>32.5</v>
      </c>
      <c r="K664" s="1">
        <v>0</v>
      </c>
      <c r="M664" s="1">
        <v>0</v>
      </c>
      <c r="O664" s="1">
        <v>14</v>
      </c>
      <c r="Q664" s="2">
        <v>46.5</v>
      </c>
    </row>
    <row r="665" spans="1:17" x14ac:dyDescent="0.25">
      <c r="A665" t="s">
        <v>31</v>
      </c>
      <c r="B665" t="s">
        <v>36</v>
      </c>
      <c r="C665" t="str">
        <f>"15-5-BR-60"</f>
        <v>15-5-BR-60</v>
      </c>
      <c r="D665" t="s">
        <v>37</v>
      </c>
      <c r="F665" t="s">
        <v>22</v>
      </c>
      <c r="H665">
        <v>60</v>
      </c>
      <c r="J665" s="1">
        <v>32.5</v>
      </c>
      <c r="K665" s="1">
        <v>0</v>
      </c>
      <c r="M665" s="1">
        <v>0</v>
      </c>
      <c r="O665" s="1">
        <v>16</v>
      </c>
      <c r="Q665" s="2">
        <v>48.5</v>
      </c>
    </row>
    <row r="666" spans="1:17" x14ac:dyDescent="0.25">
      <c r="A666" t="s">
        <v>31</v>
      </c>
      <c r="B666" t="s">
        <v>36</v>
      </c>
      <c r="C666" t="str">
        <f>"15-5-BR-62"</f>
        <v>15-5-BR-62</v>
      </c>
      <c r="D666" t="s">
        <v>37</v>
      </c>
      <c r="F666" t="s">
        <v>22</v>
      </c>
      <c r="H666">
        <v>62</v>
      </c>
      <c r="J666" s="1">
        <v>32.5</v>
      </c>
      <c r="K666" s="1">
        <v>0</v>
      </c>
      <c r="M666" s="1">
        <v>0</v>
      </c>
      <c r="O666" s="1">
        <v>18</v>
      </c>
      <c r="Q666" s="2">
        <v>50.5</v>
      </c>
    </row>
    <row r="667" spans="1:17" x14ac:dyDescent="0.25">
      <c r="A667" t="s">
        <v>31</v>
      </c>
      <c r="B667" t="s">
        <v>36</v>
      </c>
      <c r="C667" t="str">
        <f>"15-5-BR-64"</f>
        <v>15-5-BR-64</v>
      </c>
      <c r="D667" t="s">
        <v>37</v>
      </c>
      <c r="F667" t="s">
        <v>22</v>
      </c>
      <c r="H667">
        <v>64</v>
      </c>
      <c r="J667" s="1">
        <v>32.5</v>
      </c>
      <c r="K667" s="1">
        <v>0</v>
      </c>
      <c r="M667" s="1">
        <v>0</v>
      </c>
      <c r="O667" s="1">
        <v>35</v>
      </c>
      <c r="Q667" s="2">
        <v>67.5</v>
      </c>
    </row>
    <row r="668" spans="1:17" x14ac:dyDescent="0.25">
      <c r="A668" t="s">
        <v>31</v>
      </c>
      <c r="B668" t="s">
        <v>36</v>
      </c>
      <c r="C668" t="str">
        <f>"15-5-BR-66"</f>
        <v>15-5-BR-66</v>
      </c>
      <c r="D668" t="s">
        <v>37</v>
      </c>
      <c r="F668" t="s">
        <v>22</v>
      </c>
      <c r="H668">
        <v>66</v>
      </c>
      <c r="J668" s="1">
        <v>32.5</v>
      </c>
      <c r="K668" s="1">
        <v>0</v>
      </c>
      <c r="M668" s="1">
        <v>0</v>
      </c>
      <c r="O668" s="1">
        <v>35</v>
      </c>
      <c r="Q668" s="2">
        <v>67.5</v>
      </c>
    </row>
    <row r="669" spans="1:17" x14ac:dyDescent="0.25">
      <c r="A669" t="s">
        <v>31</v>
      </c>
      <c r="B669" t="s">
        <v>36</v>
      </c>
      <c r="C669" t="str">
        <f>"15-5-BR-68"</f>
        <v>15-5-BR-68</v>
      </c>
      <c r="D669" t="s">
        <v>37</v>
      </c>
      <c r="F669" t="s">
        <v>22</v>
      </c>
      <c r="H669">
        <v>68</v>
      </c>
      <c r="J669" s="1">
        <v>32.5</v>
      </c>
      <c r="K669" s="1">
        <v>0</v>
      </c>
      <c r="M669" s="1">
        <v>0</v>
      </c>
      <c r="O669" s="1">
        <v>35</v>
      </c>
      <c r="Q669" s="2">
        <v>67.5</v>
      </c>
    </row>
    <row r="670" spans="1:17" x14ac:dyDescent="0.25">
      <c r="A670" t="s">
        <v>31</v>
      </c>
      <c r="B670" t="s">
        <v>36</v>
      </c>
      <c r="C670" t="str">
        <f>"15-5-BR-70"</f>
        <v>15-5-BR-70</v>
      </c>
      <c r="D670" t="s">
        <v>37</v>
      </c>
      <c r="F670" t="s">
        <v>22</v>
      </c>
      <c r="H670">
        <v>70</v>
      </c>
      <c r="J670" s="1">
        <v>32.5</v>
      </c>
      <c r="K670" s="1">
        <v>0</v>
      </c>
      <c r="M670" s="1">
        <v>0</v>
      </c>
      <c r="O670" s="1">
        <v>35</v>
      </c>
      <c r="Q670" s="2">
        <v>67.5</v>
      </c>
    </row>
    <row r="671" spans="1:17" x14ac:dyDescent="0.25">
      <c r="A671" t="s">
        <v>31</v>
      </c>
      <c r="B671" t="s">
        <v>36</v>
      </c>
      <c r="C671" t="str">
        <f>"15-5-BR-72"</f>
        <v>15-5-BR-72</v>
      </c>
      <c r="D671" t="s">
        <v>37</v>
      </c>
      <c r="F671" t="s">
        <v>22</v>
      </c>
      <c r="H671">
        <v>72</v>
      </c>
      <c r="J671" s="1">
        <v>32.5</v>
      </c>
      <c r="K671" s="1">
        <v>0</v>
      </c>
      <c r="M671" s="1">
        <v>0</v>
      </c>
      <c r="O671" s="1">
        <v>35</v>
      </c>
      <c r="Q671" s="2">
        <v>67.5</v>
      </c>
    </row>
    <row r="672" spans="1:17" x14ac:dyDescent="0.25">
      <c r="A672" t="s">
        <v>31</v>
      </c>
      <c r="B672" t="s">
        <v>36</v>
      </c>
      <c r="C672" t="str">
        <f>"15-5-BR-74"</f>
        <v>15-5-BR-74</v>
      </c>
      <c r="D672" t="s">
        <v>37</v>
      </c>
      <c r="F672" t="s">
        <v>22</v>
      </c>
      <c r="H672">
        <v>74</v>
      </c>
      <c r="J672" s="1">
        <v>32.5</v>
      </c>
      <c r="K672" s="1">
        <v>0</v>
      </c>
      <c r="M672" s="1">
        <v>0</v>
      </c>
      <c r="O672" s="1">
        <v>35</v>
      </c>
      <c r="Q672" s="2">
        <v>67.5</v>
      </c>
    </row>
    <row r="673" spans="1:17" x14ac:dyDescent="0.25">
      <c r="A673" t="s">
        <v>31</v>
      </c>
      <c r="B673" t="s">
        <v>36</v>
      </c>
      <c r="C673" t="str">
        <f>"15-5-BR-76"</f>
        <v>15-5-BR-76</v>
      </c>
      <c r="D673" t="s">
        <v>37</v>
      </c>
      <c r="F673" t="s">
        <v>22</v>
      </c>
      <c r="H673">
        <v>76</v>
      </c>
      <c r="J673" s="1">
        <v>32.5</v>
      </c>
      <c r="K673" s="1">
        <v>0</v>
      </c>
      <c r="M673" s="1">
        <v>0</v>
      </c>
      <c r="O673" s="1">
        <v>35</v>
      </c>
      <c r="Q673" s="2">
        <v>67.5</v>
      </c>
    </row>
    <row r="674" spans="1:17" x14ac:dyDescent="0.25">
      <c r="A674" t="s">
        <v>31</v>
      </c>
      <c r="B674" t="s">
        <v>36</v>
      </c>
      <c r="C674" t="str">
        <f>"15-5-BR-78"</f>
        <v>15-5-BR-78</v>
      </c>
      <c r="D674" t="s">
        <v>37</v>
      </c>
      <c r="F674" t="s">
        <v>22</v>
      </c>
      <c r="H674">
        <v>78</v>
      </c>
      <c r="J674" s="1">
        <v>32.5</v>
      </c>
      <c r="K674" s="1">
        <v>0</v>
      </c>
      <c r="M674" s="1">
        <v>0</v>
      </c>
      <c r="O674" s="1">
        <v>35</v>
      </c>
      <c r="Q674" s="2">
        <v>67.5</v>
      </c>
    </row>
    <row r="675" spans="1:17" x14ac:dyDescent="0.25">
      <c r="A675" t="s">
        <v>31</v>
      </c>
      <c r="B675" t="s">
        <v>36</v>
      </c>
      <c r="C675" t="str">
        <f>"15-5-BR-80"</f>
        <v>15-5-BR-80</v>
      </c>
      <c r="D675" t="s">
        <v>37</v>
      </c>
      <c r="F675" t="s">
        <v>22</v>
      </c>
      <c r="H675">
        <v>80</v>
      </c>
      <c r="J675" s="1">
        <v>32.5</v>
      </c>
      <c r="K675" s="1">
        <v>0</v>
      </c>
      <c r="M675" s="1">
        <v>0</v>
      </c>
      <c r="O675" s="1">
        <v>35</v>
      </c>
      <c r="Q675" s="2">
        <v>67.5</v>
      </c>
    </row>
    <row r="676" spans="1:17" x14ac:dyDescent="0.25">
      <c r="A676" t="s">
        <v>31</v>
      </c>
      <c r="B676" t="s">
        <v>36</v>
      </c>
      <c r="C676" t="str">
        <f>"15-5-CH-22"</f>
        <v>15-5-CH-22</v>
      </c>
      <c r="D676" t="s">
        <v>37</v>
      </c>
      <c r="F676" t="s">
        <v>23</v>
      </c>
      <c r="H676">
        <v>22</v>
      </c>
      <c r="J676" s="1">
        <v>32.5</v>
      </c>
      <c r="K676" s="1">
        <v>0</v>
      </c>
      <c r="M676" s="1">
        <v>0</v>
      </c>
      <c r="O676" s="1">
        <v>0</v>
      </c>
      <c r="Q676" s="2">
        <v>32.5</v>
      </c>
    </row>
    <row r="677" spans="1:17" x14ac:dyDescent="0.25">
      <c r="A677" t="s">
        <v>31</v>
      </c>
      <c r="B677" t="s">
        <v>36</v>
      </c>
      <c r="C677" t="str">
        <f>"15-5-CH-24"</f>
        <v>15-5-CH-24</v>
      </c>
      <c r="D677" t="s">
        <v>37</v>
      </c>
      <c r="F677" t="s">
        <v>23</v>
      </c>
      <c r="H677">
        <v>24</v>
      </c>
      <c r="J677" s="1">
        <v>32.5</v>
      </c>
      <c r="K677" s="1">
        <v>0</v>
      </c>
      <c r="M677" s="1">
        <v>0</v>
      </c>
      <c r="O677" s="1">
        <v>0</v>
      </c>
      <c r="Q677" s="2">
        <v>32.5</v>
      </c>
    </row>
    <row r="678" spans="1:17" x14ac:dyDescent="0.25">
      <c r="A678" t="s">
        <v>31</v>
      </c>
      <c r="B678" t="s">
        <v>36</v>
      </c>
      <c r="C678" t="str">
        <f>"15-5-CH-26"</f>
        <v>15-5-CH-26</v>
      </c>
      <c r="D678" t="s">
        <v>37</v>
      </c>
      <c r="F678" t="s">
        <v>23</v>
      </c>
      <c r="H678">
        <v>26</v>
      </c>
      <c r="J678" s="1">
        <v>32.5</v>
      </c>
      <c r="K678" s="1">
        <v>0</v>
      </c>
      <c r="M678" s="1">
        <v>0</v>
      </c>
      <c r="O678" s="1">
        <v>0</v>
      </c>
      <c r="Q678" s="2">
        <v>32.5</v>
      </c>
    </row>
    <row r="679" spans="1:17" x14ac:dyDescent="0.25">
      <c r="A679" t="s">
        <v>31</v>
      </c>
      <c r="B679" t="s">
        <v>36</v>
      </c>
      <c r="C679" t="str">
        <f>"15-5-CH-28"</f>
        <v>15-5-CH-28</v>
      </c>
      <c r="D679" t="s">
        <v>37</v>
      </c>
      <c r="F679" t="s">
        <v>23</v>
      </c>
      <c r="H679">
        <v>28</v>
      </c>
      <c r="J679" s="1">
        <v>32.5</v>
      </c>
      <c r="K679" s="1">
        <v>0</v>
      </c>
      <c r="M679" s="1">
        <v>0</v>
      </c>
      <c r="O679" s="1">
        <v>0</v>
      </c>
      <c r="Q679" s="2">
        <v>32.5</v>
      </c>
    </row>
    <row r="680" spans="1:17" x14ac:dyDescent="0.25">
      <c r="A680" t="s">
        <v>31</v>
      </c>
      <c r="B680" t="s">
        <v>36</v>
      </c>
      <c r="C680" t="str">
        <f>"15-5-CH-30"</f>
        <v>15-5-CH-30</v>
      </c>
      <c r="D680" t="s">
        <v>37</v>
      </c>
      <c r="F680" t="s">
        <v>23</v>
      </c>
      <c r="H680">
        <v>30</v>
      </c>
      <c r="J680" s="1">
        <v>32.5</v>
      </c>
      <c r="K680" s="1">
        <v>0</v>
      </c>
      <c r="M680" s="1">
        <v>0</v>
      </c>
      <c r="O680" s="1">
        <v>0</v>
      </c>
      <c r="Q680" s="2">
        <v>32.5</v>
      </c>
    </row>
    <row r="681" spans="1:17" x14ac:dyDescent="0.25">
      <c r="A681" t="s">
        <v>31</v>
      </c>
      <c r="B681" t="s">
        <v>36</v>
      </c>
      <c r="C681" t="str">
        <f>"15-5-CH-32"</f>
        <v>15-5-CH-32</v>
      </c>
      <c r="D681" t="s">
        <v>37</v>
      </c>
      <c r="F681" t="s">
        <v>23</v>
      </c>
      <c r="H681">
        <v>32</v>
      </c>
      <c r="J681" s="1">
        <v>32.5</v>
      </c>
      <c r="K681" s="1">
        <v>0</v>
      </c>
      <c r="M681" s="1">
        <v>0</v>
      </c>
      <c r="O681" s="1">
        <v>0</v>
      </c>
      <c r="Q681" s="2">
        <v>32.5</v>
      </c>
    </row>
    <row r="682" spans="1:17" x14ac:dyDescent="0.25">
      <c r="A682" t="s">
        <v>31</v>
      </c>
      <c r="B682" t="s">
        <v>36</v>
      </c>
      <c r="C682" t="str">
        <f>"15-5-CH-34"</f>
        <v>15-5-CH-34</v>
      </c>
      <c r="D682" t="s">
        <v>37</v>
      </c>
      <c r="F682" t="s">
        <v>23</v>
      </c>
      <c r="H682">
        <v>34</v>
      </c>
      <c r="J682" s="1">
        <v>32.5</v>
      </c>
      <c r="K682" s="1">
        <v>0</v>
      </c>
      <c r="M682" s="1">
        <v>0</v>
      </c>
      <c r="O682" s="1">
        <v>0</v>
      </c>
      <c r="Q682" s="2">
        <v>32.5</v>
      </c>
    </row>
    <row r="683" spans="1:17" x14ac:dyDescent="0.25">
      <c r="A683" t="s">
        <v>31</v>
      </c>
      <c r="B683" t="s">
        <v>36</v>
      </c>
      <c r="C683" t="str">
        <f>"15-5-CH-36"</f>
        <v>15-5-CH-36</v>
      </c>
      <c r="D683" t="s">
        <v>37</v>
      </c>
      <c r="F683" t="s">
        <v>23</v>
      </c>
      <c r="H683">
        <v>36</v>
      </c>
      <c r="J683" s="1">
        <v>32.5</v>
      </c>
      <c r="K683" s="1">
        <v>0</v>
      </c>
      <c r="M683" s="1">
        <v>0</v>
      </c>
      <c r="O683" s="1">
        <v>0</v>
      </c>
      <c r="Q683" s="2">
        <v>32.5</v>
      </c>
    </row>
    <row r="684" spans="1:17" x14ac:dyDescent="0.25">
      <c r="A684" t="s">
        <v>31</v>
      </c>
      <c r="B684" t="s">
        <v>36</v>
      </c>
      <c r="C684" t="str">
        <f>"15-5-CH-38"</f>
        <v>15-5-CH-38</v>
      </c>
      <c r="D684" t="s">
        <v>37</v>
      </c>
      <c r="F684" t="s">
        <v>23</v>
      </c>
      <c r="H684">
        <v>38</v>
      </c>
      <c r="J684" s="1">
        <v>32.5</v>
      </c>
      <c r="K684" s="1">
        <v>0</v>
      </c>
      <c r="M684" s="1">
        <v>0</v>
      </c>
      <c r="O684" s="1">
        <v>0</v>
      </c>
      <c r="Q684" s="2">
        <v>32.5</v>
      </c>
    </row>
    <row r="685" spans="1:17" x14ac:dyDescent="0.25">
      <c r="A685" t="s">
        <v>31</v>
      </c>
      <c r="B685" t="s">
        <v>36</v>
      </c>
      <c r="C685" t="str">
        <f>"15-5-CH-40"</f>
        <v>15-5-CH-40</v>
      </c>
      <c r="D685" t="s">
        <v>37</v>
      </c>
      <c r="F685" t="s">
        <v>23</v>
      </c>
      <c r="H685">
        <v>40</v>
      </c>
      <c r="J685" s="1">
        <v>32.5</v>
      </c>
      <c r="K685" s="1">
        <v>0</v>
      </c>
      <c r="M685" s="1">
        <v>0</v>
      </c>
      <c r="O685" s="1">
        <v>0</v>
      </c>
      <c r="Q685" s="2">
        <v>32.5</v>
      </c>
    </row>
    <row r="686" spans="1:17" x14ac:dyDescent="0.25">
      <c r="A686" t="s">
        <v>31</v>
      </c>
      <c r="B686" t="s">
        <v>36</v>
      </c>
      <c r="C686" t="str">
        <f>"15-5-CH-42"</f>
        <v>15-5-CH-42</v>
      </c>
      <c r="D686" t="s">
        <v>37</v>
      </c>
      <c r="F686" t="s">
        <v>23</v>
      </c>
      <c r="H686">
        <v>42</v>
      </c>
      <c r="J686" s="1">
        <v>32.5</v>
      </c>
      <c r="K686" s="1">
        <v>0</v>
      </c>
      <c r="M686" s="1">
        <v>0</v>
      </c>
      <c r="O686" s="1">
        <v>0</v>
      </c>
      <c r="Q686" s="2">
        <v>32.5</v>
      </c>
    </row>
    <row r="687" spans="1:17" x14ac:dyDescent="0.25">
      <c r="A687" t="s">
        <v>31</v>
      </c>
      <c r="B687" t="s">
        <v>36</v>
      </c>
      <c r="C687" t="str">
        <f>"15-5-CH-44"</f>
        <v>15-5-CH-44</v>
      </c>
      <c r="D687" t="s">
        <v>37</v>
      </c>
      <c r="F687" t="s">
        <v>23</v>
      </c>
      <c r="H687">
        <v>44</v>
      </c>
      <c r="J687" s="1">
        <v>32.5</v>
      </c>
      <c r="K687" s="1">
        <v>0</v>
      </c>
      <c r="M687" s="1">
        <v>0</v>
      </c>
      <c r="O687" s="1">
        <v>0</v>
      </c>
      <c r="Q687" s="2">
        <v>32.5</v>
      </c>
    </row>
    <row r="688" spans="1:17" x14ac:dyDescent="0.25">
      <c r="A688" t="s">
        <v>31</v>
      </c>
      <c r="B688" t="s">
        <v>36</v>
      </c>
      <c r="C688" t="str">
        <f>"15-5-CH-46"</f>
        <v>15-5-CH-46</v>
      </c>
      <c r="D688" t="s">
        <v>37</v>
      </c>
      <c r="F688" t="s">
        <v>23</v>
      </c>
      <c r="H688">
        <v>46</v>
      </c>
      <c r="J688" s="1">
        <v>32.5</v>
      </c>
      <c r="K688" s="1">
        <v>0</v>
      </c>
      <c r="M688" s="1">
        <v>0</v>
      </c>
      <c r="O688" s="1">
        <v>0</v>
      </c>
      <c r="Q688" s="2">
        <v>32.5</v>
      </c>
    </row>
    <row r="689" spans="1:17" x14ac:dyDescent="0.25">
      <c r="A689" t="s">
        <v>31</v>
      </c>
      <c r="B689" t="s">
        <v>36</v>
      </c>
      <c r="C689" t="str">
        <f>"15-5-CH-48"</f>
        <v>15-5-CH-48</v>
      </c>
      <c r="D689" t="s">
        <v>37</v>
      </c>
      <c r="F689" t="s">
        <v>23</v>
      </c>
      <c r="H689">
        <v>48</v>
      </c>
      <c r="J689" s="1">
        <v>32.5</v>
      </c>
      <c r="K689" s="1">
        <v>0</v>
      </c>
      <c r="M689" s="1">
        <v>0</v>
      </c>
      <c r="O689" s="1">
        <v>4</v>
      </c>
      <c r="Q689" s="2">
        <v>36.5</v>
      </c>
    </row>
    <row r="690" spans="1:17" x14ac:dyDescent="0.25">
      <c r="A690" t="s">
        <v>31</v>
      </c>
      <c r="B690" t="s">
        <v>36</v>
      </c>
      <c r="C690" t="str">
        <f>"15-5-CH-50"</f>
        <v>15-5-CH-50</v>
      </c>
      <c r="D690" t="s">
        <v>37</v>
      </c>
      <c r="F690" t="s">
        <v>23</v>
      </c>
      <c r="H690">
        <v>50</v>
      </c>
      <c r="J690" s="1">
        <v>32.5</v>
      </c>
      <c r="K690" s="1">
        <v>0</v>
      </c>
      <c r="M690" s="1">
        <v>0</v>
      </c>
      <c r="O690" s="1">
        <v>6</v>
      </c>
      <c r="Q690" s="2">
        <v>38.5</v>
      </c>
    </row>
    <row r="691" spans="1:17" x14ac:dyDescent="0.25">
      <c r="A691" t="s">
        <v>31</v>
      </c>
      <c r="B691" t="s">
        <v>36</v>
      </c>
      <c r="C691" t="str">
        <f>"15-5-CH-52"</f>
        <v>15-5-CH-52</v>
      </c>
      <c r="D691" t="s">
        <v>37</v>
      </c>
      <c r="F691" t="s">
        <v>23</v>
      </c>
      <c r="H691">
        <v>52</v>
      </c>
      <c r="J691" s="1">
        <v>32.5</v>
      </c>
      <c r="K691" s="1">
        <v>0</v>
      </c>
      <c r="M691" s="1">
        <v>0</v>
      </c>
      <c r="O691" s="1">
        <v>8</v>
      </c>
      <c r="Q691" s="2">
        <v>40.5</v>
      </c>
    </row>
    <row r="692" spans="1:17" x14ac:dyDescent="0.25">
      <c r="A692" t="s">
        <v>31</v>
      </c>
      <c r="B692" t="s">
        <v>36</v>
      </c>
      <c r="C692" t="str">
        <f>"15-5-CH-54"</f>
        <v>15-5-CH-54</v>
      </c>
      <c r="D692" t="s">
        <v>37</v>
      </c>
      <c r="F692" t="s">
        <v>23</v>
      </c>
      <c r="H692">
        <v>54</v>
      </c>
      <c r="J692" s="1">
        <v>32.5</v>
      </c>
      <c r="K692" s="1">
        <v>0</v>
      </c>
      <c r="M692" s="1">
        <v>0</v>
      </c>
      <c r="O692" s="1">
        <v>10</v>
      </c>
      <c r="Q692" s="2">
        <v>42.5</v>
      </c>
    </row>
    <row r="693" spans="1:17" x14ac:dyDescent="0.25">
      <c r="A693" t="s">
        <v>31</v>
      </c>
      <c r="B693" t="s">
        <v>36</v>
      </c>
      <c r="C693" t="str">
        <f>"15-5-CH-56"</f>
        <v>15-5-CH-56</v>
      </c>
      <c r="D693" t="s">
        <v>37</v>
      </c>
      <c r="F693" t="s">
        <v>23</v>
      </c>
      <c r="H693">
        <v>56</v>
      </c>
      <c r="J693" s="1">
        <v>32.5</v>
      </c>
      <c r="K693" s="1">
        <v>0</v>
      </c>
      <c r="M693" s="1">
        <v>0</v>
      </c>
      <c r="O693" s="1">
        <v>12</v>
      </c>
      <c r="Q693" s="2">
        <v>44.5</v>
      </c>
    </row>
    <row r="694" spans="1:17" x14ac:dyDescent="0.25">
      <c r="A694" t="s">
        <v>31</v>
      </c>
      <c r="B694" t="s">
        <v>36</v>
      </c>
      <c r="C694" t="str">
        <f>"15-5-CH-58"</f>
        <v>15-5-CH-58</v>
      </c>
      <c r="D694" t="s">
        <v>37</v>
      </c>
      <c r="F694" t="s">
        <v>23</v>
      </c>
      <c r="H694">
        <v>58</v>
      </c>
      <c r="J694" s="1">
        <v>32.5</v>
      </c>
      <c r="K694" s="1">
        <v>0</v>
      </c>
      <c r="M694" s="1">
        <v>0</v>
      </c>
      <c r="O694" s="1">
        <v>14</v>
      </c>
      <c r="Q694" s="2">
        <v>46.5</v>
      </c>
    </row>
    <row r="695" spans="1:17" x14ac:dyDescent="0.25">
      <c r="A695" t="s">
        <v>31</v>
      </c>
      <c r="B695" t="s">
        <v>36</v>
      </c>
      <c r="C695" t="str">
        <f>"15-5-CH-60"</f>
        <v>15-5-CH-60</v>
      </c>
      <c r="D695" t="s">
        <v>37</v>
      </c>
      <c r="F695" t="s">
        <v>23</v>
      </c>
      <c r="H695">
        <v>60</v>
      </c>
      <c r="J695" s="1">
        <v>32.5</v>
      </c>
      <c r="K695" s="1">
        <v>0</v>
      </c>
      <c r="M695" s="1">
        <v>0</v>
      </c>
      <c r="O695" s="1">
        <v>16</v>
      </c>
      <c r="Q695" s="2">
        <v>48.5</v>
      </c>
    </row>
    <row r="696" spans="1:17" x14ac:dyDescent="0.25">
      <c r="A696" t="s">
        <v>31</v>
      </c>
      <c r="B696" t="s">
        <v>36</v>
      </c>
      <c r="C696" t="str">
        <f>"15-5-CH-62"</f>
        <v>15-5-CH-62</v>
      </c>
      <c r="D696" t="s">
        <v>37</v>
      </c>
      <c r="F696" t="s">
        <v>23</v>
      </c>
      <c r="H696">
        <v>62</v>
      </c>
      <c r="J696" s="1">
        <v>32.5</v>
      </c>
      <c r="K696" s="1">
        <v>0</v>
      </c>
      <c r="M696" s="1">
        <v>0</v>
      </c>
      <c r="O696" s="1">
        <v>18</v>
      </c>
      <c r="Q696" s="2">
        <v>50.5</v>
      </c>
    </row>
    <row r="697" spans="1:17" x14ac:dyDescent="0.25">
      <c r="A697" t="s">
        <v>31</v>
      </c>
      <c r="B697" t="s">
        <v>36</v>
      </c>
      <c r="C697" t="str">
        <f>"15-5-CH-64"</f>
        <v>15-5-CH-64</v>
      </c>
      <c r="D697" t="s">
        <v>37</v>
      </c>
      <c r="F697" t="s">
        <v>23</v>
      </c>
      <c r="H697">
        <v>64</v>
      </c>
      <c r="J697" s="1">
        <v>32.5</v>
      </c>
      <c r="K697" s="1">
        <v>0</v>
      </c>
      <c r="M697" s="1">
        <v>0</v>
      </c>
      <c r="O697" s="1">
        <v>35</v>
      </c>
      <c r="Q697" s="2">
        <v>67.5</v>
      </c>
    </row>
    <row r="698" spans="1:17" x14ac:dyDescent="0.25">
      <c r="A698" t="s">
        <v>31</v>
      </c>
      <c r="B698" t="s">
        <v>36</v>
      </c>
      <c r="C698" t="str">
        <f>"15-5-CH-66"</f>
        <v>15-5-CH-66</v>
      </c>
      <c r="D698" t="s">
        <v>37</v>
      </c>
      <c r="F698" t="s">
        <v>23</v>
      </c>
      <c r="H698">
        <v>66</v>
      </c>
      <c r="J698" s="1">
        <v>32.5</v>
      </c>
      <c r="K698" s="1">
        <v>0</v>
      </c>
      <c r="M698" s="1">
        <v>0</v>
      </c>
      <c r="O698" s="1">
        <v>35</v>
      </c>
      <c r="Q698" s="2">
        <v>67.5</v>
      </c>
    </row>
    <row r="699" spans="1:17" x14ac:dyDescent="0.25">
      <c r="A699" t="s">
        <v>31</v>
      </c>
      <c r="B699" t="s">
        <v>36</v>
      </c>
      <c r="C699" t="str">
        <f>"15-5-CH-68"</f>
        <v>15-5-CH-68</v>
      </c>
      <c r="D699" t="s">
        <v>37</v>
      </c>
      <c r="F699" t="s">
        <v>23</v>
      </c>
      <c r="H699">
        <v>68</v>
      </c>
      <c r="J699" s="1">
        <v>32.5</v>
      </c>
      <c r="K699" s="1">
        <v>0</v>
      </c>
      <c r="M699" s="1">
        <v>0</v>
      </c>
      <c r="O699" s="1">
        <v>35</v>
      </c>
      <c r="Q699" s="2">
        <v>67.5</v>
      </c>
    </row>
    <row r="700" spans="1:17" x14ac:dyDescent="0.25">
      <c r="A700" t="s">
        <v>31</v>
      </c>
      <c r="B700" t="s">
        <v>36</v>
      </c>
      <c r="C700" t="str">
        <f>"15-5-CH-70"</f>
        <v>15-5-CH-70</v>
      </c>
      <c r="D700" t="s">
        <v>37</v>
      </c>
      <c r="F700" t="s">
        <v>23</v>
      </c>
      <c r="H700">
        <v>70</v>
      </c>
      <c r="J700" s="1">
        <v>32.5</v>
      </c>
      <c r="K700" s="1">
        <v>0</v>
      </c>
      <c r="M700" s="1">
        <v>0</v>
      </c>
      <c r="O700" s="1">
        <v>35</v>
      </c>
      <c r="Q700" s="2">
        <v>67.5</v>
      </c>
    </row>
    <row r="701" spans="1:17" x14ac:dyDescent="0.25">
      <c r="A701" t="s">
        <v>31</v>
      </c>
      <c r="B701" t="s">
        <v>36</v>
      </c>
      <c r="C701" t="str">
        <f>"15-5-CH-72"</f>
        <v>15-5-CH-72</v>
      </c>
      <c r="D701" t="s">
        <v>37</v>
      </c>
      <c r="F701" t="s">
        <v>23</v>
      </c>
      <c r="H701">
        <v>72</v>
      </c>
      <c r="J701" s="1">
        <v>32.5</v>
      </c>
      <c r="K701" s="1">
        <v>0</v>
      </c>
      <c r="M701" s="1">
        <v>0</v>
      </c>
      <c r="O701" s="1">
        <v>35</v>
      </c>
      <c r="Q701" s="2">
        <v>67.5</v>
      </c>
    </row>
    <row r="702" spans="1:17" x14ac:dyDescent="0.25">
      <c r="A702" t="s">
        <v>31</v>
      </c>
      <c r="B702" t="s">
        <v>36</v>
      </c>
      <c r="C702" t="str">
        <f>"15-5-CH-74"</f>
        <v>15-5-CH-74</v>
      </c>
      <c r="D702" t="s">
        <v>37</v>
      </c>
      <c r="F702" t="s">
        <v>23</v>
      </c>
      <c r="H702">
        <v>74</v>
      </c>
      <c r="J702" s="1">
        <v>32.5</v>
      </c>
      <c r="K702" s="1">
        <v>0</v>
      </c>
      <c r="M702" s="1">
        <v>0</v>
      </c>
      <c r="O702" s="1">
        <v>35</v>
      </c>
      <c r="Q702" s="2">
        <v>67.5</v>
      </c>
    </row>
    <row r="703" spans="1:17" x14ac:dyDescent="0.25">
      <c r="A703" t="s">
        <v>31</v>
      </c>
      <c r="B703" t="s">
        <v>36</v>
      </c>
      <c r="C703" t="str">
        <f>"15-5-CH-76"</f>
        <v>15-5-CH-76</v>
      </c>
      <c r="D703" t="s">
        <v>37</v>
      </c>
      <c r="F703" t="s">
        <v>23</v>
      </c>
      <c r="H703">
        <v>76</v>
      </c>
      <c r="J703" s="1">
        <v>32.5</v>
      </c>
      <c r="K703" s="1">
        <v>0</v>
      </c>
      <c r="M703" s="1">
        <v>0</v>
      </c>
      <c r="O703" s="1">
        <v>35</v>
      </c>
      <c r="Q703" s="2">
        <v>67.5</v>
      </c>
    </row>
    <row r="704" spans="1:17" x14ac:dyDescent="0.25">
      <c r="A704" t="s">
        <v>31</v>
      </c>
      <c r="B704" t="s">
        <v>36</v>
      </c>
      <c r="C704" t="str">
        <f>"15-5-CH-78"</f>
        <v>15-5-CH-78</v>
      </c>
      <c r="D704" t="s">
        <v>37</v>
      </c>
      <c r="F704" t="s">
        <v>23</v>
      </c>
      <c r="H704">
        <v>78</v>
      </c>
      <c r="J704" s="1">
        <v>32.5</v>
      </c>
      <c r="K704" s="1">
        <v>0</v>
      </c>
      <c r="M704" s="1">
        <v>0</v>
      </c>
      <c r="O704" s="1">
        <v>35</v>
      </c>
      <c r="Q704" s="2">
        <v>67.5</v>
      </c>
    </row>
    <row r="705" spans="1:17" x14ac:dyDescent="0.25">
      <c r="A705" t="s">
        <v>31</v>
      </c>
      <c r="B705" t="s">
        <v>36</v>
      </c>
      <c r="C705" t="str">
        <f>"15-5-CH-80"</f>
        <v>15-5-CH-80</v>
      </c>
      <c r="D705" t="s">
        <v>37</v>
      </c>
      <c r="F705" t="s">
        <v>23</v>
      </c>
      <c r="H705">
        <v>80</v>
      </c>
      <c r="J705" s="1">
        <v>32.5</v>
      </c>
      <c r="K705" s="1">
        <v>0</v>
      </c>
      <c r="M705" s="1">
        <v>0</v>
      </c>
      <c r="O705" s="1">
        <v>35</v>
      </c>
      <c r="Q705" s="2">
        <v>67.5</v>
      </c>
    </row>
    <row r="706" spans="1:17" x14ac:dyDescent="0.25">
      <c r="A706" t="s">
        <v>31</v>
      </c>
      <c r="B706" t="s">
        <v>38</v>
      </c>
      <c r="C706" t="str">
        <f>"14-1-BR-22"</f>
        <v>14-1-BR-22</v>
      </c>
      <c r="D706" t="s">
        <v>19</v>
      </c>
      <c r="F706" t="s">
        <v>22</v>
      </c>
      <c r="H706">
        <v>22</v>
      </c>
      <c r="J706" s="1">
        <v>35.5</v>
      </c>
      <c r="K706" s="1">
        <v>0</v>
      </c>
      <c r="M706" s="1">
        <v>0</v>
      </c>
      <c r="O706" s="1">
        <v>0</v>
      </c>
      <c r="Q706" s="2">
        <v>35.5</v>
      </c>
    </row>
    <row r="707" spans="1:17" x14ac:dyDescent="0.25">
      <c r="A707" t="s">
        <v>31</v>
      </c>
      <c r="B707" t="s">
        <v>38</v>
      </c>
      <c r="C707" t="str">
        <f>"14-1-BR-24"</f>
        <v>14-1-BR-24</v>
      </c>
      <c r="D707" t="s">
        <v>19</v>
      </c>
      <c r="F707" t="s">
        <v>22</v>
      </c>
      <c r="H707">
        <v>24</v>
      </c>
      <c r="J707" s="1">
        <v>35.5</v>
      </c>
      <c r="K707" s="1">
        <v>0</v>
      </c>
      <c r="M707" s="1">
        <v>0</v>
      </c>
      <c r="O707" s="1">
        <v>0</v>
      </c>
      <c r="Q707" s="2">
        <v>35.5</v>
      </c>
    </row>
    <row r="708" spans="1:17" x14ac:dyDescent="0.25">
      <c r="A708" t="s">
        <v>31</v>
      </c>
      <c r="B708" t="s">
        <v>38</v>
      </c>
      <c r="C708" t="str">
        <f>"14-1-BR-26"</f>
        <v>14-1-BR-26</v>
      </c>
      <c r="D708" t="s">
        <v>19</v>
      </c>
      <c r="F708" t="s">
        <v>22</v>
      </c>
      <c r="H708">
        <v>26</v>
      </c>
      <c r="J708" s="1">
        <v>35.5</v>
      </c>
      <c r="K708" s="1">
        <v>0</v>
      </c>
      <c r="M708" s="1">
        <v>0</v>
      </c>
      <c r="O708" s="1">
        <v>0</v>
      </c>
      <c r="Q708" s="2">
        <v>35.5</v>
      </c>
    </row>
    <row r="709" spans="1:17" x14ac:dyDescent="0.25">
      <c r="A709" t="s">
        <v>31</v>
      </c>
      <c r="B709" t="s">
        <v>38</v>
      </c>
      <c r="C709" t="str">
        <f>"14-1-BR-28"</f>
        <v>14-1-BR-28</v>
      </c>
      <c r="D709" t="s">
        <v>19</v>
      </c>
      <c r="F709" t="s">
        <v>22</v>
      </c>
      <c r="H709">
        <v>28</v>
      </c>
      <c r="J709" s="1">
        <v>35.5</v>
      </c>
      <c r="K709" s="1">
        <v>0</v>
      </c>
      <c r="M709" s="1">
        <v>0</v>
      </c>
      <c r="O709" s="1">
        <v>0</v>
      </c>
      <c r="Q709" s="2">
        <v>35.5</v>
      </c>
    </row>
    <row r="710" spans="1:17" x14ac:dyDescent="0.25">
      <c r="A710" t="s">
        <v>31</v>
      </c>
      <c r="B710" t="s">
        <v>38</v>
      </c>
      <c r="C710" t="str">
        <f>"14-1-BR-30"</f>
        <v>14-1-BR-30</v>
      </c>
      <c r="D710" t="s">
        <v>19</v>
      </c>
      <c r="F710" t="s">
        <v>22</v>
      </c>
      <c r="H710">
        <v>30</v>
      </c>
      <c r="J710" s="1">
        <v>35.5</v>
      </c>
      <c r="K710" s="1">
        <v>0</v>
      </c>
      <c r="M710" s="1">
        <v>0</v>
      </c>
      <c r="O710" s="1">
        <v>0</v>
      </c>
      <c r="Q710" s="2">
        <v>35.5</v>
      </c>
    </row>
    <row r="711" spans="1:17" x14ac:dyDescent="0.25">
      <c r="A711" t="s">
        <v>31</v>
      </c>
      <c r="B711" t="s">
        <v>38</v>
      </c>
      <c r="C711" t="str">
        <f>"14-1-BR-32"</f>
        <v>14-1-BR-32</v>
      </c>
      <c r="D711" t="s">
        <v>19</v>
      </c>
      <c r="F711" t="s">
        <v>22</v>
      </c>
      <c r="H711">
        <v>32</v>
      </c>
      <c r="J711" s="1">
        <v>35.5</v>
      </c>
      <c r="K711" s="1">
        <v>0</v>
      </c>
      <c r="M711" s="1">
        <v>0</v>
      </c>
      <c r="O711" s="1">
        <v>0</v>
      </c>
      <c r="Q711" s="2">
        <v>35.5</v>
      </c>
    </row>
    <row r="712" spans="1:17" x14ac:dyDescent="0.25">
      <c r="A712" t="s">
        <v>31</v>
      </c>
      <c r="B712" t="s">
        <v>38</v>
      </c>
      <c r="C712" t="str">
        <f>"14-1-BR-34"</f>
        <v>14-1-BR-34</v>
      </c>
      <c r="D712" t="s">
        <v>19</v>
      </c>
      <c r="F712" t="s">
        <v>22</v>
      </c>
      <c r="H712">
        <v>34</v>
      </c>
      <c r="J712" s="1">
        <v>35.5</v>
      </c>
      <c r="K712" s="1">
        <v>0</v>
      </c>
      <c r="M712" s="1">
        <v>0</v>
      </c>
      <c r="O712" s="1">
        <v>0</v>
      </c>
      <c r="Q712" s="2">
        <v>35.5</v>
      </c>
    </row>
    <row r="713" spans="1:17" x14ac:dyDescent="0.25">
      <c r="A713" t="s">
        <v>31</v>
      </c>
      <c r="B713" t="s">
        <v>38</v>
      </c>
      <c r="C713" t="str">
        <f>"14-1-BR-36"</f>
        <v>14-1-BR-36</v>
      </c>
      <c r="D713" t="s">
        <v>19</v>
      </c>
      <c r="F713" t="s">
        <v>22</v>
      </c>
      <c r="H713">
        <v>36</v>
      </c>
      <c r="J713" s="1">
        <v>35.5</v>
      </c>
      <c r="K713" s="1">
        <v>0</v>
      </c>
      <c r="M713" s="1">
        <v>0</v>
      </c>
      <c r="O713" s="1">
        <v>0</v>
      </c>
      <c r="Q713" s="2">
        <v>35.5</v>
      </c>
    </row>
    <row r="714" spans="1:17" x14ac:dyDescent="0.25">
      <c r="A714" t="s">
        <v>31</v>
      </c>
      <c r="B714" t="s">
        <v>38</v>
      </c>
      <c r="C714" t="str">
        <f>"14-1-BR-38"</f>
        <v>14-1-BR-38</v>
      </c>
      <c r="D714" t="s">
        <v>19</v>
      </c>
      <c r="F714" t="s">
        <v>22</v>
      </c>
      <c r="H714">
        <v>38</v>
      </c>
      <c r="J714" s="1">
        <v>35.5</v>
      </c>
      <c r="K714" s="1">
        <v>0</v>
      </c>
      <c r="M714" s="1">
        <v>0</v>
      </c>
      <c r="O714" s="1">
        <v>0</v>
      </c>
      <c r="Q714" s="2">
        <v>35.5</v>
      </c>
    </row>
    <row r="715" spans="1:17" x14ac:dyDescent="0.25">
      <c r="A715" t="s">
        <v>31</v>
      </c>
      <c r="B715" t="s">
        <v>38</v>
      </c>
      <c r="C715" t="str">
        <f>"14-1-BR-40"</f>
        <v>14-1-BR-40</v>
      </c>
      <c r="D715" t="s">
        <v>19</v>
      </c>
      <c r="F715" t="s">
        <v>22</v>
      </c>
      <c r="H715">
        <v>40</v>
      </c>
      <c r="J715" s="1">
        <v>35.5</v>
      </c>
      <c r="K715" s="1">
        <v>0</v>
      </c>
      <c r="M715" s="1">
        <v>0</v>
      </c>
      <c r="O715" s="1">
        <v>0</v>
      </c>
      <c r="Q715" s="2">
        <v>35.5</v>
      </c>
    </row>
    <row r="716" spans="1:17" x14ac:dyDescent="0.25">
      <c r="A716" t="s">
        <v>31</v>
      </c>
      <c r="B716" t="s">
        <v>38</v>
      </c>
      <c r="C716" t="str">
        <f>"14-1-BR-42"</f>
        <v>14-1-BR-42</v>
      </c>
      <c r="D716" t="s">
        <v>19</v>
      </c>
      <c r="F716" t="s">
        <v>22</v>
      </c>
      <c r="H716">
        <v>42</v>
      </c>
      <c r="J716" s="1">
        <v>35.5</v>
      </c>
      <c r="K716" s="1">
        <v>0</v>
      </c>
      <c r="M716" s="1">
        <v>0</v>
      </c>
      <c r="O716" s="1">
        <v>0</v>
      </c>
      <c r="Q716" s="2">
        <v>35.5</v>
      </c>
    </row>
    <row r="717" spans="1:17" x14ac:dyDescent="0.25">
      <c r="A717" t="s">
        <v>31</v>
      </c>
      <c r="B717" t="s">
        <v>38</v>
      </c>
      <c r="C717" t="str">
        <f>"14-1-BR-44"</f>
        <v>14-1-BR-44</v>
      </c>
      <c r="D717" t="s">
        <v>19</v>
      </c>
      <c r="F717" t="s">
        <v>22</v>
      </c>
      <c r="H717">
        <v>44</v>
      </c>
      <c r="J717" s="1">
        <v>35.5</v>
      </c>
      <c r="K717" s="1">
        <v>0</v>
      </c>
      <c r="M717" s="1">
        <v>0</v>
      </c>
      <c r="O717" s="1">
        <v>0</v>
      </c>
      <c r="Q717" s="2">
        <v>35.5</v>
      </c>
    </row>
    <row r="718" spans="1:17" x14ac:dyDescent="0.25">
      <c r="A718" t="s">
        <v>31</v>
      </c>
      <c r="B718" t="s">
        <v>38</v>
      </c>
      <c r="C718" t="str">
        <f>"14-1-BR-46"</f>
        <v>14-1-BR-46</v>
      </c>
      <c r="D718" t="s">
        <v>19</v>
      </c>
      <c r="F718" t="s">
        <v>22</v>
      </c>
      <c r="H718">
        <v>46</v>
      </c>
      <c r="J718" s="1">
        <v>35.5</v>
      </c>
      <c r="K718" s="1">
        <v>0</v>
      </c>
      <c r="M718" s="1">
        <v>0</v>
      </c>
      <c r="O718" s="1">
        <v>0</v>
      </c>
      <c r="Q718" s="2">
        <v>35.5</v>
      </c>
    </row>
    <row r="719" spans="1:17" x14ac:dyDescent="0.25">
      <c r="A719" t="s">
        <v>31</v>
      </c>
      <c r="B719" t="s">
        <v>38</v>
      </c>
      <c r="C719" t="str">
        <f>"14-1-BR-48"</f>
        <v>14-1-BR-48</v>
      </c>
      <c r="D719" t="s">
        <v>19</v>
      </c>
      <c r="F719" t="s">
        <v>22</v>
      </c>
      <c r="H719">
        <v>48</v>
      </c>
      <c r="J719" s="1">
        <v>35.5</v>
      </c>
      <c r="K719" s="1">
        <v>0</v>
      </c>
      <c r="M719" s="1">
        <v>0</v>
      </c>
      <c r="O719" s="1">
        <v>4</v>
      </c>
      <c r="Q719" s="2">
        <v>39.5</v>
      </c>
    </row>
    <row r="720" spans="1:17" x14ac:dyDescent="0.25">
      <c r="A720" t="s">
        <v>31</v>
      </c>
      <c r="B720" t="s">
        <v>38</v>
      </c>
      <c r="C720" t="str">
        <f>"14-1-BR-50"</f>
        <v>14-1-BR-50</v>
      </c>
      <c r="D720" t="s">
        <v>19</v>
      </c>
      <c r="F720" t="s">
        <v>22</v>
      </c>
      <c r="H720">
        <v>50</v>
      </c>
      <c r="J720" s="1">
        <v>35.5</v>
      </c>
      <c r="K720" s="1">
        <v>0</v>
      </c>
      <c r="M720" s="1">
        <v>0</v>
      </c>
      <c r="O720" s="1">
        <v>6</v>
      </c>
      <c r="Q720" s="2">
        <v>41.5</v>
      </c>
    </row>
    <row r="721" spans="1:17" x14ac:dyDescent="0.25">
      <c r="A721" t="s">
        <v>31</v>
      </c>
      <c r="B721" t="s">
        <v>38</v>
      </c>
      <c r="C721" t="str">
        <f>"14-1-BR-52"</f>
        <v>14-1-BR-52</v>
      </c>
      <c r="D721" t="s">
        <v>19</v>
      </c>
      <c r="F721" t="s">
        <v>22</v>
      </c>
      <c r="H721">
        <v>52</v>
      </c>
      <c r="J721" s="1">
        <v>35.5</v>
      </c>
      <c r="K721" s="1">
        <v>0</v>
      </c>
      <c r="M721" s="1">
        <v>0</v>
      </c>
      <c r="O721" s="1">
        <v>8</v>
      </c>
      <c r="Q721" s="2">
        <v>43.5</v>
      </c>
    </row>
    <row r="722" spans="1:17" x14ac:dyDescent="0.25">
      <c r="A722" t="s">
        <v>31</v>
      </c>
      <c r="B722" t="s">
        <v>38</v>
      </c>
      <c r="C722" t="str">
        <f>"14-1-BR-54"</f>
        <v>14-1-BR-54</v>
      </c>
      <c r="D722" t="s">
        <v>19</v>
      </c>
      <c r="F722" t="s">
        <v>22</v>
      </c>
      <c r="H722">
        <v>54</v>
      </c>
      <c r="J722" s="1">
        <v>35.5</v>
      </c>
      <c r="K722" s="1">
        <v>0</v>
      </c>
      <c r="M722" s="1">
        <v>0</v>
      </c>
      <c r="O722" s="1">
        <v>10</v>
      </c>
      <c r="Q722" s="2">
        <v>45.5</v>
      </c>
    </row>
    <row r="723" spans="1:17" x14ac:dyDescent="0.25">
      <c r="A723" t="s">
        <v>31</v>
      </c>
      <c r="B723" t="s">
        <v>38</v>
      </c>
      <c r="C723" t="str">
        <f>"14-1-BR-56"</f>
        <v>14-1-BR-56</v>
      </c>
      <c r="D723" t="s">
        <v>19</v>
      </c>
      <c r="F723" t="s">
        <v>22</v>
      </c>
      <c r="H723">
        <v>56</v>
      </c>
      <c r="J723" s="1">
        <v>35.5</v>
      </c>
      <c r="K723" s="1">
        <v>0</v>
      </c>
      <c r="M723" s="1">
        <v>0</v>
      </c>
      <c r="O723" s="1">
        <v>12</v>
      </c>
      <c r="Q723" s="2">
        <v>47.5</v>
      </c>
    </row>
    <row r="724" spans="1:17" x14ac:dyDescent="0.25">
      <c r="A724" t="s">
        <v>31</v>
      </c>
      <c r="B724" t="s">
        <v>38</v>
      </c>
      <c r="C724" t="str">
        <f>"14-1-BR-58"</f>
        <v>14-1-BR-58</v>
      </c>
      <c r="D724" t="s">
        <v>19</v>
      </c>
      <c r="F724" t="s">
        <v>22</v>
      </c>
      <c r="H724">
        <v>58</v>
      </c>
      <c r="J724" s="1">
        <v>35.5</v>
      </c>
      <c r="K724" s="1">
        <v>0</v>
      </c>
      <c r="M724" s="1">
        <v>0</v>
      </c>
      <c r="O724" s="1">
        <v>14</v>
      </c>
      <c r="Q724" s="2">
        <v>49.5</v>
      </c>
    </row>
    <row r="725" spans="1:17" x14ac:dyDescent="0.25">
      <c r="A725" t="s">
        <v>31</v>
      </c>
      <c r="B725" t="s">
        <v>38</v>
      </c>
      <c r="C725" t="str">
        <f>"14-1-BR-60"</f>
        <v>14-1-BR-60</v>
      </c>
      <c r="D725" t="s">
        <v>19</v>
      </c>
      <c r="F725" t="s">
        <v>22</v>
      </c>
      <c r="H725">
        <v>60</v>
      </c>
      <c r="J725" s="1">
        <v>35.5</v>
      </c>
      <c r="K725" s="1">
        <v>0</v>
      </c>
      <c r="M725" s="1">
        <v>0</v>
      </c>
      <c r="O725" s="1">
        <v>16</v>
      </c>
      <c r="Q725" s="2">
        <v>51.5</v>
      </c>
    </row>
    <row r="726" spans="1:17" x14ac:dyDescent="0.25">
      <c r="A726" t="s">
        <v>31</v>
      </c>
      <c r="B726" t="s">
        <v>38</v>
      </c>
      <c r="C726" t="str">
        <f>"14-1-BR-62"</f>
        <v>14-1-BR-62</v>
      </c>
      <c r="D726" t="s">
        <v>19</v>
      </c>
      <c r="F726" t="s">
        <v>22</v>
      </c>
      <c r="H726">
        <v>62</v>
      </c>
      <c r="J726" s="1">
        <v>35.5</v>
      </c>
      <c r="K726" s="1">
        <v>0</v>
      </c>
      <c r="M726" s="1">
        <v>0</v>
      </c>
      <c r="O726" s="1">
        <v>18</v>
      </c>
      <c r="Q726" s="2">
        <v>53.5</v>
      </c>
    </row>
    <row r="727" spans="1:17" x14ac:dyDescent="0.25">
      <c r="A727" t="s">
        <v>31</v>
      </c>
      <c r="B727" t="s">
        <v>38</v>
      </c>
      <c r="C727" t="str">
        <f>"14-1-BR-64"</f>
        <v>14-1-BR-64</v>
      </c>
      <c r="D727" t="s">
        <v>19</v>
      </c>
      <c r="F727" t="s">
        <v>22</v>
      </c>
      <c r="H727">
        <v>64</v>
      </c>
      <c r="J727" s="1">
        <v>35.5</v>
      </c>
      <c r="K727" s="1">
        <v>0</v>
      </c>
      <c r="M727" s="1">
        <v>0</v>
      </c>
      <c r="O727" s="1">
        <v>35</v>
      </c>
      <c r="Q727" s="2">
        <v>70.5</v>
      </c>
    </row>
    <row r="728" spans="1:17" x14ac:dyDescent="0.25">
      <c r="A728" t="s">
        <v>31</v>
      </c>
      <c r="B728" t="s">
        <v>38</v>
      </c>
      <c r="C728" t="str">
        <f>"14-1-BR-66"</f>
        <v>14-1-BR-66</v>
      </c>
      <c r="D728" t="s">
        <v>19</v>
      </c>
      <c r="F728" t="s">
        <v>22</v>
      </c>
      <c r="H728">
        <v>66</v>
      </c>
      <c r="J728" s="1">
        <v>35.5</v>
      </c>
      <c r="K728" s="1">
        <v>0</v>
      </c>
      <c r="M728" s="1">
        <v>0</v>
      </c>
      <c r="O728" s="1">
        <v>35</v>
      </c>
      <c r="Q728" s="2">
        <v>70.5</v>
      </c>
    </row>
    <row r="729" spans="1:17" x14ac:dyDescent="0.25">
      <c r="A729" t="s">
        <v>31</v>
      </c>
      <c r="B729" t="s">
        <v>38</v>
      </c>
      <c r="C729" t="str">
        <f>"14-1-BR-68"</f>
        <v>14-1-BR-68</v>
      </c>
      <c r="D729" t="s">
        <v>19</v>
      </c>
      <c r="F729" t="s">
        <v>22</v>
      </c>
      <c r="H729">
        <v>68</v>
      </c>
      <c r="J729" s="1">
        <v>35.5</v>
      </c>
      <c r="K729" s="1">
        <v>0</v>
      </c>
      <c r="M729" s="1">
        <v>0</v>
      </c>
      <c r="O729" s="1">
        <v>35</v>
      </c>
      <c r="Q729" s="2">
        <v>70.5</v>
      </c>
    </row>
    <row r="730" spans="1:17" x14ac:dyDescent="0.25">
      <c r="A730" t="s">
        <v>31</v>
      </c>
      <c r="B730" t="s">
        <v>38</v>
      </c>
      <c r="C730" t="str">
        <f>"14-1-BR-70"</f>
        <v>14-1-BR-70</v>
      </c>
      <c r="D730" t="s">
        <v>19</v>
      </c>
      <c r="F730" t="s">
        <v>22</v>
      </c>
      <c r="H730">
        <v>70</v>
      </c>
      <c r="J730" s="1">
        <v>35.5</v>
      </c>
      <c r="K730" s="1">
        <v>0</v>
      </c>
      <c r="M730" s="1">
        <v>0</v>
      </c>
      <c r="O730" s="1">
        <v>35</v>
      </c>
      <c r="Q730" s="2">
        <v>70.5</v>
      </c>
    </row>
    <row r="731" spans="1:17" x14ac:dyDescent="0.25">
      <c r="A731" t="s">
        <v>31</v>
      </c>
      <c r="B731" t="s">
        <v>38</v>
      </c>
      <c r="C731" t="str">
        <f>"14-1-BR-72"</f>
        <v>14-1-BR-72</v>
      </c>
      <c r="D731" t="s">
        <v>19</v>
      </c>
      <c r="F731" t="s">
        <v>22</v>
      </c>
      <c r="H731">
        <v>72</v>
      </c>
      <c r="J731" s="1">
        <v>35.5</v>
      </c>
      <c r="K731" s="1">
        <v>0</v>
      </c>
      <c r="M731" s="1">
        <v>0</v>
      </c>
      <c r="O731" s="1">
        <v>35</v>
      </c>
      <c r="Q731" s="2">
        <v>70.5</v>
      </c>
    </row>
    <row r="732" spans="1:17" x14ac:dyDescent="0.25">
      <c r="A732" t="s">
        <v>31</v>
      </c>
      <c r="B732" t="s">
        <v>38</v>
      </c>
      <c r="C732" t="str">
        <f>"14-1-BR-74"</f>
        <v>14-1-BR-74</v>
      </c>
      <c r="D732" t="s">
        <v>19</v>
      </c>
      <c r="F732" t="s">
        <v>22</v>
      </c>
      <c r="H732">
        <v>74</v>
      </c>
      <c r="J732" s="1">
        <v>35.5</v>
      </c>
      <c r="K732" s="1">
        <v>0</v>
      </c>
      <c r="M732" s="1">
        <v>0</v>
      </c>
      <c r="O732" s="1">
        <v>35</v>
      </c>
      <c r="Q732" s="2">
        <v>70.5</v>
      </c>
    </row>
    <row r="733" spans="1:17" x14ac:dyDescent="0.25">
      <c r="A733" t="s">
        <v>31</v>
      </c>
      <c r="B733" t="s">
        <v>38</v>
      </c>
      <c r="C733" t="str">
        <f>"14-1-BR-76"</f>
        <v>14-1-BR-76</v>
      </c>
      <c r="D733" t="s">
        <v>19</v>
      </c>
      <c r="F733" t="s">
        <v>22</v>
      </c>
      <c r="H733">
        <v>76</v>
      </c>
      <c r="J733" s="1">
        <v>35.5</v>
      </c>
      <c r="K733" s="1">
        <v>0</v>
      </c>
      <c r="M733" s="1">
        <v>0</v>
      </c>
      <c r="O733" s="1">
        <v>35</v>
      </c>
      <c r="Q733" s="2">
        <v>70.5</v>
      </c>
    </row>
    <row r="734" spans="1:17" x14ac:dyDescent="0.25">
      <c r="A734" t="s">
        <v>31</v>
      </c>
      <c r="B734" t="s">
        <v>38</v>
      </c>
      <c r="C734" t="str">
        <f>"14-1-BR-78"</f>
        <v>14-1-BR-78</v>
      </c>
      <c r="D734" t="s">
        <v>19</v>
      </c>
      <c r="F734" t="s">
        <v>22</v>
      </c>
      <c r="H734">
        <v>78</v>
      </c>
      <c r="J734" s="1">
        <v>35.5</v>
      </c>
      <c r="K734" s="1">
        <v>0</v>
      </c>
      <c r="M734" s="1">
        <v>0</v>
      </c>
      <c r="O734" s="1">
        <v>35</v>
      </c>
      <c r="Q734" s="2">
        <v>70.5</v>
      </c>
    </row>
    <row r="735" spans="1:17" x14ac:dyDescent="0.25">
      <c r="A735" t="s">
        <v>31</v>
      </c>
      <c r="B735" t="s">
        <v>38</v>
      </c>
      <c r="C735" t="str">
        <f>"14-1-BR-80"</f>
        <v>14-1-BR-80</v>
      </c>
      <c r="D735" t="s">
        <v>19</v>
      </c>
      <c r="F735" t="s">
        <v>22</v>
      </c>
      <c r="H735">
        <v>80</v>
      </c>
      <c r="J735" s="1">
        <v>35.5</v>
      </c>
      <c r="K735" s="1">
        <v>0</v>
      </c>
      <c r="M735" s="1">
        <v>0</v>
      </c>
      <c r="O735" s="1">
        <v>35</v>
      </c>
      <c r="Q735" s="2">
        <v>70.5</v>
      </c>
    </row>
    <row r="736" spans="1:17" x14ac:dyDescent="0.25">
      <c r="A736" t="s">
        <v>31</v>
      </c>
      <c r="B736" t="s">
        <v>38</v>
      </c>
      <c r="C736" t="str">
        <f>"14-1-CH-22"</f>
        <v>14-1-CH-22</v>
      </c>
      <c r="D736" t="s">
        <v>19</v>
      </c>
      <c r="F736" t="s">
        <v>23</v>
      </c>
      <c r="H736">
        <v>22</v>
      </c>
      <c r="J736" s="1">
        <v>35.5</v>
      </c>
      <c r="K736" s="1">
        <v>0</v>
      </c>
      <c r="M736" s="1">
        <v>0</v>
      </c>
      <c r="O736" s="1">
        <v>0</v>
      </c>
      <c r="Q736" s="2">
        <v>35.5</v>
      </c>
    </row>
    <row r="737" spans="1:17" x14ac:dyDescent="0.25">
      <c r="A737" t="s">
        <v>31</v>
      </c>
      <c r="B737" t="s">
        <v>38</v>
      </c>
      <c r="C737" t="str">
        <f>"14-1-CH-24"</f>
        <v>14-1-CH-24</v>
      </c>
      <c r="D737" t="s">
        <v>19</v>
      </c>
      <c r="F737" t="s">
        <v>23</v>
      </c>
      <c r="H737">
        <v>24</v>
      </c>
      <c r="J737" s="1">
        <v>35.5</v>
      </c>
      <c r="K737" s="1">
        <v>0</v>
      </c>
      <c r="M737" s="1">
        <v>0</v>
      </c>
      <c r="O737" s="1">
        <v>0</v>
      </c>
      <c r="Q737" s="2">
        <v>35.5</v>
      </c>
    </row>
    <row r="738" spans="1:17" x14ac:dyDescent="0.25">
      <c r="A738" t="s">
        <v>31</v>
      </c>
      <c r="B738" t="s">
        <v>38</v>
      </c>
      <c r="C738" t="str">
        <f>"14-1-CH-26"</f>
        <v>14-1-CH-26</v>
      </c>
      <c r="D738" t="s">
        <v>19</v>
      </c>
      <c r="F738" t="s">
        <v>23</v>
      </c>
      <c r="H738">
        <v>26</v>
      </c>
      <c r="J738" s="1">
        <v>35.5</v>
      </c>
      <c r="K738" s="1">
        <v>0</v>
      </c>
      <c r="M738" s="1">
        <v>0</v>
      </c>
      <c r="O738" s="1">
        <v>0</v>
      </c>
      <c r="Q738" s="2">
        <v>35.5</v>
      </c>
    </row>
    <row r="739" spans="1:17" x14ac:dyDescent="0.25">
      <c r="A739" t="s">
        <v>31</v>
      </c>
      <c r="B739" t="s">
        <v>38</v>
      </c>
      <c r="C739" t="str">
        <f>"14-1-CH-28"</f>
        <v>14-1-CH-28</v>
      </c>
      <c r="D739" t="s">
        <v>19</v>
      </c>
      <c r="F739" t="s">
        <v>23</v>
      </c>
      <c r="H739">
        <v>28</v>
      </c>
      <c r="J739" s="1">
        <v>35.5</v>
      </c>
      <c r="K739" s="1">
        <v>0</v>
      </c>
      <c r="M739" s="1">
        <v>0</v>
      </c>
      <c r="O739" s="1">
        <v>0</v>
      </c>
      <c r="Q739" s="2">
        <v>35.5</v>
      </c>
    </row>
    <row r="740" spans="1:17" x14ac:dyDescent="0.25">
      <c r="A740" t="s">
        <v>31</v>
      </c>
      <c r="B740" t="s">
        <v>38</v>
      </c>
      <c r="C740" t="str">
        <f>"14-1-CH-30"</f>
        <v>14-1-CH-30</v>
      </c>
      <c r="D740" t="s">
        <v>19</v>
      </c>
      <c r="F740" t="s">
        <v>23</v>
      </c>
      <c r="H740">
        <v>30</v>
      </c>
      <c r="J740" s="1">
        <v>35.5</v>
      </c>
      <c r="K740" s="1">
        <v>0</v>
      </c>
      <c r="M740" s="1">
        <v>0</v>
      </c>
      <c r="O740" s="1">
        <v>0</v>
      </c>
      <c r="Q740" s="2">
        <v>35.5</v>
      </c>
    </row>
    <row r="741" spans="1:17" x14ac:dyDescent="0.25">
      <c r="A741" t="s">
        <v>31</v>
      </c>
      <c r="B741" t="s">
        <v>38</v>
      </c>
      <c r="C741" t="str">
        <f>"14-1-CH-32"</f>
        <v>14-1-CH-32</v>
      </c>
      <c r="D741" t="s">
        <v>19</v>
      </c>
      <c r="F741" t="s">
        <v>23</v>
      </c>
      <c r="H741">
        <v>32</v>
      </c>
      <c r="J741" s="1">
        <v>35.5</v>
      </c>
      <c r="K741" s="1">
        <v>0</v>
      </c>
      <c r="M741" s="1">
        <v>0</v>
      </c>
      <c r="O741" s="1">
        <v>0</v>
      </c>
      <c r="Q741" s="2">
        <v>35.5</v>
      </c>
    </row>
    <row r="742" spans="1:17" x14ac:dyDescent="0.25">
      <c r="A742" t="s">
        <v>31</v>
      </c>
      <c r="B742" t="s">
        <v>38</v>
      </c>
      <c r="C742" t="str">
        <f>"14-1-CH-34"</f>
        <v>14-1-CH-34</v>
      </c>
      <c r="D742" t="s">
        <v>19</v>
      </c>
      <c r="F742" t="s">
        <v>23</v>
      </c>
      <c r="H742">
        <v>34</v>
      </c>
      <c r="J742" s="1">
        <v>35.5</v>
      </c>
      <c r="K742" s="1">
        <v>0</v>
      </c>
      <c r="M742" s="1">
        <v>0</v>
      </c>
      <c r="O742" s="1">
        <v>0</v>
      </c>
      <c r="Q742" s="2">
        <v>35.5</v>
      </c>
    </row>
    <row r="743" spans="1:17" x14ac:dyDescent="0.25">
      <c r="A743" t="s">
        <v>31</v>
      </c>
      <c r="B743" t="s">
        <v>38</v>
      </c>
      <c r="C743" t="str">
        <f>"14-1-CH-36"</f>
        <v>14-1-CH-36</v>
      </c>
      <c r="D743" t="s">
        <v>19</v>
      </c>
      <c r="F743" t="s">
        <v>23</v>
      </c>
      <c r="H743">
        <v>36</v>
      </c>
      <c r="J743" s="1">
        <v>35.5</v>
      </c>
      <c r="K743" s="1">
        <v>0</v>
      </c>
      <c r="M743" s="1">
        <v>0</v>
      </c>
      <c r="O743" s="1">
        <v>0</v>
      </c>
      <c r="Q743" s="2">
        <v>35.5</v>
      </c>
    </row>
    <row r="744" spans="1:17" x14ac:dyDescent="0.25">
      <c r="A744" t="s">
        <v>31</v>
      </c>
      <c r="B744" t="s">
        <v>38</v>
      </c>
      <c r="C744" t="str">
        <f>"14-1-CH-38"</f>
        <v>14-1-CH-38</v>
      </c>
      <c r="D744" t="s">
        <v>19</v>
      </c>
      <c r="F744" t="s">
        <v>23</v>
      </c>
      <c r="H744">
        <v>38</v>
      </c>
      <c r="J744" s="1">
        <v>35.5</v>
      </c>
      <c r="K744" s="1">
        <v>0</v>
      </c>
      <c r="M744" s="1">
        <v>0</v>
      </c>
      <c r="O744" s="1">
        <v>0</v>
      </c>
      <c r="Q744" s="2">
        <v>35.5</v>
      </c>
    </row>
    <row r="745" spans="1:17" x14ac:dyDescent="0.25">
      <c r="A745" t="s">
        <v>31</v>
      </c>
      <c r="B745" t="s">
        <v>38</v>
      </c>
      <c r="C745" t="str">
        <f>"14-1-CH-40"</f>
        <v>14-1-CH-40</v>
      </c>
      <c r="D745" t="s">
        <v>19</v>
      </c>
      <c r="F745" t="s">
        <v>23</v>
      </c>
      <c r="H745">
        <v>40</v>
      </c>
      <c r="J745" s="1">
        <v>35.5</v>
      </c>
      <c r="K745" s="1">
        <v>0</v>
      </c>
      <c r="M745" s="1">
        <v>0</v>
      </c>
      <c r="O745" s="1">
        <v>0</v>
      </c>
      <c r="Q745" s="2">
        <v>35.5</v>
      </c>
    </row>
    <row r="746" spans="1:17" x14ac:dyDescent="0.25">
      <c r="A746" t="s">
        <v>31</v>
      </c>
      <c r="B746" t="s">
        <v>38</v>
      </c>
      <c r="C746" t="str">
        <f>"14-1-CH-42"</f>
        <v>14-1-CH-42</v>
      </c>
      <c r="D746" t="s">
        <v>19</v>
      </c>
      <c r="F746" t="s">
        <v>23</v>
      </c>
      <c r="H746">
        <v>42</v>
      </c>
      <c r="J746" s="1">
        <v>35.5</v>
      </c>
      <c r="K746" s="1">
        <v>0</v>
      </c>
      <c r="M746" s="1">
        <v>0</v>
      </c>
      <c r="O746" s="1">
        <v>0</v>
      </c>
      <c r="Q746" s="2">
        <v>35.5</v>
      </c>
    </row>
    <row r="747" spans="1:17" x14ac:dyDescent="0.25">
      <c r="A747" t="s">
        <v>31</v>
      </c>
      <c r="B747" t="s">
        <v>38</v>
      </c>
      <c r="C747" t="str">
        <f>"14-1-CH-44"</f>
        <v>14-1-CH-44</v>
      </c>
      <c r="D747" t="s">
        <v>19</v>
      </c>
      <c r="F747" t="s">
        <v>23</v>
      </c>
      <c r="H747">
        <v>44</v>
      </c>
      <c r="J747" s="1">
        <v>35.5</v>
      </c>
      <c r="K747" s="1">
        <v>0</v>
      </c>
      <c r="M747" s="1">
        <v>0</v>
      </c>
      <c r="O747" s="1">
        <v>0</v>
      </c>
      <c r="Q747" s="2">
        <v>35.5</v>
      </c>
    </row>
    <row r="748" spans="1:17" x14ac:dyDescent="0.25">
      <c r="A748" t="s">
        <v>31</v>
      </c>
      <c r="B748" t="s">
        <v>38</v>
      </c>
      <c r="C748" t="str">
        <f>"14-1-CH-46"</f>
        <v>14-1-CH-46</v>
      </c>
      <c r="D748" t="s">
        <v>19</v>
      </c>
      <c r="F748" t="s">
        <v>23</v>
      </c>
      <c r="H748">
        <v>46</v>
      </c>
      <c r="J748" s="1">
        <v>35.5</v>
      </c>
      <c r="K748" s="1">
        <v>0</v>
      </c>
      <c r="M748" s="1">
        <v>0</v>
      </c>
      <c r="O748" s="1">
        <v>0</v>
      </c>
      <c r="Q748" s="2">
        <v>35.5</v>
      </c>
    </row>
    <row r="749" spans="1:17" x14ac:dyDescent="0.25">
      <c r="A749" t="s">
        <v>31</v>
      </c>
      <c r="B749" t="s">
        <v>38</v>
      </c>
      <c r="C749" t="str">
        <f>"14-1-CH-48"</f>
        <v>14-1-CH-48</v>
      </c>
      <c r="D749" t="s">
        <v>19</v>
      </c>
      <c r="F749" t="s">
        <v>23</v>
      </c>
      <c r="H749">
        <v>48</v>
      </c>
      <c r="J749" s="1">
        <v>35.5</v>
      </c>
      <c r="K749" s="1">
        <v>0</v>
      </c>
      <c r="M749" s="1">
        <v>0</v>
      </c>
      <c r="O749" s="1">
        <v>4</v>
      </c>
      <c r="Q749" s="2">
        <v>39.5</v>
      </c>
    </row>
    <row r="750" spans="1:17" x14ac:dyDescent="0.25">
      <c r="A750" t="s">
        <v>31</v>
      </c>
      <c r="B750" t="s">
        <v>38</v>
      </c>
      <c r="C750" t="str">
        <f>"14-1-CH-50"</f>
        <v>14-1-CH-50</v>
      </c>
      <c r="D750" t="s">
        <v>19</v>
      </c>
      <c r="F750" t="s">
        <v>23</v>
      </c>
      <c r="H750">
        <v>50</v>
      </c>
      <c r="J750" s="1">
        <v>35.5</v>
      </c>
      <c r="K750" s="1">
        <v>0</v>
      </c>
      <c r="M750" s="1">
        <v>0</v>
      </c>
      <c r="O750" s="1">
        <v>6</v>
      </c>
      <c r="Q750" s="2">
        <v>41.5</v>
      </c>
    </row>
    <row r="751" spans="1:17" x14ac:dyDescent="0.25">
      <c r="A751" t="s">
        <v>31</v>
      </c>
      <c r="B751" t="s">
        <v>38</v>
      </c>
      <c r="C751" t="str">
        <f>"14-1-CH-52"</f>
        <v>14-1-CH-52</v>
      </c>
      <c r="D751" t="s">
        <v>19</v>
      </c>
      <c r="F751" t="s">
        <v>23</v>
      </c>
      <c r="H751">
        <v>52</v>
      </c>
      <c r="J751" s="1">
        <v>35.5</v>
      </c>
      <c r="K751" s="1">
        <v>0</v>
      </c>
      <c r="M751" s="1">
        <v>0</v>
      </c>
      <c r="O751" s="1">
        <v>8</v>
      </c>
      <c r="Q751" s="2">
        <v>43.5</v>
      </c>
    </row>
    <row r="752" spans="1:17" x14ac:dyDescent="0.25">
      <c r="A752" t="s">
        <v>31</v>
      </c>
      <c r="B752" t="s">
        <v>38</v>
      </c>
      <c r="C752" t="str">
        <f>"14-1-CH-54"</f>
        <v>14-1-CH-54</v>
      </c>
      <c r="D752" t="s">
        <v>19</v>
      </c>
      <c r="F752" t="s">
        <v>23</v>
      </c>
      <c r="H752">
        <v>54</v>
      </c>
      <c r="J752" s="1">
        <v>35.5</v>
      </c>
      <c r="K752" s="1">
        <v>0</v>
      </c>
      <c r="M752" s="1">
        <v>0</v>
      </c>
      <c r="O752" s="1">
        <v>10</v>
      </c>
      <c r="Q752" s="2">
        <v>45.5</v>
      </c>
    </row>
    <row r="753" spans="1:17" x14ac:dyDescent="0.25">
      <c r="A753" t="s">
        <v>31</v>
      </c>
      <c r="B753" t="s">
        <v>38</v>
      </c>
      <c r="C753" t="str">
        <f>"14-1-CH-56"</f>
        <v>14-1-CH-56</v>
      </c>
      <c r="D753" t="s">
        <v>19</v>
      </c>
      <c r="F753" t="s">
        <v>23</v>
      </c>
      <c r="H753">
        <v>56</v>
      </c>
      <c r="J753" s="1">
        <v>35.5</v>
      </c>
      <c r="K753" s="1">
        <v>0</v>
      </c>
      <c r="M753" s="1">
        <v>0</v>
      </c>
      <c r="O753" s="1">
        <v>12</v>
      </c>
      <c r="Q753" s="2">
        <v>47.5</v>
      </c>
    </row>
    <row r="754" spans="1:17" x14ac:dyDescent="0.25">
      <c r="A754" t="s">
        <v>31</v>
      </c>
      <c r="B754" t="s">
        <v>38</v>
      </c>
      <c r="C754" t="str">
        <f>"14-1-CH-58"</f>
        <v>14-1-CH-58</v>
      </c>
      <c r="D754" t="s">
        <v>19</v>
      </c>
      <c r="F754" t="s">
        <v>23</v>
      </c>
      <c r="H754">
        <v>58</v>
      </c>
      <c r="J754" s="1">
        <v>35.5</v>
      </c>
      <c r="K754" s="1">
        <v>0</v>
      </c>
      <c r="M754" s="1">
        <v>0</v>
      </c>
      <c r="O754" s="1">
        <v>14</v>
      </c>
      <c r="Q754" s="2">
        <v>49.5</v>
      </c>
    </row>
    <row r="755" spans="1:17" x14ac:dyDescent="0.25">
      <c r="A755" t="s">
        <v>31</v>
      </c>
      <c r="B755" t="s">
        <v>38</v>
      </c>
      <c r="C755" t="str">
        <f>"14-1-CH-60"</f>
        <v>14-1-CH-60</v>
      </c>
      <c r="D755" t="s">
        <v>19</v>
      </c>
      <c r="F755" t="s">
        <v>23</v>
      </c>
      <c r="H755">
        <v>60</v>
      </c>
      <c r="J755" s="1">
        <v>35.5</v>
      </c>
      <c r="K755" s="1">
        <v>0</v>
      </c>
      <c r="M755" s="1">
        <v>0</v>
      </c>
      <c r="O755" s="1">
        <v>16</v>
      </c>
      <c r="Q755" s="2">
        <v>51.5</v>
      </c>
    </row>
    <row r="756" spans="1:17" x14ac:dyDescent="0.25">
      <c r="A756" t="s">
        <v>31</v>
      </c>
      <c r="B756" t="s">
        <v>38</v>
      </c>
      <c r="C756" t="str">
        <f>"14-1-CH-62"</f>
        <v>14-1-CH-62</v>
      </c>
      <c r="D756" t="s">
        <v>19</v>
      </c>
      <c r="F756" t="s">
        <v>23</v>
      </c>
      <c r="H756">
        <v>62</v>
      </c>
      <c r="J756" s="1">
        <v>35.5</v>
      </c>
      <c r="K756" s="1">
        <v>0</v>
      </c>
      <c r="M756" s="1">
        <v>0</v>
      </c>
      <c r="O756" s="1">
        <v>18</v>
      </c>
      <c r="Q756" s="2">
        <v>53.5</v>
      </c>
    </row>
    <row r="757" spans="1:17" x14ac:dyDescent="0.25">
      <c r="A757" t="s">
        <v>31</v>
      </c>
      <c r="B757" t="s">
        <v>38</v>
      </c>
      <c r="C757" t="str">
        <f>"14-1-CH-64"</f>
        <v>14-1-CH-64</v>
      </c>
      <c r="D757" t="s">
        <v>19</v>
      </c>
      <c r="F757" t="s">
        <v>23</v>
      </c>
      <c r="H757">
        <v>64</v>
      </c>
      <c r="J757" s="1">
        <v>35.5</v>
      </c>
      <c r="K757" s="1">
        <v>0</v>
      </c>
      <c r="M757" s="1">
        <v>0</v>
      </c>
      <c r="O757" s="1">
        <v>35</v>
      </c>
      <c r="Q757" s="2">
        <v>70.5</v>
      </c>
    </row>
    <row r="758" spans="1:17" x14ac:dyDescent="0.25">
      <c r="A758" t="s">
        <v>31</v>
      </c>
      <c r="B758" t="s">
        <v>38</v>
      </c>
      <c r="C758" t="str">
        <f>"14-1-CH-66"</f>
        <v>14-1-CH-66</v>
      </c>
      <c r="D758" t="s">
        <v>19</v>
      </c>
      <c r="F758" t="s">
        <v>23</v>
      </c>
      <c r="H758">
        <v>66</v>
      </c>
      <c r="J758" s="1">
        <v>35.5</v>
      </c>
      <c r="K758" s="1">
        <v>0</v>
      </c>
      <c r="M758" s="1">
        <v>0</v>
      </c>
      <c r="O758" s="1">
        <v>35</v>
      </c>
      <c r="Q758" s="2">
        <v>70.5</v>
      </c>
    </row>
    <row r="759" spans="1:17" x14ac:dyDescent="0.25">
      <c r="A759" t="s">
        <v>31</v>
      </c>
      <c r="B759" t="s">
        <v>38</v>
      </c>
      <c r="C759" t="str">
        <f>"14-1-CH-68"</f>
        <v>14-1-CH-68</v>
      </c>
      <c r="D759" t="s">
        <v>19</v>
      </c>
      <c r="F759" t="s">
        <v>23</v>
      </c>
      <c r="H759">
        <v>68</v>
      </c>
      <c r="J759" s="1">
        <v>35.5</v>
      </c>
      <c r="K759" s="1">
        <v>0</v>
      </c>
      <c r="M759" s="1">
        <v>0</v>
      </c>
      <c r="O759" s="1">
        <v>35</v>
      </c>
      <c r="Q759" s="2">
        <v>70.5</v>
      </c>
    </row>
    <row r="760" spans="1:17" x14ac:dyDescent="0.25">
      <c r="A760" t="s">
        <v>31</v>
      </c>
      <c r="B760" t="s">
        <v>38</v>
      </c>
      <c r="C760" t="str">
        <f>"14-1-CH-70"</f>
        <v>14-1-CH-70</v>
      </c>
      <c r="D760" t="s">
        <v>19</v>
      </c>
      <c r="F760" t="s">
        <v>23</v>
      </c>
      <c r="H760">
        <v>70</v>
      </c>
      <c r="J760" s="1">
        <v>35.5</v>
      </c>
      <c r="K760" s="1">
        <v>0</v>
      </c>
      <c r="M760" s="1">
        <v>0</v>
      </c>
      <c r="O760" s="1">
        <v>35</v>
      </c>
      <c r="Q760" s="2">
        <v>70.5</v>
      </c>
    </row>
    <row r="761" spans="1:17" x14ac:dyDescent="0.25">
      <c r="A761" t="s">
        <v>31</v>
      </c>
      <c r="B761" t="s">
        <v>38</v>
      </c>
      <c r="C761" t="str">
        <f>"14-1-CH-72"</f>
        <v>14-1-CH-72</v>
      </c>
      <c r="D761" t="s">
        <v>19</v>
      </c>
      <c r="F761" t="s">
        <v>23</v>
      </c>
      <c r="H761">
        <v>72</v>
      </c>
      <c r="J761" s="1">
        <v>35.5</v>
      </c>
      <c r="K761" s="1">
        <v>0</v>
      </c>
      <c r="M761" s="1">
        <v>0</v>
      </c>
      <c r="O761" s="1">
        <v>35</v>
      </c>
      <c r="Q761" s="2">
        <v>70.5</v>
      </c>
    </row>
    <row r="762" spans="1:17" x14ac:dyDescent="0.25">
      <c r="A762" t="s">
        <v>31</v>
      </c>
      <c r="B762" t="s">
        <v>38</v>
      </c>
      <c r="C762" t="str">
        <f>"14-1-CH-74"</f>
        <v>14-1-CH-74</v>
      </c>
      <c r="D762" t="s">
        <v>19</v>
      </c>
      <c r="F762" t="s">
        <v>23</v>
      </c>
      <c r="H762">
        <v>74</v>
      </c>
      <c r="J762" s="1">
        <v>35.5</v>
      </c>
      <c r="K762" s="1">
        <v>0</v>
      </c>
      <c r="M762" s="1">
        <v>0</v>
      </c>
      <c r="O762" s="1">
        <v>35</v>
      </c>
      <c r="Q762" s="2">
        <v>70.5</v>
      </c>
    </row>
    <row r="763" spans="1:17" x14ac:dyDescent="0.25">
      <c r="A763" t="s">
        <v>31</v>
      </c>
      <c r="B763" t="s">
        <v>38</v>
      </c>
      <c r="C763" t="str">
        <f>"14-1-CH-76"</f>
        <v>14-1-CH-76</v>
      </c>
      <c r="D763" t="s">
        <v>19</v>
      </c>
      <c r="F763" t="s">
        <v>23</v>
      </c>
      <c r="H763">
        <v>76</v>
      </c>
      <c r="J763" s="1">
        <v>35.5</v>
      </c>
      <c r="K763" s="1">
        <v>0</v>
      </c>
      <c r="M763" s="1">
        <v>0</v>
      </c>
      <c r="O763" s="1">
        <v>35</v>
      </c>
      <c r="Q763" s="2">
        <v>70.5</v>
      </c>
    </row>
    <row r="764" spans="1:17" x14ac:dyDescent="0.25">
      <c r="A764" t="s">
        <v>31</v>
      </c>
      <c r="B764" t="s">
        <v>38</v>
      </c>
      <c r="C764" t="str">
        <f>"14-1-CH-78"</f>
        <v>14-1-CH-78</v>
      </c>
      <c r="D764" t="s">
        <v>19</v>
      </c>
      <c r="F764" t="s">
        <v>23</v>
      </c>
      <c r="H764">
        <v>78</v>
      </c>
      <c r="J764" s="1">
        <v>35.5</v>
      </c>
      <c r="K764" s="1">
        <v>0</v>
      </c>
      <c r="M764" s="1">
        <v>0</v>
      </c>
      <c r="O764" s="1">
        <v>35</v>
      </c>
      <c r="Q764" s="2">
        <v>70.5</v>
      </c>
    </row>
    <row r="765" spans="1:17" x14ac:dyDescent="0.25">
      <c r="A765" t="s">
        <v>31</v>
      </c>
      <c r="B765" t="s">
        <v>38</v>
      </c>
      <c r="C765" t="str">
        <f>"14-1-CH-80"</f>
        <v>14-1-CH-80</v>
      </c>
      <c r="D765" t="s">
        <v>19</v>
      </c>
      <c r="F765" t="s">
        <v>23</v>
      </c>
      <c r="H765">
        <v>80</v>
      </c>
      <c r="J765" s="1">
        <v>35.5</v>
      </c>
      <c r="K765" s="1">
        <v>0</v>
      </c>
      <c r="M765" s="1">
        <v>0</v>
      </c>
      <c r="O765" s="1">
        <v>35</v>
      </c>
      <c r="Q765" s="2">
        <v>70.5</v>
      </c>
    </row>
    <row r="766" spans="1:17" x14ac:dyDescent="0.25">
      <c r="A766" t="s">
        <v>31</v>
      </c>
      <c r="B766" t="s">
        <v>38</v>
      </c>
      <c r="C766" t="str">
        <f>"14-2-BR-22"</f>
        <v>14-2-BR-22</v>
      </c>
      <c r="D766" t="s">
        <v>25</v>
      </c>
      <c r="F766" t="s">
        <v>22</v>
      </c>
      <c r="H766">
        <v>22</v>
      </c>
      <c r="J766" s="1">
        <v>35.5</v>
      </c>
      <c r="K766" s="1">
        <v>0</v>
      </c>
      <c r="M766" s="1">
        <v>0</v>
      </c>
      <c r="O766" s="1">
        <v>0</v>
      </c>
      <c r="Q766" s="2">
        <v>35.5</v>
      </c>
    </row>
    <row r="767" spans="1:17" x14ac:dyDescent="0.25">
      <c r="A767" t="s">
        <v>31</v>
      </c>
      <c r="B767" t="s">
        <v>38</v>
      </c>
      <c r="C767" t="str">
        <f>"14-2-BR-24"</f>
        <v>14-2-BR-24</v>
      </c>
      <c r="D767" t="s">
        <v>25</v>
      </c>
      <c r="F767" t="s">
        <v>22</v>
      </c>
      <c r="H767">
        <v>24</v>
      </c>
      <c r="J767" s="1">
        <v>35.5</v>
      </c>
      <c r="K767" s="1">
        <v>0</v>
      </c>
      <c r="M767" s="1">
        <v>0</v>
      </c>
      <c r="O767" s="1">
        <v>0</v>
      </c>
      <c r="Q767" s="2">
        <v>35.5</v>
      </c>
    </row>
    <row r="768" spans="1:17" x14ac:dyDescent="0.25">
      <c r="A768" t="s">
        <v>31</v>
      </c>
      <c r="B768" t="s">
        <v>38</v>
      </c>
      <c r="C768" t="str">
        <f>"14-2-BR-26"</f>
        <v>14-2-BR-26</v>
      </c>
      <c r="D768" t="s">
        <v>25</v>
      </c>
      <c r="F768" t="s">
        <v>22</v>
      </c>
      <c r="H768">
        <v>26</v>
      </c>
      <c r="J768" s="1">
        <v>35.5</v>
      </c>
      <c r="K768" s="1">
        <v>0</v>
      </c>
      <c r="M768" s="1">
        <v>0</v>
      </c>
      <c r="O768" s="1">
        <v>0</v>
      </c>
      <c r="Q768" s="2">
        <v>35.5</v>
      </c>
    </row>
    <row r="769" spans="1:17" x14ac:dyDescent="0.25">
      <c r="A769" t="s">
        <v>31</v>
      </c>
      <c r="B769" t="s">
        <v>38</v>
      </c>
      <c r="C769" t="str">
        <f>"14-2-BR-28"</f>
        <v>14-2-BR-28</v>
      </c>
      <c r="D769" t="s">
        <v>25</v>
      </c>
      <c r="F769" t="s">
        <v>22</v>
      </c>
      <c r="H769">
        <v>28</v>
      </c>
      <c r="J769" s="1">
        <v>35.5</v>
      </c>
      <c r="K769" s="1">
        <v>0</v>
      </c>
      <c r="M769" s="1">
        <v>0</v>
      </c>
      <c r="O769" s="1">
        <v>0</v>
      </c>
      <c r="Q769" s="2">
        <v>35.5</v>
      </c>
    </row>
    <row r="770" spans="1:17" x14ac:dyDescent="0.25">
      <c r="A770" t="s">
        <v>31</v>
      </c>
      <c r="B770" t="s">
        <v>38</v>
      </c>
      <c r="C770" t="str">
        <f>"14-2-BR-30"</f>
        <v>14-2-BR-30</v>
      </c>
      <c r="D770" t="s">
        <v>25</v>
      </c>
      <c r="F770" t="s">
        <v>22</v>
      </c>
      <c r="H770">
        <v>30</v>
      </c>
      <c r="J770" s="1">
        <v>35.5</v>
      </c>
      <c r="K770" s="1">
        <v>0</v>
      </c>
      <c r="M770" s="1">
        <v>0</v>
      </c>
      <c r="O770" s="1">
        <v>0</v>
      </c>
      <c r="Q770" s="2">
        <v>35.5</v>
      </c>
    </row>
    <row r="771" spans="1:17" x14ac:dyDescent="0.25">
      <c r="A771" t="s">
        <v>31</v>
      </c>
      <c r="B771" t="s">
        <v>38</v>
      </c>
      <c r="C771" t="str">
        <f>"14-2-BR-32"</f>
        <v>14-2-BR-32</v>
      </c>
      <c r="D771" t="s">
        <v>25</v>
      </c>
      <c r="F771" t="s">
        <v>22</v>
      </c>
      <c r="H771">
        <v>32</v>
      </c>
      <c r="J771" s="1">
        <v>35.5</v>
      </c>
      <c r="K771" s="1">
        <v>0</v>
      </c>
      <c r="M771" s="1">
        <v>0</v>
      </c>
      <c r="O771" s="1">
        <v>0</v>
      </c>
      <c r="Q771" s="2">
        <v>35.5</v>
      </c>
    </row>
    <row r="772" spans="1:17" x14ac:dyDescent="0.25">
      <c r="A772" t="s">
        <v>31</v>
      </c>
      <c r="B772" t="s">
        <v>38</v>
      </c>
      <c r="C772" t="str">
        <f>"14-2-BR-34"</f>
        <v>14-2-BR-34</v>
      </c>
      <c r="D772" t="s">
        <v>25</v>
      </c>
      <c r="F772" t="s">
        <v>22</v>
      </c>
      <c r="H772">
        <v>34</v>
      </c>
      <c r="J772" s="1">
        <v>35.5</v>
      </c>
      <c r="K772" s="1">
        <v>0</v>
      </c>
      <c r="M772" s="1">
        <v>0</v>
      </c>
      <c r="O772" s="1">
        <v>0</v>
      </c>
      <c r="Q772" s="2">
        <v>35.5</v>
      </c>
    </row>
    <row r="773" spans="1:17" x14ac:dyDescent="0.25">
      <c r="A773" t="s">
        <v>31</v>
      </c>
      <c r="B773" t="s">
        <v>38</v>
      </c>
      <c r="C773" t="str">
        <f>"14-2-BR-36"</f>
        <v>14-2-BR-36</v>
      </c>
      <c r="D773" t="s">
        <v>25</v>
      </c>
      <c r="F773" t="s">
        <v>22</v>
      </c>
      <c r="H773">
        <v>36</v>
      </c>
      <c r="J773" s="1">
        <v>35.5</v>
      </c>
      <c r="K773" s="1">
        <v>0</v>
      </c>
      <c r="M773" s="1">
        <v>0</v>
      </c>
      <c r="O773" s="1">
        <v>0</v>
      </c>
      <c r="Q773" s="2">
        <v>35.5</v>
      </c>
    </row>
    <row r="774" spans="1:17" x14ac:dyDescent="0.25">
      <c r="A774" t="s">
        <v>31</v>
      </c>
      <c r="B774" t="s">
        <v>38</v>
      </c>
      <c r="C774" t="str">
        <f>"14-2-BR-38"</f>
        <v>14-2-BR-38</v>
      </c>
      <c r="D774" t="s">
        <v>25</v>
      </c>
      <c r="F774" t="s">
        <v>22</v>
      </c>
      <c r="H774">
        <v>38</v>
      </c>
      <c r="J774" s="1">
        <v>35.5</v>
      </c>
      <c r="K774" s="1">
        <v>0</v>
      </c>
      <c r="M774" s="1">
        <v>0</v>
      </c>
      <c r="O774" s="1">
        <v>0</v>
      </c>
      <c r="Q774" s="2">
        <v>35.5</v>
      </c>
    </row>
    <row r="775" spans="1:17" x14ac:dyDescent="0.25">
      <c r="A775" t="s">
        <v>31</v>
      </c>
      <c r="B775" t="s">
        <v>38</v>
      </c>
      <c r="C775" t="str">
        <f>"14-2-BR-40"</f>
        <v>14-2-BR-40</v>
      </c>
      <c r="D775" t="s">
        <v>25</v>
      </c>
      <c r="F775" t="s">
        <v>22</v>
      </c>
      <c r="H775">
        <v>40</v>
      </c>
      <c r="J775" s="1">
        <v>35.5</v>
      </c>
      <c r="K775" s="1">
        <v>0</v>
      </c>
      <c r="M775" s="1">
        <v>0</v>
      </c>
      <c r="O775" s="1">
        <v>0</v>
      </c>
      <c r="Q775" s="2">
        <v>35.5</v>
      </c>
    </row>
    <row r="776" spans="1:17" x14ac:dyDescent="0.25">
      <c r="A776" t="s">
        <v>31</v>
      </c>
      <c r="B776" t="s">
        <v>38</v>
      </c>
      <c r="C776" t="str">
        <f>"14-2-BR-42"</f>
        <v>14-2-BR-42</v>
      </c>
      <c r="D776" t="s">
        <v>25</v>
      </c>
      <c r="F776" t="s">
        <v>22</v>
      </c>
      <c r="H776">
        <v>42</v>
      </c>
      <c r="J776" s="1">
        <v>35.5</v>
      </c>
      <c r="K776" s="1">
        <v>0</v>
      </c>
      <c r="M776" s="1">
        <v>0</v>
      </c>
      <c r="O776" s="1">
        <v>0</v>
      </c>
      <c r="Q776" s="2">
        <v>35.5</v>
      </c>
    </row>
    <row r="777" spans="1:17" x14ac:dyDescent="0.25">
      <c r="A777" t="s">
        <v>31</v>
      </c>
      <c r="B777" t="s">
        <v>38</v>
      </c>
      <c r="C777" t="str">
        <f>"14-2-BR-44"</f>
        <v>14-2-BR-44</v>
      </c>
      <c r="D777" t="s">
        <v>25</v>
      </c>
      <c r="F777" t="s">
        <v>22</v>
      </c>
      <c r="H777">
        <v>44</v>
      </c>
      <c r="J777" s="1">
        <v>35.5</v>
      </c>
      <c r="K777" s="1">
        <v>0</v>
      </c>
      <c r="M777" s="1">
        <v>0</v>
      </c>
      <c r="O777" s="1">
        <v>0</v>
      </c>
      <c r="Q777" s="2">
        <v>35.5</v>
      </c>
    </row>
    <row r="778" spans="1:17" x14ac:dyDescent="0.25">
      <c r="A778" t="s">
        <v>31</v>
      </c>
      <c r="B778" t="s">
        <v>38</v>
      </c>
      <c r="C778" t="str">
        <f>"14-2-BR-46"</f>
        <v>14-2-BR-46</v>
      </c>
      <c r="D778" t="s">
        <v>25</v>
      </c>
      <c r="F778" t="s">
        <v>22</v>
      </c>
      <c r="H778">
        <v>46</v>
      </c>
      <c r="J778" s="1">
        <v>35.5</v>
      </c>
      <c r="K778" s="1">
        <v>0</v>
      </c>
      <c r="M778" s="1">
        <v>0</v>
      </c>
      <c r="O778" s="1">
        <v>0</v>
      </c>
      <c r="Q778" s="2">
        <v>35.5</v>
      </c>
    </row>
    <row r="779" spans="1:17" x14ac:dyDescent="0.25">
      <c r="A779" t="s">
        <v>31</v>
      </c>
      <c r="B779" t="s">
        <v>38</v>
      </c>
      <c r="C779" t="str">
        <f>"14-2-BR-48"</f>
        <v>14-2-BR-48</v>
      </c>
      <c r="D779" t="s">
        <v>25</v>
      </c>
      <c r="F779" t="s">
        <v>22</v>
      </c>
      <c r="H779">
        <v>48</v>
      </c>
      <c r="J779" s="1">
        <v>35.5</v>
      </c>
      <c r="K779" s="1">
        <v>0</v>
      </c>
      <c r="M779" s="1">
        <v>0</v>
      </c>
      <c r="O779" s="1">
        <v>4</v>
      </c>
      <c r="Q779" s="2">
        <v>39.5</v>
      </c>
    </row>
    <row r="780" spans="1:17" x14ac:dyDescent="0.25">
      <c r="A780" t="s">
        <v>31</v>
      </c>
      <c r="B780" t="s">
        <v>38</v>
      </c>
      <c r="C780" t="str">
        <f>"14-2-BR-50"</f>
        <v>14-2-BR-50</v>
      </c>
      <c r="D780" t="s">
        <v>25</v>
      </c>
      <c r="F780" t="s">
        <v>22</v>
      </c>
      <c r="H780">
        <v>50</v>
      </c>
      <c r="J780" s="1">
        <v>35.5</v>
      </c>
      <c r="K780" s="1">
        <v>0</v>
      </c>
      <c r="M780" s="1">
        <v>0</v>
      </c>
      <c r="O780" s="1">
        <v>6</v>
      </c>
      <c r="Q780" s="2">
        <v>41.5</v>
      </c>
    </row>
    <row r="781" spans="1:17" x14ac:dyDescent="0.25">
      <c r="A781" t="s">
        <v>31</v>
      </c>
      <c r="B781" t="s">
        <v>38</v>
      </c>
      <c r="C781" t="str">
        <f>"14-2-BR-52"</f>
        <v>14-2-BR-52</v>
      </c>
      <c r="D781" t="s">
        <v>25</v>
      </c>
      <c r="F781" t="s">
        <v>22</v>
      </c>
      <c r="H781">
        <v>52</v>
      </c>
      <c r="J781" s="1">
        <v>35.5</v>
      </c>
      <c r="K781" s="1">
        <v>0</v>
      </c>
      <c r="M781" s="1">
        <v>0</v>
      </c>
      <c r="O781" s="1">
        <v>8</v>
      </c>
      <c r="Q781" s="2">
        <v>43.5</v>
      </c>
    </row>
    <row r="782" spans="1:17" x14ac:dyDescent="0.25">
      <c r="A782" t="s">
        <v>31</v>
      </c>
      <c r="B782" t="s">
        <v>38</v>
      </c>
      <c r="C782" t="str">
        <f>"14-2-BR-54"</f>
        <v>14-2-BR-54</v>
      </c>
      <c r="D782" t="s">
        <v>25</v>
      </c>
      <c r="F782" t="s">
        <v>22</v>
      </c>
      <c r="H782">
        <v>54</v>
      </c>
      <c r="J782" s="1">
        <v>35.5</v>
      </c>
      <c r="K782" s="1">
        <v>0</v>
      </c>
      <c r="M782" s="1">
        <v>0</v>
      </c>
      <c r="O782" s="1">
        <v>10</v>
      </c>
      <c r="Q782" s="2">
        <v>45.5</v>
      </c>
    </row>
    <row r="783" spans="1:17" x14ac:dyDescent="0.25">
      <c r="A783" t="s">
        <v>31</v>
      </c>
      <c r="B783" t="s">
        <v>38</v>
      </c>
      <c r="C783" t="str">
        <f>"14-2-BR-56"</f>
        <v>14-2-BR-56</v>
      </c>
      <c r="D783" t="s">
        <v>25</v>
      </c>
      <c r="F783" t="s">
        <v>22</v>
      </c>
      <c r="H783">
        <v>56</v>
      </c>
      <c r="J783" s="1">
        <v>35.5</v>
      </c>
      <c r="K783" s="1">
        <v>0</v>
      </c>
      <c r="M783" s="1">
        <v>0</v>
      </c>
      <c r="O783" s="1">
        <v>12</v>
      </c>
      <c r="Q783" s="2">
        <v>47.5</v>
      </c>
    </row>
    <row r="784" spans="1:17" x14ac:dyDescent="0.25">
      <c r="A784" t="s">
        <v>31</v>
      </c>
      <c r="B784" t="s">
        <v>38</v>
      </c>
      <c r="C784" t="str">
        <f>"14-2-BR-58"</f>
        <v>14-2-BR-58</v>
      </c>
      <c r="D784" t="s">
        <v>25</v>
      </c>
      <c r="F784" t="s">
        <v>22</v>
      </c>
      <c r="H784">
        <v>58</v>
      </c>
      <c r="J784" s="1">
        <v>35.5</v>
      </c>
      <c r="K784" s="1">
        <v>0</v>
      </c>
      <c r="M784" s="1">
        <v>0</v>
      </c>
      <c r="O784" s="1">
        <v>14</v>
      </c>
      <c r="Q784" s="2">
        <v>49.5</v>
      </c>
    </row>
    <row r="785" spans="1:17" x14ac:dyDescent="0.25">
      <c r="A785" t="s">
        <v>31</v>
      </c>
      <c r="B785" t="s">
        <v>38</v>
      </c>
      <c r="C785" t="str">
        <f>"14-2-BR-60"</f>
        <v>14-2-BR-60</v>
      </c>
      <c r="D785" t="s">
        <v>25</v>
      </c>
      <c r="F785" t="s">
        <v>22</v>
      </c>
      <c r="H785">
        <v>60</v>
      </c>
      <c r="J785" s="1">
        <v>35.5</v>
      </c>
      <c r="K785" s="1">
        <v>0</v>
      </c>
      <c r="M785" s="1">
        <v>0</v>
      </c>
      <c r="O785" s="1">
        <v>16</v>
      </c>
      <c r="Q785" s="2">
        <v>51.5</v>
      </c>
    </row>
    <row r="786" spans="1:17" x14ac:dyDescent="0.25">
      <c r="A786" t="s">
        <v>31</v>
      </c>
      <c r="B786" t="s">
        <v>38</v>
      </c>
      <c r="C786" t="str">
        <f>"14-2-BR-62"</f>
        <v>14-2-BR-62</v>
      </c>
      <c r="D786" t="s">
        <v>25</v>
      </c>
      <c r="F786" t="s">
        <v>22</v>
      </c>
      <c r="H786">
        <v>62</v>
      </c>
      <c r="J786" s="1">
        <v>35.5</v>
      </c>
      <c r="K786" s="1">
        <v>0</v>
      </c>
      <c r="M786" s="1">
        <v>0</v>
      </c>
      <c r="O786" s="1">
        <v>18</v>
      </c>
      <c r="Q786" s="2">
        <v>53.5</v>
      </c>
    </row>
    <row r="787" spans="1:17" x14ac:dyDescent="0.25">
      <c r="A787" t="s">
        <v>31</v>
      </c>
      <c r="B787" t="s">
        <v>38</v>
      </c>
      <c r="C787" t="str">
        <f>"14-2-BR-64"</f>
        <v>14-2-BR-64</v>
      </c>
      <c r="D787" t="s">
        <v>25</v>
      </c>
      <c r="F787" t="s">
        <v>22</v>
      </c>
      <c r="H787">
        <v>64</v>
      </c>
      <c r="J787" s="1">
        <v>35.5</v>
      </c>
      <c r="K787" s="1">
        <v>0</v>
      </c>
      <c r="M787" s="1">
        <v>0</v>
      </c>
      <c r="O787" s="1">
        <v>35</v>
      </c>
      <c r="Q787" s="2">
        <v>70.5</v>
      </c>
    </row>
    <row r="788" spans="1:17" x14ac:dyDescent="0.25">
      <c r="A788" t="s">
        <v>31</v>
      </c>
      <c r="B788" t="s">
        <v>38</v>
      </c>
      <c r="C788" t="str">
        <f>"14-2-BR-66"</f>
        <v>14-2-BR-66</v>
      </c>
      <c r="D788" t="s">
        <v>25</v>
      </c>
      <c r="F788" t="s">
        <v>22</v>
      </c>
      <c r="H788">
        <v>66</v>
      </c>
      <c r="J788" s="1">
        <v>35.5</v>
      </c>
      <c r="K788" s="1">
        <v>0</v>
      </c>
      <c r="M788" s="1">
        <v>0</v>
      </c>
      <c r="O788" s="1">
        <v>35</v>
      </c>
      <c r="Q788" s="2">
        <v>70.5</v>
      </c>
    </row>
    <row r="789" spans="1:17" x14ac:dyDescent="0.25">
      <c r="A789" t="s">
        <v>31</v>
      </c>
      <c r="B789" t="s">
        <v>38</v>
      </c>
      <c r="C789" t="str">
        <f>"14-2-BR-68"</f>
        <v>14-2-BR-68</v>
      </c>
      <c r="D789" t="s">
        <v>25</v>
      </c>
      <c r="F789" t="s">
        <v>22</v>
      </c>
      <c r="H789">
        <v>68</v>
      </c>
      <c r="J789" s="1">
        <v>35.5</v>
      </c>
      <c r="K789" s="1">
        <v>0</v>
      </c>
      <c r="M789" s="1">
        <v>0</v>
      </c>
      <c r="O789" s="1">
        <v>35</v>
      </c>
      <c r="Q789" s="2">
        <v>70.5</v>
      </c>
    </row>
    <row r="790" spans="1:17" x14ac:dyDescent="0.25">
      <c r="A790" t="s">
        <v>31</v>
      </c>
      <c r="B790" t="s">
        <v>38</v>
      </c>
      <c r="C790" t="str">
        <f>"14-2-BR-70"</f>
        <v>14-2-BR-70</v>
      </c>
      <c r="D790" t="s">
        <v>25</v>
      </c>
      <c r="F790" t="s">
        <v>22</v>
      </c>
      <c r="H790">
        <v>70</v>
      </c>
      <c r="J790" s="1">
        <v>35.5</v>
      </c>
      <c r="K790" s="1">
        <v>0</v>
      </c>
      <c r="M790" s="1">
        <v>0</v>
      </c>
      <c r="O790" s="1">
        <v>35</v>
      </c>
      <c r="Q790" s="2">
        <v>70.5</v>
      </c>
    </row>
    <row r="791" spans="1:17" x14ac:dyDescent="0.25">
      <c r="A791" t="s">
        <v>31</v>
      </c>
      <c r="B791" t="s">
        <v>38</v>
      </c>
      <c r="C791" t="str">
        <f>"14-2-BR-72"</f>
        <v>14-2-BR-72</v>
      </c>
      <c r="D791" t="s">
        <v>25</v>
      </c>
      <c r="F791" t="s">
        <v>22</v>
      </c>
      <c r="H791">
        <v>72</v>
      </c>
      <c r="J791" s="1">
        <v>35.5</v>
      </c>
      <c r="K791" s="1">
        <v>0</v>
      </c>
      <c r="M791" s="1">
        <v>0</v>
      </c>
      <c r="O791" s="1">
        <v>35</v>
      </c>
      <c r="Q791" s="2">
        <v>70.5</v>
      </c>
    </row>
    <row r="792" spans="1:17" x14ac:dyDescent="0.25">
      <c r="A792" t="s">
        <v>31</v>
      </c>
      <c r="B792" t="s">
        <v>38</v>
      </c>
      <c r="C792" t="str">
        <f>"14-2-BR-74"</f>
        <v>14-2-BR-74</v>
      </c>
      <c r="D792" t="s">
        <v>25</v>
      </c>
      <c r="F792" t="s">
        <v>22</v>
      </c>
      <c r="H792">
        <v>74</v>
      </c>
      <c r="J792" s="1">
        <v>35.5</v>
      </c>
      <c r="K792" s="1">
        <v>0</v>
      </c>
      <c r="M792" s="1">
        <v>0</v>
      </c>
      <c r="O792" s="1">
        <v>35</v>
      </c>
      <c r="Q792" s="2">
        <v>70.5</v>
      </c>
    </row>
    <row r="793" spans="1:17" x14ac:dyDescent="0.25">
      <c r="A793" t="s">
        <v>31</v>
      </c>
      <c r="B793" t="s">
        <v>38</v>
      </c>
      <c r="C793" t="str">
        <f>"14-2-BR-76"</f>
        <v>14-2-BR-76</v>
      </c>
      <c r="D793" t="s">
        <v>25</v>
      </c>
      <c r="F793" t="s">
        <v>22</v>
      </c>
      <c r="H793">
        <v>76</v>
      </c>
      <c r="J793" s="1">
        <v>35.5</v>
      </c>
      <c r="K793" s="1">
        <v>0</v>
      </c>
      <c r="M793" s="1">
        <v>0</v>
      </c>
      <c r="O793" s="1">
        <v>35</v>
      </c>
      <c r="Q793" s="2">
        <v>70.5</v>
      </c>
    </row>
    <row r="794" spans="1:17" x14ac:dyDescent="0.25">
      <c r="A794" t="s">
        <v>31</v>
      </c>
      <c r="B794" t="s">
        <v>38</v>
      </c>
      <c r="C794" t="str">
        <f>"14-2-BR-78"</f>
        <v>14-2-BR-78</v>
      </c>
      <c r="D794" t="s">
        <v>25</v>
      </c>
      <c r="F794" t="s">
        <v>22</v>
      </c>
      <c r="H794">
        <v>78</v>
      </c>
      <c r="J794" s="1">
        <v>35.5</v>
      </c>
      <c r="K794" s="1">
        <v>0</v>
      </c>
      <c r="M794" s="1">
        <v>0</v>
      </c>
      <c r="O794" s="1">
        <v>35</v>
      </c>
      <c r="Q794" s="2">
        <v>70.5</v>
      </c>
    </row>
    <row r="795" spans="1:17" x14ac:dyDescent="0.25">
      <c r="A795" t="s">
        <v>31</v>
      </c>
      <c r="B795" t="s">
        <v>38</v>
      </c>
      <c r="C795" t="str">
        <f>"14-2-BR-80"</f>
        <v>14-2-BR-80</v>
      </c>
      <c r="D795" t="s">
        <v>25</v>
      </c>
      <c r="F795" t="s">
        <v>22</v>
      </c>
      <c r="H795">
        <v>80</v>
      </c>
      <c r="J795" s="1">
        <v>35.5</v>
      </c>
      <c r="K795" s="1">
        <v>0</v>
      </c>
      <c r="M795" s="1">
        <v>0</v>
      </c>
      <c r="O795" s="1">
        <v>35</v>
      </c>
      <c r="Q795" s="2">
        <v>70.5</v>
      </c>
    </row>
    <row r="796" spans="1:17" x14ac:dyDescent="0.25">
      <c r="A796" t="s">
        <v>31</v>
      </c>
      <c r="B796" t="s">
        <v>38</v>
      </c>
      <c r="C796" t="str">
        <f>"14-2-CH-22"</f>
        <v>14-2-CH-22</v>
      </c>
      <c r="D796" t="s">
        <v>25</v>
      </c>
      <c r="F796" t="s">
        <v>23</v>
      </c>
      <c r="H796">
        <v>22</v>
      </c>
      <c r="J796" s="1">
        <v>35.5</v>
      </c>
      <c r="K796" s="1">
        <v>0</v>
      </c>
      <c r="M796" s="1">
        <v>0</v>
      </c>
      <c r="O796" s="1">
        <v>0</v>
      </c>
      <c r="Q796" s="2">
        <v>35.5</v>
      </c>
    </row>
    <row r="797" spans="1:17" x14ac:dyDescent="0.25">
      <c r="A797" t="s">
        <v>31</v>
      </c>
      <c r="B797" t="s">
        <v>38</v>
      </c>
      <c r="C797" t="str">
        <f>"14-2-CH-24"</f>
        <v>14-2-CH-24</v>
      </c>
      <c r="D797" t="s">
        <v>25</v>
      </c>
      <c r="F797" t="s">
        <v>23</v>
      </c>
      <c r="H797">
        <v>24</v>
      </c>
      <c r="J797" s="1">
        <v>35.5</v>
      </c>
      <c r="K797" s="1">
        <v>0</v>
      </c>
      <c r="M797" s="1">
        <v>0</v>
      </c>
      <c r="O797" s="1">
        <v>0</v>
      </c>
      <c r="Q797" s="2">
        <v>35.5</v>
      </c>
    </row>
    <row r="798" spans="1:17" x14ac:dyDescent="0.25">
      <c r="A798" t="s">
        <v>31</v>
      </c>
      <c r="B798" t="s">
        <v>38</v>
      </c>
      <c r="C798" t="str">
        <f>"14-2-CH-26"</f>
        <v>14-2-CH-26</v>
      </c>
      <c r="D798" t="s">
        <v>25</v>
      </c>
      <c r="F798" t="s">
        <v>23</v>
      </c>
      <c r="H798">
        <v>26</v>
      </c>
      <c r="J798" s="1">
        <v>35.5</v>
      </c>
      <c r="K798" s="1">
        <v>0</v>
      </c>
      <c r="M798" s="1">
        <v>0</v>
      </c>
      <c r="O798" s="1">
        <v>0</v>
      </c>
      <c r="Q798" s="2">
        <v>35.5</v>
      </c>
    </row>
    <row r="799" spans="1:17" x14ac:dyDescent="0.25">
      <c r="A799" t="s">
        <v>31</v>
      </c>
      <c r="B799" t="s">
        <v>38</v>
      </c>
      <c r="C799" t="str">
        <f>"14-2-CH-28"</f>
        <v>14-2-CH-28</v>
      </c>
      <c r="D799" t="s">
        <v>25</v>
      </c>
      <c r="F799" t="s">
        <v>23</v>
      </c>
      <c r="H799">
        <v>28</v>
      </c>
      <c r="J799" s="1">
        <v>35.5</v>
      </c>
      <c r="K799" s="1">
        <v>0</v>
      </c>
      <c r="M799" s="1">
        <v>0</v>
      </c>
      <c r="O799" s="1">
        <v>0</v>
      </c>
      <c r="Q799" s="2">
        <v>35.5</v>
      </c>
    </row>
    <row r="800" spans="1:17" x14ac:dyDescent="0.25">
      <c r="A800" t="s">
        <v>31</v>
      </c>
      <c r="B800" t="s">
        <v>38</v>
      </c>
      <c r="C800" t="str">
        <f>"14-2-CH-30"</f>
        <v>14-2-CH-30</v>
      </c>
      <c r="D800" t="s">
        <v>25</v>
      </c>
      <c r="F800" t="s">
        <v>23</v>
      </c>
      <c r="H800">
        <v>30</v>
      </c>
      <c r="J800" s="1">
        <v>35.5</v>
      </c>
      <c r="K800" s="1">
        <v>0</v>
      </c>
      <c r="M800" s="1">
        <v>0</v>
      </c>
      <c r="O800" s="1">
        <v>0</v>
      </c>
      <c r="Q800" s="2">
        <v>35.5</v>
      </c>
    </row>
    <row r="801" spans="1:17" x14ac:dyDescent="0.25">
      <c r="A801" t="s">
        <v>31</v>
      </c>
      <c r="B801" t="s">
        <v>38</v>
      </c>
      <c r="C801" t="str">
        <f>"14-2-CH-32"</f>
        <v>14-2-CH-32</v>
      </c>
      <c r="D801" t="s">
        <v>25</v>
      </c>
      <c r="F801" t="s">
        <v>23</v>
      </c>
      <c r="H801">
        <v>32</v>
      </c>
      <c r="J801" s="1">
        <v>35.5</v>
      </c>
      <c r="K801" s="1">
        <v>0</v>
      </c>
      <c r="M801" s="1">
        <v>0</v>
      </c>
      <c r="O801" s="1">
        <v>0</v>
      </c>
      <c r="Q801" s="2">
        <v>35.5</v>
      </c>
    </row>
    <row r="802" spans="1:17" x14ac:dyDescent="0.25">
      <c r="A802" t="s">
        <v>31</v>
      </c>
      <c r="B802" t="s">
        <v>38</v>
      </c>
      <c r="C802" t="str">
        <f>"14-2-CH-34"</f>
        <v>14-2-CH-34</v>
      </c>
      <c r="D802" t="s">
        <v>25</v>
      </c>
      <c r="F802" t="s">
        <v>23</v>
      </c>
      <c r="H802">
        <v>34</v>
      </c>
      <c r="J802" s="1">
        <v>35.5</v>
      </c>
      <c r="K802" s="1">
        <v>0</v>
      </c>
      <c r="M802" s="1">
        <v>0</v>
      </c>
      <c r="O802" s="1">
        <v>0</v>
      </c>
      <c r="Q802" s="2">
        <v>35.5</v>
      </c>
    </row>
    <row r="803" spans="1:17" x14ac:dyDescent="0.25">
      <c r="A803" t="s">
        <v>31</v>
      </c>
      <c r="B803" t="s">
        <v>38</v>
      </c>
      <c r="C803" t="str">
        <f>"14-2-CH-36"</f>
        <v>14-2-CH-36</v>
      </c>
      <c r="D803" t="s">
        <v>25</v>
      </c>
      <c r="F803" t="s">
        <v>23</v>
      </c>
      <c r="H803">
        <v>36</v>
      </c>
      <c r="J803" s="1">
        <v>35.5</v>
      </c>
      <c r="K803" s="1">
        <v>0</v>
      </c>
      <c r="M803" s="1">
        <v>0</v>
      </c>
      <c r="O803" s="1">
        <v>0</v>
      </c>
      <c r="Q803" s="2">
        <v>35.5</v>
      </c>
    </row>
    <row r="804" spans="1:17" x14ac:dyDescent="0.25">
      <c r="A804" t="s">
        <v>31</v>
      </c>
      <c r="B804" t="s">
        <v>38</v>
      </c>
      <c r="C804" t="str">
        <f>"14-2-CH-38"</f>
        <v>14-2-CH-38</v>
      </c>
      <c r="D804" t="s">
        <v>25</v>
      </c>
      <c r="F804" t="s">
        <v>23</v>
      </c>
      <c r="H804">
        <v>38</v>
      </c>
      <c r="J804" s="1">
        <v>35.5</v>
      </c>
      <c r="K804" s="1">
        <v>0</v>
      </c>
      <c r="M804" s="1">
        <v>0</v>
      </c>
      <c r="O804" s="1">
        <v>0</v>
      </c>
      <c r="Q804" s="2">
        <v>35.5</v>
      </c>
    </row>
    <row r="805" spans="1:17" x14ac:dyDescent="0.25">
      <c r="A805" t="s">
        <v>31</v>
      </c>
      <c r="B805" t="s">
        <v>38</v>
      </c>
      <c r="C805" t="str">
        <f>"14-2-CH-40"</f>
        <v>14-2-CH-40</v>
      </c>
      <c r="D805" t="s">
        <v>25</v>
      </c>
      <c r="F805" t="s">
        <v>23</v>
      </c>
      <c r="H805">
        <v>40</v>
      </c>
      <c r="J805" s="1">
        <v>35.5</v>
      </c>
      <c r="K805" s="1">
        <v>0</v>
      </c>
      <c r="M805" s="1">
        <v>0</v>
      </c>
      <c r="O805" s="1">
        <v>0</v>
      </c>
      <c r="Q805" s="2">
        <v>35.5</v>
      </c>
    </row>
    <row r="806" spans="1:17" x14ac:dyDescent="0.25">
      <c r="A806" t="s">
        <v>31</v>
      </c>
      <c r="B806" t="s">
        <v>38</v>
      </c>
      <c r="C806" t="str">
        <f>"14-2-CH-42"</f>
        <v>14-2-CH-42</v>
      </c>
      <c r="D806" t="s">
        <v>25</v>
      </c>
      <c r="F806" t="s">
        <v>23</v>
      </c>
      <c r="H806">
        <v>42</v>
      </c>
      <c r="J806" s="1">
        <v>35.5</v>
      </c>
      <c r="K806" s="1">
        <v>0</v>
      </c>
      <c r="M806" s="1">
        <v>0</v>
      </c>
      <c r="O806" s="1">
        <v>0</v>
      </c>
      <c r="Q806" s="2">
        <v>35.5</v>
      </c>
    </row>
    <row r="807" spans="1:17" x14ac:dyDescent="0.25">
      <c r="A807" t="s">
        <v>31</v>
      </c>
      <c r="B807" t="s">
        <v>38</v>
      </c>
      <c r="C807" t="str">
        <f>"14-2-CH-44"</f>
        <v>14-2-CH-44</v>
      </c>
      <c r="D807" t="s">
        <v>25</v>
      </c>
      <c r="F807" t="s">
        <v>23</v>
      </c>
      <c r="H807">
        <v>44</v>
      </c>
      <c r="J807" s="1">
        <v>35.5</v>
      </c>
      <c r="K807" s="1">
        <v>0</v>
      </c>
      <c r="M807" s="1">
        <v>0</v>
      </c>
      <c r="O807" s="1">
        <v>0</v>
      </c>
      <c r="Q807" s="2">
        <v>35.5</v>
      </c>
    </row>
    <row r="808" spans="1:17" x14ac:dyDescent="0.25">
      <c r="A808" t="s">
        <v>31</v>
      </c>
      <c r="B808" t="s">
        <v>38</v>
      </c>
      <c r="C808" t="str">
        <f>"14-2-CH-46"</f>
        <v>14-2-CH-46</v>
      </c>
      <c r="D808" t="s">
        <v>25</v>
      </c>
      <c r="F808" t="s">
        <v>23</v>
      </c>
      <c r="H808">
        <v>46</v>
      </c>
      <c r="J808" s="1">
        <v>35.5</v>
      </c>
      <c r="K808" s="1">
        <v>0</v>
      </c>
      <c r="M808" s="1">
        <v>0</v>
      </c>
      <c r="O808" s="1">
        <v>0</v>
      </c>
      <c r="Q808" s="2">
        <v>35.5</v>
      </c>
    </row>
    <row r="809" spans="1:17" x14ac:dyDescent="0.25">
      <c r="A809" t="s">
        <v>31</v>
      </c>
      <c r="B809" t="s">
        <v>38</v>
      </c>
      <c r="C809" t="str">
        <f>"14-2-CH-48"</f>
        <v>14-2-CH-48</v>
      </c>
      <c r="D809" t="s">
        <v>25</v>
      </c>
      <c r="F809" t="s">
        <v>23</v>
      </c>
      <c r="H809">
        <v>48</v>
      </c>
      <c r="J809" s="1">
        <v>35.5</v>
      </c>
      <c r="K809" s="1">
        <v>0</v>
      </c>
      <c r="M809" s="1">
        <v>0</v>
      </c>
      <c r="O809" s="1">
        <v>4</v>
      </c>
      <c r="Q809" s="2">
        <v>39.5</v>
      </c>
    </row>
    <row r="810" spans="1:17" x14ac:dyDescent="0.25">
      <c r="A810" t="s">
        <v>31</v>
      </c>
      <c r="B810" t="s">
        <v>38</v>
      </c>
      <c r="C810" t="str">
        <f>"14-2-CH-50"</f>
        <v>14-2-CH-50</v>
      </c>
      <c r="D810" t="s">
        <v>25</v>
      </c>
      <c r="F810" t="s">
        <v>23</v>
      </c>
      <c r="H810">
        <v>50</v>
      </c>
      <c r="J810" s="1">
        <v>35.5</v>
      </c>
      <c r="K810" s="1">
        <v>0</v>
      </c>
      <c r="M810" s="1">
        <v>0</v>
      </c>
      <c r="O810" s="1">
        <v>6</v>
      </c>
      <c r="Q810" s="2">
        <v>41.5</v>
      </c>
    </row>
    <row r="811" spans="1:17" x14ac:dyDescent="0.25">
      <c r="A811" t="s">
        <v>31</v>
      </c>
      <c r="B811" t="s">
        <v>38</v>
      </c>
      <c r="C811" t="str">
        <f>"14-2-CH-52"</f>
        <v>14-2-CH-52</v>
      </c>
      <c r="D811" t="s">
        <v>25</v>
      </c>
      <c r="F811" t="s">
        <v>23</v>
      </c>
      <c r="H811">
        <v>52</v>
      </c>
      <c r="J811" s="1">
        <v>35.5</v>
      </c>
      <c r="K811" s="1">
        <v>0</v>
      </c>
      <c r="M811" s="1">
        <v>0</v>
      </c>
      <c r="O811" s="1">
        <v>8</v>
      </c>
      <c r="Q811" s="2">
        <v>43.5</v>
      </c>
    </row>
    <row r="812" spans="1:17" x14ac:dyDescent="0.25">
      <c r="A812" t="s">
        <v>31</v>
      </c>
      <c r="B812" t="s">
        <v>38</v>
      </c>
      <c r="C812" t="str">
        <f>"14-2-CH-54"</f>
        <v>14-2-CH-54</v>
      </c>
      <c r="D812" t="s">
        <v>25</v>
      </c>
      <c r="F812" t="s">
        <v>23</v>
      </c>
      <c r="H812">
        <v>54</v>
      </c>
      <c r="J812" s="1">
        <v>35.5</v>
      </c>
      <c r="K812" s="1">
        <v>0</v>
      </c>
      <c r="M812" s="1">
        <v>0</v>
      </c>
      <c r="O812" s="1">
        <v>10</v>
      </c>
      <c r="Q812" s="2">
        <v>45.5</v>
      </c>
    </row>
    <row r="813" spans="1:17" x14ac:dyDescent="0.25">
      <c r="A813" t="s">
        <v>31</v>
      </c>
      <c r="B813" t="s">
        <v>38</v>
      </c>
      <c r="C813" t="str">
        <f>"14-2-CH-56"</f>
        <v>14-2-CH-56</v>
      </c>
      <c r="D813" t="s">
        <v>25</v>
      </c>
      <c r="F813" t="s">
        <v>23</v>
      </c>
      <c r="H813">
        <v>56</v>
      </c>
      <c r="J813" s="1">
        <v>35.5</v>
      </c>
      <c r="K813" s="1">
        <v>0</v>
      </c>
      <c r="M813" s="1">
        <v>0</v>
      </c>
      <c r="O813" s="1">
        <v>12</v>
      </c>
      <c r="Q813" s="2">
        <v>47.5</v>
      </c>
    </row>
    <row r="814" spans="1:17" x14ac:dyDescent="0.25">
      <c r="A814" t="s">
        <v>31</v>
      </c>
      <c r="B814" t="s">
        <v>38</v>
      </c>
      <c r="C814" t="str">
        <f>"14-2-CH-58"</f>
        <v>14-2-CH-58</v>
      </c>
      <c r="D814" t="s">
        <v>25</v>
      </c>
      <c r="F814" t="s">
        <v>23</v>
      </c>
      <c r="H814">
        <v>58</v>
      </c>
      <c r="J814" s="1">
        <v>35.5</v>
      </c>
      <c r="K814" s="1">
        <v>0</v>
      </c>
      <c r="M814" s="1">
        <v>0</v>
      </c>
      <c r="O814" s="1">
        <v>14</v>
      </c>
      <c r="Q814" s="2">
        <v>49.5</v>
      </c>
    </row>
    <row r="815" spans="1:17" x14ac:dyDescent="0.25">
      <c r="A815" t="s">
        <v>31</v>
      </c>
      <c r="B815" t="s">
        <v>38</v>
      </c>
      <c r="C815" t="str">
        <f>"14-2-CH-60"</f>
        <v>14-2-CH-60</v>
      </c>
      <c r="D815" t="s">
        <v>25</v>
      </c>
      <c r="F815" t="s">
        <v>23</v>
      </c>
      <c r="H815">
        <v>60</v>
      </c>
      <c r="J815" s="1">
        <v>35.5</v>
      </c>
      <c r="K815" s="1">
        <v>0</v>
      </c>
      <c r="M815" s="1">
        <v>0</v>
      </c>
      <c r="O815" s="1">
        <v>16</v>
      </c>
      <c r="Q815" s="2">
        <v>51.5</v>
      </c>
    </row>
    <row r="816" spans="1:17" x14ac:dyDescent="0.25">
      <c r="A816" t="s">
        <v>31</v>
      </c>
      <c r="B816" t="s">
        <v>38</v>
      </c>
      <c r="C816" t="str">
        <f>"14-2-CH-62"</f>
        <v>14-2-CH-62</v>
      </c>
      <c r="D816" t="s">
        <v>25</v>
      </c>
      <c r="F816" t="s">
        <v>23</v>
      </c>
      <c r="H816">
        <v>62</v>
      </c>
      <c r="J816" s="1">
        <v>35.5</v>
      </c>
      <c r="K816" s="1">
        <v>0</v>
      </c>
      <c r="M816" s="1">
        <v>0</v>
      </c>
      <c r="O816" s="1">
        <v>18</v>
      </c>
      <c r="Q816" s="2">
        <v>53.5</v>
      </c>
    </row>
    <row r="817" spans="1:17" x14ac:dyDescent="0.25">
      <c r="A817" t="s">
        <v>31</v>
      </c>
      <c r="B817" t="s">
        <v>38</v>
      </c>
      <c r="C817" t="str">
        <f>"14-2-CH-64"</f>
        <v>14-2-CH-64</v>
      </c>
      <c r="D817" t="s">
        <v>25</v>
      </c>
      <c r="F817" t="s">
        <v>23</v>
      </c>
      <c r="H817">
        <v>64</v>
      </c>
      <c r="J817" s="1">
        <v>35.5</v>
      </c>
      <c r="K817" s="1">
        <v>0</v>
      </c>
      <c r="M817" s="1">
        <v>0</v>
      </c>
      <c r="O817" s="1">
        <v>35</v>
      </c>
      <c r="Q817" s="2">
        <v>70.5</v>
      </c>
    </row>
    <row r="818" spans="1:17" x14ac:dyDescent="0.25">
      <c r="A818" t="s">
        <v>31</v>
      </c>
      <c r="B818" t="s">
        <v>38</v>
      </c>
      <c r="C818" t="str">
        <f>"14-2-CH-66"</f>
        <v>14-2-CH-66</v>
      </c>
      <c r="D818" t="s">
        <v>25</v>
      </c>
      <c r="F818" t="s">
        <v>23</v>
      </c>
      <c r="H818">
        <v>66</v>
      </c>
      <c r="J818" s="1">
        <v>35.5</v>
      </c>
      <c r="K818" s="1">
        <v>0</v>
      </c>
      <c r="M818" s="1">
        <v>0</v>
      </c>
      <c r="O818" s="1">
        <v>35</v>
      </c>
      <c r="Q818" s="2">
        <v>70.5</v>
      </c>
    </row>
    <row r="819" spans="1:17" x14ac:dyDescent="0.25">
      <c r="A819" t="s">
        <v>31</v>
      </c>
      <c r="B819" t="s">
        <v>38</v>
      </c>
      <c r="C819" t="str">
        <f>"14-2-CH-68"</f>
        <v>14-2-CH-68</v>
      </c>
      <c r="D819" t="s">
        <v>25</v>
      </c>
      <c r="F819" t="s">
        <v>23</v>
      </c>
      <c r="H819">
        <v>68</v>
      </c>
      <c r="J819" s="1">
        <v>35.5</v>
      </c>
      <c r="K819" s="1">
        <v>0</v>
      </c>
      <c r="M819" s="1">
        <v>0</v>
      </c>
      <c r="O819" s="1">
        <v>35</v>
      </c>
      <c r="Q819" s="2">
        <v>70.5</v>
      </c>
    </row>
    <row r="820" spans="1:17" x14ac:dyDescent="0.25">
      <c r="A820" t="s">
        <v>31</v>
      </c>
      <c r="B820" t="s">
        <v>38</v>
      </c>
      <c r="C820" t="str">
        <f>"14-2-CH-70"</f>
        <v>14-2-CH-70</v>
      </c>
      <c r="D820" t="s">
        <v>25</v>
      </c>
      <c r="F820" t="s">
        <v>23</v>
      </c>
      <c r="H820">
        <v>70</v>
      </c>
      <c r="J820" s="1">
        <v>35.5</v>
      </c>
      <c r="K820" s="1">
        <v>0</v>
      </c>
      <c r="M820" s="1">
        <v>0</v>
      </c>
      <c r="O820" s="1">
        <v>35</v>
      </c>
      <c r="Q820" s="2">
        <v>70.5</v>
      </c>
    </row>
    <row r="821" spans="1:17" x14ac:dyDescent="0.25">
      <c r="A821" t="s">
        <v>31</v>
      </c>
      <c r="B821" t="s">
        <v>38</v>
      </c>
      <c r="C821" t="str">
        <f>"14-2-CH-72"</f>
        <v>14-2-CH-72</v>
      </c>
      <c r="D821" t="s">
        <v>25</v>
      </c>
      <c r="F821" t="s">
        <v>23</v>
      </c>
      <c r="H821">
        <v>72</v>
      </c>
      <c r="J821" s="1">
        <v>35.5</v>
      </c>
      <c r="K821" s="1">
        <v>0</v>
      </c>
      <c r="M821" s="1">
        <v>0</v>
      </c>
      <c r="O821" s="1">
        <v>35</v>
      </c>
      <c r="Q821" s="2">
        <v>70.5</v>
      </c>
    </row>
    <row r="822" spans="1:17" x14ac:dyDescent="0.25">
      <c r="A822" t="s">
        <v>31</v>
      </c>
      <c r="B822" t="s">
        <v>38</v>
      </c>
      <c r="C822" t="str">
        <f>"14-2-CH-74"</f>
        <v>14-2-CH-74</v>
      </c>
      <c r="D822" t="s">
        <v>25</v>
      </c>
      <c r="F822" t="s">
        <v>23</v>
      </c>
      <c r="H822">
        <v>74</v>
      </c>
      <c r="J822" s="1">
        <v>35.5</v>
      </c>
      <c r="K822" s="1">
        <v>0</v>
      </c>
      <c r="M822" s="1">
        <v>0</v>
      </c>
      <c r="O822" s="1">
        <v>35</v>
      </c>
      <c r="Q822" s="2">
        <v>70.5</v>
      </c>
    </row>
    <row r="823" spans="1:17" x14ac:dyDescent="0.25">
      <c r="A823" t="s">
        <v>31</v>
      </c>
      <c r="B823" t="s">
        <v>38</v>
      </c>
      <c r="C823" t="str">
        <f>"14-2-CH-76"</f>
        <v>14-2-CH-76</v>
      </c>
      <c r="D823" t="s">
        <v>25</v>
      </c>
      <c r="F823" t="s">
        <v>23</v>
      </c>
      <c r="H823">
        <v>76</v>
      </c>
      <c r="J823" s="1">
        <v>35.5</v>
      </c>
      <c r="K823" s="1">
        <v>0</v>
      </c>
      <c r="M823" s="1">
        <v>0</v>
      </c>
      <c r="O823" s="1">
        <v>35</v>
      </c>
      <c r="Q823" s="2">
        <v>70.5</v>
      </c>
    </row>
    <row r="824" spans="1:17" x14ac:dyDescent="0.25">
      <c r="A824" t="s">
        <v>31</v>
      </c>
      <c r="B824" t="s">
        <v>38</v>
      </c>
      <c r="C824" t="str">
        <f>"14-2-CH-78"</f>
        <v>14-2-CH-78</v>
      </c>
      <c r="D824" t="s">
        <v>25</v>
      </c>
      <c r="F824" t="s">
        <v>23</v>
      </c>
      <c r="H824">
        <v>78</v>
      </c>
      <c r="J824" s="1">
        <v>35.5</v>
      </c>
      <c r="K824" s="1">
        <v>0</v>
      </c>
      <c r="M824" s="1">
        <v>0</v>
      </c>
      <c r="O824" s="1">
        <v>35</v>
      </c>
      <c r="Q824" s="2">
        <v>70.5</v>
      </c>
    </row>
    <row r="825" spans="1:17" x14ac:dyDescent="0.25">
      <c r="A825" t="s">
        <v>31</v>
      </c>
      <c r="B825" t="s">
        <v>38</v>
      </c>
      <c r="C825" t="str">
        <f>"14-2-CH-80"</f>
        <v>14-2-CH-80</v>
      </c>
      <c r="D825" t="s">
        <v>25</v>
      </c>
      <c r="F825" t="s">
        <v>23</v>
      </c>
      <c r="H825">
        <v>80</v>
      </c>
      <c r="J825" s="1">
        <v>35.5</v>
      </c>
      <c r="K825" s="1">
        <v>0</v>
      </c>
      <c r="M825" s="1">
        <v>0</v>
      </c>
      <c r="O825" s="1">
        <v>35</v>
      </c>
      <c r="Q825" s="2">
        <v>70.5</v>
      </c>
    </row>
    <row r="826" spans="1:17" x14ac:dyDescent="0.25">
      <c r="A826" t="s">
        <v>31</v>
      </c>
      <c r="B826" t="s">
        <v>38</v>
      </c>
      <c r="C826" t="str">
        <f>"14-3-BR-22"</f>
        <v>14-3-BR-22</v>
      </c>
      <c r="D826" t="s">
        <v>26</v>
      </c>
      <c r="F826" t="s">
        <v>22</v>
      </c>
      <c r="H826">
        <v>22</v>
      </c>
      <c r="J826" s="1">
        <v>35.5</v>
      </c>
      <c r="K826" s="1">
        <v>0</v>
      </c>
      <c r="M826" s="1">
        <v>0</v>
      </c>
      <c r="O826" s="1">
        <v>0</v>
      </c>
      <c r="Q826" s="2">
        <v>35.5</v>
      </c>
    </row>
    <row r="827" spans="1:17" x14ac:dyDescent="0.25">
      <c r="A827" t="s">
        <v>31</v>
      </c>
      <c r="B827" t="s">
        <v>38</v>
      </c>
      <c r="C827" t="str">
        <f>"14-3-BR-24"</f>
        <v>14-3-BR-24</v>
      </c>
      <c r="D827" t="s">
        <v>26</v>
      </c>
      <c r="F827" t="s">
        <v>22</v>
      </c>
      <c r="H827">
        <v>24</v>
      </c>
      <c r="J827" s="1">
        <v>35.5</v>
      </c>
      <c r="K827" s="1">
        <v>0</v>
      </c>
      <c r="M827" s="1">
        <v>0</v>
      </c>
      <c r="O827" s="1">
        <v>0</v>
      </c>
      <c r="Q827" s="2">
        <v>35.5</v>
      </c>
    </row>
    <row r="828" spans="1:17" x14ac:dyDescent="0.25">
      <c r="A828" t="s">
        <v>31</v>
      </c>
      <c r="B828" t="s">
        <v>38</v>
      </c>
      <c r="C828" t="str">
        <f>"14-3-BR-26"</f>
        <v>14-3-BR-26</v>
      </c>
      <c r="D828" t="s">
        <v>26</v>
      </c>
      <c r="F828" t="s">
        <v>22</v>
      </c>
      <c r="H828">
        <v>26</v>
      </c>
      <c r="J828" s="1">
        <v>35.5</v>
      </c>
      <c r="K828" s="1">
        <v>0</v>
      </c>
      <c r="M828" s="1">
        <v>0</v>
      </c>
      <c r="O828" s="1">
        <v>0</v>
      </c>
      <c r="Q828" s="2">
        <v>35.5</v>
      </c>
    </row>
    <row r="829" spans="1:17" x14ac:dyDescent="0.25">
      <c r="A829" t="s">
        <v>31</v>
      </c>
      <c r="B829" t="s">
        <v>38</v>
      </c>
      <c r="C829" t="str">
        <f>"14-3-BR-28"</f>
        <v>14-3-BR-28</v>
      </c>
      <c r="D829" t="s">
        <v>26</v>
      </c>
      <c r="F829" t="s">
        <v>22</v>
      </c>
      <c r="H829">
        <v>28</v>
      </c>
      <c r="J829" s="1">
        <v>35.5</v>
      </c>
      <c r="K829" s="1">
        <v>0</v>
      </c>
      <c r="M829" s="1">
        <v>0</v>
      </c>
      <c r="O829" s="1">
        <v>0</v>
      </c>
      <c r="Q829" s="2">
        <v>35.5</v>
      </c>
    </row>
    <row r="830" spans="1:17" x14ac:dyDescent="0.25">
      <c r="A830" t="s">
        <v>31</v>
      </c>
      <c r="B830" t="s">
        <v>38</v>
      </c>
      <c r="C830" t="str">
        <f>"14-3-BR-30"</f>
        <v>14-3-BR-30</v>
      </c>
      <c r="D830" t="s">
        <v>26</v>
      </c>
      <c r="F830" t="s">
        <v>22</v>
      </c>
      <c r="H830">
        <v>30</v>
      </c>
      <c r="J830" s="1">
        <v>35.5</v>
      </c>
      <c r="K830" s="1">
        <v>0</v>
      </c>
      <c r="M830" s="1">
        <v>0</v>
      </c>
      <c r="O830" s="1">
        <v>0</v>
      </c>
      <c r="Q830" s="2">
        <v>35.5</v>
      </c>
    </row>
    <row r="831" spans="1:17" x14ac:dyDescent="0.25">
      <c r="A831" t="s">
        <v>31</v>
      </c>
      <c r="B831" t="s">
        <v>38</v>
      </c>
      <c r="C831" t="str">
        <f>"14-3-BR-32"</f>
        <v>14-3-BR-32</v>
      </c>
      <c r="D831" t="s">
        <v>26</v>
      </c>
      <c r="F831" t="s">
        <v>22</v>
      </c>
      <c r="H831">
        <v>32</v>
      </c>
      <c r="J831" s="1">
        <v>35.5</v>
      </c>
      <c r="K831" s="1">
        <v>0</v>
      </c>
      <c r="M831" s="1">
        <v>0</v>
      </c>
      <c r="O831" s="1">
        <v>0</v>
      </c>
      <c r="Q831" s="2">
        <v>35.5</v>
      </c>
    </row>
    <row r="832" spans="1:17" x14ac:dyDescent="0.25">
      <c r="A832" t="s">
        <v>31</v>
      </c>
      <c r="B832" t="s">
        <v>38</v>
      </c>
      <c r="C832" t="str">
        <f>"14-3-BR-34"</f>
        <v>14-3-BR-34</v>
      </c>
      <c r="D832" t="s">
        <v>26</v>
      </c>
      <c r="F832" t="s">
        <v>22</v>
      </c>
      <c r="H832">
        <v>34</v>
      </c>
      <c r="J832" s="1">
        <v>35.5</v>
      </c>
      <c r="K832" s="1">
        <v>0</v>
      </c>
      <c r="M832" s="1">
        <v>0</v>
      </c>
      <c r="O832" s="1">
        <v>0</v>
      </c>
      <c r="Q832" s="2">
        <v>35.5</v>
      </c>
    </row>
    <row r="833" spans="1:17" x14ac:dyDescent="0.25">
      <c r="A833" t="s">
        <v>31</v>
      </c>
      <c r="B833" t="s">
        <v>38</v>
      </c>
      <c r="C833" t="str">
        <f>"14-3-BR-36"</f>
        <v>14-3-BR-36</v>
      </c>
      <c r="D833" t="s">
        <v>26</v>
      </c>
      <c r="F833" t="s">
        <v>22</v>
      </c>
      <c r="H833">
        <v>36</v>
      </c>
      <c r="J833" s="1">
        <v>35.5</v>
      </c>
      <c r="K833" s="1">
        <v>0</v>
      </c>
      <c r="M833" s="1">
        <v>0</v>
      </c>
      <c r="O833" s="1">
        <v>0</v>
      </c>
      <c r="Q833" s="2">
        <v>35.5</v>
      </c>
    </row>
    <row r="834" spans="1:17" x14ac:dyDescent="0.25">
      <c r="A834" t="s">
        <v>31</v>
      </c>
      <c r="B834" t="s">
        <v>38</v>
      </c>
      <c r="C834" t="str">
        <f>"14-3-BR-38"</f>
        <v>14-3-BR-38</v>
      </c>
      <c r="D834" t="s">
        <v>26</v>
      </c>
      <c r="F834" t="s">
        <v>22</v>
      </c>
      <c r="H834">
        <v>38</v>
      </c>
      <c r="J834" s="1">
        <v>35.5</v>
      </c>
      <c r="K834" s="1">
        <v>0</v>
      </c>
      <c r="M834" s="1">
        <v>0</v>
      </c>
      <c r="O834" s="1">
        <v>0</v>
      </c>
      <c r="Q834" s="2">
        <v>35.5</v>
      </c>
    </row>
    <row r="835" spans="1:17" x14ac:dyDescent="0.25">
      <c r="A835" t="s">
        <v>31</v>
      </c>
      <c r="B835" t="s">
        <v>38</v>
      </c>
      <c r="C835" t="str">
        <f>"14-3-BR-40"</f>
        <v>14-3-BR-40</v>
      </c>
      <c r="D835" t="s">
        <v>26</v>
      </c>
      <c r="F835" t="s">
        <v>22</v>
      </c>
      <c r="H835">
        <v>40</v>
      </c>
      <c r="J835" s="1">
        <v>35.5</v>
      </c>
      <c r="K835" s="1">
        <v>0</v>
      </c>
      <c r="M835" s="1">
        <v>0</v>
      </c>
      <c r="O835" s="1">
        <v>0</v>
      </c>
      <c r="Q835" s="2">
        <v>35.5</v>
      </c>
    </row>
    <row r="836" spans="1:17" x14ac:dyDescent="0.25">
      <c r="A836" t="s">
        <v>31</v>
      </c>
      <c r="B836" t="s">
        <v>38</v>
      </c>
      <c r="C836" t="str">
        <f>"14-3-BR-42"</f>
        <v>14-3-BR-42</v>
      </c>
      <c r="D836" t="s">
        <v>26</v>
      </c>
      <c r="F836" t="s">
        <v>22</v>
      </c>
      <c r="H836">
        <v>42</v>
      </c>
      <c r="J836" s="1">
        <v>35.5</v>
      </c>
      <c r="K836" s="1">
        <v>0</v>
      </c>
      <c r="M836" s="1">
        <v>0</v>
      </c>
      <c r="O836" s="1">
        <v>0</v>
      </c>
      <c r="Q836" s="2">
        <v>35.5</v>
      </c>
    </row>
    <row r="837" spans="1:17" x14ac:dyDescent="0.25">
      <c r="A837" t="s">
        <v>31</v>
      </c>
      <c r="B837" t="s">
        <v>38</v>
      </c>
      <c r="C837" t="str">
        <f>"14-3-BR-44"</f>
        <v>14-3-BR-44</v>
      </c>
      <c r="D837" t="s">
        <v>26</v>
      </c>
      <c r="F837" t="s">
        <v>22</v>
      </c>
      <c r="H837">
        <v>44</v>
      </c>
      <c r="J837" s="1">
        <v>35.5</v>
      </c>
      <c r="K837" s="1">
        <v>0</v>
      </c>
      <c r="M837" s="1">
        <v>0</v>
      </c>
      <c r="O837" s="1">
        <v>0</v>
      </c>
      <c r="Q837" s="2">
        <v>35.5</v>
      </c>
    </row>
    <row r="838" spans="1:17" x14ac:dyDescent="0.25">
      <c r="A838" t="s">
        <v>31</v>
      </c>
      <c r="B838" t="s">
        <v>38</v>
      </c>
      <c r="C838" t="str">
        <f>"14-3-BR-46"</f>
        <v>14-3-BR-46</v>
      </c>
      <c r="D838" t="s">
        <v>26</v>
      </c>
      <c r="F838" t="s">
        <v>22</v>
      </c>
      <c r="H838">
        <v>46</v>
      </c>
      <c r="J838" s="1">
        <v>35.5</v>
      </c>
      <c r="K838" s="1">
        <v>0</v>
      </c>
      <c r="M838" s="1">
        <v>0</v>
      </c>
      <c r="O838" s="1">
        <v>0</v>
      </c>
      <c r="Q838" s="2">
        <v>35.5</v>
      </c>
    </row>
    <row r="839" spans="1:17" x14ac:dyDescent="0.25">
      <c r="A839" t="s">
        <v>31</v>
      </c>
      <c r="B839" t="s">
        <v>38</v>
      </c>
      <c r="C839" t="str">
        <f>"14-3-BR-48"</f>
        <v>14-3-BR-48</v>
      </c>
      <c r="D839" t="s">
        <v>26</v>
      </c>
      <c r="F839" t="s">
        <v>22</v>
      </c>
      <c r="H839">
        <v>48</v>
      </c>
      <c r="J839" s="1">
        <v>35.5</v>
      </c>
      <c r="K839" s="1">
        <v>0</v>
      </c>
      <c r="M839" s="1">
        <v>0</v>
      </c>
      <c r="O839" s="1">
        <v>4</v>
      </c>
      <c r="Q839" s="2">
        <v>39.5</v>
      </c>
    </row>
    <row r="840" spans="1:17" x14ac:dyDescent="0.25">
      <c r="A840" t="s">
        <v>31</v>
      </c>
      <c r="B840" t="s">
        <v>38</v>
      </c>
      <c r="C840" t="str">
        <f>"14-3-BR-50"</f>
        <v>14-3-BR-50</v>
      </c>
      <c r="D840" t="s">
        <v>26</v>
      </c>
      <c r="F840" t="s">
        <v>22</v>
      </c>
      <c r="H840">
        <v>50</v>
      </c>
      <c r="J840" s="1">
        <v>35.5</v>
      </c>
      <c r="K840" s="1">
        <v>0</v>
      </c>
      <c r="M840" s="1">
        <v>0</v>
      </c>
      <c r="O840" s="1">
        <v>6</v>
      </c>
      <c r="Q840" s="2">
        <v>41.5</v>
      </c>
    </row>
    <row r="841" spans="1:17" x14ac:dyDescent="0.25">
      <c r="A841" t="s">
        <v>31</v>
      </c>
      <c r="B841" t="s">
        <v>38</v>
      </c>
      <c r="C841" t="str">
        <f>"14-3-BR-52"</f>
        <v>14-3-BR-52</v>
      </c>
      <c r="D841" t="s">
        <v>26</v>
      </c>
      <c r="F841" t="s">
        <v>22</v>
      </c>
      <c r="H841">
        <v>52</v>
      </c>
      <c r="J841" s="1">
        <v>35.5</v>
      </c>
      <c r="K841" s="1">
        <v>0</v>
      </c>
      <c r="M841" s="1">
        <v>0</v>
      </c>
      <c r="O841" s="1">
        <v>8</v>
      </c>
      <c r="Q841" s="2">
        <v>43.5</v>
      </c>
    </row>
    <row r="842" spans="1:17" x14ac:dyDescent="0.25">
      <c r="A842" t="s">
        <v>31</v>
      </c>
      <c r="B842" t="s">
        <v>38</v>
      </c>
      <c r="C842" t="str">
        <f>"14-3-BR-54"</f>
        <v>14-3-BR-54</v>
      </c>
      <c r="D842" t="s">
        <v>26</v>
      </c>
      <c r="F842" t="s">
        <v>22</v>
      </c>
      <c r="H842">
        <v>54</v>
      </c>
      <c r="J842" s="1">
        <v>35.5</v>
      </c>
      <c r="K842" s="1">
        <v>0</v>
      </c>
      <c r="M842" s="1">
        <v>0</v>
      </c>
      <c r="O842" s="1">
        <v>10</v>
      </c>
      <c r="Q842" s="2">
        <v>45.5</v>
      </c>
    </row>
    <row r="843" spans="1:17" x14ac:dyDescent="0.25">
      <c r="A843" t="s">
        <v>31</v>
      </c>
      <c r="B843" t="s">
        <v>38</v>
      </c>
      <c r="C843" t="str">
        <f>"14-3-BR-56"</f>
        <v>14-3-BR-56</v>
      </c>
      <c r="D843" t="s">
        <v>26</v>
      </c>
      <c r="F843" t="s">
        <v>22</v>
      </c>
      <c r="H843">
        <v>56</v>
      </c>
      <c r="J843" s="1">
        <v>35.5</v>
      </c>
      <c r="K843" s="1">
        <v>0</v>
      </c>
      <c r="M843" s="1">
        <v>0</v>
      </c>
      <c r="O843" s="1">
        <v>12</v>
      </c>
      <c r="Q843" s="2">
        <v>47.5</v>
      </c>
    </row>
    <row r="844" spans="1:17" x14ac:dyDescent="0.25">
      <c r="A844" t="s">
        <v>31</v>
      </c>
      <c r="B844" t="s">
        <v>38</v>
      </c>
      <c r="C844" t="str">
        <f>"14-3-BR-58"</f>
        <v>14-3-BR-58</v>
      </c>
      <c r="D844" t="s">
        <v>26</v>
      </c>
      <c r="F844" t="s">
        <v>22</v>
      </c>
      <c r="H844">
        <v>58</v>
      </c>
      <c r="J844" s="1">
        <v>35.5</v>
      </c>
      <c r="K844" s="1">
        <v>0</v>
      </c>
      <c r="M844" s="1">
        <v>0</v>
      </c>
      <c r="O844" s="1">
        <v>14</v>
      </c>
      <c r="Q844" s="2">
        <v>49.5</v>
      </c>
    </row>
    <row r="845" spans="1:17" x14ac:dyDescent="0.25">
      <c r="A845" t="s">
        <v>31</v>
      </c>
      <c r="B845" t="s">
        <v>38</v>
      </c>
      <c r="C845" t="str">
        <f>"14-3-BR-60"</f>
        <v>14-3-BR-60</v>
      </c>
      <c r="D845" t="s">
        <v>26</v>
      </c>
      <c r="F845" t="s">
        <v>22</v>
      </c>
      <c r="H845">
        <v>60</v>
      </c>
      <c r="J845" s="1">
        <v>35.5</v>
      </c>
      <c r="K845" s="1">
        <v>0</v>
      </c>
      <c r="M845" s="1">
        <v>0</v>
      </c>
      <c r="O845" s="1">
        <v>16</v>
      </c>
      <c r="Q845" s="2">
        <v>51.5</v>
      </c>
    </row>
    <row r="846" spans="1:17" x14ac:dyDescent="0.25">
      <c r="A846" t="s">
        <v>31</v>
      </c>
      <c r="B846" t="s">
        <v>38</v>
      </c>
      <c r="C846" t="str">
        <f>"14-3-BR-62"</f>
        <v>14-3-BR-62</v>
      </c>
      <c r="D846" t="s">
        <v>26</v>
      </c>
      <c r="F846" t="s">
        <v>22</v>
      </c>
      <c r="H846">
        <v>62</v>
      </c>
      <c r="J846" s="1">
        <v>35.5</v>
      </c>
      <c r="K846" s="1">
        <v>0</v>
      </c>
      <c r="M846" s="1">
        <v>0</v>
      </c>
      <c r="O846" s="1">
        <v>18</v>
      </c>
      <c r="Q846" s="2">
        <v>53.5</v>
      </c>
    </row>
    <row r="847" spans="1:17" x14ac:dyDescent="0.25">
      <c r="A847" t="s">
        <v>31</v>
      </c>
      <c r="B847" t="s">
        <v>38</v>
      </c>
      <c r="C847" t="str">
        <f>"14-3-BR-64"</f>
        <v>14-3-BR-64</v>
      </c>
      <c r="D847" t="s">
        <v>26</v>
      </c>
      <c r="F847" t="s">
        <v>22</v>
      </c>
      <c r="H847">
        <v>64</v>
      </c>
      <c r="J847" s="1">
        <v>35.5</v>
      </c>
      <c r="K847" s="1">
        <v>0</v>
      </c>
      <c r="M847" s="1">
        <v>0</v>
      </c>
      <c r="O847" s="1">
        <v>35</v>
      </c>
      <c r="Q847" s="2">
        <v>70.5</v>
      </c>
    </row>
    <row r="848" spans="1:17" x14ac:dyDescent="0.25">
      <c r="A848" t="s">
        <v>31</v>
      </c>
      <c r="B848" t="s">
        <v>38</v>
      </c>
      <c r="C848" t="str">
        <f>"14-3-BR-66"</f>
        <v>14-3-BR-66</v>
      </c>
      <c r="D848" t="s">
        <v>26</v>
      </c>
      <c r="F848" t="s">
        <v>22</v>
      </c>
      <c r="H848">
        <v>66</v>
      </c>
      <c r="J848" s="1">
        <v>35.5</v>
      </c>
      <c r="K848" s="1">
        <v>0</v>
      </c>
      <c r="M848" s="1">
        <v>0</v>
      </c>
      <c r="O848" s="1">
        <v>35</v>
      </c>
      <c r="Q848" s="2">
        <v>70.5</v>
      </c>
    </row>
    <row r="849" spans="1:17" x14ac:dyDescent="0.25">
      <c r="A849" t="s">
        <v>31</v>
      </c>
      <c r="B849" t="s">
        <v>38</v>
      </c>
      <c r="C849" t="str">
        <f>"14-3-BR-68"</f>
        <v>14-3-BR-68</v>
      </c>
      <c r="D849" t="s">
        <v>26</v>
      </c>
      <c r="F849" t="s">
        <v>22</v>
      </c>
      <c r="H849">
        <v>68</v>
      </c>
      <c r="J849" s="1">
        <v>35.5</v>
      </c>
      <c r="K849" s="1">
        <v>0</v>
      </c>
      <c r="M849" s="1">
        <v>0</v>
      </c>
      <c r="O849" s="1">
        <v>35</v>
      </c>
      <c r="Q849" s="2">
        <v>70.5</v>
      </c>
    </row>
    <row r="850" spans="1:17" x14ac:dyDescent="0.25">
      <c r="A850" t="s">
        <v>31</v>
      </c>
      <c r="B850" t="s">
        <v>38</v>
      </c>
      <c r="C850" t="str">
        <f>"14-3-BR-70"</f>
        <v>14-3-BR-70</v>
      </c>
      <c r="D850" t="s">
        <v>26</v>
      </c>
      <c r="F850" t="s">
        <v>22</v>
      </c>
      <c r="H850">
        <v>70</v>
      </c>
      <c r="J850" s="1">
        <v>35.5</v>
      </c>
      <c r="K850" s="1">
        <v>0</v>
      </c>
      <c r="M850" s="1">
        <v>0</v>
      </c>
      <c r="O850" s="1">
        <v>35</v>
      </c>
      <c r="Q850" s="2">
        <v>70.5</v>
      </c>
    </row>
    <row r="851" spans="1:17" x14ac:dyDescent="0.25">
      <c r="A851" t="s">
        <v>31</v>
      </c>
      <c r="B851" t="s">
        <v>38</v>
      </c>
      <c r="C851" t="str">
        <f>"14-3-BR-72"</f>
        <v>14-3-BR-72</v>
      </c>
      <c r="D851" t="s">
        <v>26</v>
      </c>
      <c r="F851" t="s">
        <v>22</v>
      </c>
      <c r="H851">
        <v>72</v>
      </c>
      <c r="J851" s="1">
        <v>35.5</v>
      </c>
      <c r="K851" s="1">
        <v>0</v>
      </c>
      <c r="M851" s="1">
        <v>0</v>
      </c>
      <c r="O851" s="1">
        <v>35</v>
      </c>
      <c r="Q851" s="2">
        <v>70.5</v>
      </c>
    </row>
    <row r="852" spans="1:17" x14ac:dyDescent="0.25">
      <c r="A852" t="s">
        <v>31</v>
      </c>
      <c r="B852" t="s">
        <v>38</v>
      </c>
      <c r="C852" t="str">
        <f>"14-3-BR-74"</f>
        <v>14-3-BR-74</v>
      </c>
      <c r="D852" t="s">
        <v>26</v>
      </c>
      <c r="F852" t="s">
        <v>22</v>
      </c>
      <c r="H852">
        <v>74</v>
      </c>
      <c r="J852" s="1">
        <v>35.5</v>
      </c>
      <c r="K852" s="1">
        <v>0</v>
      </c>
      <c r="M852" s="1">
        <v>0</v>
      </c>
      <c r="O852" s="1">
        <v>35</v>
      </c>
      <c r="Q852" s="2">
        <v>70.5</v>
      </c>
    </row>
    <row r="853" spans="1:17" x14ac:dyDescent="0.25">
      <c r="A853" t="s">
        <v>31</v>
      </c>
      <c r="B853" t="s">
        <v>38</v>
      </c>
      <c r="C853" t="str">
        <f>"14-3-BR-76"</f>
        <v>14-3-BR-76</v>
      </c>
      <c r="D853" t="s">
        <v>26</v>
      </c>
      <c r="F853" t="s">
        <v>22</v>
      </c>
      <c r="H853">
        <v>76</v>
      </c>
      <c r="J853" s="1">
        <v>35.5</v>
      </c>
      <c r="K853" s="1">
        <v>0</v>
      </c>
      <c r="M853" s="1">
        <v>0</v>
      </c>
      <c r="O853" s="1">
        <v>35</v>
      </c>
      <c r="Q853" s="2">
        <v>70.5</v>
      </c>
    </row>
    <row r="854" spans="1:17" x14ac:dyDescent="0.25">
      <c r="A854" t="s">
        <v>31</v>
      </c>
      <c r="B854" t="s">
        <v>38</v>
      </c>
      <c r="C854" t="str">
        <f>"14-3-BR-78"</f>
        <v>14-3-BR-78</v>
      </c>
      <c r="D854" t="s">
        <v>26</v>
      </c>
      <c r="F854" t="s">
        <v>22</v>
      </c>
      <c r="H854">
        <v>78</v>
      </c>
      <c r="J854" s="1">
        <v>35.5</v>
      </c>
      <c r="K854" s="1">
        <v>0</v>
      </c>
      <c r="M854" s="1">
        <v>0</v>
      </c>
      <c r="O854" s="1">
        <v>35</v>
      </c>
      <c r="Q854" s="2">
        <v>70.5</v>
      </c>
    </row>
    <row r="855" spans="1:17" x14ac:dyDescent="0.25">
      <c r="A855" t="s">
        <v>31</v>
      </c>
      <c r="B855" t="s">
        <v>38</v>
      </c>
      <c r="C855" t="str">
        <f>"14-3-BR-80"</f>
        <v>14-3-BR-80</v>
      </c>
      <c r="D855" t="s">
        <v>26</v>
      </c>
      <c r="F855" t="s">
        <v>22</v>
      </c>
      <c r="H855">
        <v>80</v>
      </c>
      <c r="J855" s="1">
        <v>35.5</v>
      </c>
      <c r="K855" s="1">
        <v>0</v>
      </c>
      <c r="M855" s="1">
        <v>0</v>
      </c>
      <c r="O855" s="1">
        <v>35</v>
      </c>
      <c r="Q855" s="2">
        <v>70.5</v>
      </c>
    </row>
    <row r="856" spans="1:17" x14ac:dyDescent="0.25">
      <c r="A856" t="s">
        <v>31</v>
      </c>
      <c r="B856" t="s">
        <v>38</v>
      </c>
      <c r="C856" t="str">
        <f>"14-3-CH-22"</f>
        <v>14-3-CH-22</v>
      </c>
      <c r="D856" t="s">
        <v>26</v>
      </c>
      <c r="F856" t="s">
        <v>23</v>
      </c>
      <c r="H856">
        <v>22</v>
      </c>
      <c r="J856" s="1">
        <v>35.5</v>
      </c>
      <c r="K856" s="1">
        <v>0</v>
      </c>
      <c r="M856" s="1">
        <v>0</v>
      </c>
      <c r="O856" s="1">
        <v>0</v>
      </c>
      <c r="Q856" s="2">
        <v>35.5</v>
      </c>
    </row>
    <row r="857" spans="1:17" x14ac:dyDescent="0.25">
      <c r="A857" t="s">
        <v>31</v>
      </c>
      <c r="B857" t="s">
        <v>38</v>
      </c>
      <c r="C857" t="str">
        <f>"14-3-CH-24"</f>
        <v>14-3-CH-24</v>
      </c>
      <c r="D857" t="s">
        <v>26</v>
      </c>
      <c r="F857" t="s">
        <v>23</v>
      </c>
      <c r="H857">
        <v>24</v>
      </c>
      <c r="J857" s="1">
        <v>35.5</v>
      </c>
      <c r="K857" s="1">
        <v>0</v>
      </c>
      <c r="M857" s="1">
        <v>0</v>
      </c>
      <c r="O857" s="1">
        <v>0</v>
      </c>
      <c r="Q857" s="2">
        <v>35.5</v>
      </c>
    </row>
    <row r="858" spans="1:17" x14ac:dyDescent="0.25">
      <c r="A858" t="s">
        <v>31</v>
      </c>
      <c r="B858" t="s">
        <v>38</v>
      </c>
      <c r="C858" t="str">
        <f>"14-3-CH-26"</f>
        <v>14-3-CH-26</v>
      </c>
      <c r="D858" t="s">
        <v>26</v>
      </c>
      <c r="F858" t="s">
        <v>23</v>
      </c>
      <c r="H858">
        <v>26</v>
      </c>
      <c r="J858" s="1">
        <v>35.5</v>
      </c>
      <c r="K858" s="1">
        <v>0</v>
      </c>
      <c r="M858" s="1">
        <v>0</v>
      </c>
      <c r="O858" s="1">
        <v>0</v>
      </c>
      <c r="Q858" s="2">
        <v>35.5</v>
      </c>
    </row>
    <row r="859" spans="1:17" x14ac:dyDescent="0.25">
      <c r="A859" t="s">
        <v>31</v>
      </c>
      <c r="B859" t="s">
        <v>38</v>
      </c>
      <c r="C859" t="str">
        <f>"14-3-CH-28"</f>
        <v>14-3-CH-28</v>
      </c>
      <c r="D859" t="s">
        <v>26</v>
      </c>
      <c r="F859" t="s">
        <v>23</v>
      </c>
      <c r="H859">
        <v>28</v>
      </c>
      <c r="J859" s="1">
        <v>35.5</v>
      </c>
      <c r="K859" s="1">
        <v>0</v>
      </c>
      <c r="M859" s="1">
        <v>0</v>
      </c>
      <c r="O859" s="1">
        <v>0</v>
      </c>
      <c r="Q859" s="2">
        <v>35.5</v>
      </c>
    </row>
    <row r="860" spans="1:17" x14ac:dyDescent="0.25">
      <c r="A860" t="s">
        <v>31</v>
      </c>
      <c r="B860" t="s">
        <v>38</v>
      </c>
      <c r="C860" t="str">
        <f>"14-3-CH-30"</f>
        <v>14-3-CH-30</v>
      </c>
      <c r="D860" t="s">
        <v>26</v>
      </c>
      <c r="F860" t="s">
        <v>23</v>
      </c>
      <c r="H860">
        <v>30</v>
      </c>
      <c r="J860" s="1">
        <v>35.5</v>
      </c>
      <c r="K860" s="1">
        <v>0</v>
      </c>
      <c r="M860" s="1">
        <v>0</v>
      </c>
      <c r="O860" s="1">
        <v>0</v>
      </c>
      <c r="Q860" s="2">
        <v>35.5</v>
      </c>
    </row>
    <row r="861" spans="1:17" x14ac:dyDescent="0.25">
      <c r="A861" t="s">
        <v>31</v>
      </c>
      <c r="B861" t="s">
        <v>38</v>
      </c>
      <c r="C861" t="str">
        <f>"14-3-CH-32"</f>
        <v>14-3-CH-32</v>
      </c>
      <c r="D861" t="s">
        <v>26</v>
      </c>
      <c r="F861" t="s">
        <v>23</v>
      </c>
      <c r="H861">
        <v>32</v>
      </c>
      <c r="J861" s="1">
        <v>35.5</v>
      </c>
      <c r="K861" s="1">
        <v>0</v>
      </c>
      <c r="M861" s="1">
        <v>0</v>
      </c>
      <c r="O861" s="1">
        <v>0</v>
      </c>
      <c r="Q861" s="2">
        <v>35.5</v>
      </c>
    </row>
    <row r="862" spans="1:17" x14ac:dyDescent="0.25">
      <c r="A862" t="s">
        <v>31</v>
      </c>
      <c r="B862" t="s">
        <v>38</v>
      </c>
      <c r="C862" t="str">
        <f>"14-3-CH-34"</f>
        <v>14-3-CH-34</v>
      </c>
      <c r="D862" t="s">
        <v>26</v>
      </c>
      <c r="F862" t="s">
        <v>23</v>
      </c>
      <c r="H862">
        <v>34</v>
      </c>
      <c r="J862" s="1">
        <v>35.5</v>
      </c>
      <c r="K862" s="1">
        <v>0</v>
      </c>
      <c r="M862" s="1">
        <v>0</v>
      </c>
      <c r="O862" s="1">
        <v>0</v>
      </c>
      <c r="Q862" s="2">
        <v>35.5</v>
      </c>
    </row>
    <row r="863" spans="1:17" x14ac:dyDescent="0.25">
      <c r="A863" t="s">
        <v>31</v>
      </c>
      <c r="B863" t="s">
        <v>38</v>
      </c>
      <c r="C863" t="str">
        <f>"14-3-CH-36"</f>
        <v>14-3-CH-36</v>
      </c>
      <c r="D863" t="s">
        <v>26</v>
      </c>
      <c r="F863" t="s">
        <v>23</v>
      </c>
      <c r="H863">
        <v>36</v>
      </c>
      <c r="J863" s="1">
        <v>35.5</v>
      </c>
      <c r="K863" s="1">
        <v>0</v>
      </c>
      <c r="M863" s="1">
        <v>0</v>
      </c>
      <c r="O863" s="1">
        <v>0</v>
      </c>
      <c r="Q863" s="2">
        <v>35.5</v>
      </c>
    </row>
    <row r="864" spans="1:17" x14ac:dyDescent="0.25">
      <c r="A864" t="s">
        <v>31</v>
      </c>
      <c r="B864" t="s">
        <v>38</v>
      </c>
      <c r="C864" t="str">
        <f>"14-3-CH-38"</f>
        <v>14-3-CH-38</v>
      </c>
      <c r="D864" t="s">
        <v>26</v>
      </c>
      <c r="F864" t="s">
        <v>23</v>
      </c>
      <c r="H864">
        <v>38</v>
      </c>
      <c r="J864" s="1">
        <v>35.5</v>
      </c>
      <c r="K864" s="1">
        <v>0</v>
      </c>
      <c r="M864" s="1">
        <v>0</v>
      </c>
      <c r="O864" s="1">
        <v>0</v>
      </c>
      <c r="Q864" s="2">
        <v>35.5</v>
      </c>
    </row>
    <row r="865" spans="1:17" x14ac:dyDescent="0.25">
      <c r="A865" t="s">
        <v>31</v>
      </c>
      <c r="B865" t="s">
        <v>38</v>
      </c>
      <c r="C865" t="str">
        <f>"14-3-CH-40"</f>
        <v>14-3-CH-40</v>
      </c>
      <c r="D865" t="s">
        <v>26</v>
      </c>
      <c r="F865" t="s">
        <v>23</v>
      </c>
      <c r="H865">
        <v>40</v>
      </c>
      <c r="J865" s="1">
        <v>35.5</v>
      </c>
      <c r="K865" s="1">
        <v>0</v>
      </c>
      <c r="M865" s="1">
        <v>0</v>
      </c>
      <c r="O865" s="1">
        <v>0</v>
      </c>
      <c r="Q865" s="2">
        <v>35.5</v>
      </c>
    </row>
    <row r="866" spans="1:17" x14ac:dyDescent="0.25">
      <c r="A866" t="s">
        <v>31</v>
      </c>
      <c r="B866" t="s">
        <v>38</v>
      </c>
      <c r="C866" t="str">
        <f>"14-3-CH-42"</f>
        <v>14-3-CH-42</v>
      </c>
      <c r="D866" t="s">
        <v>26</v>
      </c>
      <c r="F866" t="s">
        <v>23</v>
      </c>
      <c r="H866">
        <v>42</v>
      </c>
      <c r="J866" s="1">
        <v>35.5</v>
      </c>
      <c r="K866" s="1">
        <v>0</v>
      </c>
      <c r="M866" s="1">
        <v>0</v>
      </c>
      <c r="O866" s="1">
        <v>0</v>
      </c>
      <c r="Q866" s="2">
        <v>35.5</v>
      </c>
    </row>
    <row r="867" spans="1:17" x14ac:dyDescent="0.25">
      <c r="A867" t="s">
        <v>31</v>
      </c>
      <c r="B867" t="s">
        <v>38</v>
      </c>
      <c r="C867" t="str">
        <f>"14-3-CH-44"</f>
        <v>14-3-CH-44</v>
      </c>
      <c r="D867" t="s">
        <v>26</v>
      </c>
      <c r="F867" t="s">
        <v>23</v>
      </c>
      <c r="H867">
        <v>44</v>
      </c>
      <c r="J867" s="1">
        <v>35.5</v>
      </c>
      <c r="K867" s="1">
        <v>0</v>
      </c>
      <c r="M867" s="1">
        <v>0</v>
      </c>
      <c r="O867" s="1">
        <v>0</v>
      </c>
      <c r="Q867" s="2">
        <v>35.5</v>
      </c>
    </row>
    <row r="868" spans="1:17" x14ac:dyDescent="0.25">
      <c r="A868" t="s">
        <v>31</v>
      </c>
      <c r="B868" t="s">
        <v>38</v>
      </c>
      <c r="C868" t="str">
        <f>"14-3-CH-46"</f>
        <v>14-3-CH-46</v>
      </c>
      <c r="D868" t="s">
        <v>26</v>
      </c>
      <c r="F868" t="s">
        <v>23</v>
      </c>
      <c r="H868">
        <v>46</v>
      </c>
      <c r="J868" s="1">
        <v>35.5</v>
      </c>
      <c r="K868" s="1">
        <v>0</v>
      </c>
      <c r="M868" s="1">
        <v>0</v>
      </c>
      <c r="O868" s="1">
        <v>0</v>
      </c>
      <c r="Q868" s="2">
        <v>35.5</v>
      </c>
    </row>
    <row r="869" spans="1:17" x14ac:dyDescent="0.25">
      <c r="A869" t="s">
        <v>31</v>
      </c>
      <c r="B869" t="s">
        <v>38</v>
      </c>
      <c r="C869" t="str">
        <f>"14-3-CH-48"</f>
        <v>14-3-CH-48</v>
      </c>
      <c r="D869" t="s">
        <v>26</v>
      </c>
      <c r="F869" t="s">
        <v>23</v>
      </c>
      <c r="H869">
        <v>48</v>
      </c>
      <c r="J869" s="1">
        <v>35.5</v>
      </c>
      <c r="K869" s="1">
        <v>0</v>
      </c>
      <c r="M869" s="1">
        <v>0</v>
      </c>
      <c r="O869" s="1">
        <v>4</v>
      </c>
      <c r="Q869" s="2">
        <v>39.5</v>
      </c>
    </row>
    <row r="870" spans="1:17" x14ac:dyDescent="0.25">
      <c r="A870" t="s">
        <v>31</v>
      </c>
      <c r="B870" t="s">
        <v>38</v>
      </c>
      <c r="C870" t="str">
        <f>"14-3-CH-50"</f>
        <v>14-3-CH-50</v>
      </c>
      <c r="D870" t="s">
        <v>26</v>
      </c>
      <c r="F870" t="s">
        <v>23</v>
      </c>
      <c r="H870">
        <v>50</v>
      </c>
      <c r="J870" s="1">
        <v>35.5</v>
      </c>
      <c r="K870" s="1">
        <v>0</v>
      </c>
      <c r="M870" s="1">
        <v>0</v>
      </c>
      <c r="O870" s="1">
        <v>6</v>
      </c>
      <c r="Q870" s="2">
        <v>41.5</v>
      </c>
    </row>
    <row r="871" spans="1:17" x14ac:dyDescent="0.25">
      <c r="A871" t="s">
        <v>31</v>
      </c>
      <c r="B871" t="s">
        <v>38</v>
      </c>
      <c r="C871" t="str">
        <f>"14-3-CH-52"</f>
        <v>14-3-CH-52</v>
      </c>
      <c r="D871" t="s">
        <v>26</v>
      </c>
      <c r="F871" t="s">
        <v>23</v>
      </c>
      <c r="H871">
        <v>52</v>
      </c>
      <c r="J871" s="1">
        <v>35.5</v>
      </c>
      <c r="K871" s="1">
        <v>0</v>
      </c>
      <c r="M871" s="1">
        <v>0</v>
      </c>
      <c r="O871" s="1">
        <v>8</v>
      </c>
      <c r="Q871" s="2">
        <v>43.5</v>
      </c>
    </row>
    <row r="872" spans="1:17" x14ac:dyDescent="0.25">
      <c r="A872" t="s">
        <v>31</v>
      </c>
      <c r="B872" t="s">
        <v>38</v>
      </c>
      <c r="C872" t="str">
        <f>"14-3-CH-54"</f>
        <v>14-3-CH-54</v>
      </c>
      <c r="D872" t="s">
        <v>26</v>
      </c>
      <c r="F872" t="s">
        <v>23</v>
      </c>
      <c r="H872">
        <v>54</v>
      </c>
      <c r="J872" s="1">
        <v>35.5</v>
      </c>
      <c r="K872" s="1">
        <v>0</v>
      </c>
      <c r="M872" s="1">
        <v>0</v>
      </c>
      <c r="O872" s="1">
        <v>10</v>
      </c>
      <c r="Q872" s="2">
        <v>45.5</v>
      </c>
    </row>
    <row r="873" spans="1:17" x14ac:dyDescent="0.25">
      <c r="A873" t="s">
        <v>31</v>
      </c>
      <c r="B873" t="s">
        <v>38</v>
      </c>
      <c r="C873" t="str">
        <f>"14-3-CH-56"</f>
        <v>14-3-CH-56</v>
      </c>
      <c r="D873" t="s">
        <v>26</v>
      </c>
      <c r="F873" t="s">
        <v>23</v>
      </c>
      <c r="H873">
        <v>56</v>
      </c>
      <c r="J873" s="1">
        <v>35.5</v>
      </c>
      <c r="K873" s="1">
        <v>0</v>
      </c>
      <c r="M873" s="1">
        <v>0</v>
      </c>
      <c r="O873" s="1">
        <v>12</v>
      </c>
      <c r="Q873" s="2">
        <v>47.5</v>
      </c>
    </row>
    <row r="874" spans="1:17" x14ac:dyDescent="0.25">
      <c r="A874" t="s">
        <v>31</v>
      </c>
      <c r="B874" t="s">
        <v>38</v>
      </c>
      <c r="C874" t="str">
        <f>"14-3-CH-58"</f>
        <v>14-3-CH-58</v>
      </c>
      <c r="D874" t="s">
        <v>26</v>
      </c>
      <c r="F874" t="s">
        <v>23</v>
      </c>
      <c r="H874">
        <v>58</v>
      </c>
      <c r="J874" s="1">
        <v>35.5</v>
      </c>
      <c r="K874" s="1">
        <v>0</v>
      </c>
      <c r="M874" s="1">
        <v>0</v>
      </c>
      <c r="O874" s="1">
        <v>14</v>
      </c>
      <c r="Q874" s="2">
        <v>49.5</v>
      </c>
    </row>
    <row r="875" spans="1:17" x14ac:dyDescent="0.25">
      <c r="A875" t="s">
        <v>31</v>
      </c>
      <c r="B875" t="s">
        <v>38</v>
      </c>
      <c r="C875" t="str">
        <f>"14-3-CH-60"</f>
        <v>14-3-CH-60</v>
      </c>
      <c r="D875" t="s">
        <v>26</v>
      </c>
      <c r="F875" t="s">
        <v>23</v>
      </c>
      <c r="H875">
        <v>60</v>
      </c>
      <c r="J875" s="1">
        <v>35.5</v>
      </c>
      <c r="K875" s="1">
        <v>0</v>
      </c>
      <c r="M875" s="1">
        <v>0</v>
      </c>
      <c r="O875" s="1">
        <v>16</v>
      </c>
      <c r="Q875" s="2">
        <v>51.5</v>
      </c>
    </row>
    <row r="876" spans="1:17" x14ac:dyDescent="0.25">
      <c r="A876" t="s">
        <v>31</v>
      </c>
      <c r="B876" t="s">
        <v>38</v>
      </c>
      <c r="C876" t="str">
        <f>"14-3-CH-62"</f>
        <v>14-3-CH-62</v>
      </c>
      <c r="D876" t="s">
        <v>26</v>
      </c>
      <c r="F876" t="s">
        <v>23</v>
      </c>
      <c r="H876">
        <v>62</v>
      </c>
      <c r="J876" s="1">
        <v>35.5</v>
      </c>
      <c r="K876" s="1">
        <v>0</v>
      </c>
      <c r="M876" s="1">
        <v>0</v>
      </c>
      <c r="O876" s="1">
        <v>18</v>
      </c>
      <c r="Q876" s="2">
        <v>53.5</v>
      </c>
    </row>
    <row r="877" spans="1:17" x14ac:dyDescent="0.25">
      <c r="A877" t="s">
        <v>31</v>
      </c>
      <c r="B877" t="s">
        <v>38</v>
      </c>
      <c r="C877" t="str">
        <f>"14-3-CH-64"</f>
        <v>14-3-CH-64</v>
      </c>
      <c r="D877" t="s">
        <v>26</v>
      </c>
      <c r="F877" t="s">
        <v>23</v>
      </c>
      <c r="H877">
        <v>64</v>
      </c>
      <c r="J877" s="1">
        <v>35.5</v>
      </c>
      <c r="K877" s="1">
        <v>0</v>
      </c>
      <c r="M877" s="1">
        <v>0</v>
      </c>
      <c r="O877" s="1">
        <v>35</v>
      </c>
      <c r="Q877" s="2">
        <v>70.5</v>
      </c>
    </row>
    <row r="878" spans="1:17" x14ac:dyDescent="0.25">
      <c r="A878" t="s">
        <v>31</v>
      </c>
      <c r="B878" t="s">
        <v>38</v>
      </c>
      <c r="C878" t="str">
        <f>"14-3-CH-66"</f>
        <v>14-3-CH-66</v>
      </c>
      <c r="D878" t="s">
        <v>26</v>
      </c>
      <c r="F878" t="s">
        <v>23</v>
      </c>
      <c r="H878">
        <v>66</v>
      </c>
      <c r="J878" s="1">
        <v>35.5</v>
      </c>
      <c r="K878" s="1">
        <v>0</v>
      </c>
      <c r="M878" s="1">
        <v>0</v>
      </c>
      <c r="O878" s="1">
        <v>35</v>
      </c>
      <c r="Q878" s="2">
        <v>70.5</v>
      </c>
    </row>
    <row r="879" spans="1:17" x14ac:dyDescent="0.25">
      <c r="A879" t="s">
        <v>31</v>
      </c>
      <c r="B879" t="s">
        <v>38</v>
      </c>
      <c r="C879" t="str">
        <f>"14-3-CH-68"</f>
        <v>14-3-CH-68</v>
      </c>
      <c r="D879" t="s">
        <v>26</v>
      </c>
      <c r="F879" t="s">
        <v>23</v>
      </c>
      <c r="H879">
        <v>68</v>
      </c>
      <c r="J879" s="1">
        <v>35.5</v>
      </c>
      <c r="K879" s="1">
        <v>0</v>
      </c>
      <c r="M879" s="1">
        <v>0</v>
      </c>
      <c r="O879" s="1">
        <v>35</v>
      </c>
      <c r="Q879" s="2">
        <v>70.5</v>
      </c>
    </row>
    <row r="880" spans="1:17" x14ac:dyDescent="0.25">
      <c r="A880" t="s">
        <v>31</v>
      </c>
      <c r="B880" t="s">
        <v>38</v>
      </c>
      <c r="C880" t="str">
        <f>"14-3-CH-70"</f>
        <v>14-3-CH-70</v>
      </c>
      <c r="D880" t="s">
        <v>26</v>
      </c>
      <c r="F880" t="s">
        <v>23</v>
      </c>
      <c r="H880">
        <v>70</v>
      </c>
      <c r="J880" s="1">
        <v>35.5</v>
      </c>
      <c r="K880" s="1">
        <v>0</v>
      </c>
      <c r="M880" s="1">
        <v>0</v>
      </c>
      <c r="O880" s="1">
        <v>35</v>
      </c>
      <c r="Q880" s="2">
        <v>70.5</v>
      </c>
    </row>
    <row r="881" spans="1:17" x14ac:dyDescent="0.25">
      <c r="A881" t="s">
        <v>31</v>
      </c>
      <c r="B881" t="s">
        <v>38</v>
      </c>
      <c r="C881" t="str">
        <f>"14-3-CH-72"</f>
        <v>14-3-CH-72</v>
      </c>
      <c r="D881" t="s">
        <v>26</v>
      </c>
      <c r="F881" t="s">
        <v>23</v>
      </c>
      <c r="H881">
        <v>72</v>
      </c>
      <c r="J881" s="1">
        <v>35.5</v>
      </c>
      <c r="K881" s="1">
        <v>0</v>
      </c>
      <c r="M881" s="1">
        <v>0</v>
      </c>
      <c r="O881" s="1">
        <v>35</v>
      </c>
      <c r="Q881" s="2">
        <v>70.5</v>
      </c>
    </row>
    <row r="882" spans="1:17" x14ac:dyDescent="0.25">
      <c r="A882" t="s">
        <v>31</v>
      </c>
      <c r="B882" t="s">
        <v>38</v>
      </c>
      <c r="C882" t="str">
        <f>"14-3-CH-74"</f>
        <v>14-3-CH-74</v>
      </c>
      <c r="D882" t="s">
        <v>26</v>
      </c>
      <c r="F882" t="s">
        <v>23</v>
      </c>
      <c r="H882">
        <v>74</v>
      </c>
      <c r="J882" s="1">
        <v>35.5</v>
      </c>
      <c r="K882" s="1">
        <v>0</v>
      </c>
      <c r="M882" s="1">
        <v>0</v>
      </c>
      <c r="O882" s="1">
        <v>35</v>
      </c>
      <c r="Q882" s="2">
        <v>70.5</v>
      </c>
    </row>
    <row r="883" spans="1:17" x14ac:dyDescent="0.25">
      <c r="A883" t="s">
        <v>31</v>
      </c>
      <c r="B883" t="s">
        <v>38</v>
      </c>
      <c r="C883" t="str">
        <f>"14-3-CH-76"</f>
        <v>14-3-CH-76</v>
      </c>
      <c r="D883" t="s">
        <v>26</v>
      </c>
      <c r="F883" t="s">
        <v>23</v>
      </c>
      <c r="H883">
        <v>76</v>
      </c>
      <c r="J883" s="1">
        <v>35.5</v>
      </c>
      <c r="K883" s="1">
        <v>0</v>
      </c>
      <c r="M883" s="1">
        <v>0</v>
      </c>
      <c r="O883" s="1">
        <v>35</v>
      </c>
      <c r="Q883" s="2">
        <v>70.5</v>
      </c>
    </row>
    <row r="884" spans="1:17" x14ac:dyDescent="0.25">
      <c r="A884" t="s">
        <v>31</v>
      </c>
      <c r="B884" t="s">
        <v>38</v>
      </c>
      <c r="C884" t="str">
        <f>"14-3-CH-78"</f>
        <v>14-3-CH-78</v>
      </c>
      <c r="D884" t="s">
        <v>26</v>
      </c>
      <c r="F884" t="s">
        <v>23</v>
      </c>
      <c r="H884">
        <v>78</v>
      </c>
      <c r="J884" s="1">
        <v>35.5</v>
      </c>
      <c r="K884" s="1">
        <v>0</v>
      </c>
      <c r="M884" s="1">
        <v>0</v>
      </c>
      <c r="O884" s="1">
        <v>35</v>
      </c>
      <c r="Q884" s="2">
        <v>70.5</v>
      </c>
    </row>
    <row r="885" spans="1:17" x14ac:dyDescent="0.25">
      <c r="A885" t="s">
        <v>31</v>
      </c>
      <c r="B885" t="s">
        <v>38</v>
      </c>
      <c r="C885" t="str">
        <f>"14-3-CH-80"</f>
        <v>14-3-CH-80</v>
      </c>
      <c r="D885" t="s">
        <v>26</v>
      </c>
      <c r="F885" t="s">
        <v>23</v>
      </c>
      <c r="H885">
        <v>80</v>
      </c>
      <c r="J885" s="1">
        <v>35.5</v>
      </c>
      <c r="K885" s="1">
        <v>0</v>
      </c>
      <c r="M885" s="1">
        <v>0</v>
      </c>
      <c r="O885" s="1">
        <v>35</v>
      </c>
      <c r="Q885" s="2">
        <v>70.5</v>
      </c>
    </row>
    <row r="886" spans="1:17" x14ac:dyDescent="0.25">
      <c r="A886" t="s">
        <v>31</v>
      </c>
      <c r="B886" t="s">
        <v>38</v>
      </c>
      <c r="C886" t="str">
        <f>"14-5-BR-22"</f>
        <v>14-5-BR-22</v>
      </c>
      <c r="D886" t="s">
        <v>27</v>
      </c>
      <c r="F886" t="s">
        <v>22</v>
      </c>
      <c r="H886">
        <v>22</v>
      </c>
      <c r="J886" s="1">
        <v>35.5</v>
      </c>
      <c r="K886" s="1">
        <v>0</v>
      </c>
      <c r="M886" s="1">
        <v>0</v>
      </c>
      <c r="O886" s="1">
        <v>0</v>
      </c>
      <c r="Q886" s="2">
        <v>35.5</v>
      </c>
    </row>
    <row r="887" spans="1:17" x14ac:dyDescent="0.25">
      <c r="A887" t="s">
        <v>31</v>
      </c>
      <c r="B887" t="s">
        <v>38</v>
      </c>
      <c r="C887" t="str">
        <f>"14-5-BR-24"</f>
        <v>14-5-BR-24</v>
      </c>
      <c r="D887" t="s">
        <v>27</v>
      </c>
      <c r="F887" t="s">
        <v>22</v>
      </c>
      <c r="H887">
        <v>24</v>
      </c>
      <c r="J887" s="1">
        <v>35.5</v>
      </c>
      <c r="K887" s="1">
        <v>0</v>
      </c>
      <c r="M887" s="1">
        <v>0</v>
      </c>
      <c r="O887" s="1">
        <v>0</v>
      </c>
      <c r="Q887" s="2">
        <v>35.5</v>
      </c>
    </row>
    <row r="888" spans="1:17" x14ac:dyDescent="0.25">
      <c r="A888" t="s">
        <v>31</v>
      </c>
      <c r="B888" t="s">
        <v>38</v>
      </c>
      <c r="C888" t="str">
        <f>"14-5-BR-26"</f>
        <v>14-5-BR-26</v>
      </c>
      <c r="D888" t="s">
        <v>27</v>
      </c>
      <c r="F888" t="s">
        <v>22</v>
      </c>
      <c r="H888">
        <v>26</v>
      </c>
      <c r="J888" s="1">
        <v>35.5</v>
      </c>
      <c r="K888" s="1">
        <v>0</v>
      </c>
      <c r="M888" s="1">
        <v>0</v>
      </c>
      <c r="O888" s="1">
        <v>0</v>
      </c>
      <c r="Q888" s="2">
        <v>35.5</v>
      </c>
    </row>
    <row r="889" spans="1:17" x14ac:dyDescent="0.25">
      <c r="A889" t="s">
        <v>31</v>
      </c>
      <c r="B889" t="s">
        <v>38</v>
      </c>
      <c r="C889" t="str">
        <f>"14-5-BR-28"</f>
        <v>14-5-BR-28</v>
      </c>
      <c r="D889" t="s">
        <v>27</v>
      </c>
      <c r="F889" t="s">
        <v>22</v>
      </c>
      <c r="H889">
        <v>28</v>
      </c>
      <c r="J889" s="1">
        <v>35.5</v>
      </c>
      <c r="K889" s="1">
        <v>0</v>
      </c>
      <c r="M889" s="1">
        <v>0</v>
      </c>
      <c r="O889" s="1">
        <v>0</v>
      </c>
      <c r="Q889" s="2">
        <v>35.5</v>
      </c>
    </row>
    <row r="890" spans="1:17" x14ac:dyDescent="0.25">
      <c r="A890" t="s">
        <v>31</v>
      </c>
      <c r="B890" t="s">
        <v>38</v>
      </c>
      <c r="C890" t="str">
        <f>"14-5-BR-30"</f>
        <v>14-5-BR-30</v>
      </c>
      <c r="D890" t="s">
        <v>27</v>
      </c>
      <c r="F890" t="s">
        <v>22</v>
      </c>
      <c r="H890">
        <v>30</v>
      </c>
      <c r="J890" s="1">
        <v>35.5</v>
      </c>
      <c r="K890" s="1">
        <v>0</v>
      </c>
      <c r="M890" s="1">
        <v>0</v>
      </c>
      <c r="O890" s="1">
        <v>0</v>
      </c>
      <c r="Q890" s="2">
        <v>35.5</v>
      </c>
    </row>
    <row r="891" spans="1:17" x14ac:dyDescent="0.25">
      <c r="A891" t="s">
        <v>31</v>
      </c>
      <c r="B891" t="s">
        <v>38</v>
      </c>
      <c r="C891" t="str">
        <f>"14-5-BR-32"</f>
        <v>14-5-BR-32</v>
      </c>
      <c r="D891" t="s">
        <v>27</v>
      </c>
      <c r="F891" t="s">
        <v>22</v>
      </c>
      <c r="H891">
        <v>32</v>
      </c>
      <c r="J891" s="1">
        <v>35.5</v>
      </c>
      <c r="K891" s="1">
        <v>0</v>
      </c>
      <c r="M891" s="1">
        <v>0</v>
      </c>
      <c r="O891" s="1">
        <v>0</v>
      </c>
      <c r="Q891" s="2">
        <v>35.5</v>
      </c>
    </row>
    <row r="892" spans="1:17" x14ac:dyDescent="0.25">
      <c r="A892" t="s">
        <v>31</v>
      </c>
      <c r="B892" t="s">
        <v>38</v>
      </c>
      <c r="C892" t="str">
        <f>"14-5-BR-34"</f>
        <v>14-5-BR-34</v>
      </c>
      <c r="D892" t="s">
        <v>27</v>
      </c>
      <c r="F892" t="s">
        <v>22</v>
      </c>
      <c r="H892">
        <v>34</v>
      </c>
      <c r="J892" s="1">
        <v>35.5</v>
      </c>
      <c r="K892" s="1">
        <v>0</v>
      </c>
      <c r="M892" s="1">
        <v>0</v>
      </c>
      <c r="O892" s="1">
        <v>0</v>
      </c>
      <c r="Q892" s="2">
        <v>35.5</v>
      </c>
    </row>
    <row r="893" spans="1:17" x14ac:dyDescent="0.25">
      <c r="A893" t="s">
        <v>31</v>
      </c>
      <c r="B893" t="s">
        <v>38</v>
      </c>
      <c r="C893" t="str">
        <f>"14-5-BR-36"</f>
        <v>14-5-BR-36</v>
      </c>
      <c r="D893" t="s">
        <v>27</v>
      </c>
      <c r="F893" t="s">
        <v>22</v>
      </c>
      <c r="H893">
        <v>36</v>
      </c>
      <c r="J893" s="1">
        <v>35.5</v>
      </c>
      <c r="K893" s="1">
        <v>0</v>
      </c>
      <c r="M893" s="1">
        <v>0</v>
      </c>
      <c r="O893" s="1">
        <v>0</v>
      </c>
      <c r="Q893" s="2">
        <v>35.5</v>
      </c>
    </row>
    <row r="894" spans="1:17" x14ac:dyDescent="0.25">
      <c r="A894" t="s">
        <v>31</v>
      </c>
      <c r="B894" t="s">
        <v>38</v>
      </c>
      <c r="C894" t="str">
        <f>"14-5-BR-38"</f>
        <v>14-5-BR-38</v>
      </c>
      <c r="D894" t="s">
        <v>27</v>
      </c>
      <c r="F894" t="s">
        <v>22</v>
      </c>
      <c r="H894">
        <v>38</v>
      </c>
      <c r="J894" s="1">
        <v>35.5</v>
      </c>
      <c r="K894" s="1">
        <v>0</v>
      </c>
      <c r="M894" s="1">
        <v>0</v>
      </c>
      <c r="O894" s="1">
        <v>0</v>
      </c>
      <c r="Q894" s="2">
        <v>35.5</v>
      </c>
    </row>
    <row r="895" spans="1:17" x14ac:dyDescent="0.25">
      <c r="A895" t="s">
        <v>31</v>
      </c>
      <c r="B895" t="s">
        <v>38</v>
      </c>
      <c r="C895" t="str">
        <f>"14-5-BR-40"</f>
        <v>14-5-BR-40</v>
      </c>
      <c r="D895" t="s">
        <v>27</v>
      </c>
      <c r="F895" t="s">
        <v>22</v>
      </c>
      <c r="H895">
        <v>40</v>
      </c>
      <c r="J895" s="1">
        <v>35.5</v>
      </c>
      <c r="K895" s="1">
        <v>0</v>
      </c>
      <c r="M895" s="1">
        <v>0</v>
      </c>
      <c r="O895" s="1">
        <v>0</v>
      </c>
      <c r="Q895" s="2">
        <v>35.5</v>
      </c>
    </row>
    <row r="896" spans="1:17" x14ac:dyDescent="0.25">
      <c r="A896" t="s">
        <v>31</v>
      </c>
      <c r="B896" t="s">
        <v>38</v>
      </c>
      <c r="C896" t="str">
        <f>"14-5-BR-42"</f>
        <v>14-5-BR-42</v>
      </c>
      <c r="D896" t="s">
        <v>27</v>
      </c>
      <c r="F896" t="s">
        <v>22</v>
      </c>
      <c r="H896">
        <v>42</v>
      </c>
      <c r="J896" s="1">
        <v>35.5</v>
      </c>
      <c r="K896" s="1">
        <v>0</v>
      </c>
      <c r="M896" s="1">
        <v>0</v>
      </c>
      <c r="O896" s="1">
        <v>0</v>
      </c>
      <c r="Q896" s="2">
        <v>35.5</v>
      </c>
    </row>
    <row r="897" spans="1:17" x14ac:dyDescent="0.25">
      <c r="A897" t="s">
        <v>31</v>
      </c>
      <c r="B897" t="s">
        <v>38</v>
      </c>
      <c r="C897" t="str">
        <f>"14-5-BR-44"</f>
        <v>14-5-BR-44</v>
      </c>
      <c r="D897" t="s">
        <v>27</v>
      </c>
      <c r="F897" t="s">
        <v>22</v>
      </c>
      <c r="H897">
        <v>44</v>
      </c>
      <c r="J897" s="1">
        <v>35.5</v>
      </c>
      <c r="K897" s="1">
        <v>0</v>
      </c>
      <c r="M897" s="1">
        <v>0</v>
      </c>
      <c r="O897" s="1">
        <v>0</v>
      </c>
      <c r="Q897" s="2">
        <v>35.5</v>
      </c>
    </row>
    <row r="898" spans="1:17" x14ac:dyDescent="0.25">
      <c r="A898" t="s">
        <v>31</v>
      </c>
      <c r="B898" t="s">
        <v>38</v>
      </c>
      <c r="C898" t="str">
        <f>"14-5-BR-46"</f>
        <v>14-5-BR-46</v>
      </c>
      <c r="D898" t="s">
        <v>27</v>
      </c>
      <c r="F898" t="s">
        <v>22</v>
      </c>
      <c r="H898">
        <v>46</v>
      </c>
      <c r="J898" s="1">
        <v>35.5</v>
      </c>
      <c r="K898" s="1">
        <v>0</v>
      </c>
      <c r="M898" s="1">
        <v>0</v>
      </c>
      <c r="O898" s="1">
        <v>0</v>
      </c>
      <c r="Q898" s="2">
        <v>35.5</v>
      </c>
    </row>
    <row r="899" spans="1:17" x14ac:dyDescent="0.25">
      <c r="A899" t="s">
        <v>31</v>
      </c>
      <c r="B899" t="s">
        <v>38</v>
      </c>
      <c r="C899" t="str">
        <f>"14-5-BR-48"</f>
        <v>14-5-BR-48</v>
      </c>
      <c r="D899" t="s">
        <v>27</v>
      </c>
      <c r="F899" t="s">
        <v>22</v>
      </c>
      <c r="H899">
        <v>48</v>
      </c>
      <c r="J899" s="1">
        <v>35.5</v>
      </c>
      <c r="K899" s="1">
        <v>0</v>
      </c>
      <c r="M899" s="1">
        <v>0</v>
      </c>
      <c r="O899" s="1">
        <v>4</v>
      </c>
      <c r="Q899" s="2">
        <v>39.5</v>
      </c>
    </row>
    <row r="900" spans="1:17" x14ac:dyDescent="0.25">
      <c r="A900" t="s">
        <v>31</v>
      </c>
      <c r="B900" t="s">
        <v>38</v>
      </c>
      <c r="C900" t="str">
        <f>"14-5-BR-50"</f>
        <v>14-5-BR-50</v>
      </c>
      <c r="D900" t="s">
        <v>27</v>
      </c>
      <c r="F900" t="s">
        <v>22</v>
      </c>
      <c r="H900">
        <v>50</v>
      </c>
      <c r="J900" s="1">
        <v>35.5</v>
      </c>
      <c r="K900" s="1">
        <v>0</v>
      </c>
      <c r="M900" s="1">
        <v>0</v>
      </c>
      <c r="O900" s="1">
        <v>6</v>
      </c>
      <c r="Q900" s="2">
        <v>41.5</v>
      </c>
    </row>
    <row r="901" spans="1:17" x14ac:dyDescent="0.25">
      <c r="A901" t="s">
        <v>31</v>
      </c>
      <c r="B901" t="s">
        <v>38</v>
      </c>
      <c r="C901" t="str">
        <f>"14-5-BR-52"</f>
        <v>14-5-BR-52</v>
      </c>
      <c r="D901" t="s">
        <v>27</v>
      </c>
      <c r="F901" t="s">
        <v>22</v>
      </c>
      <c r="H901">
        <v>52</v>
      </c>
      <c r="J901" s="1">
        <v>35.5</v>
      </c>
      <c r="K901" s="1">
        <v>0</v>
      </c>
      <c r="M901" s="1">
        <v>0</v>
      </c>
      <c r="O901" s="1">
        <v>8</v>
      </c>
      <c r="Q901" s="2">
        <v>43.5</v>
      </c>
    </row>
    <row r="902" spans="1:17" x14ac:dyDescent="0.25">
      <c r="A902" t="s">
        <v>31</v>
      </c>
      <c r="B902" t="s">
        <v>38</v>
      </c>
      <c r="C902" t="str">
        <f>"14-5-BR-54"</f>
        <v>14-5-BR-54</v>
      </c>
      <c r="D902" t="s">
        <v>27</v>
      </c>
      <c r="F902" t="s">
        <v>22</v>
      </c>
      <c r="H902">
        <v>54</v>
      </c>
      <c r="J902" s="1">
        <v>35.5</v>
      </c>
      <c r="K902" s="1">
        <v>0</v>
      </c>
      <c r="M902" s="1">
        <v>0</v>
      </c>
      <c r="O902" s="1">
        <v>10</v>
      </c>
      <c r="Q902" s="2">
        <v>45.5</v>
      </c>
    </row>
    <row r="903" spans="1:17" x14ac:dyDescent="0.25">
      <c r="A903" t="s">
        <v>31</v>
      </c>
      <c r="B903" t="s">
        <v>38</v>
      </c>
      <c r="C903" t="str">
        <f>"14-5-BR-56"</f>
        <v>14-5-BR-56</v>
      </c>
      <c r="D903" t="s">
        <v>27</v>
      </c>
      <c r="F903" t="s">
        <v>22</v>
      </c>
      <c r="H903">
        <v>56</v>
      </c>
      <c r="J903" s="1">
        <v>35.5</v>
      </c>
      <c r="K903" s="1">
        <v>0</v>
      </c>
      <c r="M903" s="1">
        <v>0</v>
      </c>
      <c r="O903" s="1">
        <v>12</v>
      </c>
      <c r="Q903" s="2">
        <v>47.5</v>
      </c>
    </row>
    <row r="904" spans="1:17" x14ac:dyDescent="0.25">
      <c r="A904" t="s">
        <v>31</v>
      </c>
      <c r="B904" t="s">
        <v>38</v>
      </c>
      <c r="C904" t="str">
        <f>"14-5-BR-58"</f>
        <v>14-5-BR-58</v>
      </c>
      <c r="D904" t="s">
        <v>27</v>
      </c>
      <c r="F904" t="s">
        <v>22</v>
      </c>
      <c r="H904">
        <v>58</v>
      </c>
      <c r="J904" s="1">
        <v>35.5</v>
      </c>
      <c r="K904" s="1">
        <v>0</v>
      </c>
      <c r="M904" s="1">
        <v>0</v>
      </c>
      <c r="O904" s="1">
        <v>14</v>
      </c>
      <c r="Q904" s="2">
        <v>49.5</v>
      </c>
    </row>
    <row r="905" spans="1:17" x14ac:dyDescent="0.25">
      <c r="A905" t="s">
        <v>31</v>
      </c>
      <c r="B905" t="s">
        <v>38</v>
      </c>
      <c r="C905" t="str">
        <f>"14-5-BR-60"</f>
        <v>14-5-BR-60</v>
      </c>
      <c r="D905" t="s">
        <v>27</v>
      </c>
      <c r="F905" t="s">
        <v>22</v>
      </c>
      <c r="H905">
        <v>60</v>
      </c>
      <c r="J905" s="1">
        <v>35.5</v>
      </c>
      <c r="K905" s="1">
        <v>0</v>
      </c>
      <c r="M905" s="1">
        <v>0</v>
      </c>
      <c r="O905" s="1">
        <v>16</v>
      </c>
      <c r="Q905" s="2">
        <v>51.5</v>
      </c>
    </row>
    <row r="906" spans="1:17" x14ac:dyDescent="0.25">
      <c r="A906" t="s">
        <v>31</v>
      </c>
      <c r="B906" t="s">
        <v>38</v>
      </c>
      <c r="C906" t="str">
        <f>"14-5-BR-62"</f>
        <v>14-5-BR-62</v>
      </c>
      <c r="D906" t="s">
        <v>27</v>
      </c>
      <c r="F906" t="s">
        <v>22</v>
      </c>
      <c r="H906">
        <v>62</v>
      </c>
      <c r="J906" s="1">
        <v>35.5</v>
      </c>
      <c r="K906" s="1">
        <v>0</v>
      </c>
      <c r="M906" s="1">
        <v>0</v>
      </c>
      <c r="O906" s="1">
        <v>18</v>
      </c>
      <c r="Q906" s="2">
        <v>53.5</v>
      </c>
    </row>
    <row r="907" spans="1:17" x14ac:dyDescent="0.25">
      <c r="A907" t="s">
        <v>31</v>
      </c>
      <c r="B907" t="s">
        <v>38</v>
      </c>
      <c r="C907" t="str">
        <f>"14-5-BR-64"</f>
        <v>14-5-BR-64</v>
      </c>
      <c r="D907" t="s">
        <v>27</v>
      </c>
      <c r="F907" t="s">
        <v>22</v>
      </c>
      <c r="H907">
        <v>64</v>
      </c>
      <c r="J907" s="1">
        <v>35.5</v>
      </c>
      <c r="K907" s="1">
        <v>0</v>
      </c>
      <c r="M907" s="1">
        <v>0</v>
      </c>
      <c r="O907" s="1">
        <v>35</v>
      </c>
      <c r="Q907" s="2">
        <v>70.5</v>
      </c>
    </row>
    <row r="908" spans="1:17" x14ac:dyDescent="0.25">
      <c r="A908" t="s">
        <v>31</v>
      </c>
      <c r="B908" t="s">
        <v>38</v>
      </c>
      <c r="C908" t="str">
        <f>"14-5-BR-66"</f>
        <v>14-5-BR-66</v>
      </c>
      <c r="D908" t="s">
        <v>27</v>
      </c>
      <c r="F908" t="s">
        <v>22</v>
      </c>
      <c r="H908">
        <v>66</v>
      </c>
      <c r="J908" s="1">
        <v>35.5</v>
      </c>
      <c r="K908" s="1">
        <v>0</v>
      </c>
      <c r="M908" s="1">
        <v>0</v>
      </c>
      <c r="O908" s="1">
        <v>35</v>
      </c>
      <c r="Q908" s="2">
        <v>70.5</v>
      </c>
    </row>
    <row r="909" spans="1:17" x14ac:dyDescent="0.25">
      <c r="A909" t="s">
        <v>31</v>
      </c>
      <c r="B909" t="s">
        <v>38</v>
      </c>
      <c r="C909" t="str">
        <f>"14-5-BR-68"</f>
        <v>14-5-BR-68</v>
      </c>
      <c r="D909" t="s">
        <v>27</v>
      </c>
      <c r="F909" t="s">
        <v>22</v>
      </c>
      <c r="H909">
        <v>68</v>
      </c>
      <c r="J909" s="1">
        <v>35.5</v>
      </c>
      <c r="K909" s="1">
        <v>0</v>
      </c>
      <c r="M909" s="1">
        <v>0</v>
      </c>
      <c r="O909" s="1">
        <v>35</v>
      </c>
      <c r="Q909" s="2">
        <v>70.5</v>
      </c>
    </row>
    <row r="910" spans="1:17" x14ac:dyDescent="0.25">
      <c r="A910" t="s">
        <v>31</v>
      </c>
      <c r="B910" t="s">
        <v>38</v>
      </c>
      <c r="C910" t="str">
        <f>"14-5-BR-70"</f>
        <v>14-5-BR-70</v>
      </c>
      <c r="D910" t="s">
        <v>27</v>
      </c>
      <c r="F910" t="s">
        <v>22</v>
      </c>
      <c r="H910">
        <v>70</v>
      </c>
      <c r="J910" s="1">
        <v>35.5</v>
      </c>
      <c r="K910" s="1">
        <v>0</v>
      </c>
      <c r="M910" s="1">
        <v>0</v>
      </c>
      <c r="O910" s="1">
        <v>35</v>
      </c>
      <c r="Q910" s="2">
        <v>70.5</v>
      </c>
    </row>
    <row r="911" spans="1:17" x14ac:dyDescent="0.25">
      <c r="A911" t="s">
        <v>31</v>
      </c>
      <c r="B911" t="s">
        <v>38</v>
      </c>
      <c r="C911" t="str">
        <f>"14-5-BR-72"</f>
        <v>14-5-BR-72</v>
      </c>
      <c r="D911" t="s">
        <v>27</v>
      </c>
      <c r="F911" t="s">
        <v>22</v>
      </c>
      <c r="H911">
        <v>72</v>
      </c>
      <c r="J911" s="1">
        <v>35.5</v>
      </c>
      <c r="K911" s="1">
        <v>0</v>
      </c>
      <c r="M911" s="1">
        <v>0</v>
      </c>
      <c r="O911" s="1">
        <v>35</v>
      </c>
      <c r="Q911" s="2">
        <v>70.5</v>
      </c>
    </row>
    <row r="912" spans="1:17" x14ac:dyDescent="0.25">
      <c r="A912" t="s">
        <v>31</v>
      </c>
      <c r="B912" t="s">
        <v>38</v>
      </c>
      <c r="C912" t="str">
        <f>"14-5-BR-74"</f>
        <v>14-5-BR-74</v>
      </c>
      <c r="D912" t="s">
        <v>27</v>
      </c>
      <c r="F912" t="s">
        <v>22</v>
      </c>
      <c r="H912">
        <v>74</v>
      </c>
      <c r="J912" s="1">
        <v>35.5</v>
      </c>
      <c r="K912" s="1">
        <v>0</v>
      </c>
      <c r="M912" s="1">
        <v>0</v>
      </c>
      <c r="O912" s="1">
        <v>35</v>
      </c>
      <c r="Q912" s="2">
        <v>70.5</v>
      </c>
    </row>
    <row r="913" spans="1:17" x14ac:dyDescent="0.25">
      <c r="A913" t="s">
        <v>31</v>
      </c>
      <c r="B913" t="s">
        <v>38</v>
      </c>
      <c r="C913" t="str">
        <f>"14-5-BR-76"</f>
        <v>14-5-BR-76</v>
      </c>
      <c r="D913" t="s">
        <v>27</v>
      </c>
      <c r="F913" t="s">
        <v>22</v>
      </c>
      <c r="H913">
        <v>76</v>
      </c>
      <c r="J913" s="1">
        <v>35.5</v>
      </c>
      <c r="K913" s="1">
        <v>0</v>
      </c>
      <c r="M913" s="1">
        <v>0</v>
      </c>
      <c r="O913" s="1">
        <v>35</v>
      </c>
      <c r="Q913" s="2">
        <v>70.5</v>
      </c>
    </row>
    <row r="914" spans="1:17" x14ac:dyDescent="0.25">
      <c r="A914" t="s">
        <v>31</v>
      </c>
      <c r="B914" t="s">
        <v>38</v>
      </c>
      <c r="C914" t="str">
        <f>"14-5-BR-78"</f>
        <v>14-5-BR-78</v>
      </c>
      <c r="D914" t="s">
        <v>27</v>
      </c>
      <c r="F914" t="s">
        <v>22</v>
      </c>
      <c r="H914">
        <v>78</v>
      </c>
      <c r="J914" s="1">
        <v>35.5</v>
      </c>
      <c r="K914" s="1">
        <v>0</v>
      </c>
      <c r="M914" s="1">
        <v>0</v>
      </c>
      <c r="O914" s="1">
        <v>35</v>
      </c>
      <c r="Q914" s="2">
        <v>70.5</v>
      </c>
    </row>
    <row r="915" spans="1:17" x14ac:dyDescent="0.25">
      <c r="A915" t="s">
        <v>31</v>
      </c>
      <c r="B915" t="s">
        <v>38</v>
      </c>
      <c r="C915" t="str">
        <f>"14-5-BR-80"</f>
        <v>14-5-BR-80</v>
      </c>
      <c r="D915" t="s">
        <v>27</v>
      </c>
      <c r="F915" t="s">
        <v>22</v>
      </c>
      <c r="H915">
        <v>80</v>
      </c>
      <c r="J915" s="1">
        <v>35.5</v>
      </c>
      <c r="K915" s="1">
        <v>0</v>
      </c>
      <c r="M915" s="1">
        <v>0</v>
      </c>
      <c r="O915" s="1">
        <v>35</v>
      </c>
      <c r="Q915" s="2">
        <v>70.5</v>
      </c>
    </row>
    <row r="916" spans="1:17" x14ac:dyDescent="0.25">
      <c r="A916" t="s">
        <v>31</v>
      </c>
      <c r="B916" t="s">
        <v>38</v>
      </c>
      <c r="C916" t="str">
        <f>"14-5-CH-22"</f>
        <v>14-5-CH-22</v>
      </c>
      <c r="D916" t="s">
        <v>27</v>
      </c>
      <c r="F916" t="s">
        <v>23</v>
      </c>
      <c r="H916">
        <v>22</v>
      </c>
      <c r="J916" s="1">
        <v>35.5</v>
      </c>
      <c r="K916" s="1">
        <v>0</v>
      </c>
      <c r="M916" s="1">
        <v>0</v>
      </c>
      <c r="O916" s="1">
        <v>0</v>
      </c>
      <c r="Q916" s="2">
        <v>35.5</v>
      </c>
    </row>
    <row r="917" spans="1:17" x14ac:dyDescent="0.25">
      <c r="A917" t="s">
        <v>31</v>
      </c>
      <c r="B917" t="s">
        <v>38</v>
      </c>
      <c r="C917" t="str">
        <f>"14-5-CH-24"</f>
        <v>14-5-CH-24</v>
      </c>
      <c r="D917" t="s">
        <v>27</v>
      </c>
      <c r="F917" t="s">
        <v>23</v>
      </c>
      <c r="H917">
        <v>24</v>
      </c>
      <c r="J917" s="1">
        <v>35.5</v>
      </c>
      <c r="K917" s="1">
        <v>0</v>
      </c>
      <c r="M917" s="1">
        <v>0</v>
      </c>
      <c r="O917" s="1">
        <v>0</v>
      </c>
      <c r="Q917" s="2">
        <v>35.5</v>
      </c>
    </row>
    <row r="918" spans="1:17" x14ac:dyDescent="0.25">
      <c r="A918" t="s">
        <v>31</v>
      </c>
      <c r="B918" t="s">
        <v>38</v>
      </c>
      <c r="C918" t="str">
        <f>"14-5-CH-26"</f>
        <v>14-5-CH-26</v>
      </c>
      <c r="D918" t="s">
        <v>27</v>
      </c>
      <c r="F918" t="s">
        <v>23</v>
      </c>
      <c r="H918">
        <v>26</v>
      </c>
      <c r="J918" s="1">
        <v>35.5</v>
      </c>
      <c r="K918" s="1">
        <v>0</v>
      </c>
      <c r="M918" s="1">
        <v>0</v>
      </c>
      <c r="O918" s="1">
        <v>0</v>
      </c>
      <c r="Q918" s="2">
        <v>35.5</v>
      </c>
    </row>
    <row r="919" spans="1:17" x14ac:dyDescent="0.25">
      <c r="A919" t="s">
        <v>31</v>
      </c>
      <c r="B919" t="s">
        <v>38</v>
      </c>
      <c r="C919" t="str">
        <f>"14-5-CH-28"</f>
        <v>14-5-CH-28</v>
      </c>
      <c r="D919" t="s">
        <v>27</v>
      </c>
      <c r="F919" t="s">
        <v>23</v>
      </c>
      <c r="H919">
        <v>28</v>
      </c>
      <c r="J919" s="1">
        <v>35.5</v>
      </c>
      <c r="K919" s="1">
        <v>0</v>
      </c>
      <c r="M919" s="1">
        <v>0</v>
      </c>
      <c r="O919" s="1">
        <v>0</v>
      </c>
      <c r="Q919" s="2">
        <v>35.5</v>
      </c>
    </row>
    <row r="920" spans="1:17" x14ac:dyDescent="0.25">
      <c r="A920" t="s">
        <v>31</v>
      </c>
      <c r="B920" t="s">
        <v>38</v>
      </c>
      <c r="C920" t="str">
        <f>"14-5-CH-30"</f>
        <v>14-5-CH-30</v>
      </c>
      <c r="D920" t="s">
        <v>27</v>
      </c>
      <c r="F920" t="s">
        <v>23</v>
      </c>
      <c r="H920">
        <v>30</v>
      </c>
      <c r="J920" s="1">
        <v>35.5</v>
      </c>
      <c r="K920" s="1">
        <v>0</v>
      </c>
      <c r="M920" s="1">
        <v>0</v>
      </c>
      <c r="O920" s="1">
        <v>0</v>
      </c>
      <c r="Q920" s="2">
        <v>35.5</v>
      </c>
    </row>
    <row r="921" spans="1:17" x14ac:dyDescent="0.25">
      <c r="A921" t="s">
        <v>31</v>
      </c>
      <c r="B921" t="s">
        <v>38</v>
      </c>
      <c r="C921" t="str">
        <f>"14-5-CH-32"</f>
        <v>14-5-CH-32</v>
      </c>
      <c r="D921" t="s">
        <v>27</v>
      </c>
      <c r="F921" t="s">
        <v>23</v>
      </c>
      <c r="H921">
        <v>32</v>
      </c>
      <c r="J921" s="1">
        <v>35.5</v>
      </c>
      <c r="K921" s="1">
        <v>0</v>
      </c>
      <c r="M921" s="1">
        <v>0</v>
      </c>
      <c r="O921" s="1">
        <v>0</v>
      </c>
      <c r="Q921" s="2">
        <v>35.5</v>
      </c>
    </row>
    <row r="922" spans="1:17" x14ac:dyDescent="0.25">
      <c r="A922" t="s">
        <v>31</v>
      </c>
      <c r="B922" t="s">
        <v>38</v>
      </c>
      <c r="C922" t="str">
        <f>"14-5-CH-34"</f>
        <v>14-5-CH-34</v>
      </c>
      <c r="D922" t="s">
        <v>27</v>
      </c>
      <c r="F922" t="s">
        <v>23</v>
      </c>
      <c r="H922">
        <v>34</v>
      </c>
      <c r="J922" s="1">
        <v>35.5</v>
      </c>
      <c r="K922" s="1">
        <v>0</v>
      </c>
      <c r="M922" s="1">
        <v>0</v>
      </c>
      <c r="O922" s="1">
        <v>0</v>
      </c>
      <c r="Q922" s="2">
        <v>35.5</v>
      </c>
    </row>
    <row r="923" spans="1:17" x14ac:dyDescent="0.25">
      <c r="A923" t="s">
        <v>31</v>
      </c>
      <c r="B923" t="s">
        <v>38</v>
      </c>
      <c r="C923" t="str">
        <f>"14-5-CH-36"</f>
        <v>14-5-CH-36</v>
      </c>
      <c r="D923" t="s">
        <v>27</v>
      </c>
      <c r="F923" t="s">
        <v>23</v>
      </c>
      <c r="H923">
        <v>36</v>
      </c>
      <c r="J923" s="1">
        <v>35.5</v>
      </c>
      <c r="K923" s="1">
        <v>0</v>
      </c>
      <c r="M923" s="1">
        <v>0</v>
      </c>
      <c r="O923" s="1">
        <v>0</v>
      </c>
      <c r="Q923" s="2">
        <v>35.5</v>
      </c>
    </row>
    <row r="924" spans="1:17" x14ac:dyDescent="0.25">
      <c r="A924" t="s">
        <v>31</v>
      </c>
      <c r="B924" t="s">
        <v>38</v>
      </c>
      <c r="C924" t="str">
        <f>"14-5-CH-38"</f>
        <v>14-5-CH-38</v>
      </c>
      <c r="D924" t="s">
        <v>27</v>
      </c>
      <c r="F924" t="s">
        <v>23</v>
      </c>
      <c r="H924">
        <v>38</v>
      </c>
      <c r="J924" s="1">
        <v>35.5</v>
      </c>
      <c r="K924" s="1">
        <v>0</v>
      </c>
      <c r="M924" s="1">
        <v>0</v>
      </c>
      <c r="O924" s="1">
        <v>0</v>
      </c>
      <c r="Q924" s="2">
        <v>35.5</v>
      </c>
    </row>
    <row r="925" spans="1:17" x14ac:dyDescent="0.25">
      <c r="A925" t="s">
        <v>31</v>
      </c>
      <c r="B925" t="s">
        <v>38</v>
      </c>
      <c r="C925" t="str">
        <f>"14-5-CH-40"</f>
        <v>14-5-CH-40</v>
      </c>
      <c r="D925" t="s">
        <v>27</v>
      </c>
      <c r="F925" t="s">
        <v>23</v>
      </c>
      <c r="H925">
        <v>40</v>
      </c>
      <c r="J925" s="1">
        <v>35.5</v>
      </c>
      <c r="K925" s="1">
        <v>0</v>
      </c>
      <c r="M925" s="1">
        <v>0</v>
      </c>
      <c r="O925" s="1">
        <v>0</v>
      </c>
      <c r="Q925" s="2">
        <v>35.5</v>
      </c>
    </row>
    <row r="926" spans="1:17" x14ac:dyDescent="0.25">
      <c r="A926" t="s">
        <v>31</v>
      </c>
      <c r="B926" t="s">
        <v>38</v>
      </c>
      <c r="C926" t="str">
        <f>"14-5-CH-42"</f>
        <v>14-5-CH-42</v>
      </c>
      <c r="D926" t="s">
        <v>27</v>
      </c>
      <c r="F926" t="s">
        <v>23</v>
      </c>
      <c r="H926">
        <v>42</v>
      </c>
      <c r="J926" s="1">
        <v>35.5</v>
      </c>
      <c r="K926" s="1">
        <v>0</v>
      </c>
      <c r="M926" s="1">
        <v>0</v>
      </c>
      <c r="O926" s="1">
        <v>0</v>
      </c>
      <c r="Q926" s="2">
        <v>35.5</v>
      </c>
    </row>
    <row r="927" spans="1:17" x14ac:dyDescent="0.25">
      <c r="A927" t="s">
        <v>31</v>
      </c>
      <c r="B927" t="s">
        <v>38</v>
      </c>
      <c r="C927" t="str">
        <f>"14-5-CH-44"</f>
        <v>14-5-CH-44</v>
      </c>
      <c r="D927" t="s">
        <v>27</v>
      </c>
      <c r="F927" t="s">
        <v>23</v>
      </c>
      <c r="H927">
        <v>44</v>
      </c>
      <c r="J927" s="1">
        <v>35.5</v>
      </c>
      <c r="K927" s="1">
        <v>0</v>
      </c>
      <c r="M927" s="1">
        <v>0</v>
      </c>
      <c r="O927" s="1">
        <v>0</v>
      </c>
      <c r="Q927" s="2">
        <v>35.5</v>
      </c>
    </row>
    <row r="928" spans="1:17" x14ac:dyDescent="0.25">
      <c r="A928" t="s">
        <v>31</v>
      </c>
      <c r="B928" t="s">
        <v>38</v>
      </c>
      <c r="C928" t="str">
        <f>"14-5-CH-46"</f>
        <v>14-5-CH-46</v>
      </c>
      <c r="D928" t="s">
        <v>27</v>
      </c>
      <c r="F928" t="s">
        <v>23</v>
      </c>
      <c r="H928">
        <v>46</v>
      </c>
      <c r="J928" s="1">
        <v>35.5</v>
      </c>
      <c r="K928" s="1">
        <v>0</v>
      </c>
      <c r="M928" s="1">
        <v>0</v>
      </c>
      <c r="O928" s="1">
        <v>0</v>
      </c>
      <c r="Q928" s="2">
        <v>35.5</v>
      </c>
    </row>
    <row r="929" spans="1:17" x14ac:dyDescent="0.25">
      <c r="A929" t="s">
        <v>31</v>
      </c>
      <c r="B929" t="s">
        <v>38</v>
      </c>
      <c r="C929" t="str">
        <f>"14-5-CH-48"</f>
        <v>14-5-CH-48</v>
      </c>
      <c r="D929" t="s">
        <v>27</v>
      </c>
      <c r="F929" t="s">
        <v>23</v>
      </c>
      <c r="H929">
        <v>48</v>
      </c>
      <c r="J929" s="1">
        <v>35.5</v>
      </c>
      <c r="K929" s="1">
        <v>0</v>
      </c>
      <c r="M929" s="1">
        <v>0</v>
      </c>
      <c r="O929" s="1">
        <v>4</v>
      </c>
      <c r="Q929" s="2">
        <v>39.5</v>
      </c>
    </row>
    <row r="930" spans="1:17" x14ac:dyDescent="0.25">
      <c r="A930" t="s">
        <v>31</v>
      </c>
      <c r="B930" t="s">
        <v>38</v>
      </c>
      <c r="C930" t="str">
        <f>"14-5-CH-50"</f>
        <v>14-5-CH-50</v>
      </c>
      <c r="D930" t="s">
        <v>27</v>
      </c>
      <c r="F930" t="s">
        <v>23</v>
      </c>
      <c r="H930">
        <v>50</v>
      </c>
      <c r="J930" s="1">
        <v>35.5</v>
      </c>
      <c r="K930" s="1">
        <v>0</v>
      </c>
      <c r="M930" s="1">
        <v>0</v>
      </c>
      <c r="O930" s="1">
        <v>6</v>
      </c>
      <c r="Q930" s="2">
        <v>41.5</v>
      </c>
    </row>
    <row r="931" spans="1:17" x14ac:dyDescent="0.25">
      <c r="A931" t="s">
        <v>31</v>
      </c>
      <c r="B931" t="s">
        <v>38</v>
      </c>
      <c r="C931" t="str">
        <f>"14-5-CH-52"</f>
        <v>14-5-CH-52</v>
      </c>
      <c r="D931" t="s">
        <v>27</v>
      </c>
      <c r="F931" t="s">
        <v>23</v>
      </c>
      <c r="H931">
        <v>52</v>
      </c>
      <c r="J931" s="1">
        <v>35.5</v>
      </c>
      <c r="K931" s="1">
        <v>0</v>
      </c>
      <c r="M931" s="1">
        <v>0</v>
      </c>
      <c r="O931" s="1">
        <v>8</v>
      </c>
      <c r="Q931" s="2">
        <v>43.5</v>
      </c>
    </row>
    <row r="932" spans="1:17" x14ac:dyDescent="0.25">
      <c r="A932" t="s">
        <v>31</v>
      </c>
      <c r="B932" t="s">
        <v>38</v>
      </c>
      <c r="C932" t="str">
        <f>"14-5-CH-54"</f>
        <v>14-5-CH-54</v>
      </c>
      <c r="D932" t="s">
        <v>27</v>
      </c>
      <c r="F932" t="s">
        <v>23</v>
      </c>
      <c r="H932">
        <v>54</v>
      </c>
      <c r="J932" s="1">
        <v>35.5</v>
      </c>
      <c r="K932" s="1">
        <v>0</v>
      </c>
      <c r="M932" s="1">
        <v>0</v>
      </c>
      <c r="O932" s="1">
        <v>10</v>
      </c>
      <c r="Q932" s="2">
        <v>45.5</v>
      </c>
    </row>
    <row r="933" spans="1:17" x14ac:dyDescent="0.25">
      <c r="A933" t="s">
        <v>31</v>
      </c>
      <c r="B933" t="s">
        <v>38</v>
      </c>
      <c r="C933" t="str">
        <f>"14-5-CH-56"</f>
        <v>14-5-CH-56</v>
      </c>
      <c r="D933" t="s">
        <v>27</v>
      </c>
      <c r="F933" t="s">
        <v>23</v>
      </c>
      <c r="H933">
        <v>56</v>
      </c>
      <c r="J933" s="1">
        <v>35.5</v>
      </c>
      <c r="K933" s="1">
        <v>0</v>
      </c>
      <c r="M933" s="1">
        <v>0</v>
      </c>
      <c r="O933" s="1">
        <v>12</v>
      </c>
      <c r="Q933" s="2">
        <v>47.5</v>
      </c>
    </row>
    <row r="934" spans="1:17" x14ac:dyDescent="0.25">
      <c r="A934" t="s">
        <v>31</v>
      </c>
      <c r="B934" t="s">
        <v>38</v>
      </c>
      <c r="C934" t="str">
        <f>"14-5-CH-58"</f>
        <v>14-5-CH-58</v>
      </c>
      <c r="D934" t="s">
        <v>27</v>
      </c>
      <c r="F934" t="s">
        <v>23</v>
      </c>
      <c r="H934">
        <v>58</v>
      </c>
      <c r="J934" s="1">
        <v>35.5</v>
      </c>
      <c r="K934" s="1">
        <v>0</v>
      </c>
      <c r="M934" s="1">
        <v>0</v>
      </c>
      <c r="O934" s="1">
        <v>14</v>
      </c>
      <c r="Q934" s="2">
        <v>49.5</v>
      </c>
    </row>
    <row r="935" spans="1:17" x14ac:dyDescent="0.25">
      <c r="A935" t="s">
        <v>31</v>
      </c>
      <c r="B935" t="s">
        <v>38</v>
      </c>
      <c r="C935" t="str">
        <f>"14-5-CH-60"</f>
        <v>14-5-CH-60</v>
      </c>
      <c r="D935" t="s">
        <v>27</v>
      </c>
      <c r="F935" t="s">
        <v>23</v>
      </c>
      <c r="H935">
        <v>60</v>
      </c>
      <c r="J935" s="1">
        <v>35.5</v>
      </c>
      <c r="K935" s="1">
        <v>0</v>
      </c>
      <c r="M935" s="1">
        <v>0</v>
      </c>
      <c r="O935" s="1">
        <v>16</v>
      </c>
      <c r="Q935" s="2">
        <v>51.5</v>
      </c>
    </row>
    <row r="936" spans="1:17" x14ac:dyDescent="0.25">
      <c r="A936" t="s">
        <v>31</v>
      </c>
      <c r="B936" t="s">
        <v>38</v>
      </c>
      <c r="C936" t="str">
        <f>"14-5-CH-62"</f>
        <v>14-5-CH-62</v>
      </c>
      <c r="D936" t="s">
        <v>27</v>
      </c>
      <c r="F936" t="s">
        <v>23</v>
      </c>
      <c r="H936">
        <v>62</v>
      </c>
      <c r="J936" s="1">
        <v>35.5</v>
      </c>
      <c r="K936" s="1">
        <v>0</v>
      </c>
      <c r="M936" s="1">
        <v>0</v>
      </c>
      <c r="O936" s="1">
        <v>18</v>
      </c>
      <c r="Q936" s="2">
        <v>53.5</v>
      </c>
    </row>
    <row r="937" spans="1:17" x14ac:dyDescent="0.25">
      <c r="A937" t="s">
        <v>31</v>
      </c>
      <c r="B937" t="s">
        <v>38</v>
      </c>
      <c r="C937" t="str">
        <f>"14-5-CH-64"</f>
        <v>14-5-CH-64</v>
      </c>
      <c r="D937" t="s">
        <v>27</v>
      </c>
      <c r="F937" t="s">
        <v>23</v>
      </c>
      <c r="H937">
        <v>64</v>
      </c>
      <c r="J937" s="1">
        <v>35.5</v>
      </c>
      <c r="K937" s="1">
        <v>0</v>
      </c>
      <c r="M937" s="1">
        <v>0</v>
      </c>
      <c r="O937" s="1">
        <v>35</v>
      </c>
      <c r="Q937" s="2">
        <v>70.5</v>
      </c>
    </row>
    <row r="938" spans="1:17" x14ac:dyDescent="0.25">
      <c r="A938" t="s">
        <v>31</v>
      </c>
      <c r="B938" t="s">
        <v>38</v>
      </c>
      <c r="C938" t="str">
        <f>"14-5-CH-66"</f>
        <v>14-5-CH-66</v>
      </c>
      <c r="D938" t="s">
        <v>27</v>
      </c>
      <c r="F938" t="s">
        <v>23</v>
      </c>
      <c r="H938">
        <v>66</v>
      </c>
      <c r="J938" s="1">
        <v>35.5</v>
      </c>
      <c r="K938" s="1">
        <v>0</v>
      </c>
      <c r="M938" s="1">
        <v>0</v>
      </c>
      <c r="O938" s="1">
        <v>35</v>
      </c>
      <c r="Q938" s="2">
        <v>70.5</v>
      </c>
    </row>
    <row r="939" spans="1:17" x14ac:dyDescent="0.25">
      <c r="A939" t="s">
        <v>31</v>
      </c>
      <c r="B939" t="s">
        <v>38</v>
      </c>
      <c r="C939" t="str">
        <f>"14-5-CH-68"</f>
        <v>14-5-CH-68</v>
      </c>
      <c r="D939" t="s">
        <v>27</v>
      </c>
      <c r="F939" t="s">
        <v>23</v>
      </c>
      <c r="H939">
        <v>68</v>
      </c>
      <c r="J939" s="1">
        <v>35.5</v>
      </c>
      <c r="K939" s="1">
        <v>0</v>
      </c>
      <c r="M939" s="1">
        <v>0</v>
      </c>
      <c r="O939" s="1">
        <v>35</v>
      </c>
      <c r="Q939" s="2">
        <v>70.5</v>
      </c>
    </row>
    <row r="940" spans="1:17" x14ac:dyDescent="0.25">
      <c r="A940" t="s">
        <v>31</v>
      </c>
      <c r="B940" t="s">
        <v>38</v>
      </c>
      <c r="C940" t="str">
        <f>"14-5-CH-70"</f>
        <v>14-5-CH-70</v>
      </c>
      <c r="D940" t="s">
        <v>27</v>
      </c>
      <c r="F940" t="s">
        <v>23</v>
      </c>
      <c r="H940">
        <v>70</v>
      </c>
      <c r="J940" s="1">
        <v>35.5</v>
      </c>
      <c r="K940" s="1">
        <v>0</v>
      </c>
      <c r="M940" s="1">
        <v>0</v>
      </c>
      <c r="O940" s="1">
        <v>35</v>
      </c>
      <c r="Q940" s="2">
        <v>70.5</v>
      </c>
    </row>
    <row r="941" spans="1:17" x14ac:dyDescent="0.25">
      <c r="A941" t="s">
        <v>31</v>
      </c>
      <c r="B941" t="s">
        <v>38</v>
      </c>
      <c r="C941" t="str">
        <f>"14-5-CH-72"</f>
        <v>14-5-CH-72</v>
      </c>
      <c r="D941" t="s">
        <v>27</v>
      </c>
      <c r="F941" t="s">
        <v>23</v>
      </c>
      <c r="H941">
        <v>72</v>
      </c>
      <c r="J941" s="1">
        <v>35.5</v>
      </c>
      <c r="K941" s="1">
        <v>0</v>
      </c>
      <c r="M941" s="1">
        <v>0</v>
      </c>
      <c r="O941" s="1">
        <v>35</v>
      </c>
      <c r="Q941" s="2">
        <v>70.5</v>
      </c>
    </row>
    <row r="942" spans="1:17" x14ac:dyDescent="0.25">
      <c r="A942" t="s">
        <v>31</v>
      </c>
      <c r="B942" t="s">
        <v>38</v>
      </c>
      <c r="C942" t="str">
        <f>"14-5-CH-74"</f>
        <v>14-5-CH-74</v>
      </c>
      <c r="D942" t="s">
        <v>27</v>
      </c>
      <c r="F942" t="s">
        <v>23</v>
      </c>
      <c r="H942">
        <v>74</v>
      </c>
      <c r="J942" s="1">
        <v>35.5</v>
      </c>
      <c r="K942" s="1">
        <v>0</v>
      </c>
      <c r="M942" s="1">
        <v>0</v>
      </c>
      <c r="O942" s="1">
        <v>35</v>
      </c>
      <c r="Q942" s="2">
        <v>70.5</v>
      </c>
    </row>
    <row r="943" spans="1:17" x14ac:dyDescent="0.25">
      <c r="A943" t="s">
        <v>31</v>
      </c>
      <c r="B943" t="s">
        <v>38</v>
      </c>
      <c r="C943" t="str">
        <f>"14-5-CH-76"</f>
        <v>14-5-CH-76</v>
      </c>
      <c r="D943" t="s">
        <v>27</v>
      </c>
      <c r="F943" t="s">
        <v>23</v>
      </c>
      <c r="H943">
        <v>76</v>
      </c>
      <c r="J943" s="1">
        <v>35.5</v>
      </c>
      <c r="K943" s="1">
        <v>0</v>
      </c>
      <c r="M943" s="1">
        <v>0</v>
      </c>
      <c r="O943" s="1">
        <v>35</v>
      </c>
      <c r="Q943" s="2">
        <v>70.5</v>
      </c>
    </row>
    <row r="944" spans="1:17" x14ac:dyDescent="0.25">
      <c r="A944" t="s">
        <v>31</v>
      </c>
      <c r="B944" t="s">
        <v>38</v>
      </c>
      <c r="C944" t="str">
        <f>"14-5-CH-78"</f>
        <v>14-5-CH-78</v>
      </c>
      <c r="D944" t="s">
        <v>27</v>
      </c>
      <c r="F944" t="s">
        <v>23</v>
      </c>
      <c r="H944">
        <v>78</v>
      </c>
      <c r="J944" s="1">
        <v>35.5</v>
      </c>
      <c r="K944" s="1">
        <v>0</v>
      </c>
      <c r="M944" s="1">
        <v>0</v>
      </c>
      <c r="O944" s="1">
        <v>35</v>
      </c>
      <c r="Q944" s="2">
        <v>70.5</v>
      </c>
    </row>
    <row r="945" spans="1:17" x14ac:dyDescent="0.25">
      <c r="A945" t="s">
        <v>31</v>
      </c>
      <c r="B945" t="s">
        <v>38</v>
      </c>
      <c r="C945" t="str">
        <f>"14-5-CH-80"</f>
        <v>14-5-CH-80</v>
      </c>
      <c r="D945" t="s">
        <v>27</v>
      </c>
      <c r="F945" t="s">
        <v>23</v>
      </c>
      <c r="H945">
        <v>80</v>
      </c>
      <c r="J945" s="1">
        <v>35.5</v>
      </c>
      <c r="K945" s="1">
        <v>0</v>
      </c>
      <c r="M945" s="1">
        <v>0</v>
      </c>
      <c r="O945" s="1">
        <v>35</v>
      </c>
      <c r="Q945" s="2">
        <v>70.5</v>
      </c>
    </row>
    <row r="946" spans="1:17" x14ac:dyDescent="0.25">
      <c r="A946" t="s">
        <v>31</v>
      </c>
      <c r="B946" t="s">
        <v>39</v>
      </c>
      <c r="C946" t="str">
        <f>"11-1-24"</f>
        <v>11-1-24</v>
      </c>
      <c r="D946" t="s">
        <v>19</v>
      </c>
      <c r="H946">
        <v>24</v>
      </c>
      <c r="J946" s="1">
        <v>36.549999999999997</v>
      </c>
      <c r="K946" s="1">
        <v>0</v>
      </c>
      <c r="O946" s="1">
        <v>0</v>
      </c>
      <c r="Q946" s="2">
        <v>36.549999999999997</v>
      </c>
    </row>
    <row r="947" spans="1:17" x14ac:dyDescent="0.25">
      <c r="A947" t="s">
        <v>31</v>
      </c>
      <c r="B947" t="s">
        <v>39</v>
      </c>
      <c r="C947" t="str">
        <f>"11-1-26"</f>
        <v>11-1-26</v>
      </c>
      <c r="D947" t="s">
        <v>19</v>
      </c>
      <c r="H947">
        <v>26</v>
      </c>
      <c r="J947" s="1">
        <v>36.549999999999997</v>
      </c>
      <c r="K947" s="1">
        <v>0</v>
      </c>
      <c r="O947" s="1">
        <v>0</v>
      </c>
      <c r="Q947" s="2">
        <v>36.549999999999997</v>
      </c>
    </row>
    <row r="948" spans="1:17" x14ac:dyDescent="0.25">
      <c r="A948" t="s">
        <v>31</v>
      </c>
      <c r="B948" t="s">
        <v>39</v>
      </c>
      <c r="C948" t="str">
        <f>"11-1-28"</f>
        <v>11-1-28</v>
      </c>
      <c r="D948" t="s">
        <v>19</v>
      </c>
      <c r="H948">
        <v>28</v>
      </c>
      <c r="J948" s="1">
        <v>36.549999999999997</v>
      </c>
      <c r="K948" s="1">
        <v>0</v>
      </c>
      <c r="O948" s="1">
        <v>0</v>
      </c>
      <c r="Q948" s="2">
        <v>36.549999999999997</v>
      </c>
    </row>
    <row r="949" spans="1:17" x14ac:dyDescent="0.25">
      <c r="A949" t="s">
        <v>31</v>
      </c>
      <c r="B949" t="s">
        <v>39</v>
      </c>
      <c r="C949" t="str">
        <f>"11-1-30"</f>
        <v>11-1-30</v>
      </c>
      <c r="D949" t="s">
        <v>19</v>
      </c>
      <c r="H949">
        <v>30</v>
      </c>
      <c r="J949" s="1">
        <v>36.549999999999997</v>
      </c>
      <c r="K949" s="1">
        <v>0</v>
      </c>
      <c r="O949" s="1">
        <v>0</v>
      </c>
      <c r="Q949" s="2">
        <v>36.549999999999997</v>
      </c>
    </row>
    <row r="950" spans="1:17" x14ac:dyDescent="0.25">
      <c r="A950" t="s">
        <v>31</v>
      </c>
      <c r="B950" t="s">
        <v>39</v>
      </c>
      <c r="C950" t="str">
        <f>"11-1-32"</f>
        <v>11-1-32</v>
      </c>
      <c r="D950" t="s">
        <v>19</v>
      </c>
      <c r="H950">
        <v>32</v>
      </c>
      <c r="J950" s="1">
        <v>36.549999999999997</v>
      </c>
      <c r="K950" s="1">
        <v>0</v>
      </c>
      <c r="O950" s="1">
        <v>0</v>
      </c>
      <c r="Q950" s="2">
        <v>36.549999999999997</v>
      </c>
    </row>
    <row r="951" spans="1:17" x14ac:dyDescent="0.25">
      <c r="A951" t="s">
        <v>31</v>
      </c>
      <c r="B951" t="s">
        <v>39</v>
      </c>
      <c r="C951" t="str">
        <f>"11-1-34"</f>
        <v>11-1-34</v>
      </c>
      <c r="D951" t="s">
        <v>19</v>
      </c>
      <c r="H951">
        <v>34</v>
      </c>
      <c r="J951" s="1">
        <v>36.549999999999997</v>
      </c>
      <c r="K951" s="1">
        <v>0</v>
      </c>
      <c r="O951" s="1">
        <v>0</v>
      </c>
      <c r="Q951" s="2">
        <v>36.549999999999997</v>
      </c>
    </row>
    <row r="952" spans="1:17" x14ac:dyDescent="0.25">
      <c r="A952" t="s">
        <v>31</v>
      </c>
      <c r="B952" t="s">
        <v>39</v>
      </c>
      <c r="C952" t="str">
        <f>"11-1-36"</f>
        <v>11-1-36</v>
      </c>
      <c r="D952" t="s">
        <v>19</v>
      </c>
      <c r="H952">
        <v>36</v>
      </c>
      <c r="J952" s="1">
        <v>36.549999999999997</v>
      </c>
      <c r="K952" s="1">
        <v>0</v>
      </c>
      <c r="O952" s="1">
        <v>0</v>
      </c>
      <c r="Q952" s="2">
        <v>36.549999999999997</v>
      </c>
    </row>
    <row r="953" spans="1:17" x14ac:dyDescent="0.25">
      <c r="A953" t="s">
        <v>31</v>
      </c>
      <c r="B953" t="s">
        <v>39</v>
      </c>
      <c r="C953" t="str">
        <f>"11-1-38"</f>
        <v>11-1-38</v>
      </c>
      <c r="D953" t="s">
        <v>19</v>
      </c>
      <c r="H953">
        <v>38</v>
      </c>
      <c r="J953" s="1">
        <v>36.549999999999997</v>
      </c>
      <c r="K953" s="1">
        <v>0</v>
      </c>
      <c r="O953" s="1">
        <v>0</v>
      </c>
      <c r="Q953" s="2">
        <v>36.549999999999997</v>
      </c>
    </row>
    <row r="954" spans="1:17" x14ac:dyDescent="0.25">
      <c r="A954" t="s">
        <v>31</v>
      </c>
      <c r="B954" t="s">
        <v>39</v>
      </c>
      <c r="C954" t="str">
        <f>"11-1-40"</f>
        <v>11-1-40</v>
      </c>
      <c r="D954" t="s">
        <v>19</v>
      </c>
      <c r="H954">
        <v>40</v>
      </c>
      <c r="J954" s="1">
        <v>36.549999999999997</v>
      </c>
      <c r="K954" s="1">
        <v>0</v>
      </c>
      <c r="O954" s="1">
        <v>0</v>
      </c>
      <c r="Q954" s="2">
        <v>36.549999999999997</v>
      </c>
    </row>
    <row r="955" spans="1:17" x14ac:dyDescent="0.25">
      <c r="A955" t="s">
        <v>31</v>
      </c>
      <c r="B955" t="s">
        <v>39</v>
      </c>
      <c r="C955" t="str">
        <f>"11-1-42"</f>
        <v>11-1-42</v>
      </c>
      <c r="D955" t="s">
        <v>19</v>
      </c>
      <c r="H955">
        <v>42</v>
      </c>
      <c r="J955" s="1">
        <v>36.549999999999997</v>
      </c>
      <c r="K955" s="1">
        <v>0</v>
      </c>
      <c r="O955" s="1">
        <v>0</v>
      </c>
      <c r="Q955" s="2">
        <v>36.549999999999997</v>
      </c>
    </row>
    <row r="956" spans="1:17" x14ac:dyDescent="0.25">
      <c r="A956" t="s">
        <v>31</v>
      </c>
      <c r="B956" t="s">
        <v>39</v>
      </c>
      <c r="C956" t="str">
        <f>"11-1-44"</f>
        <v>11-1-44</v>
      </c>
      <c r="D956" t="s">
        <v>19</v>
      </c>
      <c r="H956">
        <v>44</v>
      </c>
      <c r="J956" s="1">
        <v>36.549999999999997</v>
      </c>
      <c r="K956" s="1">
        <v>0</v>
      </c>
      <c r="O956" s="1">
        <v>0</v>
      </c>
      <c r="Q956" s="2">
        <v>36.549999999999997</v>
      </c>
    </row>
    <row r="957" spans="1:17" x14ac:dyDescent="0.25">
      <c r="A957" t="s">
        <v>31</v>
      </c>
      <c r="B957" t="s">
        <v>39</v>
      </c>
      <c r="C957" t="str">
        <f>"11-1-46"</f>
        <v>11-1-46</v>
      </c>
      <c r="D957" t="s">
        <v>19</v>
      </c>
      <c r="H957">
        <v>46</v>
      </c>
      <c r="J957" s="1">
        <v>36.549999999999997</v>
      </c>
      <c r="K957" s="1">
        <v>0</v>
      </c>
      <c r="O957" s="1">
        <v>0</v>
      </c>
      <c r="Q957" s="2">
        <v>36.549999999999997</v>
      </c>
    </row>
    <row r="958" spans="1:17" x14ac:dyDescent="0.25">
      <c r="A958" t="s">
        <v>31</v>
      </c>
      <c r="B958" t="s">
        <v>39</v>
      </c>
      <c r="C958" t="str">
        <f>"11-1-48"</f>
        <v>11-1-48</v>
      </c>
      <c r="D958" t="s">
        <v>19</v>
      </c>
      <c r="H958">
        <v>48</v>
      </c>
      <c r="J958" s="1">
        <v>36.549999999999997</v>
      </c>
      <c r="K958" s="1">
        <v>0</v>
      </c>
      <c r="O958" s="1">
        <v>3.4</v>
      </c>
      <c r="Q958" s="2">
        <v>39.950000000000003</v>
      </c>
    </row>
    <row r="959" spans="1:17" x14ac:dyDescent="0.25">
      <c r="A959" t="s">
        <v>31</v>
      </c>
      <c r="B959" t="s">
        <v>39</v>
      </c>
      <c r="C959" t="str">
        <f>"11-1-50"</f>
        <v>11-1-50</v>
      </c>
      <c r="D959" t="s">
        <v>19</v>
      </c>
      <c r="H959">
        <v>50</v>
      </c>
      <c r="J959" s="1">
        <v>36.549999999999997</v>
      </c>
      <c r="K959" s="1">
        <v>0</v>
      </c>
      <c r="O959" s="1">
        <v>5.0999999999999996</v>
      </c>
      <c r="Q959" s="2">
        <v>41.65</v>
      </c>
    </row>
    <row r="960" spans="1:17" x14ac:dyDescent="0.25">
      <c r="A960" t="s">
        <v>31</v>
      </c>
      <c r="B960" t="s">
        <v>39</v>
      </c>
      <c r="C960" t="str">
        <f>"11-1-52"</f>
        <v>11-1-52</v>
      </c>
      <c r="D960" t="s">
        <v>19</v>
      </c>
      <c r="H960">
        <v>52</v>
      </c>
      <c r="J960" s="1">
        <v>36.549999999999997</v>
      </c>
      <c r="K960" s="1">
        <v>0</v>
      </c>
      <c r="O960" s="1">
        <v>6.8</v>
      </c>
      <c r="Q960" s="2">
        <v>43.35</v>
      </c>
    </row>
    <row r="961" spans="1:17" x14ac:dyDescent="0.25">
      <c r="A961" t="s">
        <v>31</v>
      </c>
      <c r="B961" t="s">
        <v>39</v>
      </c>
      <c r="C961" t="str">
        <f>"11-1-54"</f>
        <v>11-1-54</v>
      </c>
      <c r="D961" t="s">
        <v>19</v>
      </c>
      <c r="H961">
        <v>54</v>
      </c>
      <c r="J961" s="1">
        <v>36.549999999999997</v>
      </c>
      <c r="K961" s="1">
        <v>0</v>
      </c>
      <c r="O961" s="1">
        <v>8.5</v>
      </c>
      <c r="Q961" s="2">
        <v>45.05</v>
      </c>
    </row>
    <row r="962" spans="1:17" x14ac:dyDescent="0.25">
      <c r="A962" t="s">
        <v>31</v>
      </c>
      <c r="B962" t="s">
        <v>39</v>
      </c>
      <c r="C962" t="str">
        <f>"11-1-56"</f>
        <v>11-1-56</v>
      </c>
      <c r="D962" t="s">
        <v>19</v>
      </c>
      <c r="H962">
        <v>56</v>
      </c>
      <c r="J962" s="1">
        <v>36.549999999999997</v>
      </c>
      <c r="K962" s="1">
        <v>0</v>
      </c>
      <c r="O962" s="1">
        <v>10.199999999999999</v>
      </c>
      <c r="Q962" s="2">
        <v>46.75</v>
      </c>
    </row>
    <row r="963" spans="1:17" x14ac:dyDescent="0.25">
      <c r="A963" t="s">
        <v>31</v>
      </c>
      <c r="B963" t="s">
        <v>39</v>
      </c>
      <c r="C963" t="str">
        <f>"11-1-58"</f>
        <v>11-1-58</v>
      </c>
      <c r="D963" t="s">
        <v>19</v>
      </c>
      <c r="H963">
        <v>58</v>
      </c>
      <c r="J963" s="1">
        <v>36.549999999999997</v>
      </c>
      <c r="K963" s="1">
        <v>0</v>
      </c>
      <c r="O963" s="1">
        <v>11.9</v>
      </c>
      <c r="Q963" s="2">
        <v>48.45</v>
      </c>
    </row>
    <row r="964" spans="1:17" x14ac:dyDescent="0.25">
      <c r="A964" t="s">
        <v>31</v>
      </c>
      <c r="B964" t="s">
        <v>39</v>
      </c>
      <c r="C964" t="str">
        <f>"11-1-60"</f>
        <v>11-1-60</v>
      </c>
      <c r="D964" t="s">
        <v>19</v>
      </c>
      <c r="H964">
        <v>60</v>
      </c>
      <c r="J964" s="1">
        <v>36.549999999999997</v>
      </c>
      <c r="K964" s="1">
        <v>0</v>
      </c>
      <c r="O964" s="1">
        <v>13.6</v>
      </c>
      <c r="Q964" s="2">
        <v>50.15</v>
      </c>
    </row>
    <row r="965" spans="1:17" x14ac:dyDescent="0.25">
      <c r="A965" t="s">
        <v>31</v>
      </c>
      <c r="B965" t="s">
        <v>39</v>
      </c>
      <c r="C965" t="str">
        <f>"11-1-62"</f>
        <v>11-1-62</v>
      </c>
      <c r="D965" t="s">
        <v>19</v>
      </c>
      <c r="H965">
        <v>62</v>
      </c>
      <c r="J965" s="1">
        <v>36.549999999999997</v>
      </c>
      <c r="K965" s="1">
        <v>0</v>
      </c>
      <c r="O965" s="1">
        <v>15.3</v>
      </c>
      <c r="Q965" s="2">
        <v>51.85</v>
      </c>
    </row>
    <row r="966" spans="1:17" x14ac:dyDescent="0.25">
      <c r="A966" t="s">
        <v>31</v>
      </c>
      <c r="B966" t="s">
        <v>39</v>
      </c>
      <c r="C966" t="str">
        <f>"11-1-64"</f>
        <v>11-1-64</v>
      </c>
      <c r="D966" t="s">
        <v>19</v>
      </c>
      <c r="H966">
        <v>64</v>
      </c>
      <c r="J966" s="1">
        <v>36.549999999999997</v>
      </c>
      <c r="K966" s="1">
        <v>0</v>
      </c>
      <c r="O966" s="1">
        <v>29.75</v>
      </c>
      <c r="Q966" s="2">
        <v>66.3</v>
      </c>
    </row>
    <row r="967" spans="1:17" x14ac:dyDescent="0.25">
      <c r="A967" t="s">
        <v>31</v>
      </c>
      <c r="B967" t="s">
        <v>39</v>
      </c>
      <c r="C967" t="str">
        <f>"11-1-66"</f>
        <v>11-1-66</v>
      </c>
      <c r="D967" t="s">
        <v>19</v>
      </c>
      <c r="H967">
        <v>66</v>
      </c>
      <c r="J967" s="1">
        <v>36.549999999999997</v>
      </c>
      <c r="K967" s="1">
        <v>0</v>
      </c>
      <c r="O967" s="1">
        <v>29.75</v>
      </c>
      <c r="Q967" s="2">
        <v>66.3</v>
      </c>
    </row>
    <row r="968" spans="1:17" x14ac:dyDescent="0.25">
      <c r="A968" t="s">
        <v>31</v>
      </c>
      <c r="B968" t="s">
        <v>39</v>
      </c>
      <c r="C968" t="str">
        <f>"11-1-68"</f>
        <v>11-1-68</v>
      </c>
      <c r="D968" t="s">
        <v>19</v>
      </c>
      <c r="H968">
        <v>68</v>
      </c>
      <c r="J968" s="1">
        <v>36.549999999999997</v>
      </c>
      <c r="K968" s="1">
        <v>0</v>
      </c>
      <c r="O968" s="1">
        <v>29.75</v>
      </c>
      <c r="Q968" s="2">
        <v>66.3</v>
      </c>
    </row>
    <row r="969" spans="1:17" x14ac:dyDescent="0.25">
      <c r="A969" t="s">
        <v>31</v>
      </c>
      <c r="B969" t="s">
        <v>39</v>
      </c>
      <c r="C969" t="str">
        <f>"11-1-70"</f>
        <v>11-1-70</v>
      </c>
      <c r="D969" t="s">
        <v>19</v>
      </c>
      <c r="H969">
        <v>70</v>
      </c>
      <c r="J969" s="1">
        <v>36.549999999999997</v>
      </c>
      <c r="K969" s="1">
        <v>0</v>
      </c>
      <c r="O969" s="1">
        <v>29.75</v>
      </c>
      <c r="Q969" s="2">
        <v>66.3</v>
      </c>
    </row>
    <row r="970" spans="1:17" x14ac:dyDescent="0.25">
      <c r="A970" t="s">
        <v>31</v>
      </c>
      <c r="B970" t="s">
        <v>39</v>
      </c>
      <c r="C970" t="str">
        <f>"11-1-72"</f>
        <v>11-1-72</v>
      </c>
      <c r="D970" t="s">
        <v>19</v>
      </c>
      <c r="H970">
        <v>72</v>
      </c>
      <c r="J970" s="1">
        <v>36.549999999999997</v>
      </c>
      <c r="K970" s="1">
        <v>0</v>
      </c>
      <c r="O970" s="1">
        <v>29.75</v>
      </c>
      <c r="Q970" s="2">
        <v>66.3</v>
      </c>
    </row>
    <row r="971" spans="1:17" x14ac:dyDescent="0.25">
      <c r="A971" t="s">
        <v>31</v>
      </c>
      <c r="B971" t="s">
        <v>39</v>
      </c>
      <c r="C971" t="str">
        <f>"11-1-74"</f>
        <v>11-1-74</v>
      </c>
      <c r="D971" t="s">
        <v>19</v>
      </c>
      <c r="H971">
        <v>74</v>
      </c>
      <c r="J971" s="1">
        <v>36.549999999999997</v>
      </c>
      <c r="K971" s="1">
        <v>0</v>
      </c>
      <c r="O971" s="1">
        <v>29.75</v>
      </c>
      <c r="Q971" s="2">
        <v>66.3</v>
      </c>
    </row>
    <row r="972" spans="1:17" x14ac:dyDescent="0.25">
      <c r="A972" t="s">
        <v>31</v>
      </c>
      <c r="B972" t="s">
        <v>39</v>
      </c>
      <c r="C972" t="str">
        <f>"11-1-76"</f>
        <v>11-1-76</v>
      </c>
      <c r="D972" t="s">
        <v>19</v>
      </c>
      <c r="H972">
        <v>76</v>
      </c>
      <c r="J972" s="1">
        <v>36.549999999999997</v>
      </c>
      <c r="K972" s="1">
        <v>0</v>
      </c>
      <c r="O972" s="1">
        <v>29.75</v>
      </c>
      <c r="Q972" s="2">
        <v>66.3</v>
      </c>
    </row>
    <row r="973" spans="1:17" x14ac:dyDescent="0.25">
      <c r="A973" t="s">
        <v>31</v>
      </c>
      <c r="B973" t="s">
        <v>39</v>
      </c>
      <c r="C973" t="str">
        <f>"11-1-78"</f>
        <v>11-1-78</v>
      </c>
      <c r="D973" t="s">
        <v>19</v>
      </c>
      <c r="H973">
        <v>78</v>
      </c>
      <c r="J973" s="1">
        <v>36.549999999999997</v>
      </c>
      <c r="K973" s="1">
        <v>0</v>
      </c>
      <c r="O973" s="1">
        <v>29.75</v>
      </c>
      <c r="Q973" s="2">
        <v>66.3</v>
      </c>
    </row>
    <row r="974" spans="1:17" x14ac:dyDescent="0.25">
      <c r="A974" t="s">
        <v>31</v>
      </c>
      <c r="B974" t="s">
        <v>39</v>
      </c>
      <c r="C974" t="str">
        <f>"11-1-80"</f>
        <v>11-1-80</v>
      </c>
      <c r="D974" t="s">
        <v>19</v>
      </c>
      <c r="H974">
        <v>80</v>
      </c>
      <c r="J974" s="1">
        <v>36.549999999999997</v>
      </c>
      <c r="K974" s="1">
        <v>0</v>
      </c>
      <c r="O974" s="1">
        <v>29.75</v>
      </c>
      <c r="Q974" s="2">
        <v>66.3</v>
      </c>
    </row>
    <row r="975" spans="1:17" x14ac:dyDescent="0.25">
      <c r="A975" t="s">
        <v>31</v>
      </c>
      <c r="B975" t="s">
        <v>39</v>
      </c>
      <c r="C975" t="str">
        <f>"11-2-24"</f>
        <v>11-2-24</v>
      </c>
      <c r="D975" t="s">
        <v>25</v>
      </c>
      <c r="H975">
        <v>24</v>
      </c>
      <c r="J975" s="1">
        <v>36.549999999999997</v>
      </c>
      <c r="K975" s="1">
        <v>0</v>
      </c>
      <c r="O975" s="1">
        <v>0</v>
      </c>
      <c r="Q975" s="2">
        <v>36.549999999999997</v>
      </c>
    </row>
    <row r="976" spans="1:17" x14ac:dyDescent="0.25">
      <c r="A976" t="s">
        <v>31</v>
      </c>
      <c r="B976" t="s">
        <v>39</v>
      </c>
      <c r="C976" t="str">
        <f>"11-2-26"</f>
        <v>11-2-26</v>
      </c>
      <c r="D976" t="s">
        <v>25</v>
      </c>
      <c r="H976">
        <v>26</v>
      </c>
      <c r="J976" s="1">
        <v>36.549999999999997</v>
      </c>
      <c r="K976" s="1">
        <v>0</v>
      </c>
      <c r="O976" s="1">
        <v>0</v>
      </c>
      <c r="Q976" s="2">
        <v>36.549999999999997</v>
      </c>
    </row>
    <row r="977" spans="1:17" x14ac:dyDescent="0.25">
      <c r="A977" t="s">
        <v>31</v>
      </c>
      <c r="B977" t="s">
        <v>39</v>
      </c>
      <c r="C977" t="str">
        <f>"11-2-28"</f>
        <v>11-2-28</v>
      </c>
      <c r="D977" t="s">
        <v>25</v>
      </c>
      <c r="H977">
        <v>28</v>
      </c>
      <c r="J977" s="1">
        <v>36.549999999999997</v>
      </c>
      <c r="K977" s="1">
        <v>0</v>
      </c>
      <c r="O977" s="1">
        <v>0</v>
      </c>
      <c r="Q977" s="2">
        <v>36.549999999999997</v>
      </c>
    </row>
    <row r="978" spans="1:17" x14ac:dyDescent="0.25">
      <c r="A978" t="s">
        <v>31</v>
      </c>
      <c r="B978" t="s">
        <v>39</v>
      </c>
      <c r="C978" t="str">
        <f>"11-2-30"</f>
        <v>11-2-30</v>
      </c>
      <c r="D978" t="s">
        <v>25</v>
      </c>
      <c r="H978">
        <v>30</v>
      </c>
      <c r="J978" s="1">
        <v>36.549999999999997</v>
      </c>
      <c r="K978" s="1">
        <v>0</v>
      </c>
      <c r="O978" s="1">
        <v>0</v>
      </c>
      <c r="Q978" s="2">
        <v>36.549999999999997</v>
      </c>
    </row>
    <row r="979" spans="1:17" x14ac:dyDescent="0.25">
      <c r="A979" t="s">
        <v>31</v>
      </c>
      <c r="B979" t="s">
        <v>39</v>
      </c>
      <c r="C979" t="str">
        <f>"11-2-32"</f>
        <v>11-2-32</v>
      </c>
      <c r="D979" t="s">
        <v>25</v>
      </c>
      <c r="H979">
        <v>32</v>
      </c>
      <c r="J979" s="1">
        <v>36.549999999999997</v>
      </c>
      <c r="K979" s="1">
        <v>0</v>
      </c>
      <c r="O979" s="1">
        <v>0</v>
      </c>
      <c r="Q979" s="2">
        <v>36.549999999999997</v>
      </c>
    </row>
    <row r="980" spans="1:17" x14ac:dyDescent="0.25">
      <c r="A980" t="s">
        <v>31</v>
      </c>
      <c r="B980" t="s">
        <v>39</v>
      </c>
      <c r="C980" t="str">
        <f>"11-2-34"</f>
        <v>11-2-34</v>
      </c>
      <c r="D980" t="s">
        <v>25</v>
      </c>
      <c r="H980">
        <v>34</v>
      </c>
      <c r="J980" s="1">
        <v>36.549999999999997</v>
      </c>
      <c r="K980" s="1">
        <v>0</v>
      </c>
      <c r="O980" s="1">
        <v>0</v>
      </c>
      <c r="Q980" s="2">
        <v>36.549999999999997</v>
      </c>
    </row>
    <row r="981" spans="1:17" x14ac:dyDescent="0.25">
      <c r="A981" t="s">
        <v>31</v>
      </c>
      <c r="B981" t="s">
        <v>39</v>
      </c>
      <c r="C981" t="str">
        <f>"11-2-36"</f>
        <v>11-2-36</v>
      </c>
      <c r="D981" t="s">
        <v>25</v>
      </c>
      <c r="H981">
        <v>36</v>
      </c>
      <c r="J981" s="1">
        <v>36.549999999999997</v>
      </c>
      <c r="K981" s="1">
        <v>0</v>
      </c>
      <c r="O981" s="1">
        <v>0</v>
      </c>
      <c r="Q981" s="2">
        <v>36.549999999999997</v>
      </c>
    </row>
    <row r="982" spans="1:17" x14ac:dyDescent="0.25">
      <c r="A982" t="s">
        <v>31</v>
      </c>
      <c r="B982" t="s">
        <v>39</v>
      </c>
      <c r="C982" t="str">
        <f>"11-2-38"</f>
        <v>11-2-38</v>
      </c>
      <c r="D982" t="s">
        <v>25</v>
      </c>
      <c r="H982">
        <v>38</v>
      </c>
      <c r="J982" s="1">
        <v>36.549999999999997</v>
      </c>
      <c r="K982" s="1">
        <v>0</v>
      </c>
      <c r="O982" s="1">
        <v>0</v>
      </c>
      <c r="Q982" s="2">
        <v>36.549999999999997</v>
      </c>
    </row>
    <row r="983" spans="1:17" x14ac:dyDescent="0.25">
      <c r="A983" t="s">
        <v>31</v>
      </c>
      <c r="B983" t="s">
        <v>39</v>
      </c>
      <c r="C983" t="str">
        <f>"11-2-40"</f>
        <v>11-2-40</v>
      </c>
      <c r="D983" t="s">
        <v>25</v>
      </c>
      <c r="H983">
        <v>40</v>
      </c>
      <c r="J983" s="1">
        <v>36.549999999999997</v>
      </c>
      <c r="K983" s="1">
        <v>0</v>
      </c>
      <c r="O983" s="1">
        <v>0</v>
      </c>
      <c r="Q983" s="2">
        <v>36.549999999999997</v>
      </c>
    </row>
    <row r="984" spans="1:17" x14ac:dyDescent="0.25">
      <c r="A984" t="s">
        <v>31</v>
      </c>
      <c r="B984" t="s">
        <v>39</v>
      </c>
      <c r="C984" t="str">
        <f>"11-2-42"</f>
        <v>11-2-42</v>
      </c>
      <c r="D984" t="s">
        <v>25</v>
      </c>
      <c r="H984">
        <v>42</v>
      </c>
      <c r="J984" s="1">
        <v>36.549999999999997</v>
      </c>
      <c r="K984" s="1">
        <v>0</v>
      </c>
      <c r="O984" s="1">
        <v>0</v>
      </c>
      <c r="Q984" s="2">
        <v>36.549999999999997</v>
      </c>
    </row>
    <row r="985" spans="1:17" x14ac:dyDescent="0.25">
      <c r="A985" t="s">
        <v>31</v>
      </c>
      <c r="B985" t="s">
        <v>39</v>
      </c>
      <c r="C985" t="str">
        <f>"11-2-44"</f>
        <v>11-2-44</v>
      </c>
      <c r="D985" t="s">
        <v>25</v>
      </c>
      <c r="H985">
        <v>44</v>
      </c>
      <c r="J985" s="1">
        <v>36.549999999999997</v>
      </c>
      <c r="K985" s="1">
        <v>0</v>
      </c>
      <c r="O985" s="1">
        <v>0</v>
      </c>
      <c r="Q985" s="2">
        <v>36.549999999999997</v>
      </c>
    </row>
    <row r="986" spans="1:17" x14ac:dyDescent="0.25">
      <c r="A986" t="s">
        <v>31</v>
      </c>
      <c r="B986" t="s">
        <v>39</v>
      </c>
      <c r="C986" t="str">
        <f>"11-2-46"</f>
        <v>11-2-46</v>
      </c>
      <c r="D986" t="s">
        <v>25</v>
      </c>
      <c r="H986">
        <v>46</v>
      </c>
      <c r="J986" s="1">
        <v>36.549999999999997</v>
      </c>
      <c r="K986" s="1">
        <v>0</v>
      </c>
      <c r="O986" s="1">
        <v>0</v>
      </c>
      <c r="Q986" s="2">
        <v>36.549999999999997</v>
      </c>
    </row>
    <row r="987" spans="1:17" x14ac:dyDescent="0.25">
      <c r="A987" t="s">
        <v>31</v>
      </c>
      <c r="B987" t="s">
        <v>39</v>
      </c>
      <c r="C987" t="str">
        <f>"11-2-48"</f>
        <v>11-2-48</v>
      </c>
      <c r="D987" t="s">
        <v>25</v>
      </c>
      <c r="H987">
        <v>48</v>
      </c>
      <c r="J987" s="1">
        <v>36.549999999999997</v>
      </c>
      <c r="K987" s="1">
        <v>0</v>
      </c>
      <c r="O987" s="1">
        <v>3.4</v>
      </c>
      <c r="Q987" s="2">
        <v>39.950000000000003</v>
      </c>
    </row>
    <row r="988" spans="1:17" x14ac:dyDescent="0.25">
      <c r="A988" t="s">
        <v>31</v>
      </c>
      <c r="B988" t="s">
        <v>39</v>
      </c>
      <c r="C988" t="str">
        <f>"11-2-50"</f>
        <v>11-2-50</v>
      </c>
      <c r="D988" t="s">
        <v>25</v>
      </c>
      <c r="H988">
        <v>50</v>
      </c>
      <c r="J988" s="1">
        <v>36.549999999999997</v>
      </c>
      <c r="K988" s="1">
        <v>0</v>
      </c>
      <c r="O988" s="1">
        <v>5.0999999999999996</v>
      </c>
      <c r="Q988" s="2">
        <v>41.65</v>
      </c>
    </row>
    <row r="989" spans="1:17" x14ac:dyDescent="0.25">
      <c r="A989" t="s">
        <v>31</v>
      </c>
      <c r="B989" t="s">
        <v>39</v>
      </c>
      <c r="C989" t="str">
        <f>"11-2-52"</f>
        <v>11-2-52</v>
      </c>
      <c r="D989" t="s">
        <v>25</v>
      </c>
      <c r="H989">
        <v>52</v>
      </c>
      <c r="J989" s="1">
        <v>36.549999999999997</v>
      </c>
      <c r="K989" s="1">
        <v>0</v>
      </c>
      <c r="O989" s="1">
        <v>6.8</v>
      </c>
      <c r="Q989" s="2">
        <v>43.35</v>
      </c>
    </row>
    <row r="990" spans="1:17" x14ac:dyDescent="0.25">
      <c r="A990" t="s">
        <v>31</v>
      </c>
      <c r="B990" t="s">
        <v>39</v>
      </c>
      <c r="C990" t="str">
        <f>"11-2-54"</f>
        <v>11-2-54</v>
      </c>
      <c r="D990" t="s">
        <v>25</v>
      </c>
      <c r="H990">
        <v>54</v>
      </c>
      <c r="J990" s="1">
        <v>36.549999999999997</v>
      </c>
      <c r="K990" s="1">
        <v>0</v>
      </c>
      <c r="O990" s="1">
        <v>8.5</v>
      </c>
      <c r="Q990" s="2">
        <v>45.05</v>
      </c>
    </row>
    <row r="991" spans="1:17" x14ac:dyDescent="0.25">
      <c r="A991" t="s">
        <v>31</v>
      </c>
      <c r="B991" t="s">
        <v>39</v>
      </c>
      <c r="C991" t="str">
        <f>"11-2-56"</f>
        <v>11-2-56</v>
      </c>
      <c r="D991" t="s">
        <v>25</v>
      </c>
      <c r="H991">
        <v>56</v>
      </c>
      <c r="J991" s="1">
        <v>36.549999999999997</v>
      </c>
      <c r="K991" s="1">
        <v>0</v>
      </c>
      <c r="O991" s="1">
        <v>10.199999999999999</v>
      </c>
      <c r="Q991" s="2">
        <v>46.75</v>
      </c>
    </row>
    <row r="992" spans="1:17" x14ac:dyDescent="0.25">
      <c r="A992" t="s">
        <v>31</v>
      </c>
      <c r="B992" t="s">
        <v>39</v>
      </c>
      <c r="C992" t="str">
        <f>"11-2-58"</f>
        <v>11-2-58</v>
      </c>
      <c r="D992" t="s">
        <v>25</v>
      </c>
      <c r="H992">
        <v>58</v>
      </c>
      <c r="J992" s="1">
        <v>36.549999999999997</v>
      </c>
      <c r="K992" s="1">
        <v>0</v>
      </c>
      <c r="O992" s="1">
        <v>11.9</v>
      </c>
      <c r="Q992" s="2">
        <v>48.45</v>
      </c>
    </row>
    <row r="993" spans="1:17" x14ac:dyDescent="0.25">
      <c r="A993" t="s">
        <v>31</v>
      </c>
      <c r="B993" t="s">
        <v>39</v>
      </c>
      <c r="C993" t="str">
        <f>"11-2-60"</f>
        <v>11-2-60</v>
      </c>
      <c r="D993" t="s">
        <v>25</v>
      </c>
      <c r="H993">
        <v>60</v>
      </c>
      <c r="J993" s="1">
        <v>36.549999999999997</v>
      </c>
      <c r="K993" s="1">
        <v>0</v>
      </c>
      <c r="O993" s="1">
        <v>13.6</v>
      </c>
      <c r="Q993" s="2">
        <v>50.15</v>
      </c>
    </row>
    <row r="994" spans="1:17" x14ac:dyDescent="0.25">
      <c r="A994" t="s">
        <v>31</v>
      </c>
      <c r="B994" t="s">
        <v>39</v>
      </c>
      <c r="C994" t="str">
        <f>"11-2-62"</f>
        <v>11-2-62</v>
      </c>
      <c r="D994" t="s">
        <v>25</v>
      </c>
      <c r="H994">
        <v>62</v>
      </c>
      <c r="J994" s="1">
        <v>36.549999999999997</v>
      </c>
      <c r="K994" s="1">
        <v>0</v>
      </c>
      <c r="O994" s="1">
        <v>15.3</v>
      </c>
      <c r="Q994" s="2">
        <v>51.85</v>
      </c>
    </row>
    <row r="995" spans="1:17" x14ac:dyDescent="0.25">
      <c r="A995" t="s">
        <v>31</v>
      </c>
      <c r="B995" t="s">
        <v>39</v>
      </c>
      <c r="C995" t="str">
        <f>"11-2-64"</f>
        <v>11-2-64</v>
      </c>
      <c r="D995" t="s">
        <v>25</v>
      </c>
      <c r="H995">
        <v>64</v>
      </c>
      <c r="J995" s="1">
        <v>36.549999999999997</v>
      </c>
      <c r="K995" s="1">
        <v>0</v>
      </c>
      <c r="O995" s="1">
        <v>29.75</v>
      </c>
      <c r="Q995" s="2">
        <v>66.3</v>
      </c>
    </row>
    <row r="996" spans="1:17" x14ac:dyDescent="0.25">
      <c r="A996" t="s">
        <v>31</v>
      </c>
      <c r="B996" t="s">
        <v>39</v>
      </c>
      <c r="C996" t="str">
        <f>"11-2-66"</f>
        <v>11-2-66</v>
      </c>
      <c r="D996" t="s">
        <v>25</v>
      </c>
      <c r="H996">
        <v>66</v>
      </c>
      <c r="J996" s="1">
        <v>36.549999999999997</v>
      </c>
      <c r="K996" s="1">
        <v>0</v>
      </c>
      <c r="O996" s="1">
        <v>29.75</v>
      </c>
      <c r="Q996" s="2">
        <v>66.3</v>
      </c>
    </row>
    <row r="997" spans="1:17" x14ac:dyDescent="0.25">
      <c r="A997" t="s">
        <v>31</v>
      </c>
      <c r="B997" t="s">
        <v>39</v>
      </c>
      <c r="C997" t="str">
        <f>"11-2-68"</f>
        <v>11-2-68</v>
      </c>
      <c r="D997" t="s">
        <v>25</v>
      </c>
      <c r="H997">
        <v>68</v>
      </c>
      <c r="J997" s="1">
        <v>36.549999999999997</v>
      </c>
      <c r="K997" s="1">
        <v>0</v>
      </c>
      <c r="O997" s="1">
        <v>29.75</v>
      </c>
      <c r="Q997" s="2">
        <v>66.3</v>
      </c>
    </row>
    <row r="998" spans="1:17" x14ac:dyDescent="0.25">
      <c r="A998" t="s">
        <v>31</v>
      </c>
      <c r="B998" t="s">
        <v>39</v>
      </c>
      <c r="C998" t="str">
        <f>"11-2-70"</f>
        <v>11-2-70</v>
      </c>
      <c r="D998" t="s">
        <v>25</v>
      </c>
      <c r="H998">
        <v>70</v>
      </c>
      <c r="J998" s="1">
        <v>36.549999999999997</v>
      </c>
      <c r="K998" s="1">
        <v>0</v>
      </c>
      <c r="O998" s="1">
        <v>29.75</v>
      </c>
      <c r="Q998" s="2">
        <v>66.3</v>
      </c>
    </row>
    <row r="999" spans="1:17" x14ac:dyDescent="0.25">
      <c r="A999" t="s">
        <v>31</v>
      </c>
      <c r="B999" t="s">
        <v>39</v>
      </c>
      <c r="C999" t="str">
        <f>"11-2-72"</f>
        <v>11-2-72</v>
      </c>
      <c r="D999" t="s">
        <v>25</v>
      </c>
      <c r="H999">
        <v>72</v>
      </c>
      <c r="J999" s="1">
        <v>36.549999999999997</v>
      </c>
      <c r="K999" s="1">
        <v>0</v>
      </c>
      <c r="O999" s="1">
        <v>29.75</v>
      </c>
      <c r="Q999" s="2">
        <v>66.3</v>
      </c>
    </row>
    <row r="1000" spans="1:17" x14ac:dyDescent="0.25">
      <c r="A1000" t="s">
        <v>31</v>
      </c>
      <c r="B1000" t="s">
        <v>39</v>
      </c>
      <c r="C1000" t="str">
        <f>"11-2-74"</f>
        <v>11-2-74</v>
      </c>
      <c r="D1000" t="s">
        <v>25</v>
      </c>
      <c r="H1000">
        <v>74</v>
      </c>
      <c r="J1000" s="1">
        <v>36.549999999999997</v>
      </c>
      <c r="K1000" s="1">
        <v>0</v>
      </c>
      <c r="O1000" s="1">
        <v>29.75</v>
      </c>
      <c r="Q1000" s="2">
        <v>66.3</v>
      </c>
    </row>
    <row r="1001" spans="1:17" x14ac:dyDescent="0.25">
      <c r="A1001" t="s">
        <v>31</v>
      </c>
      <c r="B1001" t="s">
        <v>39</v>
      </c>
      <c r="C1001" t="str">
        <f>"11-2-76"</f>
        <v>11-2-76</v>
      </c>
      <c r="D1001" t="s">
        <v>25</v>
      </c>
      <c r="H1001">
        <v>76</v>
      </c>
      <c r="J1001" s="1">
        <v>36.549999999999997</v>
      </c>
      <c r="K1001" s="1">
        <v>0</v>
      </c>
      <c r="O1001" s="1">
        <v>29.75</v>
      </c>
      <c r="Q1001" s="2">
        <v>66.3</v>
      </c>
    </row>
    <row r="1002" spans="1:17" x14ac:dyDescent="0.25">
      <c r="A1002" t="s">
        <v>31</v>
      </c>
      <c r="B1002" t="s">
        <v>39</v>
      </c>
      <c r="C1002" t="str">
        <f>"11-2-78"</f>
        <v>11-2-78</v>
      </c>
      <c r="D1002" t="s">
        <v>25</v>
      </c>
      <c r="H1002">
        <v>78</v>
      </c>
      <c r="J1002" s="1">
        <v>36.549999999999997</v>
      </c>
      <c r="K1002" s="1">
        <v>0</v>
      </c>
      <c r="O1002" s="1">
        <v>29.75</v>
      </c>
      <c r="Q1002" s="2">
        <v>66.3</v>
      </c>
    </row>
    <row r="1003" spans="1:17" x14ac:dyDescent="0.25">
      <c r="A1003" t="s">
        <v>31</v>
      </c>
      <c r="B1003" t="s">
        <v>39</v>
      </c>
      <c r="C1003" t="str">
        <f>"11-2-80"</f>
        <v>11-2-80</v>
      </c>
      <c r="D1003" t="s">
        <v>25</v>
      </c>
      <c r="H1003">
        <v>80</v>
      </c>
      <c r="J1003" s="1">
        <v>36.549999999999997</v>
      </c>
      <c r="K1003" s="1">
        <v>0</v>
      </c>
      <c r="O1003" s="1">
        <v>29.75</v>
      </c>
      <c r="Q1003" s="2">
        <v>66.3</v>
      </c>
    </row>
    <row r="1004" spans="1:17" x14ac:dyDescent="0.25">
      <c r="A1004" t="s">
        <v>31</v>
      </c>
      <c r="B1004" t="s">
        <v>39</v>
      </c>
      <c r="C1004" t="str">
        <f>"11-3-24"</f>
        <v>11-3-24</v>
      </c>
      <c r="D1004" t="s">
        <v>26</v>
      </c>
      <c r="H1004">
        <v>24</v>
      </c>
      <c r="J1004" s="1">
        <v>36.549999999999997</v>
      </c>
      <c r="K1004" s="1">
        <v>0</v>
      </c>
      <c r="O1004" s="1">
        <v>0</v>
      </c>
      <c r="Q1004" s="2">
        <v>36.549999999999997</v>
      </c>
    </row>
    <row r="1005" spans="1:17" x14ac:dyDescent="0.25">
      <c r="A1005" t="s">
        <v>31</v>
      </c>
      <c r="B1005" t="s">
        <v>39</v>
      </c>
      <c r="C1005" t="str">
        <f>"11-3-26"</f>
        <v>11-3-26</v>
      </c>
      <c r="D1005" t="s">
        <v>26</v>
      </c>
      <c r="H1005">
        <v>26</v>
      </c>
      <c r="J1005" s="1">
        <v>36.549999999999997</v>
      </c>
      <c r="K1005" s="1">
        <v>0</v>
      </c>
      <c r="O1005" s="1">
        <v>0</v>
      </c>
      <c r="Q1005" s="2">
        <v>36.549999999999997</v>
      </c>
    </row>
    <row r="1006" spans="1:17" x14ac:dyDescent="0.25">
      <c r="A1006" t="s">
        <v>31</v>
      </c>
      <c r="B1006" t="s">
        <v>39</v>
      </c>
      <c r="C1006" t="str">
        <f>"11-3-28"</f>
        <v>11-3-28</v>
      </c>
      <c r="D1006" t="s">
        <v>26</v>
      </c>
      <c r="H1006">
        <v>28</v>
      </c>
      <c r="J1006" s="1">
        <v>36.549999999999997</v>
      </c>
      <c r="K1006" s="1">
        <v>0</v>
      </c>
      <c r="O1006" s="1">
        <v>0</v>
      </c>
      <c r="Q1006" s="2">
        <v>36.549999999999997</v>
      </c>
    </row>
    <row r="1007" spans="1:17" x14ac:dyDescent="0.25">
      <c r="A1007" t="s">
        <v>31</v>
      </c>
      <c r="B1007" t="s">
        <v>39</v>
      </c>
      <c r="C1007" t="str">
        <f>"11-3-30"</f>
        <v>11-3-30</v>
      </c>
      <c r="D1007" t="s">
        <v>26</v>
      </c>
      <c r="H1007">
        <v>30</v>
      </c>
      <c r="J1007" s="1">
        <v>36.549999999999997</v>
      </c>
      <c r="K1007" s="1">
        <v>0</v>
      </c>
      <c r="O1007" s="1">
        <v>0</v>
      </c>
      <c r="Q1007" s="2">
        <v>36.549999999999997</v>
      </c>
    </row>
    <row r="1008" spans="1:17" x14ac:dyDescent="0.25">
      <c r="A1008" t="s">
        <v>31</v>
      </c>
      <c r="B1008" t="s">
        <v>39</v>
      </c>
      <c r="C1008" t="str">
        <f>"11-3-32"</f>
        <v>11-3-32</v>
      </c>
      <c r="D1008" t="s">
        <v>26</v>
      </c>
      <c r="H1008">
        <v>32</v>
      </c>
      <c r="J1008" s="1">
        <v>36.549999999999997</v>
      </c>
      <c r="K1008" s="1">
        <v>0</v>
      </c>
      <c r="O1008" s="1">
        <v>0</v>
      </c>
      <c r="Q1008" s="2">
        <v>36.549999999999997</v>
      </c>
    </row>
    <row r="1009" spans="1:17" x14ac:dyDescent="0.25">
      <c r="A1009" t="s">
        <v>31</v>
      </c>
      <c r="B1009" t="s">
        <v>39</v>
      </c>
      <c r="C1009" t="str">
        <f>"11-3-34"</f>
        <v>11-3-34</v>
      </c>
      <c r="D1009" t="s">
        <v>26</v>
      </c>
      <c r="H1009">
        <v>34</v>
      </c>
      <c r="J1009" s="1">
        <v>36.549999999999997</v>
      </c>
      <c r="K1009" s="1">
        <v>0</v>
      </c>
      <c r="O1009" s="1">
        <v>0</v>
      </c>
      <c r="Q1009" s="2">
        <v>36.549999999999997</v>
      </c>
    </row>
    <row r="1010" spans="1:17" x14ac:dyDescent="0.25">
      <c r="A1010" t="s">
        <v>31</v>
      </c>
      <c r="B1010" t="s">
        <v>39</v>
      </c>
      <c r="C1010" t="str">
        <f>"11-3-36"</f>
        <v>11-3-36</v>
      </c>
      <c r="D1010" t="s">
        <v>26</v>
      </c>
      <c r="H1010">
        <v>36</v>
      </c>
      <c r="J1010" s="1">
        <v>36.549999999999997</v>
      </c>
      <c r="K1010" s="1">
        <v>0</v>
      </c>
      <c r="O1010" s="1">
        <v>0</v>
      </c>
      <c r="Q1010" s="2">
        <v>36.549999999999997</v>
      </c>
    </row>
    <row r="1011" spans="1:17" x14ac:dyDescent="0.25">
      <c r="A1011" t="s">
        <v>31</v>
      </c>
      <c r="B1011" t="s">
        <v>39</v>
      </c>
      <c r="C1011" t="str">
        <f>"11-3-38"</f>
        <v>11-3-38</v>
      </c>
      <c r="D1011" t="s">
        <v>26</v>
      </c>
      <c r="H1011">
        <v>38</v>
      </c>
      <c r="J1011" s="1">
        <v>36.549999999999997</v>
      </c>
      <c r="K1011" s="1">
        <v>0</v>
      </c>
      <c r="O1011" s="1">
        <v>0</v>
      </c>
      <c r="Q1011" s="2">
        <v>36.549999999999997</v>
      </c>
    </row>
    <row r="1012" spans="1:17" x14ac:dyDescent="0.25">
      <c r="A1012" t="s">
        <v>31</v>
      </c>
      <c r="B1012" t="s">
        <v>39</v>
      </c>
      <c r="C1012" t="str">
        <f>"11-3-40"</f>
        <v>11-3-40</v>
      </c>
      <c r="D1012" t="s">
        <v>26</v>
      </c>
      <c r="H1012">
        <v>40</v>
      </c>
      <c r="J1012" s="1">
        <v>36.549999999999997</v>
      </c>
      <c r="K1012" s="1">
        <v>0</v>
      </c>
      <c r="O1012" s="1">
        <v>0</v>
      </c>
      <c r="Q1012" s="2">
        <v>36.549999999999997</v>
      </c>
    </row>
    <row r="1013" spans="1:17" x14ac:dyDescent="0.25">
      <c r="A1013" t="s">
        <v>31</v>
      </c>
      <c r="B1013" t="s">
        <v>39</v>
      </c>
      <c r="C1013" t="str">
        <f>"11-3-42"</f>
        <v>11-3-42</v>
      </c>
      <c r="D1013" t="s">
        <v>26</v>
      </c>
      <c r="H1013">
        <v>42</v>
      </c>
      <c r="J1013" s="1">
        <v>36.549999999999997</v>
      </c>
      <c r="K1013" s="1">
        <v>0</v>
      </c>
      <c r="O1013" s="1">
        <v>0</v>
      </c>
      <c r="Q1013" s="2">
        <v>36.549999999999997</v>
      </c>
    </row>
    <row r="1014" spans="1:17" x14ac:dyDescent="0.25">
      <c r="A1014" t="s">
        <v>31</v>
      </c>
      <c r="B1014" t="s">
        <v>39</v>
      </c>
      <c r="C1014" t="str">
        <f>"11-3-44"</f>
        <v>11-3-44</v>
      </c>
      <c r="D1014" t="s">
        <v>26</v>
      </c>
      <c r="H1014">
        <v>44</v>
      </c>
      <c r="J1014" s="1">
        <v>36.549999999999997</v>
      </c>
      <c r="K1014" s="1">
        <v>0</v>
      </c>
      <c r="O1014" s="1">
        <v>0</v>
      </c>
      <c r="Q1014" s="2">
        <v>36.549999999999997</v>
      </c>
    </row>
    <row r="1015" spans="1:17" x14ac:dyDescent="0.25">
      <c r="A1015" t="s">
        <v>31</v>
      </c>
      <c r="B1015" t="s">
        <v>39</v>
      </c>
      <c r="C1015" t="str">
        <f>"11-3-46"</f>
        <v>11-3-46</v>
      </c>
      <c r="D1015" t="s">
        <v>26</v>
      </c>
      <c r="H1015">
        <v>46</v>
      </c>
      <c r="J1015" s="1">
        <v>36.549999999999997</v>
      </c>
      <c r="K1015" s="1">
        <v>0</v>
      </c>
      <c r="O1015" s="1">
        <v>0</v>
      </c>
      <c r="Q1015" s="2">
        <v>36.549999999999997</v>
      </c>
    </row>
    <row r="1016" spans="1:17" x14ac:dyDescent="0.25">
      <c r="A1016" t="s">
        <v>31</v>
      </c>
      <c r="B1016" t="s">
        <v>39</v>
      </c>
      <c r="C1016" t="str">
        <f>"11-3-48"</f>
        <v>11-3-48</v>
      </c>
      <c r="D1016" t="s">
        <v>26</v>
      </c>
      <c r="H1016">
        <v>48</v>
      </c>
      <c r="J1016" s="1">
        <v>36.549999999999997</v>
      </c>
      <c r="K1016" s="1">
        <v>0</v>
      </c>
      <c r="O1016" s="1">
        <v>3.4</v>
      </c>
      <c r="Q1016" s="2">
        <v>39.950000000000003</v>
      </c>
    </row>
    <row r="1017" spans="1:17" x14ac:dyDescent="0.25">
      <c r="A1017" t="s">
        <v>31</v>
      </c>
      <c r="B1017" t="s">
        <v>39</v>
      </c>
      <c r="C1017" t="str">
        <f>"11-3-50"</f>
        <v>11-3-50</v>
      </c>
      <c r="D1017" t="s">
        <v>26</v>
      </c>
      <c r="H1017">
        <v>50</v>
      </c>
      <c r="J1017" s="1">
        <v>36.549999999999997</v>
      </c>
      <c r="K1017" s="1">
        <v>0</v>
      </c>
      <c r="O1017" s="1">
        <v>5.0999999999999996</v>
      </c>
      <c r="Q1017" s="2">
        <v>41.65</v>
      </c>
    </row>
    <row r="1018" spans="1:17" x14ac:dyDescent="0.25">
      <c r="A1018" t="s">
        <v>31</v>
      </c>
      <c r="B1018" t="s">
        <v>39</v>
      </c>
      <c r="C1018" t="str">
        <f>"11-3-52"</f>
        <v>11-3-52</v>
      </c>
      <c r="D1018" t="s">
        <v>26</v>
      </c>
      <c r="H1018">
        <v>52</v>
      </c>
      <c r="J1018" s="1">
        <v>36.549999999999997</v>
      </c>
      <c r="K1018" s="1">
        <v>0</v>
      </c>
      <c r="O1018" s="1">
        <v>6.8</v>
      </c>
      <c r="Q1018" s="2">
        <v>43.35</v>
      </c>
    </row>
    <row r="1019" spans="1:17" x14ac:dyDescent="0.25">
      <c r="A1019" t="s">
        <v>31</v>
      </c>
      <c r="B1019" t="s">
        <v>39</v>
      </c>
      <c r="C1019" t="str">
        <f>"11-3-54"</f>
        <v>11-3-54</v>
      </c>
      <c r="D1019" t="s">
        <v>26</v>
      </c>
      <c r="H1019">
        <v>54</v>
      </c>
      <c r="J1019" s="1">
        <v>36.549999999999997</v>
      </c>
      <c r="K1019" s="1">
        <v>0</v>
      </c>
      <c r="O1019" s="1">
        <v>8.5</v>
      </c>
      <c r="Q1019" s="2">
        <v>45.05</v>
      </c>
    </row>
    <row r="1020" spans="1:17" x14ac:dyDescent="0.25">
      <c r="A1020" t="s">
        <v>31</v>
      </c>
      <c r="B1020" t="s">
        <v>39</v>
      </c>
      <c r="C1020" t="str">
        <f>"11-3-56"</f>
        <v>11-3-56</v>
      </c>
      <c r="D1020" t="s">
        <v>26</v>
      </c>
      <c r="H1020">
        <v>56</v>
      </c>
      <c r="J1020" s="1">
        <v>36.549999999999997</v>
      </c>
      <c r="K1020" s="1">
        <v>0</v>
      </c>
      <c r="O1020" s="1">
        <v>10.199999999999999</v>
      </c>
      <c r="Q1020" s="2">
        <v>46.75</v>
      </c>
    </row>
    <row r="1021" spans="1:17" x14ac:dyDescent="0.25">
      <c r="A1021" t="s">
        <v>31</v>
      </c>
      <c r="B1021" t="s">
        <v>39</v>
      </c>
      <c r="C1021" t="str">
        <f>"11-3-58"</f>
        <v>11-3-58</v>
      </c>
      <c r="D1021" t="s">
        <v>26</v>
      </c>
      <c r="H1021">
        <v>58</v>
      </c>
      <c r="J1021" s="1">
        <v>36.549999999999997</v>
      </c>
      <c r="K1021" s="1">
        <v>0</v>
      </c>
      <c r="O1021" s="1">
        <v>11.9</v>
      </c>
      <c r="Q1021" s="2">
        <v>48.45</v>
      </c>
    </row>
    <row r="1022" spans="1:17" x14ac:dyDescent="0.25">
      <c r="A1022" t="s">
        <v>31</v>
      </c>
      <c r="B1022" t="s">
        <v>39</v>
      </c>
      <c r="C1022" t="str">
        <f>"11-3-60"</f>
        <v>11-3-60</v>
      </c>
      <c r="D1022" t="s">
        <v>26</v>
      </c>
      <c r="H1022">
        <v>60</v>
      </c>
      <c r="J1022" s="1">
        <v>36.549999999999997</v>
      </c>
      <c r="K1022" s="1">
        <v>0</v>
      </c>
      <c r="O1022" s="1">
        <v>13.6</v>
      </c>
      <c r="Q1022" s="2">
        <v>50.15</v>
      </c>
    </row>
    <row r="1023" spans="1:17" x14ac:dyDescent="0.25">
      <c r="A1023" t="s">
        <v>31</v>
      </c>
      <c r="B1023" t="s">
        <v>39</v>
      </c>
      <c r="C1023" t="str">
        <f>"11-3-62"</f>
        <v>11-3-62</v>
      </c>
      <c r="D1023" t="s">
        <v>26</v>
      </c>
      <c r="H1023">
        <v>62</v>
      </c>
      <c r="J1023" s="1">
        <v>36.549999999999997</v>
      </c>
      <c r="K1023" s="1">
        <v>0</v>
      </c>
      <c r="O1023" s="1">
        <v>15.3</v>
      </c>
      <c r="Q1023" s="2">
        <v>51.85</v>
      </c>
    </row>
    <row r="1024" spans="1:17" x14ac:dyDescent="0.25">
      <c r="A1024" t="s">
        <v>31</v>
      </c>
      <c r="B1024" t="s">
        <v>39</v>
      </c>
      <c r="C1024" t="str">
        <f>"11-3-64"</f>
        <v>11-3-64</v>
      </c>
      <c r="D1024" t="s">
        <v>26</v>
      </c>
      <c r="H1024">
        <v>64</v>
      </c>
      <c r="J1024" s="1">
        <v>36.549999999999997</v>
      </c>
      <c r="K1024" s="1">
        <v>0</v>
      </c>
      <c r="O1024" s="1">
        <v>29.75</v>
      </c>
      <c r="Q1024" s="2">
        <v>66.3</v>
      </c>
    </row>
    <row r="1025" spans="1:17" x14ac:dyDescent="0.25">
      <c r="A1025" t="s">
        <v>31</v>
      </c>
      <c r="B1025" t="s">
        <v>39</v>
      </c>
      <c r="C1025" t="str">
        <f>"11-3-66"</f>
        <v>11-3-66</v>
      </c>
      <c r="D1025" t="s">
        <v>26</v>
      </c>
      <c r="H1025">
        <v>66</v>
      </c>
      <c r="J1025" s="1">
        <v>36.549999999999997</v>
      </c>
      <c r="K1025" s="1">
        <v>0</v>
      </c>
      <c r="O1025" s="1">
        <v>29.75</v>
      </c>
      <c r="Q1025" s="2">
        <v>66.3</v>
      </c>
    </row>
    <row r="1026" spans="1:17" x14ac:dyDescent="0.25">
      <c r="A1026" t="s">
        <v>31</v>
      </c>
      <c r="B1026" t="s">
        <v>39</v>
      </c>
      <c r="C1026" t="str">
        <f>"11-3-68"</f>
        <v>11-3-68</v>
      </c>
      <c r="D1026" t="s">
        <v>26</v>
      </c>
      <c r="H1026">
        <v>68</v>
      </c>
      <c r="J1026" s="1">
        <v>36.549999999999997</v>
      </c>
      <c r="K1026" s="1">
        <v>0</v>
      </c>
      <c r="O1026" s="1">
        <v>29.75</v>
      </c>
      <c r="Q1026" s="2">
        <v>66.3</v>
      </c>
    </row>
    <row r="1027" spans="1:17" x14ac:dyDescent="0.25">
      <c r="A1027" t="s">
        <v>31</v>
      </c>
      <c r="B1027" t="s">
        <v>39</v>
      </c>
      <c r="C1027" t="str">
        <f>"11-3-70"</f>
        <v>11-3-70</v>
      </c>
      <c r="D1027" t="s">
        <v>26</v>
      </c>
      <c r="H1027">
        <v>70</v>
      </c>
      <c r="J1027" s="1">
        <v>36.549999999999997</v>
      </c>
      <c r="K1027" s="1">
        <v>0</v>
      </c>
      <c r="O1027" s="1">
        <v>29.75</v>
      </c>
      <c r="Q1027" s="2">
        <v>66.3</v>
      </c>
    </row>
    <row r="1028" spans="1:17" x14ac:dyDescent="0.25">
      <c r="A1028" t="s">
        <v>31</v>
      </c>
      <c r="B1028" t="s">
        <v>39</v>
      </c>
      <c r="C1028" t="str">
        <f>"11-3-72"</f>
        <v>11-3-72</v>
      </c>
      <c r="D1028" t="s">
        <v>26</v>
      </c>
      <c r="H1028">
        <v>72</v>
      </c>
      <c r="J1028" s="1">
        <v>36.549999999999997</v>
      </c>
      <c r="K1028" s="1">
        <v>0</v>
      </c>
      <c r="O1028" s="1">
        <v>29.75</v>
      </c>
      <c r="Q1028" s="2">
        <v>66.3</v>
      </c>
    </row>
    <row r="1029" spans="1:17" x14ac:dyDescent="0.25">
      <c r="A1029" t="s">
        <v>31</v>
      </c>
      <c r="B1029" t="s">
        <v>39</v>
      </c>
      <c r="C1029" t="str">
        <f>"11-3-74"</f>
        <v>11-3-74</v>
      </c>
      <c r="D1029" t="s">
        <v>26</v>
      </c>
      <c r="H1029">
        <v>74</v>
      </c>
      <c r="J1029" s="1">
        <v>36.549999999999997</v>
      </c>
      <c r="K1029" s="1">
        <v>0</v>
      </c>
      <c r="O1029" s="1">
        <v>29.75</v>
      </c>
      <c r="Q1029" s="2">
        <v>66.3</v>
      </c>
    </row>
    <row r="1030" spans="1:17" x14ac:dyDescent="0.25">
      <c r="A1030" t="s">
        <v>31</v>
      </c>
      <c r="B1030" t="s">
        <v>39</v>
      </c>
      <c r="C1030" t="str">
        <f>"11-3-76"</f>
        <v>11-3-76</v>
      </c>
      <c r="D1030" t="s">
        <v>26</v>
      </c>
      <c r="H1030">
        <v>76</v>
      </c>
      <c r="J1030" s="1">
        <v>36.549999999999997</v>
      </c>
      <c r="K1030" s="1">
        <v>0</v>
      </c>
      <c r="O1030" s="1">
        <v>29.75</v>
      </c>
      <c r="Q1030" s="2">
        <v>66.3</v>
      </c>
    </row>
    <row r="1031" spans="1:17" x14ac:dyDescent="0.25">
      <c r="A1031" t="s">
        <v>31</v>
      </c>
      <c r="B1031" t="s">
        <v>39</v>
      </c>
      <c r="C1031" t="str">
        <f>"11-3-78"</f>
        <v>11-3-78</v>
      </c>
      <c r="D1031" t="s">
        <v>26</v>
      </c>
      <c r="H1031">
        <v>78</v>
      </c>
      <c r="J1031" s="1">
        <v>36.549999999999997</v>
      </c>
      <c r="K1031" s="1">
        <v>0</v>
      </c>
      <c r="O1031" s="1">
        <v>29.75</v>
      </c>
      <c r="Q1031" s="2">
        <v>66.3</v>
      </c>
    </row>
    <row r="1032" spans="1:17" x14ac:dyDescent="0.25">
      <c r="A1032" t="s">
        <v>31</v>
      </c>
      <c r="B1032" t="s">
        <v>39</v>
      </c>
      <c r="C1032" t="str">
        <f>"11-3-80"</f>
        <v>11-3-80</v>
      </c>
      <c r="D1032" t="s">
        <v>26</v>
      </c>
      <c r="H1032">
        <v>80</v>
      </c>
      <c r="J1032" s="1">
        <v>36.549999999999997</v>
      </c>
      <c r="K1032" s="1">
        <v>0</v>
      </c>
      <c r="O1032" s="1">
        <v>29.75</v>
      </c>
      <c r="Q1032" s="2">
        <v>66.3</v>
      </c>
    </row>
    <row r="1033" spans="1:17" x14ac:dyDescent="0.25">
      <c r="A1033" t="s">
        <v>31</v>
      </c>
      <c r="B1033" t="s">
        <v>39</v>
      </c>
      <c r="C1033" t="str">
        <f>"11-5-24"</f>
        <v>11-5-24</v>
      </c>
      <c r="D1033" t="s">
        <v>27</v>
      </c>
      <c r="H1033">
        <v>24</v>
      </c>
      <c r="J1033" s="1">
        <v>36.549999999999997</v>
      </c>
      <c r="K1033" s="1">
        <v>0</v>
      </c>
      <c r="O1033" s="1">
        <v>0</v>
      </c>
      <c r="Q1033" s="2">
        <v>36.549999999999997</v>
      </c>
    </row>
    <row r="1034" spans="1:17" x14ac:dyDescent="0.25">
      <c r="A1034" t="s">
        <v>31</v>
      </c>
      <c r="B1034" t="s">
        <v>39</v>
      </c>
      <c r="C1034" t="str">
        <f>"11-5-26"</f>
        <v>11-5-26</v>
      </c>
      <c r="D1034" t="s">
        <v>27</v>
      </c>
      <c r="H1034">
        <v>26</v>
      </c>
      <c r="J1034" s="1">
        <v>36.549999999999997</v>
      </c>
      <c r="K1034" s="1">
        <v>0</v>
      </c>
      <c r="O1034" s="1">
        <v>0</v>
      </c>
      <c r="Q1034" s="2">
        <v>36.549999999999997</v>
      </c>
    </row>
    <row r="1035" spans="1:17" x14ac:dyDescent="0.25">
      <c r="A1035" t="s">
        <v>31</v>
      </c>
      <c r="B1035" t="s">
        <v>39</v>
      </c>
      <c r="C1035" t="str">
        <f>"11-5-28"</f>
        <v>11-5-28</v>
      </c>
      <c r="D1035" t="s">
        <v>27</v>
      </c>
      <c r="H1035">
        <v>28</v>
      </c>
      <c r="J1035" s="1">
        <v>36.549999999999997</v>
      </c>
      <c r="K1035" s="1">
        <v>0</v>
      </c>
      <c r="O1035" s="1">
        <v>0</v>
      </c>
      <c r="Q1035" s="2">
        <v>36.549999999999997</v>
      </c>
    </row>
    <row r="1036" spans="1:17" x14ac:dyDescent="0.25">
      <c r="A1036" t="s">
        <v>31</v>
      </c>
      <c r="B1036" t="s">
        <v>39</v>
      </c>
      <c r="C1036" t="str">
        <f>"11-5-30"</f>
        <v>11-5-30</v>
      </c>
      <c r="D1036" t="s">
        <v>27</v>
      </c>
      <c r="H1036">
        <v>30</v>
      </c>
      <c r="J1036" s="1">
        <v>36.549999999999997</v>
      </c>
      <c r="K1036" s="1">
        <v>0</v>
      </c>
      <c r="O1036" s="1">
        <v>0</v>
      </c>
      <c r="Q1036" s="2">
        <v>36.549999999999997</v>
      </c>
    </row>
    <row r="1037" spans="1:17" x14ac:dyDescent="0.25">
      <c r="A1037" t="s">
        <v>31</v>
      </c>
      <c r="B1037" t="s">
        <v>39</v>
      </c>
      <c r="C1037" t="str">
        <f>"11-5-32"</f>
        <v>11-5-32</v>
      </c>
      <c r="D1037" t="s">
        <v>27</v>
      </c>
      <c r="H1037">
        <v>32</v>
      </c>
      <c r="J1037" s="1">
        <v>36.549999999999997</v>
      </c>
      <c r="K1037" s="1">
        <v>0</v>
      </c>
      <c r="O1037" s="1">
        <v>0</v>
      </c>
      <c r="Q1037" s="2">
        <v>36.549999999999997</v>
      </c>
    </row>
    <row r="1038" spans="1:17" x14ac:dyDescent="0.25">
      <c r="A1038" t="s">
        <v>31</v>
      </c>
      <c r="B1038" t="s">
        <v>39</v>
      </c>
      <c r="C1038" t="str">
        <f>"11-5-34"</f>
        <v>11-5-34</v>
      </c>
      <c r="D1038" t="s">
        <v>27</v>
      </c>
      <c r="H1038">
        <v>34</v>
      </c>
      <c r="J1038" s="1">
        <v>36.549999999999997</v>
      </c>
      <c r="K1038" s="1">
        <v>0</v>
      </c>
      <c r="O1038" s="1">
        <v>0</v>
      </c>
      <c r="Q1038" s="2">
        <v>36.549999999999997</v>
      </c>
    </row>
    <row r="1039" spans="1:17" x14ac:dyDescent="0.25">
      <c r="A1039" t="s">
        <v>31</v>
      </c>
      <c r="B1039" t="s">
        <v>39</v>
      </c>
      <c r="C1039" t="str">
        <f>"11-5-36"</f>
        <v>11-5-36</v>
      </c>
      <c r="D1039" t="s">
        <v>27</v>
      </c>
      <c r="H1039">
        <v>36</v>
      </c>
      <c r="J1039" s="1">
        <v>36.549999999999997</v>
      </c>
      <c r="K1039" s="1">
        <v>0</v>
      </c>
      <c r="O1039" s="1">
        <v>0</v>
      </c>
      <c r="Q1039" s="2">
        <v>36.549999999999997</v>
      </c>
    </row>
    <row r="1040" spans="1:17" x14ac:dyDescent="0.25">
      <c r="A1040" t="s">
        <v>31</v>
      </c>
      <c r="B1040" t="s">
        <v>39</v>
      </c>
      <c r="C1040" t="str">
        <f>"11-5-38"</f>
        <v>11-5-38</v>
      </c>
      <c r="D1040" t="s">
        <v>27</v>
      </c>
      <c r="H1040">
        <v>38</v>
      </c>
      <c r="J1040" s="1">
        <v>36.549999999999997</v>
      </c>
      <c r="K1040" s="1">
        <v>0</v>
      </c>
      <c r="O1040" s="1">
        <v>0</v>
      </c>
      <c r="Q1040" s="2">
        <v>36.549999999999997</v>
      </c>
    </row>
    <row r="1041" spans="1:17" x14ac:dyDescent="0.25">
      <c r="A1041" t="s">
        <v>31</v>
      </c>
      <c r="B1041" t="s">
        <v>39</v>
      </c>
      <c r="C1041" t="str">
        <f>"11-5-40"</f>
        <v>11-5-40</v>
      </c>
      <c r="D1041" t="s">
        <v>27</v>
      </c>
      <c r="H1041">
        <v>40</v>
      </c>
      <c r="J1041" s="1">
        <v>36.549999999999997</v>
      </c>
      <c r="K1041" s="1">
        <v>0</v>
      </c>
      <c r="O1041" s="1">
        <v>0</v>
      </c>
      <c r="Q1041" s="2">
        <v>36.549999999999997</v>
      </c>
    </row>
    <row r="1042" spans="1:17" x14ac:dyDescent="0.25">
      <c r="A1042" t="s">
        <v>31</v>
      </c>
      <c r="B1042" t="s">
        <v>39</v>
      </c>
      <c r="C1042" t="str">
        <f>"11-5-42"</f>
        <v>11-5-42</v>
      </c>
      <c r="D1042" t="s">
        <v>27</v>
      </c>
      <c r="H1042">
        <v>42</v>
      </c>
      <c r="J1042" s="1">
        <v>36.549999999999997</v>
      </c>
      <c r="K1042" s="1">
        <v>0</v>
      </c>
      <c r="O1042" s="1">
        <v>0</v>
      </c>
      <c r="Q1042" s="2">
        <v>36.549999999999997</v>
      </c>
    </row>
    <row r="1043" spans="1:17" x14ac:dyDescent="0.25">
      <c r="A1043" t="s">
        <v>31</v>
      </c>
      <c r="B1043" t="s">
        <v>39</v>
      </c>
      <c r="C1043" t="str">
        <f>"11-5-44"</f>
        <v>11-5-44</v>
      </c>
      <c r="D1043" t="s">
        <v>27</v>
      </c>
      <c r="H1043">
        <v>44</v>
      </c>
      <c r="J1043" s="1">
        <v>36.549999999999997</v>
      </c>
      <c r="K1043" s="1">
        <v>0</v>
      </c>
      <c r="O1043" s="1">
        <v>0</v>
      </c>
      <c r="Q1043" s="2">
        <v>36.549999999999997</v>
      </c>
    </row>
    <row r="1044" spans="1:17" x14ac:dyDescent="0.25">
      <c r="A1044" t="s">
        <v>31</v>
      </c>
      <c r="B1044" t="s">
        <v>39</v>
      </c>
      <c r="C1044" t="str">
        <f>"11-5-46"</f>
        <v>11-5-46</v>
      </c>
      <c r="D1044" t="s">
        <v>27</v>
      </c>
      <c r="H1044">
        <v>46</v>
      </c>
      <c r="J1044" s="1">
        <v>36.549999999999997</v>
      </c>
      <c r="K1044" s="1">
        <v>0</v>
      </c>
      <c r="O1044" s="1">
        <v>0</v>
      </c>
      <c r="Q1044" s="2">
        <v>36.549999999999997</v>
      </c>
    </row>
    <row r="1045" spans="1:17" x14ac:dyDescent="0.25">
      <c r="A1045" t="s">
        <v>31</v>
      </c>
      <c r="B1045" t="s">
        <v>39</v>
      </c>
      <c r="C1045" t="str">
        <f>"11-5-48"</f>
        <v>11-5-48</v>
      </c>
      <c r="D1045" t="s">
        <v>27</v>
      </c>
      <c r="H1045">
        <v>48</v>
      </c>
      <c r="J1045" s="1">
        <v>36.549999999999997</v>
      </c>
      <c r="K1045" s="1">
        <v>0</v>
      </c>
      <c r="O1045" s="1">
        <v>3.4</v>
      </c>
      <c r="Q1045" s="2">
        <v>39.950000000000003</v>
      </c>
    </row>
    <row r="1046" spans="1:17" x14ac:dyDescent="0.25">
      <c r="A1046" t="s">
        <v>31</v>
      </c>
      <c r="B1046" t="s">
        <v>39</v>
      </c>
      <c r="C1046" t="str">
        <f>"11-5-50"</f>
        <v>11-5-50</v>
      </c>
      <c r="D1046" t="s">
        <v>27</v>
      </c>
      <c r="H1046">
        <v>50</v>
      </c>
      <c r="J1046" s="1">
        <v>36.549999999999997</v>
      </c>
      <c r="K1046" s="1">
        <v>0</v>
      </c>
      <c r="O1046" s="1">
        <v>5.0999999999999996</v>
      </c>
      <c r="Q1046" s="2">
        <v>41.65</v>
      </c>
    </row>
    <row r="1047" spans="1:17" x14ac:dyDescent="0.25">
      <c r="A1047" t="s">
        <v>31</v>
      </c>
      <c r="B1047" t="s">
        <v>39</v>
      </c>
      <c r="C1047" t="str">
        <f>"11-5-52"</f>
        <v>11-5-52</v>
      </c>
      <c r="D1047" t="s">
        <v>27</v>
      </c>
      <c r="H1047">
        <v>52</v>
      </c>
      <c r="J1047" s="1">
        <v>36.549999999999997</v>
      </c>
      <c r="K1047" s="1">
        <v>0</v>
      </c>
      <c r="O1047" s="1">
        <v>6.8</v>
      </c>
      <c r="Q1047" s="2">
        <v>43.35</v>
      </c>
    </row>
    <row r="1048" spans="1:17" x14ac:dyDescent="0.25">
      <c r="A1048" t="s">
        <v>31</v>
      </c>
      <c r="B1048" t="s">
        <v>39</v>
      </c>
      <c r="C1048" t="str">
        <f>"11-5-54"</f>
        <v>11-5-54</v>
      </c>
      <c r="D1048" t="s">
        <v>27</v>
      </c>
      <c r="H1048">
        <v>54</v>
      </c>
      <c r="J1048" s="1">
        <v>36.549999999999997</v>
      </c>
      <c r="K1048" s="1">
        <v>0</v>
      </c>
      <c r="O1048" s="1">
        <v>8.5</v>
      </c>
      <c r="Q1048" s="2">
        <v>45.05</v>
      </c>
    </row>
    <row r="1049" spans="1:17" x14ac:dyDescent="0.25">
      <c r="A1049" t="s">
        <v>31</v>
      </c>
      <c r="B1049" t="s">
        <v>39</v>
      </c>
      <c r="C1049" t="str">
        <f>"11-5-56"</f>
        <v>11-5-56</v>
      </c>
      <c r="D1049" t="s">
        <v>27</v>
      </c>
      <c r="H1049">
        <v>56</v>
      </c>
      <c r="J1049" s="1">
        <v>36.549999999999997</v>
      </c>
      <c r="K1049" s="1">
        <v>0</v>
      </c>
      <c r="O1049" s="1">
        <v>10.199999999999999</v>
      </c>
      <c r="Q1049" s="2">
        <v>46.75</v>
      </c>
    </row>
    <row r="1050" spans="1:17" x14ac:dyDescent="0.25">
      <c r="A1050" t="s">
        <v>31</v>
      </c>
      <c r="B1050" t="s">
        <v>39</v>
      </c>
      <c r="C1050" t="str">
        <f>"11-5-58"</f>
        <v>11-5-58</v>
      </c>
      <c r="D1050" t="s">
        <v>27</v>
      </c>
      <c r="H1050">
        <v>58</v>
      </c>
      <c r="J1050" s="1">
        <v>36.549999999999997</v>
      </c>
      <c r="K1050" s="1">
        <v>0</v>
      </c>
      <c r="O1050" s="1">
        <v>11.9</v>
      </c>
      <c r="Q1050" s="2">
        <v>48.45</v>
      </c>
    </row>
    <row r="1051" spans="1:17" x14ac:dyDescent="0.25">
      <c r="A1051" t="s">
        <v>31</v>
      </c>
      <c r="B1051" t="s">
        <v>39</v>
      </c>
      <c r="C1051" t="str">
        <f>"11-5-60"</f>
        <v>11-5-60</v>
      </c>
      <c r="D1051" t="s">
        <v>27</v>
      </c>
      <c r="H1051">
        <v>60</v>
      </c>
      <c r="J1051" s="1">
        <v>36.549999999999997</v>
      </c>
      <c r="K1051" s="1">
        <v>0</v>
      </c>
      <c r="O1051" s="1">
        <v>13.6</v>
      </c>
      <c r="Q1051" s="2">
        <v>50.15</v>
      </c>
    </row>
    <row r="1052" spans="1:17" x14ac:dyDescent="0.25">
      <c r="A1052" t="s">
        <v>31</v>
      </c>
      <c r="B1052" t="s">
        <v>39</v>
      </c>
      <c r="C1052" t="str">
        <f>"11-5-62"</f>
        <v>11-5-62</v>
      </c>
      <c r="D1052" t="s">
        <v>27</v>
      </c>
      <c r="H1052">
        <v>62</v>
      </c>
      <c r="J1052" s="1">
        <v>36.549999999999997</v>
      </c>
      <c r="K1052" s="1">
        <v>0</v>
      </c>
      <c r="O1052" s="1">
        <v>15.3</v>
      </c>
      <c r="Q1052" s="2">
        <v>51.85</v>
      </c>
    </row>
    <row r="1053" spans="1:17" x14ac:dyDescent="0.25">
      <c r="A1053" t="s">
        <v>31</v>
      </c>
      <c r="B1053" t="s">
        <v>39</v>
      </c>
      <c r="C1053" t="str">
        <f>"11-5-64"</f>
        <v>11-5-64</v>
      </c>
      <c r="D1053" t="s">
        <v>27</v>
      </c>
      <c r="H1053">
        <v>64</v>
      </c>
      <c r="J1053" s="1">
        <v>36.549999999999997</v>
      </c>
      <c r="K1053" s="1">
        <v>0</v>
      </c>
      <c r="O1053" s="1">
        <v>29.75</v>
      </c>
      <c r="Q1053" s="2">
        <v>66.3</v>
      </c>
    </row>
    <row r="1054" spans="1:17" x14ac:dyDescent="0.25">
      <c r="A1054" t="s">
        <v>31</v>
      </c>
      <c r="B1054" t="s">
        <v>39</v>
      </c>
      <c r="C1054" t="str">
        <f>"11-5-66"</f>
        <v>11-5-66</v>
      </c>
      <c r="D1054" t="s">
        <v>27</v>
      </c>
      <c r="H1054">
        <v>66</v>
      </c>
      <c r="J1054" s="1">
        <v>36.549999999999997</v>
      </c>
      <c r="K1054" s="1">
        <v>0</v>
      </c>
      <c r="O1054" s="1">
        <v>29.75</v>
      </c>
      <c r="Q1054" s="2">
        <v>66.3</v>
      </c>
    </row>
    <row r="1055" spans="1:17" x14ac:dyDescent="0.25">
      <c r="A1055" t="s">
        <v>31</v>
      </c>
      <c r="B1055" t="s">
        <v>39</v>
      </c>
      <c r="C1055" t="str">
        <f>"11-5-68"</f>
        <v>11-5-68</v>
      </c>
      <c r="D1055" t="s">
        <v>27</v>
      </c>
      <c r="H1055">
        <v>68</v>
      </c>
      <c r="J1055" s="1">
        <v>36.549999999999997</v>
      </c>
      <c r="K1055" s="1">
        <v>0</v>
      </c>
      <c r="O1055" s="1">
        <v>29.75</v>
      </c>
      <c r="Q1055" s="2">
        <v>66.3</v>
      </c>
    </row>
    <row r="1056" spans="1:17" x14ac:dyDescent="0.25">
      <c r="A1056" t="s">
        <v>31</v>
      </c>
      <c r="B1056" t="s">
        <v>39</v>
      </c>
      <c r="C1056" t="str">
        <f>"11-5-70"</f>
        <v>11-5-70</v>
      </c>
      <c r="D1056" t="s">
        <v>27</v>
      </c>
      <c r="H1056">
        <v>70</v>
      </c>
      <c r="J1056" s="1">
        <v>36.549999999999997</v>
      </c>
      <c r="K1056" s="1">
        <v>0</v>
      </c>
      <c r="O1056" s="1">
        <v>29.75</v>
      </c>
      <c r="Q1056" s="2">
        <v>66.3</v>
      </c>
    </row>
    <row r="1057" spans="1:17" x14ac:dyDescent="0.25">
      <c r="A1057" t="s">
        <v>31</v>
      </c>
      <c r="B1057" t="s">
        <v>39</v>
      </c>
      <c r="C1057" t="str">
        <f>"11-5-72"</f>
        <v>11-5-72</v>
      </c>
      <c r="D1057" t="s">
        <v>27</v>
      </c>
      <c r="H1057">
        <v>72</v>
      </c>
      <c r="J1057" s="1">
        <v>36.549999999999997</v>
      </c>
      <c r="K1057" s="1">
        <v>0</v>
      </c>
      <c r="O1057" s="1">
        <v>29.75</v>
      </c>
      <c r="Q1057" s="2">
        <v>66.3</v>
      </c>
    </row>
    <row r="1058" spans="1:17" x14ac:dyDescent="0.25">
      <c r="A1058" t="s">
        <v>31</v>
      </c>
      <c r="B1058" t="s">
        <v>39</v>
      </c>
      <c r="C1058" t="str">
        <f>"11-5-74"</f>
        <v>11-5-74</v>
      </c>
      <c r="D1058" t="s">
        <v>27</v>
      </c>
      <c r="H1058">
        <v>74</v>
      </c>
      <c r="J1058" s="1">
        <v>36.549999999999997</v>
      </c>
      <c r="K1058" s="1">
        <v>0</v>
      </c>
      <c r="O1058" s="1">
        <v>29.75</v>
      </c>
      <c r="Q1058" s="2">
        <v>66.3</v>
      </c>
    </row>
    <row r="1059" spans="1:17" x14ac:dyDescent="0.25">
      <c r="A1059" t="s">
        <v>31</v>
      </c>
      <c r="B1059" t="s">
        <v>39</v>
      </c>
      <c r="C1059" t="str">
        <f>"11-5-76"</f>
        <v>11-5-76</v>
      </c>
      <c r="D1059" t="s">
        <v>27</v>
      </c>
      <c r="H1059">
        <v>76</v>
      </c>
      <c r="J1059" s="1">
        <v>36.549999999999997</v>
      </c>
      <c r="K1059" s="1">
        <v>0</v>
      </c>
      <c r="O1059" s="1">
        <v>29.75</v>
      </c>
      <c r="Q1059" s="2">
        <v>66.3</v>
      </c>
    </row>
    <row r="1060" spans="1:17" x14ac:dyDescent="0.25">
      <c r="A1060" t="s">
        <v>31</v>
      </c>
      <c r="B1060" t="s">
        <v>39</v>
      </c>
      <c r="C1060" t="str">
        <f>"11-5-78"</f>
        <v>11-5-78</v>
      </c>
      <c r="D1060" t="s">
        <v>27</v>
      </c>
      <c r="H1060">
        <v>78</v>
      </c>
      <c r="J1060" s="1">
        <v>36.549999999999997</v>
      </c>
      <c r="K1060" s="1">
        <v>0</v>
      </c>
      <c r="O1060" s="1">
        <v>29.75</v>
      </c>
      <c r="Q1060" s="2">
        <v>66.3</v>
      </c>
    </row>
    <row r="1061" spans="1:17" x14ac:dyDescent="0.25">
      <c r="A1061" t="s">
        <v>31</v>
      </c>
      <c r="B1061" t="s">
        <v>39</v>
      </c>
      <c r="C1061" t="str">
        <f>"11-5-80"</f>
        <v>11-5-80</v>
      </c>
      <c r="D1061" t="s">
        <v>27</v>
      </c>
      <c r="H1061">
        <v>80</v>
      </c>
      <c r="J1061" s="1">
        <v>36.549999999999997</v>
      </c>
      <c r="K1061" s="1">
        <v>0</v>
      </c>
      <c r="O1061" s="1">
        <v>29.75</v>
      </c>
      <c r="Q1061" s="2">
        <v>66.3</v>
      </c>
    </row>
    <row r="1062" spans="1:17" x14ac:dyDescent="0.25">
      <c r="A1062" t="s">
        <v>31</v>
      </c>
      <c r="B1062" t="s">
        <v>40</v>
      </c>
      <c r="C1062" t="str">
        <f>"556-1-BR-CO-22"</f>
        <v>556-1-BR-CO-22</v>
      </c>
      <c r="D1062" t="s">
        <v>19</v>
      </c>
      <c r="F1062" t="s">
        <v>22</v>
      </c>
      <c r="G1062" t="s">
        <v>41</v>
      </c>
      <c r="H1062">
        <v>22</v>
      </c>
      <c r="J1062" s="1">
        <v>70.13</v>
      </c>
      <c r="K1062" s="1">
        <v>0</v>
      </c>
      <c r="M1062" s="1">
        <v>0</v>
      </c>
      <c r="N1062" s="1">
        <v>14.37</v>
      </c>
      <c r="O1062" s="1">
        <v>0</v>
      </c>
      <c r="Q1062" s="2">
        <v>84.5</v>
      </c>
    </row>
    <row r="1063" spans="1:17" x14ac:dyDescent="0.25">
      <c r="A1063" t="s">
        <v>31</v>
      </c>
      <c r="B1063" t="s">
        <v>40</v>
      </c>
      <c r="C1063" t="str">
        <f>"556-1-BR-CO-24"</f>
        <v>556-1-BR-CO-24</v>
      </c>
      <c r="D1063" t="s">
        <v>19</v>
      </c>
      <c r="F1063" t="s">
        <v>22</v>
      </c>
      <c r="G1063" t="s">
        <v>41</v>
      </c>
      <c r="H1063">
        <v>24</v>
      </c>
      <c r="J1063" s="1">
        <v>70.13</v>
      </c>
      <c r="K1063" s="1">
        <v>0</v>
      </c>
      <c r="M1063" s="1">
        <v>0</v>
      </c>
      <c r="N1063" s="1">
        <v>14.37</v>
      </c>
      <c r="O1063" s="1">
        <v>0</v>
      </c>
      <c r="Q1063" s="2">
        <v>84.5</v>
      </c>
    </row>
    <row r="1064" spans="1:17" x14ac:dyDescent="0.25">
      <c r="A1064" t="s">
        <v>31</v>
      </c>
      <c r="B1064" t="s">
        <v>40</v>
      </c>
      <c r="C1064" t="str">
        <f>"556-1-BR-CO-26"</f>
        <v>556-1-BR-CO-26</v>
      </c>
      <c r="D1064" t="s">
        <v>19</v>
      </c>
      <c r="F1064" t="s">
        <v>22</v>
      </c>
      <c r="G1064" t="s">
        <v>41</v>
      </c>
      <c r="H1064">
        <v>26</v>
      </c>
      <c r="J1064" s="1">
        <v>70.13</v>
      </c>
      <c r="K1064" s="1">
        <v>0</v>
      </c>
      <c r="M1064" s="1">
        <v>0</v>
      </c>
      <c r="N1064" s="1">
        <v>14.37</v>
      </c>
      <c r="O1064" s="1">
        <v>0</v>
      </c>
      <c r="Q1064" s="2">
        <v>84.5</v>
      </c>
    </row>
    <row r="1065" spans="1:17" x14ac:dyDescent="0.25">
      <c r="A1065" t="s">
        <v>31</v>
      </c>
      <c r="B1065" t="s">
        <v>40</v>
      </c>
      <c r="C1065" t="str">
        <f>"556-1-BR-CO-28"</f>
        <v>556-1-BR-CO-28</v>
      </c>
      <c r="D1065" t="s">
        <v>19</v>
      </c>
      <c r="F1065" t="s">
        <v>22</v>
      </c>
      <c r="G1065" t="s">
        <v>41</v>
      </c>
      <c r="H1065">
        <v>28</v>
      </c>
      <c r="J1065" s="1">
        <v>70.13</v>
      </c>
      <c r="K1065" s="1">
        <v>0</v>
      </c>
      <c r="M1065" s="1">
        <v>0</v>
      </c>
      <c r="N1065" s="1">
        <v>14.37</v>
      </c>
      <c r="O1065" s="1">
        <v>0</v>
      </c>
      <c r="Q1065" s="2">
        <v>84.5</v>
      </c>
    </row>
    <row r="1066" spans="1:17" x14ac:dyDescent="0.25">
      <c r="A1066" t="s">
        <v>31</v>
      </c>
      <c r="B1066" t="s">
        <v>40</v>
      </c>
      <c r="C1066" t="str">
        <f>"556-1-BR-CO-30"</f>
        <v>556-1-BR-CO-30</v>
      </c>
      <c r="D1066" t="s">
        <v>19</v>
      </c>
      <c r="F1066" t="s">
        <v>22</v>
      </c>
      <c r="G1066" t="s">
        <v>41</v>
      </c>
      <c r="H1066">
        <v>30</v>
      </c>
      <c r="J1066" s="1">
        <v>70.13</v>
      </c>
      <c r="K1066" s="1">
        <v>0</v>
      </c>
      <c r="M1066" s="1">
        <v>0</v>
      </c>
      <c r="N1066" s="1">
        <v>14.37</v>
      </c>
      <c r="O1066" s="1">
        <v>0</v>
      </c>
      <c r="Q1066" s="2">
        <v>84.5</v>
      </c>
    </row>
    <row r="1067" spans="1:17" x14ac:dyDescent="0.25">
      <c r="A1067" t="s">
        <v>31</v>
      </c>
      <c r="B1067" t="s">
        <v>40</v>
      </c>
      <c r="C1067" t="str">
        <f>"556-1-BR-CO-32"</f>
        <v>556-1-BR-CO-32</v>
      </c>
      <c r="D1067" t="s">
        <v>19</v>
      </c>
      <c r="F1067" t="s">
        <v>22</v>
      </c>
      <c r="G1067" t="s">
        <v>41</v>
      </c>
      <c r="H1067">
        <v>32</v>
      </c>
      <c r="J1067" s="1">
        <v>70.13</v>
      </c>
      <c r="K1067" s="1">
        <v>0</v>
      </c>
      <c r="M1067" s="1">
        <v>0</v>
      </c>
      <c r="N1067" s="1">
        <v>14.37</v>
      </c>
      <c r="O1067" s="1">
        <v>0</v>
      </c>
      <c r="Q1067" s="2">
        <v>84.5</v>
      </c>
    </row>
    <row r="1068" spans="1:17" x14ac:dyDescent="0.25">
      <c r="A1068" t="s">
        <v>31</v>
      </c>
      <c r="B1068" t="s">
        <v>40</v>
      </c>
      <c r="C1068" t="str">
        <f>"556-1-BR-CO-34"</f>
        <v>556-1-BR-CO-34</v>
      </c>
      <c r="D1068" t="s">
        <v>19</v>
      </c>
      <c r="F1068" t="s">
        <v>22</v>
      </c>
      <c r="G1068" t="s">
        <v>41</v>
      </c>
      <c r="H1068">
        <v>34</v>
      </c>
      <c r="J1068" s="1">
        <v>70.13</v>
      </c>
      <c r="K1068" s="1">
        <v>0</v>
      </c>
      <c r="M1068" s="1">
        <v>0</v>
      </c>
      <c r="N1068" s="1">
        <v>14.37</v>
      </c>
      <c r="O1068" s="1">
        <v>0</v>
      </c>
      <c r="Q1068" s="2">
        <v>84.5</v>
      </c>
    </row>
    <row r="1069" spans="1:17" x14ac:dyDescent="0.25">
      <c r="A1069" t="s">
        <v>31</v>
      </c>
      <c r="B1069" t="s">
        <v>40</v>
      </c>
      <c r="C1069" t="str">
        <f>"556-1-BR-CO-36"</f>
        <v>556-1-BR-CO-36</v>
      </c>
      <c r="D1069" t="s">
        <v>19</v>
      </c>
      <c r="F1069" t="s">
        <v>22</v>
      </c>
      <c r="G1069" t="s">
        <v>41</v>
      </c>
      <c r="H1069">
        <v>36</v>
      </c>
      <c r="J1069" s="1">
        <v>70.13</v>
      </c>
      <c r="K1069" s="1">
        <v>0</v>
      </c>
      <c r="M1069" s="1">
        <v>0</v>
      </c>
      <c r="N1069" s="1">
        <v>14.37</v>
      </c>
      <c r="O1069" s="1">
        <v>0</v>
      </c>
      <c r="Q1069" s="2">
        <v>84.5</v>
      </c>
    </row>
    <row r="1070" spans="1:17" x14ac:dyDescent="0.25">
      <c r="A1070" t="s">
        <v>31</v>
      </c>
      <c r="B1070" t="s">
        <v>40</v>
      </c>
      <c r="C1070" t="str">
        <f>"556-1-BR-CO-38"</f>
        <v>556-1-BR-CO-38</v>
      </c>
      <c r="D1070" t="s">
        <v>19</v>
      </c>
      <c r="F1070" t="s">
        <v>22</v>
      </c>
      <c r="G1070" t="s">
        <v>41</v>
      </c>
      <c r="H1070">
        <v>38</v>
      </c>
      <c r="J1070" s="1">
        <v>70.13</v>
      </c>
      <c r="K1070" s="1">
        <v>0</v>
      </c>
      <c r="M1070" s="1">
        <v>0</v>
      </c>
      <c r="N1070" s="1">
        <v>14.37</v>
      </c>
      <c r="O1070" s="1">
        <v>0</v>
      </c>
      <c r="Q1070" s="2">
        <v>84.5</v>
      </c>
    </row>
    <row r="1071" spans="1:17" x14ac:dyDescent="0.25">
      <c r="A1071" t="s">
        <v>31</v>
      </c>
      <c r="B1071" t="s">
        <v>40</v>
      </c>
      <c r="C1071" t="str">
        <f>"556-1-BR-CO-40"</f>
        <v>556-1-BR-CO-40</v>
      </c>
      <c r="D1071" t="s">
        <v>19</v>
      </c>
      <c r="F1071" t="s">
        <v>22</v>
      </c>
      <c r="G1071" t="s">
        <v>41</v>
      </c>
      <c r="H1071">
        <v>40</v>
      </c>
      <c r="J1071" s="1">
        <v>70.13</v>
      </c>
      <c r="K1071" s="1">
        <v>0</v>
      </c>
      <c r="M1071" s="1">
        <v>0</v>
      </c>
      <c r="N1071" s="1">
        <v>14.37</v>
      </c>
      <c r="O1071" s="1">
        <v>0</v>
      </c>
      <c r="Q1071" s="2">
        <v>84.5</v>
      </c>
    </row>
    <row r="1072" spans="1:17" x14ac:dyDescent="0.25">
      <c r="A1072" t="s">
        <v>31</v>
      </c>
      <c r="B1072" t="s">
        <v>40</v>
      </c>
      <c r="C1072" t="str">
        <f>"556-1-BR-CO-42"</f>
        <v>556-1-BR-CO-42</v>
      </c>
      <c r="D1072" t="s">
        <v>19</v>
      </c>
      <c r="F1072" t="s">
        <v>22</v>
      </c>
      <c r="G1072" t="s">
        <v>41</v>
      </c>
      <c r="H1072">
        <v>42</v>
      </c>
      <c r="J1072" s="1">
        <v>70.13</v>
      </c>
      <c r="K1072" s="1">
        <v>0</v>
      </c>
      <c r="M1072" s="1">
        <v>0</v>
      </c>
      <c r="N1072" s="1">
        <v>14.37</v>
      </c>
      <c r="O1072" s="1">
        <v>0</v>
      </c>
      <c r="Q1072" s="2">
        <v>84.5</v>
      </c>
    </row>
    <row r="1073" spans="1:17" x14ac:dyDescent="0.25">
      <c r="A1073" t="s">
        <v>31</v>
      </c>
      <c r="B1073" t="s">
        <v>40</v>
      </c>
      <c r="C1073" t="str">
        <f>"556-1-BR-CO-44"</f>
        <v>556-1-BR-CO-44</v>
      </c>
      <c r="D1073" t="s">
        <v>19</v>
      </c>
      <c r="F1073" t="s">
        <v>22</v>
      </c>
      <c r="G1073" t="s">
        <v>41</v>
      </c>
      <c r="H1073">
        <v>44</v>
      </c>
      <c r="J1073" s="1">
        <v>70.13</v>
      </c>
      <c r="K1073" s="1">
        <v>0</v>
      </c>
      <c r="M1073" s="1">
        <v>0</v>
      </c>
      <c r="N1073" s="1">
        <v>14.37</v>
      </c>
      <c r="O1073" s="1">
        <v>0</v>
      </c>
      <c r="Q1073" s="2">
        <v>84.5</v>
      </c>
    </row>
    <row r="1074" spans="1:17" x14ac:dyDescent="0.25">
      <c r="A1074" t="s">
        <v>31</v>
      </c>
      <c r="B1074" t="s">
        <v>40</v>
      </c>
      <c r="C1074" t="str">
        <f>"556-1-BR-CO-46"</f>
        <v>556-1-BR-CO-46</v>
      </c>
      <c r="D1074" t="s">
        <v>19</v>
      </c>
      <c r="F1074" t="s">
        <v>22</v>
      </c>
      <c r="G1074" t="s">
        <v>41</v>
      </c>
      <c r="H1074">
        <v>46</v>
      </c>
      <c r="J1074" s="1">
        <v>70.13</v>
      </c>
      <c r="K1074" s="1">
        <v>0</v>
      </c>
      <c r="M1074" s="1">
        <v>0</v>
      </c>
      <c r="N1074" s="1">
        <v>14.37</v>
      </c>
      <c r="O1074" s="1">
        <v>2</v>
      </c>
      <c r="Q1074" s="2">
        <v>86.5</v>
      </c>
    </row>
    <row r="1075" spans="1:17" x14ac:dyDescent="0.25">
      <c r="A1075" t="s">
        <v>31</v>
      </c>
      <c r="B1075" t="s">
        <v>40</v>
      </c>
      <c r="C1075" t="str">
        <f>"556-1-BR-CO-48"</f>
        <v>556-1-BR-CO-48</v>
      </c>
      <c r="D1075" t="s">
        <v>19</v>
      </c>
      <c r="F1075" t="s">
        <v>22</v>
      </c>
      <c r="G1075" t="s">
        <v>41</v>
      </c>
      <c r="H1075">
        <v>48</v>
      </c>
      <c r="J1075" s="1">
        <v>70.13</v>
      </c>
      <c r="K1075" s="1">
        <v>0</v>
      </c>
      <c r="M1075" s="1">
        <v>0</v>
      </c>
      <c r="N1075" s="1">
        <v>14.37</v>
      </c>
      <c r="O1075" s="1">
        <v>4</v>
      </c>
      <c r="Q1075" s="2">
        <v>88.5</v>
      </c>
    </row>
    <row r="1076" spans="1:17" x14ac:dyDescent="0.25">
      <c r="A1076" t="s">
        <v>31</v>
      </c>
      <c r="B1076" t="s">
        <v>40</v>
      </c>
      <c r="C1076" t="str">
        <f>"556-1-BR-CO-50"</f>
        <v>556-1-BR-CO-50</v>
      </c>
      <c r="D1076" t="s">
        <v>19</v>
      </c>
      <c r="F1076" t="s">
        <v>22</v>
      </c>
      <c r="G1076" t="s">
        <v>41</v>
      </c>
      <c r="H1076">
        <v>50</v>
      </c>
      <c r="J1076" s="1">
        <v>70.13</v>
      </c>
      <c r="K1076" s="1">
        <v>0</v>
      </c>
      <c r="M1076" s="1">
        <v>0</v>
      </c>
      <c r="N1076" s="1">
        <v>14.37</v>
      </c>
      <c r="O1076" s="1">
        <v>6</v>
      </c>
      <c r="Q1076" s="2">
        <v>90.5</v>
      </c>
    </row>
    <row r="1077" spans="1:17" x14ac:dyDescent="0.25">
      <c r="A1077" t="s">
        <v>31</v>
      </c>
      <c r="B1077" t="s">
        <v>40</v>
      </c>
      <c r="C1077" t="str">
        <f>"556-1-BR-CO-52"</f>
        <v>556-1-BR-CO-52</v>
      </c>
      <c r="D1077" t="s">
        <v>19</v>
      </c>
      <c r="F1077" t="s">
        <v>22</v>
      </c>
      <c r="G1077" t="s">
        <v>41</v>
      </c>
      <c r="H1077">
        <v>52</v>
      </c>
      <c r="J1077" s="1">
        <v>70.13</v>
      </c>
      <c r="K1077" s="1">
        <v>0</v>
      </c>
      <c r="M1077" s="1">
        <v>0</v>
      </c>
      <c r="N1077" s="1">
        <v>14.37</v>
      </c>
      <c r="O1077" s="1">
        <v>8</v>
      </c>
      <c r="Q1077" s="2">
        <v>92.5</v>
      </c>
    </row>
    <row r="1078" spans="1:17" x14ac:dyDescent="0.25">
      <c r="A1078" t="s">
        <v>31</v>
      </c>
      <c r="B1078" t="s">
        <v>40</v>
      </c>
      <c r="C1078" t="str">
        <f>"556-1-BR-CO-54"</f>
        <v>556-1-BR-CO-54</v>
      </c>
      <c r="D1078" t="s">
        <v>19</v>
      </c>
      <c r="F1078" t="s">
        <v>22</v>
      </c>
      <c r="G1078" t="s">
        <v>41</v>
      </c>
      <c r="H1078">
        <v>54</v>
      </c>
      <c r="J1078" s="1">
        <v>70.13</v>
      </c>
      <c r="K1078" s="1">
        <v>0</v>
      </c>
      <c r="M1078" s="1">
        <v>0</v>
      </c>
      <c r="N1078" s="1">
        <v>14.37</v>
      </c>
      <c r="O1078" s="1">
        <v>10</v>
      </c>
      <c r="Q1078" s="2">
        <v>94.5</v>
      </c>
    </row>
    <row r="1079" spans="1:17" x14ac:dyDescent="0.25">
      <c r="A1079" t="s">
        <v>31</v>
      </c>
      <c r="B1079" t="s">
        <v>40</v>
      </c>
      <c r="C1079" t="str">
        <f>"556-1-BR-CO-56"</f>
        <v>556-1-BR-CO-56</v>
      </c>
      <c r="D1079" t="s">
        <v>19</v>
      </c>
      <c r="F1079" t="s">
        <v>22</v>
      </c>
      <c r="G1079" t="s">
        <v>41</v>
      </c>
      <c r="H1079">
        <v>56</v>
      </c>
      <c r="J1079" s="1">
        <v>70.13</v>
      </c>
      <c r="K1079" s="1">
        <v>0</v>
      </c>
      <c r="M1079" s="1">
        <v>0</v>
      </c>
      <c r="N1079" s="1">
        <v>14.37</v>
      </c>
      <c r="O1079" s="1">
        <v>12</v>
      </c>
      <c r="Q1079" s="2">
        <v>96.5</v>
      </c>
    </row>
    <row r="1080" spans="1:17" x14ac:dyDescent="0.25">
      <c r="A1080" t="s">
        <v>31</v>
      </c>
      <c r="B1080" t="s">
        <v>40</v>
      </c>
      <c r="C1080" t="str">
        <f>"556-1-BR-CO-58"</f>
        <v>556-1-BR-CO-58</v>
      </c>
      <c r="D1080" t="s">
        <v>19</v>
      </c>
      <c r="F1080" t="s">
        <v>22</v>
      </c>
      <c r="G1080" t="s">
        <v>41</v>
      </c>
      <c r="H1080">
        <v>58</v>
      </c>
      <c r="J1080" s="1">
        <v>70.13</v>
      </c>
      <c r="K1080" s="1">
        <v>0</v>
      </c>
      <c r="M1080" s="1">
        <v>0</v>
      </c>
      <c r="N1080" s="1">
        <v>14.37</v>
      </c>
      <c r="O1080" s="1">
        <v>14</v>
      </c>
      <c r="Q1080" s="2">
        <v>98.5</v>
      </c>
    </row>
    <row r="1081" spans="1:17" x14ac:dyDescent="0.25">
      <c r="A1081" t="s">
        <v>31</v>
      </c>
      <c r="B1081" t="s">
        <v>40</v>
      </c>
      <c r="C1081" t="str">
        <f>"556-1-BR-CO-60"</f>
        <v>556-1-BR-CO-60</v>
      </c>
      <c r="D1081" t="s">
        <v>19</v>
      </c>
      <c r="F1081" t="s">
        <v>22</v>
      </c>
      <c r="G1081" t="s">
        <v>41</v>
      </c>
      <c r="H1081">
        <v>60</v>
      </c>
      <c r="J1081" s="1">
        <v>70.13</v>
      </c>
      <c r="K1081" s="1">
        <v>0</v>
      </c>
      <c r="M1081" s="1">
        <v>0</v>
      </c>
      <c r="N1081" s="1">
        <v>14.37</v>
      </c>
      <c r="O1081" s="1">
        <v>16</v>
      </c>
      <c r="Q1081" s="2">
        <v>100.5</v>
      </c>
    </row>
    <row r="1082" spans="1:17" x14ac:dyDescent="0.25">
      <c r="A1082" t="s">
        <v>31</v>
      </c>
      <c r="B1082" t="s">
        <v>40</v>
      </c>
      <c r="C1082" t="str">
        <f>"556-1-BR-CO-62"</f>
        <v>556-1-BR-CO-62</v>
      </c>
      <c r="D1082" t="s">
        <v>19</v>
      </c>
      <c r="F1082" t="s">
        <v>22</v>
      </c>
      <c r="G1082" t="s">
        <v>41</v>
      </c>
      <c r="H1082">
        <v>62</v>
      </c>
      <c r="J1082" s="1">
        <v>70.13</v>
      </c>
      <c r="K1082" s="1">
        <v>0</v>
      </c>
      <c r="M1082" s="1">
        <v>0</v>
      </c>
      <c r="N1082" s="1">
        <v>14.37</v>
      </c>
      <c r="O1082" s="1">
        <v>18</v>
      </c>
      <c r="Q1082" s="2">
        <v>102.5</v>
      </c>
    </row>
    <row r="1083" spans="1:17" x14ac:dyDescent="0.25">
      <c r="A1083" t="s">
        <v>31</v>
      </c>
      <c r="B1083" t="s">
        <v>40</v>
      </c>
      <c r="C1083" t="str">
        <f>"556-1-BR-CO-64"</f>
        <v>556-1-BR-CO-64</v>
      </c>
      <c r="D1083" t="s">
        <v>19</v>
      </c>
      <c r="F1083" t="s">
        <v>22</v>
      </c>
      <c r="G1083" t="s">
        <v>41</v>
      </c>
      <c r="H1083">
        <v>64</v>
      </c>
      <c r="J1083" s="1">
        <v>70.13</v>
      </c>
      <c r="K1083" s="1">
        <v>0</v>
      </c>
      <c r="M1083" s="1">
        <v>0</v>
      </c>
      <c r="N1083" s="1">
        <v>14.37</v>
      </c>
      <c r="O1083" s="1">
        <v>20</v>
      </c>
      <c r="Q1083" s="2">
        <v>104.5</v>
      </c>
    </row>
    <row r="1084" spans="1:17" x14ac:dyDescent="0.25">
      <c r="A1084" t="s">
        <v>31</v>
      </c>
      <c r="B1084" t="s">
        <v>40</v>
      </c>
      <c r="C1084" t="str">
        <f>"556-1-BR-CO-66"</f>
        <v>556-1-BR-CO-66</v>
      </c>
      <c r="D1084" t="s">
        <v>19</v>
      </c>
      <c r="F1084" t="s">
        <v>22</v>
      </c>
      <c r="G1084" t="s">
        <v>41</v>
      </c>
      <c r="H1084">
        <v>66</v>
      </c>
      <c r="J1084" s="1">
        <v>70.13</v>
      </c>
      <c r="K1084" s="1">
        <v>0</v>
      </c>
      <c r="M1084" s="1">
        <v>0</v>
      </c>
      <c r="N1084" s="1">
        <v>14.37</v>
      </c>
      <c r="O1084" s="1">
        <v>22</v>
      </c>
      <c r="Q1084" s="2">
        <v>106.5</v>
      </c>
    </row>
    <row r="1085" spans="1:17" x14ac:dyDescent="0.25">
      <c r="A1085" t="s">
        <v>31</v>
      </c>
      <c r="B1085" t="s">
        <v>40</v>
      </c>
      <c r="C1085" t="str">
        <f>"556-1-BR-CO-68"</f>
        <v>556-1-BR-CO-68</v>
      </c>
      <c r="D1085" t="s">
        <v>19</v>
      </c>
      <c r="F1085" t="s">
        <v>22</v>
      </c>
      <c r="G1085" t="s">
        <v>41</v>
      </c>
      <c r="H1085">
        <v>68</v>
      </c>
      <c r="J1085" s="1">
        <v>70.13</v>
      </c>
      <c r="K1085" s="1">
        <v>0</v>
      </c>
      <c r="M1085" s="1">
        <v>0</v>
      </c>
      <c r="N1085" s="1">
        <v>14.37</v>
      </c>
      <c r="O1085" s="1">
        <v>24</v>
      </c>
      <c r="Q1085" s="2">
        <v>108.5</v>
      </c>
    </row>
    <row r="1086" spans="1:17" x14ac:dyDescent="0.25">
      <c r="A1086" t="s">
        <v>31</v>
      </c>
      <c r="B1086" t="s">
        <v>40</v>
      </c>
      <c r="C1086" t="str">
        <f>"556-1-BR-CO-70"</f>
        <v>556-1-BR-CO-70</v>
      </c>
      <c r="D1086" t="s">
        <v>19</v>
      </c>
      <c r="F1086" t="s">
        <v>22</v>
      </c>
      <c r="G1086" t="s">
        <v>41</v>
      </c>
      <c r="H1086">
        <v>70</v>
      </c>
      <c r="J1086" s="1">
        <v>70.13</v>
      </c>
      <c r="K1086" s="1">
        <v>0</v>
      </c>
      <c r="M1086" s="1">
        <v>0</v>
      </c>
      <c r="N1086" s="1">
        <v>14.37</v>
      </c>
      <c r="O1086" s="1">
        <v>26</v>
      </c>
      <c r="Q1086" s="2">
        <v>110.5</v>
      </c>
    </row>
    <row r="1087" spans="1:17" x14ac:dyDescent="0.25">
      <c r="A1087" t="s">
        <v>31</v>
      </c>
      <c r="B1087" t="s">
        <v>40</v>
      </c>
      <c r="C1087" t="str">
        <f>"556-1-BR-CO-72"</f>
        <v>556-1-BR-CO-72</v>
      </c>
      <c r="D1087" t="s">
        <v>19</v>
      </c>
      <c r="F1087" t="s">
        <v>22</v>
      </c>
      <c r="G1087" t="s">
        <v>41</v>
      </c>
      <c r="H1087">
        <v>72</v>
      </c>
      <c r="J1087" s="1">
        <v>70.13</v>
      </c>
      <c r="K1087" s="1">
        <v>0</v>
      </c>
      <c r="M1087" s="1">
        <v>0</v>
      </c>
      <c r="N1087" s="1">
        <v>14.37</v>
      </c>
      <c r="O1087" s="1">
        <v>28</v>
      </c>
      <c r="Q1087" s="2">
        <v>112.5</v>
      </c>
    </row>
    <row r="1088" spans="1:17" x14ac:dyDescent="0.25">
      <c r="A1088" t="s">
        <v>31</v>
      </c>
      <c r="B1088" t="s">
        <v>40</v>
      </c>
      <c r="C1088" t="str">
        <f>"556-1-BR-CO-74"</f>
        <v>556-1-BR-CO-74</v>
      </c>
      <c r="D1088" t="s">
        <v>19</v>
      </c>
      <c r="F1088" t="s">
        <v>22</v>
      </c>
      <c r="G1088" t="s">
        <v>41</v>
      </c>
      <c r="H1088">
        <v>74</v>
      </c>
      <c r="J1088" s="1">
        <v>70.13</v>
      </c>
      <c r="K1088" s="1">
        <v>0</v>
      </c>
      <c r="M1088" s="1">
        <v>0</v>
      </c>
      <c r="N1088" s="1">
        <v>14.37</v>
      </c>
      <c r="O1088" s="1">
        <v>30</v>
      </c>
      <c r="Q1088" s="2">
        <v>114.5</v>
      </c>
    </row>
    <row r="1089" spans="1:17" x14ac:dyDescent="0.25">
      <c r="A1089" t="s">
        <v>31</v>
      </c>
      <c r="B1089" t="s">
        <v>40</v>
      </c>
      <c r="C1089" t="str">
        <f>"556-1-BR-CO-76"</f>
        <v>556-1-BR-CO-76</v>
      </c>
      <c r="D1089" t="s">
        <v>19</v>
      </c>
      <c r="F1089" t="s">
        <v>22</v>
      </c>
      <c r="G1089" t="s">
        <v>41</v>
      </c>
      <c r="H1089">
        <v>76</v>
      </c>
      <c r="J1089" s="1">
        <v>70.13</v>
      </c>
      <c r="K1089" s="1">
        <v>0</v>
      </c>
      <c r="M1089" s="1">
        <v>0</v>
      </c>
      <c r="N1089" s="1">
        <v>14.37</v>
      </c>
      <c r="O1089" s="1">
        <v>32</v>
      </c>
      <c r="Q1089" s="2">
        <v>116.5</v>
      </c>
    </row>
    <row r="1090" spans="1:17" x14ac:dyDescent="0.25">
      <c r="A1090" t="s">
        <v>31</v>
      </c>
      <c r="B1090" t="s">
        <v>40</v>
      </c>
      <c r="C1090" t="str">
        <f>"556-1-BR-CO-78"</f>
        <v>556-1-BR-CO-78</v>
      </c>
      <c r="D1090" t="s">
        <v>19</v>
      </c>
      <c r="F1090" t="s">
        <v>22</v>
      </c>
      <c r="G1090" t="s">
        <v>41</v>
      </c>
      <c r="H1090">
        <v>78</v>
      </c>
      <c r="J1090" s="1">
        <v>70.13</v>
      </c>
      <c r="K1090" s="1">
        <v>0</v>
      </c>
      <c r="M1090" s="1">
        <v>0</v>
      </c>
      <c r="N1090" s="1">
        <v>14.37</v>
      </c>
      <c r="O1090" s="1">
        <v>34</v>
      </c>
      <c r="Q1090" s="2">
        <v>118.5</v>
      </c>
    </row>
    <row r="1091" spans="1:17" x14ac:dyDescent="0.25">
      <c r="A1091" t="s">
        <v>31</v>
      </c>
      <c r="B1091" t="s">
        <v>40</v>
      </c>
      <c r="C1091" t="str">
        <f>"556-1-BR-CO-80"</f>
        <v>556-1-BR-CO-80</v>
      </c>
      <c r="D1091" t="s">
        <v>19</v>
      </c>
      <c r="F1091" t="s">
        <v>22</v>
      </c>
      <c r="G1091" t="s">
        <v>41</v>
      </c>
      <c r="H1091">
        <v>80</v>
      </c>
      <c r="J1091" s="1">
        <v>70.13</v>
      </c>
      <c r="K1091" s="1">
        <v>0</v>
      </c>
      <c r="M1091" s="1">
        <v>0</v>
      </c>
      <c r="N1091" s="1">
        <v>14.37</v>
      </c>
      <c r="O1091" s="1">
        <v>36</v>
      </c>
      <c r="Q1091" s="2">
        <v>120.5</v>
      </c>
    </row>
    <row r="1092" spans="1:17" x14ac:dyDescent="0.25">
      <c r="A1092" t="s">
        <v>31</v>
      </c>
      <c r="B1092" t="s">
        <v>40</v>
      </c>
      <c r="C1092" t="str">
        <f>"556-1-BR-SU-22"</f>
        <v>556-1-BR-SU-22</v>
      </c>
      <c r="D1092" t="s">
        <v>19</v>
      </c>
      <c r="F1092" t="s">
        <v>22</v>
      </c>
      <c r="G1092" t="s">
        <v>42</v>
      </c>
      <c r="H1092">
        <v>22</v>
      </c>
      <c r="J1092" s="1">
        <v>70.13</v>
      </c>
      <c r="K1092" s="1">
        <v>0</v>
      </c>
      <c r="M1092" s="1">
        <v>0</v>
      </c>
      <c r="N1092" s="1">
        <v>0</v>
      </c>
      <c r="O1092" s="1">
        <v>0</v>
      </c>
      <c r="Q1092" s="2">
        <v>70.13</v>
      </c>
    </row>
    <row r="1093" spans="1:17" x14ac:dyDescent="0.25">
      <c r="A1093" t="s">
        <v>31</v>
      </c>
      <c r="B1093" t="s">
        <v>40</v>
      </c>
      <c r="C1093" t="str">
        <f>"556-1-BR-SU-24"</f>
        <v>556-1-BR-SU-24</v>
      </c>
      <c r="D1093" t="s">
        <v>19</v>
      </c>
      <c r="F1093" t="s">
        <v>22</v>
      </c>
      <c r="G1093" t="s">
        <v>42</v>
      </c>
      <c r="H1093">
        <v>24</v>
      </c>
      <c r="J1093" s="1">
        <v>70.13</v>
      </c>
      <c r="K1093" s="1">
        <v>0</v>
      </c>
      <c r="M1093" s="1">
        <v>0</v>
      </c>
      <c r="N1093" s="1">
        <v>0</v>
      </c>
      <c r="O1093" s="1">
        <v>0</v>
      </c>
      <c r="Q1093" s="2">
        <v>70.13</v>
      </c>
    </row>
    <row r="1094" spans="1:17" x14ac:dyDescent="0.25">
      <c r="A1094" t="s">
        <v>31</v>
      </c>
      <c r="B1094" t="s">
        <v>40</v>
      </c>
      <c r="C1094" t="str">
        <f>"556-1-BR-SU-26"</f>
        <v>556-1-BR-SU-26</v>
      </c>
      <c r="D1094" t="s">
        <v>19</v>
      </c>
      <c r="F1094" t="s">
        <v>22</v>
      </c>
      <c r="G1094" t="s">
        <v>42</v>
      </c>
      <c r="H1094">
        <v>26</v>
      </c>
      <c r="J1094" s="1">
        <v>70.13</v>
      </c>
      <c r="K1094" s="1">
        <v>0</v>
      </c>
      <c r="M1094" s="1">
        <v>0</v>
      </c>
      <c r="N1094" s="1">
        <v>0</v>
      </c>
      <c r="O1094" s="1">
        <v>0</v>
      </c>
      <c r="Q1094" s="2">
        <v>70.13</v>
      </c>
    </row>
    <row r="1095" spans="1:17" x14ac:dyDescent="0.25">
      <c r="A1095" t="s">
        <v>31</v>
      </c>
      <c r="B1095" t="s">
        <v>40</v>
      </c>
      <c r="C1095" t="str">
        <f>"556-1-BR-SU-28"</f>
        <v>556-1-BR-SU-28</v>
      </c>
      <c r="D1095" t="s">
        <v>19</v>
      </c>
      <c r="F1095" t="s">
        <v>22</v>
      </c>
      <c r="G1095" t="s">
        <v>42</v>
      </c>
      <c r="H1095">
        <v>28</v>
      </c>
      <c r="J1095" s="1">
        <v>70.13</v>
      </c>
      <c r="K1095" s="1">
        <v>0</v>
      </c>
      <c r="M1095" s="1">
        <v>0</v>
      </c>
      <c r="N1095" s="1">
        <v>0</v>
      </c>
      <c r="O1095" s="1">
        <v>0</v>
      </c>
      <c r="Q1095" s="2">
        <v>70.13</v>
      </c>
    </row>
    <row r="1096" spans="1:17" x14ac:dyDescent="0.25">
      <c r="A1096" t="s">
        <v>31</v>
      </c>
      <c r="B1096" t="s">
        <v>40</v>
      </c>
      <c r="C1096" t="str">
        <f>"556-1-BR-SU-30"</f>
        <v>556-1-BR-SU-30</v>
      </c>
      <c r="D1096" t="s">
        <v>19</v>
      </c>
      <c r="F1096" t="s">
        <v>22</v>
      </c>
      <c r="G1096" t="s">
        <v>42</v>
      </c>
      <c r="H1096">
        <v>30</v>
      </c>
      <c r="J1096" s="1">
        <v>70.13</v>
      </c>
      <c r="K1096" s="1">
        <v>0</v>
      </c>
      <c r="M1096" s="1">
        <v>0</v>
      </c>
      <c r="N1096" s="1">
        <v>0</v>
      </c>
      <c r="O1096" s="1">
        <v>0</v>
      </c>
      <c r="Q1096" s="2">
        <v>70.13</v>
      </c>
    </row>
    <row r="1097" spans="1:17" x14ac:dyDescent="0.25">
      <c r="A1097" t="s">
        <v>31</v>
      </c>
      <c r="B1097" t="s">
        <v>40</v>
      </c>
      <c r="C1097" t="str">
        <f>"556-1-BR-SU-32"</f>
        <v>556-1-BR-SU-32</v>
      </c>
      <c r="D1097" t="s">
        <v>19</v>
      </c>
      <c r="F1097" t="s">
        <v>22</v>
      </c>
      <c r="G1097" t="s">
        <v>42</v>
      </c>
      <c r="H1097">
        <v>32</v>
      </c>
      <c r="J1097" s="1">
        <v>70.13</v>
      </c>
      <c r="K1097" s="1">
        <v>0</v>
      </c>
      <c r="M1097" s="1">
        <v>0</v>
      </c>
      <c r="N1097" s="1">
        <v>0</v>
      </c>
      <c r="O1097" s="1">
        <v>0</v>
      </c>
      <c r="Q1097" s="2">
        <v>70.13</v>
      </c>
    </row>
    <row r="1098" spans="1:17" x14ac:dyDescent="0.25">
      <c r="A1098" t="s">
        <v>31</v>
      </c>
      <c r="B1098" t="s">
        <v>40</v>
      </c>
      <c r="C1098" t="str">
        <f>"556-1-BR-SU-34"</f>
        <v>556-1-BR-SU-34</v>
      </c>
      <c r="D1098" t="s">
        <v>19</v>
      </c>
      <c r="F1098" t="s">
        <v>22</v>
      </c>
      <c r="G1098" t="s">
        <v>42</v>
      </c>
      <c r="H1098">
        <v>34</v>
      </c>
      <c r="J1098" s="1">
        <v>70.13</v>
      </c>
      <c r="K1098" s="1">
        <v>0</v>
      </c>
      <c r="M1098" s="1">
        <v>0</v>
      </c>
      <c r="N1098" s="1">
        <v>0</v>
      </c>
      <c r="O1098" s="1">
        <v>0</v>
      </c>
      <c r="Q1098" s="2">
        <v>70.13</v>
      </c>
    </row>
    <row r="1099" spans="1:17" x14ac:dyDescent="0.25">
      <c r="A1099" t="s">
        <v>31</v>
      </c>
      <c r="B1099" t="s">
        <v>40</v>
      </c>
      <c r="C1099" t="str">
        <f>"556-1-BR-SU-36"</f>
        <v>556-1-BR-SU-36</v>
      </c>
      <c r="D1099" t="s">
        <v>19</v>
      </c>
      <c r="F1099" t="s">
        <v>22</v>
      </c>
      <c r="G1099" t="s">
        <v>42</v>
      </c>
      <c r="H1099">
        <v>36</v>
      </c>
      <c r="J1099" s="1">
        <v>70.13</v>
      </c>
      <c r="K1099" s="1">
        <v>0</v>
      </c>
      <c r="M1099" s="1">
        <v>0</v>
      </c>
      <c r="N1099" s="1">
        <v>0</v>
      </c>
      <c r="O1099" s="1">
        <v>0</v>
      </c>
      <c r="Q1099" s="2">
        <v>70.13</v>
      </c>
    </row>
    <row r="1100" spans="1:17" x14ac:dyDescent="0.25">
      <c r="A1100" t="s">
        <v>31</v>
      </c>
      <c r="B1100" t="s">
        <v>40</v>
      </c>
      <c r="C1100" t="str">
        <f>"556-1-BR-SU-38"</f>
        <v>556-1-BR-SU-38</v>
      </c>
      <c r="D1100" t="s">
        <v>19</v>
      </c>
      <c r="F1100" t="s">
        <v>22</v>
      </c>
      <c r="G1100" t="s">
        <v>42</v>
      </c>
      <c r="H1100">
        <v>38</v>
      </c>
      <c r="J1100" s="1">
        <v>70.13</v>
      </c>
      <c r="K1100" s="1">
        <v>0</v>
      </c>
      <c r="M1100" s="1">
        <v>0</v>
      </c>
      <c r="N1100" s="1">
        <v>0</v>
      </c>
      <c r="O1100" s="1">
        <v>0</v>
      </c>
      <c r="Q1100" s="2">
        <v>70.13</v>
      </c>
    </row>
    <row r="1101" spans="1:17" x14ac:dyDescent="0.25">
      <c r="A1101" t="s">
        <v>31</v>
      </c>
      <c r="B1101" t="s">
        <v>40</v>
      </c>
      <c r="C1101" t="str">
        <f>"556-1-BR-SU-40"</f>
        <v>556-1-BR-SU-40</v>
      </c>
      <c r="D1101" t="s">
        <v>19</v>
      </c>
      <c r="F1101" t="s">
        <v>22</v>
      </c>
      <c r="G1101" t="s">
        <v>42</v>
      </c>
      <c r="H1101">
        <v>40</v>
      </c>
      <c r="J1101" s="1">
        <v>70.13</v>
      </c>
      <c r="K1101" s="1">
        <v>0</v>
      </c>
      <c r="M1101" s="1">
        <v>0</v>
      </c>
      <c r="N1101" s="1">
        <v>0</v>
      </c>
      <c r="O1101" s="1">
        <v>0</v>
      </c>
      <c r="Q1101" s="2">
        <v>70.13</v>
      </c>
    </row>
    <row r="1102" spans="1:17" x14ac:dyDescent="0.25">
      <c r="A1102" t="s">
        <v>31</v>
      </c>
      <c r="B1102" t="s">
        <v>40</v>
      </c>
      <c r="C1102" t="str">
        <f>"556-1-BR-SU-42"</f>
        <v>556-1-BR-SU-42</v>
      </c>
      <c r="D1102" t="s">
        <v>19</v>
      </c>
      <c r="F1102" t="s">
        <v>22</v>
      </c>
      <c r="G1102" t="s">
        <v>42</v>
      </c>
      <c r="H1102">
        <v>42</v>
      </c>
      <c r="J1102" s="1">
        <v>70.13</v>
      </c>
      <c r="K1102" s="1">
        <v>0</v>
      </c>
      <c r="M1102" s="1">
        <v>0</v>
      </c>
      <c r="N1102" s="1">
        <v>0</v>
      </c>
      <c r="O1102" s="1">
        <v>0</v>
      </c>
      <c r="Q1102" s="2">
        <v>70.13</v>
      </c>
    </row>
    <row r="1103" spans="1:17" x14ac:dyDescent="0.25">
      <c r="A1103" t="s">
        <v>31</v>
      </c>
      <c r="B1103" t="s">
        <v>40</v>
      </c>
      <c r="C1103" t="str">
        <f>"556-1-BR-SU-44"</f>
        <v>556-1-BR-SU-44</v>
      </c>
      <c r="D1103" t="s">
        <v>19</v>
      </c>
      <c r="F1103" t="s">
        <v>22</v>
      </c>
      <c r="G1103" t="s">
        <v>42</v>
      </c>
      <c r="H1103">
        <v>44</v>
      </c>
      <c r="J1103" s="1">
        <v>70.13</v>
      </c>
      <c r="K1103" s="1">
        <v>0</v>
      </c>
      <c r="M1103" s="1">
        <v>0</v>
      </c>
      <c r="N1103" s="1">
        <v>0</v>
      </c>
      <c r="O1103" s="1">
        <v>0</v>
      </c>
      <c r="Q1103" s="2">
        <v>70.13</v>
      </c>
    </row>
    <row r="1104" spans="1:17" x14ac:dyDescent="0.25">
      <c r="A1104" t="s">
        <v>31</v>
      </c>
      <c r="B1104" t="s">
        <v>40</v>
      </c>
      <c r="C1104" t="str">
        <f>"556-1-BR-SU-46"</f>
        <v>556-1-BR-SU-46</v>
      </c>
      <c r="D1104" t="s">
        <v>19</v>
      </c>
      <c r="F1104" t="s">
        <v>22</v>
      </c>
      <c r="G1104" t="s">
        <v>42</v>
      </c>
      <c r="H1104">
        <v>46</v>
      </c>
      <c r="J1104" s="1">
        <v>70.13</v>
      </c>
      <c r="K1104" s="1">
        <v>0</v>
      </c>
      <c r="M1104" s="1">
        <v>0</v>
      </c>
      <c r="N1104" s="1">
        <v>0</v>
      </c>
      <c r="O1104" s="1">
        <v>5.0999999999999996</v>
      </c>
      <c r="Q1104" s="2">
        <v>75.23</v>
      </c>
    </row>
    <row r="1105" spans="1:17" x14ac:dyDescent="0.25">
      <c r="A1105" t="s">
        <v>31</v>
      </c>
      <c r="B1105" t="s">
        <v>40</v>
      </c>
      <c r="C1105" t="str">
        <f>"556-1-BR-SU-48"</f>
        <v>556-1-BR-SU-48</v>
      </c>
      <c r="D1105" t="s">
        <v>19</v>
      </c>
      <c r="F1105" t="s">
        <v>22</v>
      </c>
      <c r="G1105" t="s">
        <v>42</v>
      </c>
      <c r="H1105">
        <v>48</v>
      </c>
      <c r="J1105" s="1">
        <v>70.13</v>
      </c>
      <c r="K1105" s="1">
        <v>0</v>
      </c>
      <c r="M1105" s="1">
        <v>0</v>
      </c>
      <c r="N1105" s="1">
        <v>0</v>
      </c>
      <c r="O1105" s="1">
        <v>6.8</v>
      </c>
      <c r="Q1105" s="2">
        <v>76.930000000000007</v>
      </c>
    </row>
    <row r="1106" spans="1:17" x14ac:dyDescent="0.25">
      <c r="A1106" t="s">
        <v>31</v>
      </c>
      <c r="B1106" t="s">
        <v>40</v>
      </c>
      <c r="C1106" t="str">
        <f>"556-1-BR-SU-50"</f>
        <v>556-1-BR-SU-50</v>
      </c>
      <c r="D1106" t="s">
        <v>19</v>
      </c>
      <c r="F1106" t="s">
        <v>22</v>
      </c>
      <c r="G1106" t="s">
        <v>42</v>
      </c>
      <c r="H1106">
        <v>50</v>
      </c>
      <c r="J1106" s="1">
        <v>70.13</v>
      </c>
      <c r="K1106" s="1">
        <v>0</v>
      </c>
      <c r="M1106" s="1">
        <v>0</v>
      </c>
      <c r="N1106" s="1">
        <v>0</v>
      </c>
      <c r="O1106" s="1">
        <v>8.5</v>
      </c>
      <c r="Q1106" s="2">
        <v>78.63</v>
      </c>
    </row>
    <row r="1107" spans="1:17" x14ac:dyDescent="0.25">
      <c r="A1107" t="s">
        <v>31</v>
      </c>
      <c r="B1107" t="s">
        <v>40</v>
      </c>
      <c r="C1107" t="str">
        <f>"556-1-BR-SU-52"</f>
        <v>556-1-BR-SU-52</v>
      </c>
      <c r="D1107" t="s">
        <v>19</v>
      </c>
      <c r="F1107" t="s">
        <v>22</v>
      </c>
      <c r="G1107" t="s">
        <v>42</v>
      </c>
      <c r="H1107">
        <v>52</v>
      </c>
      <c r="J1107" s="1">
        <v>70.13</v>
      </c>
      <c r="K1107" s="1">
        <v>0</v>
      </c>
      <c r="M1107" s="1">
        <v>0</v>
      </c>
      <c r="N1107" s="1">
        <v>0</v>
      </c>
      <c r="O1107" s="1">
        <v>10.199999999999999</v>
      </c>
      <c r="Q1107" s="2">
        <v>80.33</v>
      </c>
    </row>
    <row r="1108" spans="1:17" x14ac:dyDescent="0.25">
      <c r="A1108" t="s">
        <v>31</v>
      </c>
      <c r="B1108" t="s">
        <v>40</v>
      </c>
      <c r="C1108" t="str">
        <f>"556-1-BR-SU-54"</f>
        <v>556-1-BR-SU-54</v>
      </c>
      <c r="D1108" t="s">
        <v>19</v>
      </c>
      <c r="F1108" t="s">
        <v>22</v>
      </c>
      <c r="G1108" t="s">
        <v>42</v>
      </c>
      <c r="H1108">
        <v>54</v>
      </c>
      <c r="J1108" s="1">
        <v>70.13</v>
      </c>
      <c r="K1108" s="1">
        <v>0</v>
      </c>
      <c r="M1108" s="1">
        <v>0</v>
      </c>
      <c r="N1108" s="1">
        <v>0</v>
      </c>
      <c r="O1108" s="1">
        <v>11.9</v>
      </c>
      <c r="Q1108" s="2">
        <v>82.03</v>
      </c>
    </row>
    <row r="1109" spans="1:17" x14ac:dyDescent="0.25">
      <c r="A1109" t="s">
        <v>31</v>
      </c>
      <c r="B1109" t="s">
        <v>40</v>
      </c>
      <c r="C1109" t="str">
        <f>"556-1-BR-SU-56"</f>
        <v>556-1-BR-SU-56</v>
      </c>
      <c r="D1109" t="s">
        <v>19</v>
      </c>
      <c r="F1109" t="s">
        <v>22</v>
      </c>
      <c r="G1109" t="s">
        <v>42</v>
      </c>
      <c r="H1109">
        <v>56</v>
      </c>
      <c r="J1109" s="1">
        <v>70.13</v>
      </c>
      <c r="K1109" s="1">
        <v>0</v>
      </c>
      <c r="M1109" s="1">
        <v>0</v>
      </c>
      <c r="N1109" s="1">
        <v>0</v>
      </c>
      <c r="O1109" s="1">
        <v>13.6</v>
      </c>
      <c r="Q1109" s="2">
        <v>83.73</v>
      </c>
    </row>
    <row r="1110" spans="1:17" x14ac:dyDescent="0.25">
      <c r="A1110" t="s">
        <v>31</v>
      </c>
      <c r="B1110" t="s">
        <v>40</v>
      </c>
      <c r="C1110" t="str">
        <f>"556-1-BR-SU-58"</f>
        <v>556-1-BR-SU-58</v>
      </c>
      <c r="D1110" t="s">
        <v>19</v>
      </c>
      <c r="F1110" t="s">
        <v>22</v>
      </c>
      <c r="G1110" t="s">
        <v>42</v>
      </c>
      <c r="H1110">
        <v>58</v>
      </c>
      <c r="J1110" s="1">
        <v>70.13</v>
      </c>
      <c r="K1110" s="1">
        <v>0</v>
      </c>
      <c r="M1110" s="1">
        <v>0</v>
      </c>
      <c r="N1110" s="1">
        <v>0</v>
      </c>
      <c r="O1110" s="1">
        <v>15.3</v>
      </c>
      <c r="Q1110" s="2">
        <v>85.43</v>
      </c>
    </row>
    <row r="1111" spans="1:17" x14ac:dyDescent="0.25">
      <c r="A1111" t="s">
        <v>31</v>
      </c>
      <c r="B1111" t="s">
        <v>40</v>
      </c>
      <c r="C1111" t="str">
        <f>"556-1-BR-SU-60"</f>
        <v>556-1-BR-SU-60</v>
      </c>
      <c r="D1111" t="s">
        <v>19</v>
      </c>
      <c r="F1111" t="s">
        <v>22</v>
      </c>
      <c r="G1111" t="s">
        <v>42</v>
      </c>
      <c r="H1111">
        <v>60</v>
      </c>
      <c r="J1111" s="1">
        <v>70.13</v>
      </c>
      <c r="K1111" s="1">
        <v>0</v>
      </c>
      <c r="M1111" s="1">
        <v>0</v>
      </c>
      <c r="N1111" s="1">
        <v>0</v>
      </c>
      <c r="O1111" s="1">
        <v>17</v>
      </c>
      <c r="Q1111" s="2">
        <v>87.13</v>
      </c>
    </row>
    <row r="1112" spans="1:17" x14ac:dyDescent="0.25">
      <c r="A1112" t="s">
        <v>31</v>
      </c>
      <c r="B1112" t="s">
        <v>40</v>
      </c>
      <c r="C1112" t="str">
        <f>"556-1-BR-SU-62"</f>
        <v>556-1-BR-SU-62</v>
      </c>
      <c r="D1112" t="s">
        <v>19</v>
      </c>
      <c r="F1112" t="s">
        <v>22</v>
      </c>
      <c r="G1112" t="s">
        <v>42</v>
      </c>
      <c r="H1112">
        <v>62</v>
      </c>
      <c r="J1112" s="1">
        <v>70.13</v>
      </c>
      <c r="K1112" s="1">
        <v>0</v>
      </c>
      <c r="M1112" s="1">
        <v>0</v>
      </c>
      <c r="N1112" s="1">
        <v>0</v>
      </c>
      <c r="O1112" s="1">
        <v>18.7</v>
      </c>
      <c r="Q1112" s="2">
        <v>88.83</v>
      </c>
    </row>
    <row r="1113" spans="1:17" x14ac:dyDescent="0.25">
      <c r="A1113" t="s">
        <v>31</v>
      </c>
      <c r="B1113" t="s">
        <v>40</v>
      </c>
      <c r="C1113" t="str">
        <f>"556-1-BR-SU-64"</f>
        <v>556-1-BR-SU-64</v>
      </c>
      <c r="D1113" t="s">
        <v>19</v>
      </c>
      <c r="F1113" t="s">
        <v>22</v>
      </c>
      <c r="G1113" t="s">
        <v>42</v>
      </c>
      <c r="H1113">
        <v>64</v>
      </c>
      <c r="J1113" s="1">
        <v>70.13</v>
      </c>
      <c r="K1113" s="1">
        <v>0</v>
      </c>
      <c r="M1113" s="1">
        <v>0</v>
      </c>
      <c r="N1113" s="1">
        <v>0</v>
      </c>
      <c r="O1113" s="1">
        <v>18.7</v>
      </c>
      <c r="Q1113" s="2">
        <v>88.83</v>
      </c>
    </row>
    <row r="1114" spans="1:17" x14ac:dyDescent="0.25">
      <c r="A1114" t="s">
        <v>31</v>
      </c>
      <c r="B1114" t="s">
        <v>40</v>
      </c>
      <c r="C1114" t="str">
        <f>"556-1-BR-SU-66"</f>
        <v>556-1-BR-SU-66</v>
      </c>
      <c r="D1114" t="s">
        <v>19</v>
      </c>
      <c r="F1114" t="s">
        <v>22</v>
      </c>
      <c r="G1114" t="s">
        <v>42</v>
      </c>
      <c r="H1114">
        <v>66</v>
      </c>
      <c r="J1114" s="1">
        <v>70.13</v>
      </c>
      <c r="K1114" s="1">
        <v>0</v>
      </c>
      <c r="M1114" s="1">
        <v>0</v>
      </c>
      <c r="N1114" s="1">
        <v>0</v>
      </c>
      <c r="O1114" s="1">
        <v>18.7</v>
      </c>
      <c r="Q1114" s="2">
        <v>88.83</v>
      </c>
    </row>
    <row r="1115" spans="1:17" x14ac:dyDescent="0.25">
      <c r="A1115" t="s">
        <v>31</v>
      </c>
      <c r="B1115" t="s">
        <v>40</v>
      </c>
      <c r="C1115" t="str">
        <f>"556-1-BR-SU-68"</f>
        <v>556-1-BR-SU-68</v>
      </c>
      <c r="D1115" t="s">
        <v>19</v>
      </c>
      <c r="F1115" t="s">
        <v>22</v>
      </c>
      <c r="G1115" t="s">
        <v>42</v>
      </c>
      <c r="H1115">
        <v>68</v>
      </c>
      <c r="J1115" s="1">
        <v>70.13</v>
      </c>
      <c r="K1115" s="1">
        <v>0</v>
      </c>
      <c r="M1115" s="1">
        <v>0</v>
      </c>
      <c r="N1115" s="1">
        <v>0</v>
      </c>
      <c r="O1115" s="1">
        <v>20.399999999999999</v>
      </c>
      <c r="Q1115" s="2">
        <v>90.53</v>
      </c>
    </row>
    <row r="1116" spans="1:17" x14ac:dyDescent="0.25">
      <c r="A1116" t="s">
        <v>31</v>
      </c>
      <c r="B1116" t="s">
        <v>40</v>
      </c>
      <c r="C1116" t="str">
        <f>"556-1-BR-SU-70"</f>
        <v>556-1-BR-SU-70</v>
      </c>
      <c r="D1116" t="s">
        <v>19</v>
      </c>
      <c r="F1116" t="s">
        <v>22</v>
      </c>
      <c r="G1116" t="s">
        <v>42</v>
      </c>
      <c r="H1116">
        <v>70</v>
      </c>
      <c r="J1116" s="1">
        <v>70.13</v>
      </c>
      <c r="K1116" s="1">
        <v>0</v>
      </c>
      <c r="M1116" s="1">
        <v>0</v>
      </c>
      <c r="N1116" s="1">
        <v>0</v>
      </c>
      <c r="O1116" s="1">
        <v>22.1</v>
      </c>
      <c r="Q1116" s="2">
        <v>92.23</v>
      </c>
    </row>
    <row r="1117" spans="1:17" x14ac:dyDescent="0.25">
      <c r="A1117" t="s">
        <v>31</v>
      </c>
      <c r="B1117" t="s">
        <v>40</v>
      </c>
      <c r="C1117" t="str">
        <f>"556-1-BR-SU-72"</f>
        <v>556-1-BR-SU-72</v>
      </c>
      <c r="D1117" t="s">
        <v>19</v>
      </c>
      <c r="F1117" t="s">
        <v>22</v>
      </c>
      <c r="G1117" t="s">
        <v>42</v>
      </c>
      <c r="H1117">
        <v>72</v>
      </c>
      <c r="J1117" s="1">
        <v>70.13</v>
      </c>
      <c r="K1117" s="1">
        <v>0</v>
      </c>
      <c r="M1117" s="1">
        <v>0</v>
      </c>
      <c r="N1117" s="1">
        <v>0</v>
      </c>
      <c r="O1117" s="1">
        <v>23.8</v>
      </c>
      <c r="Q1117" s="2">
        <v>93.93</v>
      </c>
    </row>
    <row r="1118" spans="1:17" x14ac:dyDescent="0.25">
      <c r="A1118" t="s">
        <v>31</v>
      </c>
      <c r="B1118" t="s">
        <v>40</v>
      </c>
      <c r="C1118" t="str">
        <f>"556-1-BR-SU-74"</f>
        <v>556-1-BR-SU-74</v>
      </c>
      <c r="D1118" t="s">
        <v>19</v>
      </c>
      <c r="F1118" t="s">
        <v>22</v>
      </c>
      <c r="G1118" t="s">
        <v>42</v>
      </c>
      <c r="H1118">
        <v>74</v>
      </c>
      <c r="J1118" s="1">
        <v>70.13</v>
      </c>
      <c r="K1118" s="1">
        <v>0</v>
      </c>
      <c r="M1118" s="1">
        <v>0</v>
      </c>
      <c r="N1118" s="1">
        <v>0</v>
      </c>
      <c r="O1118" s="1">
        <v>25.5</v>
      </c>
      <c r="Q1118" s="2">
        <v>95.63</v>
      </c>
    </row>
    <row r="1119" spans="1:17" x14ac:dyDescent="0.25">
      <c r="A1119" t="s">
        <v>31</v>
      </c>
      <c r="B1119" t="s">
        <v>40</v>
      </c>
      <c r="C1119" t="str">
        <f>"556-1-BR-SU-76"</f>
        <v>556-1-BR-SU-76</v>
      </c>
      <c r="D1119" t="s">
        <v>19</v>
      </c>
      <c r="F1119" t="s">
        <v>22</v>
      </c>
      <c r="G1119" t="s">
        <v>42</v>
      </c>
      <c r="H1119">
        <v>76</v>
      </c>
      <c r="J1119" s="1">
        <v>70.13</v>
      </c>
      <c r="K1119" s="1">
        <v>0</v>
      </c>
      <c r="M1119" s="1">
        <v>0</v>
      </c>
      <c r="N1119" s="1">
        <v>0</v>
      </c>
      <c r="O1119" s="1">
        <v>27.2</v>
      </c>
      <c r="Q1119" s="2">
        <v>97.33</v>
      </c>
    </row>
    <row r="1120" spans="1:17" x14ac:dyDescent="0.25">
      <c r="A1120" t="s">
        <v>31</v>
      </c>
      <c r="B1120" t="s">
        <v>40</v>
      </c>
      <c r="C1120" t="str">
        <f>"556-1-BR-SU-78"</f>
        <v>556-1-BR-SU-78</v>
      </c>
      <c r="D1120" t="s">
        <v>19</v>
      </c>
      <c r="F1120" t="s">
        <v>22</v>
      </c>
      <c r="G1120" t="s">
        <v>42</v>
      </c>
      <c r="H1120">
        <v>78</v>
      </c>
      <c r="J1120" s="1">
        <v>70.13</v>
      </c>
      <c r="K1120" s="1">
        <v>0</v>
      </c>
      <c r="M1120" s="1">
        <v>0</v>
      </c>
      <c r="N1120" s="1">
        <v>0</v>
      </c>
      <c r="O1120" s="1">
        <v>28.9</v>
      </c>
      <c r="Q1120" s="2">
        <v>99.03</v>
      </c>
    </row>
    <row r="1121" spans="1:17" x14ac:dyDescent="0.25">
      <c r="A1121" t="s">
        <v>31</v>
      </c>
      <c r="B1121" t="s">
        <v>40</v>
      </c>
      <c r="C1121" t="str">
        <f>"556-1-BR-SU-80"</f>
        <v>556-1-BR-SU-80</v>
      </c>
      <c r="D1121" t="s">
        <v>19</v>
      </c>
      <c r="F1121" t="s">
        <v>22</v>
      </c>
      <c r="G1121" t="s">
        <v>42</v>
      </c>
      <c r="H1121">
        <v>80</v>
      </c>
      <c r="J1121" s="1">
        <v>70.13</v>
      </c>
      <c r="K1121" s="1">
        <v>0</v>
      </c>
      <c r="M1121" s="1">
        <v>0</v>
      </c>
      <c r="N1121" s="1">
        <v>0</v>
      </c>
      <c r="O1121" s="1">
        <v>30.6</v>
      </c>
      <c r="Q1121" s="2">
        <v>100.73</v>
      </c>
    </row>
    <row r="1122" spans="1:17" x14ac:dyDescent="0.25">
      <c r="A1122" t="s">
        <v>31</v>
      </c>
      <c r="B1122" t="s">
        <v>40</v>
      </c>
      <c r="C1122" t="str">
        <f>"556-1-BR-VL-22"</f>
        <v>556-1-BR-VL-22</v>
      </c>
      <c r="D1122" t="s">
        <v>19</v>
      </c>
      <c r="F1122" t="s">
        <v>22</v>
      </c>
      <c r="G1122" t="s">
        <v>43</v>
      </c>
      <c r="H1122">
        <v>22</v>
      </c>
      <c r="J1122" s="1">
        <v>70.13</v>
      </c>
      <c r="K1122" s="1">
        <v>0</v>
      </c>
      <c r="M1122" s="1">
        <v>0</v>
      </c>
      <c r="N1122" s="1">
        <v>11.9</v>
      </c>
      <c r="O1122" s="1">
        <v>0</v>
      </c>
      <c r="Q1122" s="2">
        <v>82.03</v>
      </c>
    </row>
    <row r="1123" spans="1:17" x14ac:dyDescent="0.25">
      <c r="A1123" t="s">
        <v>31</v>
      </c>
      <c r="B1123" t="s">
        <v>40</v>
      </c>
      <c r="C1123" t="str">
        <f>"556-1-BR-VL-24"</f>
        <v>556-1-BR-VL-24</v>
      </c>
      <c r="D1123" t="s">
        <v>19</v>
      </c>
      <c r="F1123" t="s">
        <v>22</v>
      </c>
      <c r="G1123" t="s">
        <v>43</v>
      </c>
      <c r="H1123">
        <v>24</v>
      </c>
      <c r="J1123" s="1">
        <v>70.13</v>
      </c>
      <c r="K1123" s="1">
        <v>0</v>
      </c>
      <c r="M1123" s="1">
        <v>0</v>
      </c>
      <c r="N1123" s="1">
        <v>11.9</v>
      </c>
      <c r="O1123" s="1">
        <v>0</v>
      </c>
      <c r="Q1123" s="2">
        <v>82.03</v>
      </c>
    </row>
    <row r="1124" spans="1:17" x14ac:dyDescent="0.25">
      <c r="A1124" t="s">
        <v>31</v>
      </c>
      <c r="B1124" t="s">
        <v>40</v>
      </c>
      <c r="C1124" t="str">
        <f>"556-1-BR-VL-26"</f>
        <v>556-1-BR-VL-26</v>
      </c>
      <c r="D1124" t="s">
        <v>19</v>
      </c>
      <c r="F1124" t="s">
        <v>22</v>
      </c>
      <c r="G1124" t="s">
        <v>43</v>
      </c>
      <c r="H1124">
        <v>26</v>
      </c>
      <c r="J1124" s="1">
        <v>70.13</v>
      </c>
      <c r="K1124" s="1">
        <v>0</v>
      </c>
      <c r="M1124" s="1">
        <v>0</v>
      </c>
      <c r="N1124" s="1">
        <v>11.9</v>
      </c>
      <c r="O1124" s="1">
        <v>0</v>
      </c>
      <c r="Q1124" s="2">
        <v>82.03</v>
      </c>
    </row>
    <row r="1125" spans="1:17" x14ac:dyDescent="0.25">
      <c r="A1125" t="s">
        <v>31</v>
      </c>
      <c r="B1125" t="s">
        <v>40</v>
      </c>
      <c r="C1125" t="str">
        <f>"556-1-BR-VL-28"</f>
        <v>556-1-BR-VL-28</v>
      </c>
      <c r="D1125" t="s">
        <v>19</v>
      </c>
      <c r="F1125" t="s">
        <v>22</v>
      </c>
      <c r="G1125" t="s">
        <v>43</v>
      </c>
      <c r="H1125">
        <v>28</v>
      </c>
      <c r="J1125" s="1">
        <v>70.13</v>
      </c>
      <c r="K1125" s="1">
        <v>0</v>
      </c>
      <c r="M1125" s="1">
        <v>0</v>
      </c>
      <c r="N1125" s="1">
        <v>11.9</v>
      </c>
      <c r="O1125" s="1">
        <v>0</v>
      </c>
      <c r="Q1125" s="2">
        <v>82.03</v>
      </c>
    </row>
    <row r="1126" spans="1:17" x14ac:dyDescent="0.25">
      <c r="A1126" t="s">
        <v>31</v>
      </c>
      <c r="B1126" t="s">
        <v>40</v>
      </c>
      <c r="C1126" t="str">
        <f>"556-1-BR-VL-30"</f>
        <v>556-1-BR-VL-30</v>
      </c>
      <c r="D1126" t="s">
        <v>19</v>
      </c>
      <c r="F1126" t="s">
        <v>22</v>
      </c>
      <c r="G1126" t="s">
        <v>43</v>
      </c>
      <c r="H1126">
        <v>30</v>
      </c>
      <c r="J1126" s="1">
        <v>70.13</v>
      </c>
      <c r="K1126" s="1">
        <v>0</v>
      </c>
      <c r="M1126" s="1">
        <v>0</v>
      </c>
      <c r="N1126" s="1">
        <v>11.9</v>
      </c>
      <c r="O1126" s="1">
        <v>0</v>
      </c>
      <c r="Q1126" s="2">
        <v>82.03</v>
      </c>
    </row>
    <row r="1127" spans="1:17" x14ac:dyDescent="0.25">
      <c r="A1127" t="s">
        <v>31</v>
      </c>
      <c r="B1127" t="s">
        <v>40</v>
      </c>
      <c r="C1127" t="str">
        <f>"556-1-BR-VL-32"</f>
        <v>556-1-BR-VL-32</v>
      </c>
      <c r="D1127" t="s">
        <v>19</v>
      </c>
      <c r="F1127" t="s">
        <v>22</v>
      </c>
      <c r="G1127" t="s">
        <v>43</v>
      </c>
      <c r="H1127">
        <v>32</v>
      </c>
      <c r="J1127" s="1">
        <v>70.13</v>
      </c>
      <c r="K1127" s="1">
        <v>0</v>
      </c>
      <c r="M1127" s="1">
        <v>0</v>
      </c>
      <c r="N1127" s="1">
        <v>11.9</v>
      </c>
      <c r="O1127" s="1">
        <v>0</v>
      </c>
      <c r="Q1127" s="2">
        <v>82.03</v>
      </c>
    </row>
    <row r="1128" spans="1:17" x14ac:dyDescent="0.25">
      <c r="A1128" t="s">
        <v>31</v>
      </c>
      <c r="B1128" t="s">
        <v>40</v>
      </c>
      <c r="C1128" t="str">
        <f>"556-1-BR-VL-34"</f>
        <v>556-1-BR-VL-34</v>
      </c>
      <c r="D1128" t="s">
        <v>19</v>
      </c>
      <c r="F1128" t="s">
        <v>22</v>
      </c>
      <c r="G1128" t="s">
        <v>43</v>
      </c>
      <c r="H1128">
        <v>34</v>
      </c>
      <c r="J1128" s="1">
        <v>70.13</v>
      </c>
      <c r="K1128" s="1">
        <v>0</v>
      </c>
      <c r="M1128" s="1">
        <v>0</v>
      </c>
      <c r="N1128" s="1">
        <v>11.9</v>
      </c>
      <c r="O1128" s="1">
        <v>0</v>
      </c>
      <c r="Q1128" s="2">
        <v>82.03</v>
      </c>
    </row>
    <row r="1129" spans="1:17" x14ac:dyDescent="0.25">
      <c r="A1129" t="s">
        <v>31</v>
      </c>
      <c r="B1129" t="s">
        <v>40</v>
      </c>
      <c r="C1129" t="str">
        <f>"556-1-BR-VL-36"</f>
        <v>556-1-BR-VL-36</v>
      </c>
      <c r="D1129" t="s">
        <v>19</v>
      </c>
      <c r="F1129" t="s">
        <v>22</v>
      </c>
      <c r="G1129" t="s">
        <v>43</v>
      </c>
      <c r="H1129">
        <v>36</v>
      </c>
      <c r="J1129" s="1">
        <v>70.13</v>
      </c>
      <c r="K1129" s="1">
        <v>0</v>
      </c>
      <c r="M1129" s="1">
        <v>0</v>
      </c>
      <c r="N1129" s="1">
        <v>11.9</v>
      </c>
      <c r="O1129" s="1">
        <v>0</v>
      </c>
      <c r="Q1129" s="2">
        <v>82.03</v>
      </c>
    </row>
    <row r="1130" spans="1:17" x14ac:dyDescent="0.25">
      <c r="A1130" t="s">
        <v>31</v>
      </c>
      <c r="B1130" t="s">
        <v>40</v>
      </c>
      <c r="C1130" t="str">
        <f>"556-1-BR-VL-38"</f>
        <v>556-1-BR-VL-38</v>
      </c>
      <c r="D1130" t="s">
        <v>19</v>
      </c>
      <c r="F1130" t="s">
        <v>22</v>
      </c>
      <c r="G1130" t="s">
        <v>43</v>
      </c>
      <c r="H1130">
        <v>38</v>
      </c>
      <c r="J1130" s="1">
        <v>70.13</v>
      </c>
      <c r="K1130" s="1">
        <v>0</v>
      </c>
      <c r="M1130" s="1">
        <v>0</v>
      </c>
      <c r="N1130" s="1">
        <v>11.9</v>
      </c>
      <c r="O1130" s="1">
        <v>0</v>
      </c>
      <c r="Q1130" s="2">
        <v>82.03</v>
      </c>
    </row>
    <row r="1131" spans="1:17" x14ac:dyDescent="0.25">
      <c r="A1131" t="s">
        <v>31</v>
      </c>
      <c r="B1131" t="s">
        <v>40</v>
      </c>
      <c r="C1131" t="str">
        <f>"556-1-BR-VL-40"</f>
        <v>556-1-BR-VL-40</v>
      </c>
      <c r="D1131" t="s">
        <v>19</v>
      </c>
      <c r="F1131" t="s">
        <v>22</v>
      </c>
      <c r="G1131" t="s">
        <v>43</v>
      </c>
      <c r="H1131">
        <v>40</v>
      </c>
      <c r="J1131" s="1">
        <v>70.13</v>
      </c>
      <c r="K1131" s="1">
        <v>0</v>
      </c>
      <c r="M1131" s="1">
        <v>0</v>
      </c>
      <c r="N1131" s="1">
        <v>11.9</v>
      </c>
      <c r="O1131" s="1">
        <v>0</v>
      </c>
      <c r="Q1131" s="2">
        <v>82.03</v>
      </c>
    </row>
    <row r="1132" spans="1:17" x14ac:dyDescent="0.25">
      <c r="A1132" t="s">
        <v>31</v>
      </c>
      <c r="B1132" t="s">
        <v>40</v>
      </c>
      <c r="C1132" t="str">
        <f>"556-1-BR-VL-42"</f>
        <v>556-1-BR-VL-42</v>
      </c>
      <c r="D1132" t="s">
        <v>19</v>
      </c>
      <c r="F1132" t="s">
        <v>22</v>
      </c>
      <c r="G1132" t="s">
        <v>43</v>
      </c>
      <c r="H1132">
        <v>42</v>
      </c>
      <c r="J1132" s="1">
        <v>70.13</v>
      </c>
      <c r="K1132" s="1">
        <v>0</v>
      </c>
      <c r="M1132" s="1">
        <v>0</v>
      </c>
      <c r="N1132" s="1">
        <v>11.9</v>
      </c>
      <c r="O1132" s="1">
        <v>0</v>
      </c>
      <c r="Q1132" s="2">
        <v>82.03</v>
      </c>
    </row>
    <row r="1133" spans="1:17" x14ac:dyDescent="0.25">
      <c r="A1133" t="s">
        <v>31</v>
      </c>
      <c r="B1133" t="s">
        <v>40</v>
      </c>
      <c r="C1133" t="str">
        <f>"556-1-BR-VL-44"</f>
        <v>556-1-BR-VL-44</v>
      </c>
      <c r="D1133" t="s">
        <v>19</v>
      </c>
      <c r="F1133" t="s">
        <v>22</v>
      </c>
      <c r="G1133" t="s">
        <v>43</v>
      </c>
      <c r="H1133">
        <v>44</v>
      </c>
      <c r="J1133" s="1">
        <v>70.13</v>
      </c>
      <c r="K1133" s="1">
        <v>0</v>
      </c>
      <c r="M1133" s="1">
        <v>0</v>
      </c>
      <c r="N1133" s="1">
        <v>11.9</v>
      </c>
      <c r="O1133" s="1">
        <v>0</v>
      </c>
      <c r="Q1133" s="2">
        <v>82.03</v>
      </c>
    </row>
    <row r="1134" spans="1:17" x14ac:dyDescent="0.25">
      <c r="A1134" t="s">
        <v>31</v>
      </c>
      <c r="B1134" t="s">
        <v>40</v>
      </c>
      <c r="C1134" t="str">
        <f>"556-1-BR-VL-46"</f>
        <v>556-1-BR-VL-46</v>
      </c>
      <c r="D1134" t="s">
        <v>19</v>
      </c>
      <c r="F1134" t="s">
        <v>22</v>
      </c>
      <c r="G1134" t="s">
        <v>43</v>
      </c>
      <c r="H1134">
        <v>46</v>
      </c>
      <c r="J1134" s="1">
        <v>70.13</v>
      </c>
      <c r="K1134" s="1">
        <v>0</v>
      </c>
      <c r="M1134" s="1">
        <v>0</v>
      </c>
      <c r="N1134" s="1">
        <v>11.9</v>
      </c>
      <c r="O1134" s="1">
        <v>5.0999999999999996</v>
      </c>
      <c r="Q1134" s="2">
        <v>87.13</v>
      </c>
    </row>
    <row r="1135" spans="1:17" x14ac:dyDescent="0.25">
      <c r="A1135" t="s">
        <v>31</v>
      </c>
      <c r="B1135" t="s">
        <v>40</v>
      </c>
      <c r="C1135" t="str">
        <f>"556-1-BR-VL-48"</f>
        <v>556-1-BR-VL-48</v>
      </c>
      <c r="D1135" t="s">
        <v>19</v>
      </c>
      <c r="F1135" t="s">
        <v>22</v>
      </c>
      <c r="G1135" t="s">
        <v>43</v>
      </c>
      <c r="H1135">
        <v>48</v>
      </c>
      <c r="J1135" s="1">
        <v>70.13</v>
      </c>
      <c r="K1135" s="1">
        <v>0</v>
      </c>
      <c r="M1135" s="1">
        <v>0</v>
      </c>
      <c r="N1135" s="1">
        <v>11.9</v>
      </c>
      <c r="O1135" s="1">
        <v>6.8</v>
      </c>
      <c r="Q1135" s="2">
        <v>88.83</v>
      </c>
    </row>
    <row r="1136" spans="1:17" x14ac:dyDescent="0.25">
      <c r="A1136" t="s">
        <v>31</v>
      </c>
      <c r="B1136" t="s">
        <v>40</v>
      </c>
      <c r="C1136" t="str">
        <f>"556-1-BR-VL-50"</f>
        <v>556-1-BR-VL-50</v>
      </c>
      <c r="D1136" t="s">
        <v>19</v>
      </c>
      <c r="F1136" t="s">
        <v>22</v>
      </c>
      <c r="G1136" t="s">
        <v>43</v>
      </c>
      <c r="H1136">
        <v>50</v>
      </c>
      <c r="J1136" s="1">
        <v>70.13</v>
      </c>
      <c r="K1136" s="1">
        <v>0</v>
      </c>
      <c r="M1136" s="1">
        <v>0</v>
      </c>
      <c r="N1136" s="1">
        <v>11.9</v>
      </c>
      <c r="O1136" s="1">
        <v>8.5</v>
      </c>
      <c r="Q1136" s="2">
        <v>90.53</v>
      </c>
    </row>
    <row r="1137" spans="1:17" x14ac:dyDescent="0.25">
      <c r="A1137" t="s">
        <v>31</v>
      </c>
      <c r="B1137" t="s">
        <v>40</v>
      </c>
      <c r="C1137" t="str">
        <f>"556-1-BR-VL-52"</f>
        <v>556-1-BR-VL-52</v>
      </c>
      <c r="D1137" t="s">
        <v>19</v>
      </c>
      <c r="F1137" t="s">
        <v>22</v>
      </c>
      <c r="G1137" t="s">
        <v>43</v>
      </c>
      <c r="H1137">
        <v>52</v>
      </c>
      <c r="J1137" s="1">
        <v>70.13</v>
      </c>
      <c r="K1137" s="1">
        <v>0</v>
      </c>
      <c r="M1137" s="1">
        <v>0</v>
      </c>
      <c r="N1137" s="1">
        <v>11.9</v>
      </c>
      <c r="O1137" s="1">
        <v>10.199999999999999</v>
      </c>
      <c r="Q1137" s="2">
        <v>92.23</v>
      </c>
    </row>
    <row r="1138" spans="1:17" x14ac:dyDescent="0.25">
      <c r="A1138" t="s">
        <v>31</v>
      </c>
      <c r="B1138" t="s">
        <v>40</v>
      </c>
      <c r="C1138" t="str">
        <f>"556-1-BR-VL-54"</f>
        <v>556-1-BR-VL-54</v>
      </c>
      <c r="D1138" t="s">
        <v>19</v>
      </c>
      <c r="F1138" t="s">
        <v>22</v>
      </c>
      <c r="G1138" t="s">
        <v>43</v>
      </c>
      <c r="H1138">
        <v>54</v>
      </c>
      <c r="J1138" s="1">
        <v>70.13</v>
      </c>
      <c r="K1138" s="1">
        <v>0</v>
      </c>
      <c r="M1138" s="1">
        <v>0</v>
      </c>
      <c r="N1138" s="1">
        <v>11.9</v>
      </c>
      <c r="O1138" s="1">
        <v>11.9</v>
      </c>
      <c r="Q1138" s="2">
        <v>93.93</v>
      </c>
    </row>
    <row r="1139" spans="1:17" x14ac:dyDescent="0.25">
      <c r="A1139" t="s">
        <v>31</v>
      </c>
      <c r="B1139" t="s">
        <v>40</v>
      </c>
      <c r="C1139" t="str">
        <f>"556-1-BR-VL-56"</f>
        <v>556-1-BR-VL-56</v>
      </c>
      <c r="D1139" t="s">
        <v>19</v>
      </c>
      <c r="F1139" t="s">
        <v>22</v>
      </c>
      <c r="G1139" t="s">
        <v>43</v>
      </c>
      <c r="H1139">
        <v>56</v>
      </c>
      <c r="J1139" s="1">
        <v>70.13</v>
      </c>
      <c r="K1139" s="1">
        <v>0</v>
      </c>
      <c r="M1139" s="1">
        <v>0</v>
      </c>
      <c r="N1139" s="1">
        <v>11.9</v>
      </c>
      <c r="O1139" s="1">
        <v>13.6</v>
      </c>
      <c r="Q1139" s="2">
        <v>95.63</v>
      </c>
    </row>
    <row r="1140" spans="1:17" x14ac:dyDescent="0.25">
      <c r="A1140" t="s">
        <v>31</v>
      </c>
      <c r="B1140" t="s">
        <v>40</v>
      </c>
      <c r="C1140" t="str">
        <f>"556-1-BR-VL-58"</f>
        <v>556-1-BR-VL-58</v>
      </c>
      <c r="D1140" t="s">
        <v>19</v>
      </c>
      <c r="F1140" t="s">
        <v>22</v>
      </c>
      <c r="G1140" t="s">
        <v>43</v>
      </c>
      <c r="H1140">
        <v>58</v>
      </c>
      <c r="J1140" s="1">
        <v>70.13</v>
      </c>
      <c r="K1140" s="1">
        <v>0</v>
      </c>
      <c r="M1140" s="1">
        <v>0</v>
      </c>
      <c r="N1140" s="1">
        <v>11.9</v>
      </c>
      <c r="O1140" s="1">
        <v>15.3</v>
      </c>
      <c r="Q1140" s="2">
        <v>97.33</v>
      </c>
    </row>
    <row r="1141" spans="1:17" x14ac:dyDescent="0.25">
      <c r="A1141" t="s">
        <v>31</v>
      </c>
      <c r="B1141" t="s">
        <v>40</v>
      </c>
      <c r="C1141" t="str">
        <f>"556-1-BR-VL-60"</f>
        <v>556-1-BR-VL-60</v>
      </c>
      <c r="D1141" t="s">
        <v>19</v>
      </c>
      <c r="F1141" t="s">
        <v>22</v>
      </c>
      <c r="G1141" t="s">
        <v>43</v>
      </c>
      <c r="H1141">
        <v>60</v>
      </c>
      <c r="J1141" s="1">
        <v>70.13</v>
      </c>
      <c r="K1141" s="1">
        <v>0</v>
      </c>
      <c r="M1141" s="1">
        <v>0</v>
      </c>
      <c r="N1141" s="1">
        <v>11.9</v>
      </c>
      <c r="O1141" s="1">
        <v>17</v>
      </c>
      <c r="Q1141" s="2">
        <v>99.03</v>
      </c>
    </row>
    <row r="1142" spans="1:17" x14ac:dyDescent="0.25">
      <c r="A1142" t="s">
        <v>31</v>
      </c>
      <c r="B1142" t="s">
        <v>40</v>
      </c>
      <c r="C1142" t="str">
        <f>"556-1-BR-VL-62"</f>
        <v>556-1-BR-VL-62</v>
      </c>
      <c r="D1142" t="s">
        <v>19</v>
      </c>
      <c r="F1142" t="s">
        <v>22</v>
      </c>
      <c r="G1142" t="s">
        <v>43</v>
      </c>
      <c r="H1142">
        <v>62</v>
      </c>
      <c r="J1142" s="1">
        <v>70.13</v>
      </c>
      <c r="K1142" s="1">
        <v>0</v>
      </c>
      <c r="M1142" s="1">
        <v>0</v>
      </c>
      <c r="N1142" s="1">
        <v>11.9</v>
      </c>
      <c r="O1142" s="1">
        <v>18.7</v>
      </c>
      <c r="Q1142" s="2">
        <v>100.73</v>
      </c>
    </row>
    <row r="1143" spans="1:17" x14ac:dyDescent="0.25">
      <c r="A1143" t="s">
        <v>31</v>
      </c>
      <c r="B1143" t="s">
        <v>40</v>
      </c>
      <c r="C1143" t="str">
        <f>"556-1-BR-VL-64"</f>
        <v>556-1-BR-VL-64</v>
      </c>
      <c r="D1143" t="s">
        <v>19</v>
      </c>
      <c r="F1143" t="s">
        <v>22</v>
      </c>
      <c r="G1143" t="s">
        <v>43</v>
      </c>
      <c r="H1143">
        <v>64</v>
      </c>
      <c r="J1143" s="1">
        <v>70.13</v>
      </c>
      <c r="K1143" s="1">
        <v>0</v>
      </c>
      <c r="M1143" s="1">
        <v>0</v>
      </c>
      <c r="N1143" s="1">
        <v>11.9</v>
      </c>
      <c r="O1143" s="1">
        <v>18.7</v>
      </c>
      <c r="Q1143" s="2">
        <v>100.73</v>
      </c>
    </row>
    <row r="1144" spans="1:17" x14ac:dyDescent="0.25">
      <c r="A1144" t="s">
        <v>31</v>
      </c>
      <c r="B1144" t="s">
        <v>40</v>
      </c>
      <c r="C1144" t="str">
        <f>"556-1-BR-VL-66"</f>
        <v>556-1-BR-VL-66</v>
      </c>
      <c r="D1144" t="s">
        <v>19</v>
      </c>
      <c r="F1144" t="s">
        <v>22</v>
      </c>
      <c r="G1144" t="s">
        <v>43</v>
      </c>
      <c r="H1144">
        <v>66</v>
      </c>
      <c r="J1144" s="1">
        <v>70.13</v>
      </c>
      <c r="K1144" s="1">
        <v>0</v>
      </c>
      <c r="M1144" s="1">
        <v>0</v>
      </c>
      <c r="N1144" s="1">
        <v>11.9</v>
      </c>
      <c r="O1144" s="1">
        <v>18.7</v>
      </c>
      <c r="Q1144" s="2">
        <v>100.73</v>
      </c>
    </row>
    <row r="1145" spans="1:17" x14ac:dyDescent="0.25">
      <c r="A1145" t="s">
        <v>31</v>
      </c>
      <c r="B1145" t="s">
        <v>40</v>
      </c>
      <c r="C1145" t="str">
        <f>"556-1-BR-VL-68"</f>
        <v>556-1-BR-VL-68</v>
      </c>
      <c r="D1145" t="s">
        <v>19</v>
      </c>
      <c r="F1145" t="s">
        <v>22</v>
      </c>
      <c r="G1145" t="s">
        <v>43</v>
      </c>
      <c r="H1145">
        <v>68</v>
      </c>
      <c r="J1145" s="1">
        <v>70.13</v>
      </c>
      <c r="K1145" s="1">
        <v>0</v>
      </c>
      <c r="M1145" s="1">
        <v>0</v>
      </c>
      <c r="N1145" s="1">
        <v>11.9</v>
      </c>
      <c r="O1145" s="1">
        <v>20.399999999999999</v>
      </c>
      <c r="Q1145" s="2">
        <v>102.43</v>
      </c>
    </row>
    <row r="1146" spans="1:17" x14ac:dyDescent="0.25">
      <c r="A1146" t="s">
        <v>31</v>
      </c>
      <c r="B1146" t="s">
        <v>40</v>
      </c>
      <c r="C1146" t="str">
        <f>"556-1-BR-VL-70"</f>
        <v>556-1-BR-VL-70</v>
      </c>
      <c r="D1146" t="s">
        <v>19</v>
      </c>
      <c r="F1146" t="s">
        <v>22</v>
      </c>
      <c r="G1146" t="s">
        <v>43</v>
      </c>
      <c r="H1146">
        <v>70</v>
      </c>
      <c r="J1146" s="1">
        <v>70.13</v>
      </c>
      <c r="K1146" s="1">
        <v>0</v>
      </c>
      <c r="M1146" s="1">
        <v>0</v>
      </c>
      <c r="N1146" s="1">
        <v>11.9</v>
      </c>
      <c r="O1146" s="1">
        <v>22.1</v>
      </c>
      <c r="Q1146" s="2">
        <v>104.13</v>
      </c>
    </row>
    <row r="1147" spans="1:17" x14ac:dyDescent="0.25">
      <c r="A1147" t="s">
        <v>31</v>
      </c>
      <c r="B1147" t="s">
        <v>40</v>
      </c>
      <c r="C1147" t="str">
        <f>"556-1-BR-VL-72"</f>
        <v>556-1-BR-VL-72</v>
      </c>
      <c r="D1147" t="s">
        <v>19</v>
      </c>
      <c r="F1147" t="s">
        <v>22</v>
      </c>
      <c r="G1147" t="s">
        <v>43</v>
      </c>
      <c r="H1147">
        <v>72</v>
      </c>
      <c r="J1147" s="1">
        <v>70.13</v>
      </c>
      <c r="K1147" s="1">
        <v>0</v>
      </c>
      <c r="M1147" s="1">
        <v>0</v>
      </c>
      <c r="N1147" s="1">
        <v>11.9</v>
      </c>
      <c r="O1147" s="1">
        <v>23.8</v>
      </c>
      <c r="Q1147" s="2">
        <v>105.83</v>
      </c>
    </row>
    <row r="1148" spans="1:17" x14ac:dyDescent="0.25">
      <c r="A1148" t="s">
        <v>31</v>
      </c>
      <c r="B1148" t="s">
        <v>40</v>
      </c>
      <c r="C1148" t="str">
        <f>"556-1-BR-VL-74"</f>
        <v>556-1-BR-VL-74</v>
      </c>
      <c r="D1148" t="s">
        <v>19</v>
      </c>
      <c r="F1148" t="s">
        <v>22</v>
      </c>
      <c r="G1148" t="s">
        <v>43</v>
      </c>
      <c r="H1148">
        <v>74</v>
      </c>
      <c r="J1148" s="1">
        <v>70.13</v>
      </c>
      <c r="K1148" s="1">
        <v>0</v>
      </c>
      <c r="M1148" s="1">
        <v>0</v>
      </c>
      <c r="N1148" s="1">
        <v>11.9</v>
      </c>
      <c r="O1148" s="1">
        <v>25.5</v>
      </c>
      <c r="Q1148" s="2">
        <v>107.53</v>
      </c>
    </row>
    <row r="1149" spans="1:17" x14ac:dyDescent="0.25">
      <c r="A1149" t="s">
        <v>31</v>
      </c>
      <c r="B1149" t="s">
        <v>40</v>
      </c>
      <c r="C1149" t="str">
        <f>"556-1-BR-VL-76"</f>
        <v>556-1-BR-VL-76</v>
      </c>
      <c r="D1149" t="s">
        <v>19</v>
      </c>
      <c r="F1149" t="s">
        <v>22</v>
      </c>
      <c r="G1149" t="s">
        <v>43</v>
      </c>
      <c r="H1149">
        <v>76</v>
      </c>
      <c r="J1149" s="1">
        <v>70.13</v>
      </c>
      <c r="K1149" s="1">
        <v>0</v>
      </c>
      <c r="M1149" s="1">
        <v>0</v>
      </c>
      <c r="N1149" s="1">
        <v>11.9</v>
      </c>
      <c r="O1149" s="1">
        <v>27.2</v>
      </c>
      <c r="Q1149" s="2">
        <v>109.23</v>
      </c>
    </row>
    <row r="1150" spans="1:17" x14ac:dyDescent="0.25">
      <c r="A1150" t="s">
        <v>31</v>
      </c>
      <c r="B1150" t="s">
        <v>40</v>
      </c>
      <c r="C1150" t="str">
        <f>"556-1-BR-VL-78"</f>
        <v>556-1-BR-VL-78</v>
      </c>
      <c r="D1150" t="s">
        <v>19</v>
      </c>
      <c r="F1150" t="s">
        <v>22</v>
      </c>
      <c r="G1150" t="s">
        <v>43</v>
      </c>
      <c r="H1150">
        <v>78</v>
      </c>
      <c r="J1150" s="1">
        <v>70.13</v>
      </c>
      <c r="K1150" s="1">
        <v>0</v>
      </c>
      <c r="M1150" s="1">
        <v>0</v>
      </c>
      <c r="N1150" s="1">
        <v>11.9</v>
      </c>
      <c r="O1150" s="1">
        <v>28.9</v>
      </c>
      <c r="Q1150" s="2">
        <v>110.93</v>
      </c>
    </row>
    <row r="1151" spans="1:17" x14ac:dyDescent="0.25">
      <c r="A1151" t="s">
        <v>31</v>
      </c>
      <c r="B1151" t="s">
        <v>40</v>
      </c>
      <c r="C1151" t="str">
        <f>"556-1-BR-VL-80"</f>
        <v>556-1-BR-VL-80</v>
      </c>
      <c r="D1151" t="s">
        <v>19</v>
      </c>
      <c r="F1151" t="s">
        <v>22</v>
      </c>
      <c r="G1151" t="s">
        <v>43</v>
      </c>
      <c r="H1151">
        <v>80</v>
      </c>
      <c r="J1151" s="1">
        <v>70.13</v>
      </c>
      <c r="K1151" s="1">
        <v>0</v>
      </c>
      <c r="M1151" s="1">
        <v>0</v>
      </c>
      <c r="N1151" s="1">
        <v>11.9</v>
      </c>
      <c r="O1151" s="1">
        <v>30.6</v>
      </c>
      <c r="Q1151" s="2">
        <v>112.63</v>
      </c>
    </row>
    <row r="1152" spans="1:17" x14ac:dyDescent="0.25">
      <c r="A1152" t="s">
        <v>31</v>
      </c>
      <c r="B1152" t="s">
        <v>40</v>
      </c>
      <c r="C1152" t="str">
        <f>"556-1-CH-CO-22"</f>
        <v>556-1-CH-CO-22</v>
      </c>
      <c r="D1152" t="s">
        <v>19</v>
      </c>
      <c r="F1152" t="s">
        <v>23</v>
      </c>
      <c r="G1152" t="s">
        <v>41</v>
      </c>
      <c r="H1152">
        <v>22</v>
      </c>
      <c r="J1152" s="1">
        <v>70.13</v>
      </c>
      <c r="K1152" s="1">
        <v>0</v>
      </c>
      <c r="M1152" s="1">
        <v>0</v>
      </c>
      <c r="N1152" s="1">
        <v>14.37</v>
      </c>
      <c r="O1152" s="1">
        <v>0</v>
      </c>
      <c r="Q1152" s="2">
        <v>84.5</v>
      </c>
    </row>
    <row r="1153" spans="1:17" x14ac:dyDescent="0.25">
      <c r="A1153" t="s">
        <v>31</v>
      </c>
      <c r="B1153" t="s">
        <v>40</v>
      </c>
      <c r="C1153" t="str">
        <f>"556-1-CH-CO-24"</f>
        <v>556-1-CH-CO-24</v>
      </c>
      <c r="D1153" t="s">
        <v>19</v>
      </c>
      <c r="F1153" t="s">
        <v>23</v>
      </c>
      <c r="G1153" t="s">
        <v>41</v>
      </c>
      <c r="H1153">
        <v>24</v>
      </c>
      <c r="J1153" s="1">
        <v>70.13</v>
      </c>
      <c r="K1153" s="1">
        <v>0</v>
      </c>
      <c r="M1153" s="1">
        <v>0</v>
      </c>
      <c r="N1153" s="1">
        <v>14.37</v>
      </c>
      <c r="O1153" s="1">
        <v>0</v>
      </c>
      <c r="Q1153" s="2">
        <v>84.5</v>
      </c>
    </row>
    <row r="1154" spans="1:17" x14ac:dyDescent="0.25">
      <c r="A1154" t="s">
        <v>31</v>
      </c>
      <c r="B1154" t="s">
        <v>40</v>
      </c>
      <c r="C1154" t="str">
        <f>"556-1-CH-CO-26"</f>
        <v>556-1-CH-CO-26</v>
      </c>
      <c r="D1154" t="s">
        <v>19</v>
      </c>
      <c r="F1154" t="s">
        <v>23</v>
      </c>
      <c r="G1154" t="s">
        <v>41</v>
      </c>
      <c r="H1154">
        <v>26</v>
      </c>
      <c r="J1154" s="1">
        <v>70.13</v>
      </c>
      <c r="K1154" s="1">
        <v>0</v>
      </c>
      <c r="M1154" s="1">
        <v>0</v>
      </c>
      <c r="N1154" s="1">
        <v>14.37</v>
      </c>
      <c r="O1154" s="1">
        <v>0</v>
      </c>
      <c r="Q1154" s="2">
        <v>84.5</v>
      </c>
    </row>
    <row r="1155" spans="1:17" x14ac:dyDescent="0.25">
      <c r="A1155" t="s">
        <v>31</v>
      </c>
      <c r="B1155" t="s">
        <v>40</v>
      </c>
      <c r="C1155" t="str">
        <f>"556-1-CH-CO-28"</f>
        <v>556-1-CH-CO-28</v>
      </c>
      <c r="D1155" t="s">
        <v>19</v>
      </c>
      <c r="F1155" t="s">
        <v>23</v>
      </c>
      <c r="G1155" t="s">
        <v>41</v>
      </c>
      <c r="H1155">
        <v>28</v>
      </c>
      <c r="J1155" s="1">
        <v>70.13</v>
      </c>
      <c r="K1155" s="1">
        <v>0</v>
      </c>
      <c r="M1155" s="1">
        <v>0</v>
      </c>
      <c r="N1155" s="1">
        <v>14.37</v>
      </c>
      <c r="O1155" s="1">
        <v>0</v>
      </c>
      <c r="Q1155" s="2">
        <v>84.5</v>
      </c>
    </row>
    <row r="1156" spans="1:17" x14ac:dyDescent="0.25">
      <c r="A1156" t="s">
        <v>31</v>
      </c>
      <c r="B1156" t="s">
        <v>40</v>
      </c>
      <c r="C1156" t="str">
        <f>"556-1-CH-CO-30"</f>
        <v>556-1-CH-CO-30</v>
      </c>
      <c r="D1156" t="s">
        <v>19</v>
      </c>
      <c r="F1156" t="s">
        <v>23</v>
      </c>
      <c r="G1156" t="s">
        <v>41</v>
      </c>
      <c r="H1156">
        <v>30</v>
      </c>
      <c r="J1156" s="1">
        <v>70.13</v>
      </c>
      <c r="K1156" s="1">
        <v>0</v>
      </c>
      <c r="M1156" s="1">
        <v>0</v>
      </c>
      <c r="N1156" s="1">
        <v>14.37</v>
      </c>
      <c r="O1156" s="1">
        <v>0</v>
      </c>
      <c r="Q1156" s="2">
        <v>84.5</v>
      </c>
    </row>
    <row r="1157" spans="1:17" x14ac:dyDescent="0.25">
      <c r="A1157" t="s">
        <v>31</v>
      </c>
      <c r="B1157" t="s">
        <v>40</v>
      </c>
      <c r="C1157" t="str">
        <f>"556-1-CH-CO-32"</f>
        <v>556-1-CH-CO-32</v>
      </c>
      <c r="D1157" t="s">
        <v>19</v>
      </c>
      <c r="F1157" t="s">
        <v>23</v>
      </c>
      <c r="G1157" t="s">
        <v>41</v>
      </c>
      <c r="H1157">
        <v>32</v>
      </c>
      <c r="J1157" s="1">
        <v>70.13</v>
      </c>
      <c r="K1157" s="1">
        <v>0</v>
      </c>
      <c r="M1157" s="1">
        <v>0</v>
      </c>
      <c r="N1157" s="1">
        <v>14.37</v>
      </c>
      <c r="O1157" s="1">
        <v>0</v>
      </c>
      <c r="Q1157" s="2">
        <v>84.5</v>
      </c>
    </row>
    <row r="1158" spans="1:17" x14ac:dyDescent="0.25">
      <c r="A1158" t="s">
        <v>31</v>
      </c>
      <c r="B1158" t="s">
        <v>40</v>
      </c>
      <c r="C1158" t="str">
        <f>"556-1-CH-CO-34"</f>
        <v>556-1-CH-CO-34</v>
      </c>
      <c r="D1158" t="s">
        <v>19</v>
      </c>
      <c r="F1158" t="s">
        <v>23</v>
      </c>
      <c r="G1158" t="s">
        <v>41</v>
      </c>
      <c r="H1158">
        <v>34</v>
      </c>
      <c r="J1158" s="1">
        <v>70.13</v>
      </c>
      <c r="K1158" s="1">
        <v>0</v>
      </c>
      <c r="M1158" s="1">
        <v>0</v>
      </c>
      <c r="N1158" s="1">
        <v>14.37</v>
      </c>
      <c r="O1158" s="1">
        <v>0</v>
      </c>
      <c r="Q1158" s="2">
        <v>84.5</v>
      </c>
    </row>
    <row r="1159" spans="1:17" x14ac:dyDescent="0.25">
      <c r="A1159" t="s">
        <v>31</v>
      </c>
      <c r="B1159" t="s">
        <v>40</v>
      </c>
      <c r="C1159" t="str">
        <f>"556-1-CH-CO-36"</f>
        <v>556-1-CH-CO-36</v>
      </c>
      <c r="D1159" t="s">
        <v>19</v>
      </c>
      <c r="F1159" t="s">
        <v>23</v>
      </c>
      <c r="G1159" t="s">
        <v>41</v>
      </c>
      <c r="H1159">
        <v>36</v>
      </c>
      <c r="J1159" s="1">
        <v>70.13</v>
      </c>
      <c r="K1159" s="1">
        <v>0</v>
      </c>
      <c r="M1159" s="1">
        <v>0</v>
      </c>
      <c r="N1159" s="1">
        <v>14.37</v>
      </c>
      <c r="O1159" s="1">
        <v>0</v>
      </c>
      <c r="Q1159" s="2">
        <v>84.5</v>
      </c>
    </row>
    <row r="1160" spans="1:17" x14ac:dyDescent="0.25">
      <c r="A1160" t="s">
        <v>31</v>
      </c>
      <c r="B1160" t="s">
        <v>40</v>
      </c>
      <c r="C1160" t="str">
        <f>"556-1-CH-CO-38"</f>
        <v>556-1-CH-CO-38</v>
      </c>
      <c r="D1160" t="s">
        <v>19</v>
      </c>
      <c r="F1160" t="s">
        <v>23</v>
      </c>
      <c r="G1160" t="s">
        <v>41</v>
      </c>
      <c r="H1160">
        <v>38</v>
      </c>
      <c r="J1160" s="1">
        <v>70.13</v>
      </c>
      <c r="K1160" s="1">
        <v>0</v>
      </c>
      <c r="M1160" s="1">
        <v>0</v>
      </c>
      <c r="N1160" s="1">
        <v>14.37</v>
      </c>
      <c r="O1160" s="1">
        <v>0</v>
      </c>
      <c r="Q1160" s="2">
        <v>84.5</v>
      </c>
    </row>
    <row r="1161" spans="1:17" x14ac:dyDescent="0.25">
      <c r="A1161" t="s">
        <v>31</v>
      </c>
      <c r="B1161" t="s">
        <v>40</v>
      </c>
      <c r="C1161" t="str">
        <f>"556-1-CH-CO-40"</f>
        <v>556-1-CH-CO-40</v>
      </c>
      <c r="D1161" t="s">
        <v>19</v>
      </c>
      <c r="F1161" t="s">
        <v>23</v>
      </c>
      <c r="G1161" t="s">
        <v>41</v>
      </c>
      <c r="H1161">
        <v>40</v>
      </c>
      <c r="J1161" s="1">
        <v>70.13</v>
      </c>
      <c r="K1161" s="1">
        <v>0</v>
      </c>
      <c r="M1161" s="1">
        <v>0</v>
      </c>
      <c r="N1161" s="1">
        <v>14.37</v>
      </c>
      <c r="O1161" s="1">
        <v>0</v>
      </c>
      <c r="Q1161" s="2">
        <v>84.5</v>
      </c>
    </row>
    <row r="1162" spans="1:17" x14ac:dyDescent="0.25">
      <c r="A1162" t="s">
        <v>31</v>
      </c>
      <c r="B1162" t="s">
        <v>40</v>
      </c>
      <c r="C1162" t="str">
        <f>"556-1-CH-CO-42"</f>
        <v>556-1-CH-CO-42</v>
      </c>
      <c r="D1162" t="s">
        <v>19</v>
      </c>
      <c r="F1162" t="s">
        <v>23</v>
      </c>
      <c r="G1162" t="s">
        <v>41</v>
      </c>
      <c r="H1162">
        <v>42</v>
      </c>
      <c r="J1162" s="1">
        <v>70.13</v>
      </c>
      <c r="K1162" s="1">
        <v>0</v>
      </c>
      <c r="M1162" s="1">
        <v>0</v>
      </c>
      <c r="N1162" s="1">
        <v>14.37</v>
      </c>
      <c r="O1162" s="1">
        <v>0</v>
      </c>
      <c r="Q1162" s="2">
        <v>84.5</v>
      </c>
    </row>
    <row r="1163" spans="1:17" x14ac:dyDescent="0.25">
      <c r="A1163" t="s">
        <v>31</v>
      </c>
      <c r="B1163" t="s">
        <v>40</v>
      </c>
      <c r="C1163" t="str">
        <f>"556-1-CH-CO-44"</f>
        <v>556-1-CH-CO-44</v>
      </c>
      <c r="D1163" t="s">
        <v>19</v>
      </c>
      <c r="F1163" t="s">
        <v>23</v>
      </c>
      <c r="G1163" t="s">
        <v>41</v>
      </c>
      <c r="H1163">
        <v>44</v>
      </c>
      <c r="J1163" s="1">
        <v>70.13</v>
      </c>
      <c r="K1163" s="1">
        <v>0</v>
      </c>
      <c r="M1163" s="1">
        <v>0</v>
      </c>
      <c r="N1163" s="1">
        <v>14.37</v>
      </c>
      <c r="O1163" s="1">
        <v>0</v>
      </c>
      <c r="Q1163" s="2">
        <v>84.5</v>
      </c>
    </row>
    <row r="1164" spans="1:17" x14ac:dyDescent="0.25">
      <c r="A1164" t="s">
        <v>31</v>
      </c>
      <c r="B1164" t="s">
        <v>40</v>
      </c>
      <c r="C1164" t="str">
        <f>"556-1-CH-CO-46"</f>
        <v>556-1-CH-CO-46</v>
      </c>
      <c r="D1164" t="s">
        <v>19</v>
      </c>
      <c r="F1164" t="s">
        <v>23</v>
      </c>
      <c r="G1164" t="s">
        <v>41</v>
      </c>
      <c r="H1164">
        <v>46</v>
      </c>
      <c r="J1164" s="1">
        <v>70.13</v>
      </c>
      <c r="K1164" s="1">
        <v>0</v>
      </c>
      <c r="M1164" s="1">
        <v>0</v>
      </c>
      <c r="N1164" s="1">
        <v>14.37</v>
      </c>
      <c r="O1164" s="1">
        <v>2</v>
      </c>
      <c r="Q1164" s="2">
        <v>86.5</v>
      </c>
    </row>
    <row r="1165" spans="1:17" x14ac:dyDescent="0.25">
      <c r="A1165" t="s">
        <v>31</v>
      </c>
      <c r="B1165" t="s">
        <v>40</v>
      </c>
      <c r="C1165" t="str">
        <f>"556-1-CH-CO-48"</f>
        <v>556-1-CH-CO-48</v>
      </c>
      <c r="D1165" t="s">
        <v>19</v>
      </c>
      <c r="F1165" t="s">
        <v>23</v>
      </c>
      <c r="G1165" t="s">
        <v>41</v>
      </c>
      <c r="H1165">
        <v>48</v>
      </c>
      <c r="J1165" s="1">
        <v>70.13</v>
      </c>
      <c r="K1165" s="1">
        <v>0</v>
      </c>
      <c r="M1165" s="1">
        <v>0</v>
      </c>
      <c r="N1165" s="1">
        <v>14.37</v>
      </c>
      <c r="O1165" s="1">
        <v>4</v>
      </c>
      <c r="Q1165" s="2">
        <v>88.5</v>
      </c>
    </row>
    <row r="1166" spans="1:17" x14ac:dyDescent="0.25">
      <c r="A1166" t="s">
        <v>31</v>
      </c>
      <c r="B1166" t="s">
        <v>40</v>
      </c>
      <c r="C1166" t="str">
        <f>"556-1-CH-CO-50"</f>
        <v>556-1-CH-CO-50</v>
      </c>
      <c r="D1166" t="s">
        <v>19</v>
      </c>
      <c r="F1166" t="s">
        <v>23</v>
      </c>
      <c r="G1166" t="s">
        <v>41</v>
      </c>
      <c r="H1166">
        <v>50</v>
      </c>
      <c r="J1166" s="1">
        <v>70.13</v>
      </c>
      <c r="K1166" s="1">
        <v>0</v>
      </c>
      <c r="M1166" s="1">
        <v>0</v>
      </c>
      <c r="N1166" s="1">
        <v>14.37</v>
      </c>
      <c r="O1166" s="1">
        <v>6</v>
      </c>
      <c r="Q1166" s="2">
        <v>90.5</v>
      </c>
    </row>
    <row r="1167" spans="1:17" x14ac:dyDescent="0.25">
      <c r="A1167" t="s">
        <v>31</v>
      </c>
      <c r="B1167" t="s">
        <v>40</v>
      </c>
      <c r="C1167" t="str">
        <f>"556-1-CH-CO-52"</f>
        <v>556-1-CH-CO-52</v>
      </c>
      <c r="D1167" t="s">
        <v>19</v>
      </c>
      <c r="F1167" t="s">
        <v>23</v>
      </c>
      <c r="G1167" t="s">
        <v>41</v>
      </c>
      <c r="H1167">
        <v>52</v>
      </c>
      <c r="J1167" s="1">
        <v>70.13</v>
      </c>
      <c r="K1167" s="1">
        <v>0</v>
      </c>
      <c r="M1167" s="1">
        <v>0</v>
      </c>
      <c r="N1167" s="1">
        <v>14.37</v>
      </c>
      <c r="O1167" s="1">
        <v>8</v>
      </c>
      <c r="Q1167" s="2">
        <v>92.5</v>
      </c>
    </row>
    <row r="1168" spans="1:17" x14ac:dyDescent="0.25">
      <c r="A1168" t="s">
        <v>31</v>
      </c>
      <c r="B1168" t="s">
        <v>40</v>
      </c>
      <c r="C1168" t="str">
        <f>"556-1-CH-CO-54"</f>
        <v>556-1-CH-CO-54</v>
      </c>
      <c r="D1168" t="s">
        <v>19</v>
      </c>
      <c r="F1168" t="s">
        <v>23</v>
      </c>
      <c r="G1168" t="s">
        <v>41</v>
      </c>
      <c r="H1168">
        <v>54</v>
      </c>
      <c r="J1168" s="1">
        <v>70.13</v>
      </c>
      <c r="K1168" s="1">
        <v>0</v>
      </c>
      <c r="M1168" s="1">
        <v>0</v>
      </c>
      <c r="N1168" s="1">
        <v>14.37</v>
      </c>
      <c r="O1168" s="1">
        <v>10</v>
      </c>
      <c r="Q1168" s="2">
        <v>94.5</v>
      </c>
    </row>
    <row r="1169" spans="1:17" x14ac:dyDescent="0.25">
      <c r="A1169" t="s">
        <v>31</v>
      </c>
      <c r="B1169" t="s">
        <v>40</v>
      </c>
      <c r="C1169" t="str">
        <f>"556-1-CH-CO-56"</f>
        <v>556-1-CH-CO-56</v>
      </c>
      <c r="D1169" t="s">
        <v>19</v>
      </c>
      <c r="F1169" t="s">
        <v>23</v>
      </c>
      <c r="G1169" t="s">
        <v>41</v>
      </c>
      <c r="H1169">
        <v>56</v>
      </c>
      <c r="J1169" s="1">
        <v>70.13</v>
      </c>
      <c r="K1169" s="1">
        <v>0</v>
      </c>
      <c r="M1169" s="1">
        <v>0</v>
      </c>
      <c r="N1169" s="1">
        <v>14.37</v>
      </c>
      <c r="O1169" s="1">
        <v>12</v>
      </c>
      <c r="Q1169" s="2">
        <v>96.5</v>
      </c>
    </row>
    <row r="1170" spans="1:17" x14ac:dyDescent="0.25">
      <c r="A1170" t="s">
        <v>31</v>
      </c>
      <c r="B1170" t="s">
        <v>40</v>
      </c>
      <c r="C1170" t="str">
        <f>"556-1-CH-CO-58"</f>
        <v>556-1-CH-CO-58</v>
      </c>
      <c r="D1170" t="s">
        <v>19</v>
      </c>
      <c r="F1170" t="s">
        <v>23</v>
      </c>
      <c r="G1170" t="s">
        <v>41</v>
      </c>
      <c r="H1170">
        <v>58</v>
      </c>
      <c r="J1170" s="1">
        <v>70.13</v>
      </c>
      <c r="K1170" s="1">
        <v>0</v>
      </c>
      <c r="M1170" s="1">
        <v>0</v>
      </c>
      <c r="N1170" s="1">
        <v>14.37</v>
      </c>
      <c r="O1170" s="1">
        <v>14</v>
      </c>
      <c r="Q1170" s="2">
        <v>98.5</v>
      </c>
    </row>
    <row r="1171" spans="1:17" x14ac:dyDescent="0.25">
      <c r="A1171" t="s">
        <v>31</v>
      </c>
      <c r="B1171" t="s">
        <v>40</v>
      </c>
      <c r="C1171" t="str">
        <f>"556-1-CH-CO-60"</f>
        <v>556-1-CH-CO-60</v>
      </c>
      <c r="D1171" t="s">
        <v>19</v>
      </c>
      <c r="F1171" t="s">
        <v>23</v>
      </c>
      <c r="G1171" t="s">
        <v>41</v>
      </c>
      <c r="H1171">
        <v>60</v>
      </c>
      <c r="J1171" s="1">
        <v>70.13</v>
      </c>
      <c r="K1171" s="1">
        <v>0</v>
      </c>
      <c r="M1171" s="1">
        <v>0</v>
      </c>
      <c r="N1171" s="1">
        <v>14.37</v>
      </c>
      <c r="O1171" s="1">
        <v>16</v>
      </c>
      <c r="Q1171" s="2">
        <v>100.5</v>
      </c>
    </row>
    <row r="1172" spans="1:17" x14ac:dyDescent="0.25">
      <c r="A1172" t="s">
        <v>31</v>
      </c>
      <c r="B1172" t="s">
        <v>40</v>
      </c>
      <c r="C1172" t="str">
        <f>"556-1-CH-CO-62"</f>
        <v>556-1-CH-CO-62</v>
      </c>
      <c r="D1172" t="s">
        <v>19</v>
      </c>
      <c r="F1172" t="s">
        <v>23</v>
      </c>
      <c r="G1172" t="s">
        <v>41</v>
      </c>
      <c r="H1172">
        <v>62</v>
      </c>
      <c r="J1172" s="1">
        <v>70.13</v>
      </c>
      <c r="K1172" s="1">
        <v>0</v>
      </c>
      <c r="M1172" s="1">
        <v>0</v>
      </c>
      <c r="N1172" s="1">
        <v>14.37</v>
      </c>
      <c r="O1172" s="1">
        <v>18</v>
      </c>
      <c r="Q1172" s="2">
        <v>102.5</v>
      </c>
    </row>
    <row r="1173" spans="1:17" x14ac:dyDescent="0.25">
      <c r="A1173" t="s">
        <v>31</v>
      </c>
      <c r="B1173" t="s">
        <v>40</v>
      </c>
      <c r="C1173" t="str">
        <f>"556-1-CH-CO-64"</f>
        <v>556-1-CH-CO-64</v>
      </c>
      <c r="D1173" t="s">
        <v>19</v>
      </c>
      <c r="F1173" t="s">
        <v>23</v>
      </c>
      <c r="G1173" t="s">
        <v>41</v>
      </c>
      <c r="H1173">
        <v>64</v>
      </c>
      <c r="J1173" s="1">
        <v>70.13</v>
      </c>
      <c r="K1173" s="1">
        <v>0</v>
      </c>
      <c r="M1173" s="1">
        <v>0</v>
      </c>
      <c r="N1173" s="1">
        <v>14.37</v>
      </c>
      <c r="O1173" s="1">
        <v>20</v>
      </c>
      <c r="Q1173" s="2">
        <v>104.5</v>
      </c>
    </row>
    <row r="1174" spans="1:17" x14ac:dyDescent="0.25">
      <c r="A1174" t="s">
        <v>31</v>
      </c>
      <c r="B1174" t="s">
        <v>40</v>
      </c>
      <c r="C1174" t="str">
        <f>"556-1-CH-CO-66"</f>
        <v>556-1-CH-CO-66</v>
      </c>
      <c r="D1174" t="s">
        <v>19</v>
      </c>
      <c r="F1174" t="s">
        <v>23</v>
      </c>
      <c r="G1174" t="s">
        <v>41</v>
      </c>
      <c r="H1174">
        <v>66</v>
      </c>
      <c r="J1174" s="1">
        <v>70.13</v>
      </c>
      <c r="K1174" s="1">
        <v>0</v>
      </c>
      <c r="M1174" s="1">
        <v>0</v>
      </c>
      <c r="N1174" s="1">
        <v>14.37</v>
      </c>
      <c r="O1174" s="1">
        <v>22</v>
      </c>
      <c r="Q1174" s="2">
        <v>106.5</v>
      </c>
    </row>
    <row r="1175" spans="1:17" x14ac:dyDescent="0.25">
      <c r="A1175" t="s">
        <v>31</v>
      </c>
      <c r="B1175" t="s">
        <v>40</v>
      </c>
      <c r="C1175" t="str">
        <f>"556-1-CH-CO-68"</f>
        <v>556-1-CH-CO-68</v>
      </c>
      <c r="D1175" t="s">
        <v>19</v>
      </c>
      <c r="F1175" t="s">
        <v>23</v>
      </c>
      <c r="G1175" t="s">
        <v>41</v>
      </c>
      <c r="H1175">
        <v>68</v>
      </c>
      <c r="J1175" s="1">
        <v>70.13</v>
      </c>
      <c r="K1175" s="1">
        <v>0</v>
      </c>
      <c r="M1175" s="1">
        <v>0</v>
      </c>
      <c r="N1175" s="1">
        <v>14.37</v>
      </c>
      <c r="O1175" s="1">
        <v>24</v>
      </c>
      <c r="Q1175" s="2">
        <v>108.5</v>
      </c>
    </row>
    <row r="1176" spans="1:17" x14ac:dyDescent="0.25">
      <c r="A1176" t="s">
        <v>31</v>
      </c>
      <c r="B1176" t="s">
        <v>40</v>
      </c>
      <c r="C1176" t="str">
        <f>"556-1-CH-CO-70"</f>
        <v>556-1-CH-CO-70</v>
      </c>
      <c r="D1176" t="s">
        <v>19</v>
      </c>
      <c r="F1176" t="s">
        <v>23</v>
      </c>
      <c r="G1176" t="s">
        <v>41</v>
      </c>
      <c r="H1176">
        <v>70</v>
      </c>
      <c r="J1176" s="1">
        <v>70.13</v>
      </c>
      <c r="K1176" s="1">
        <v>0</v>
      </c>
      <c r="M1176" s="1">
        <v>0</v>
      </c>
      <c r="N1176" s="1">
        <v>14.37</v>
      </c>
      <c r="O1176" s="1">
        <v>26</v>
      </c>
      <c r="Q1176" s="2">
        <v>110.5</v>
      </c>
    </row>
    <row r="1177" spans="1:17" x14ac:dyDescent="0.25">
      <c r="A1177" t="s">
        <v>31</v>
      </c>
      <c r="B1177" t="s">
        <v>40</v>
      </c>
      <c r="C1177" t="str">
        <f>"556-1-CH-CO-72"</f>
        <v>556-1-CH-CO-72</v>
      </c>
      <c r="D1177" t="s">
        <v>19</v>
      </c>
      <c r="F1177" t="s">
        <v>23</v>
      </c>
      <c r="G1177" t="s">
        <v>41</v>
      </c>
      <c r="H1177">
        <v>72</v>
      </c>
      <c r="J1177" s="1">
        <v>70.13</v>
      </c>
      <c r="K1177" s="1">
        <v>0</v>
      </c>
      <c r="M1177" s="1">
        <v>0</v>
      </c>
      <c r="N1177" s="1">
        <v>14.37</v>
      </c>
      <c r="O1177" s="1">
        <v>28</v>
      </c>
      <c r="Q1177" s="2">
        <v>112.5</v>
      </c>
    </row>
    <row r="1178" spans="1:17" x14ac:dyDescent="0.25">
      <c r="A1178" t="s">
        <v>31</v>
      </c>
      <c r="B1178" t="s">
        <v>40</v>
      </c>
      <c r="C1178" t="str">
        <f>"556-1-CH-CO-74"</f>
        <v>556-1-CH-CO-74</v>
      </c>
      <c r="D1178" t="s">
        <v>19</v>
      </c>
      <c r="F1178" t="s">
        <v>23</v>
      </c>
      <c r="G1178" t="s">
        <v>41</v>
      </c>
      <c r="H1178">
        <v>74</v>
      </c>
      <c r="J1178" s="1">
        <v>70.13</v>
      </c>
      <c r="K1178" s="1">
        <v>0</v>
      </c>
      <c r="M1178" s="1">
        <v>0</v>
      </c>
      <c r="N1178" s="1">
        <v>14.37</v>
      </c>
      <c r="O1178" s="1">
        <v>30</v>
      </c>
      <c r="Q1178" s="2">
        <v>114.5</v>
      </c>
    </row>
    <row r="1179" spans="1:17" x14ac:dyDescent="0.25">
      <c r="A1179" t="s">
        <v>31</v>
      </c>
      <c r="B1179" t="s">
        <v>40</v>
      </c>
      <c r="C1179" t="str">
        <f>"556-1-CH-CO-76"</f>
        <v>556-1-CH-CO-76</v>
      </c>
      <c r="D1179" t="s">
        <v>19</v>
      </c>
      <c r="F1179" t="s">
        <v>23</v>
      </c>
      <c r="G1179" t="s">
        <v>41</v>
      </c>
      <c r="H1179">
        <v>76</v>
      </c>
      <c r="J1179" s="1">
        <v>70.13</v>
      </c>
      <c r="K1179" s="1">
        <v>0</v>
      </c>
      <c r="M1179" s="1">
        <v>0</v>
      </c>
      <c r="N1179" s="1">
        <v>14.37</v>
      </c>
      <c r="O1179" s="1">
        <v>32</v>
      </c>
      <c r="Q1179" s="2">
        <v>116.5</v>
      </c>
    </row>
    <row r="1180" spans="1:17" x14ac:dyDescent="0.25">
      <c r="A1180" t="s">
        <v>31</v>
      </c>
      <c r="B1180" t="s">
        <v>40</v>
      </c>
      <c r="C1180" t="str">
        <f>"556-1-CH-CO-78"</f>
        <v>556-1-CH-CO-78</v>
      </c>
      <c r="D1180" t="s">
        <v>19</v>
      </c>
      <c r="F1180" t="s">
        <v>23</v>
      </c>
      <c r="G1180" t="s">
        <v>41</v>
      </c>
      <c r="H1180">
        <v>78</v>
      </c>
      <c r="J1180" s="1">
        <v>70.13</v>
      </c>
      <c r="K1180" s="1">
        <v>0</v>
      </c>
      <c r="M1180" s="1">
        <v>0</v>
      </c>
      <c r="N1180" s="1">
        <v>14.37</v>
      </c>
      <c r="O1180" s="1">
        <v>34</v>
      </c>
      <c r="Q1180" s="2">
        <v>118.5</v>
      </c>
    </row>
    <row r="1181" spans="1:17" x14ac:dyDescent="0.25">
      <c r="A1181" t="s">
        <v>31</v>
      </c>
      <c r="B1181" t="s">
        <v>40</v>
      </c>
      <c r="C1181" t="str">
        <f>"556-1-CH-CO-80"</f>
        <v>556-1-CH-CO-80</v>
      </c>
      <c r="D1181" t="s">
        <v>19</v>
      </c>
      <c r="F1181" t="s">
        <v>23</v>
      </c>
      <c r="G1181" t="s">
        <v>41</v>
      </c>
      <c r="H1181">
        <v>80</v>
      </c>
      <c r="J1181" s="1">
        <v>70.13</v>
      </c>
      <c r="K1181" s="1">
        <v>0</v>
      </c>
      <c r="M1181" s="1">
        <v>0</v>
      </c>
      <c r="N1181" s="1">
        <v>14.37</v>
      </c>
      <c r="O1181" s="1">
        <v>36</v>
      </c>
      <c r="Q1181" s="2">
        <v>120.5</v>
      </c>
    </row>
    <row r="1182" spans="1:17" x14ac:dyDescent="0.25">
      <c r="A1182" t="s">
        <v>31</v>
      </c>
      <c r="B1182" t="s">
        <v>40</v>
      </c>
      <c r="C1182" t="str">
        <f>"556-1-CH-SU-22"</f>
        <v>556-1-CH-SU-22</v>
      </c>
      <c r="D1182" t="s">
        <v>19</v>
      </c>
      <c r="F1182" t="s">
        <v>23</v>
      </c>
      <c r="G1182" t="s">
        <v>42</v>
      </c>
      <c r="H1182">
        <v>22</v>
      </c>
      <c r="J1182" s="1">
        <v>70.13</v>
      </c>
      <c r="K1182" s="1">
        <v>0</v>
      </c>
      <c r="M1182" s="1">
        <v>0</v>
      </c>
      <c r="N1182" s="1">
        <v>0</v>
      </c>
      <c r="O1182" s="1">
        <v>0</v>
      </c>
      <c r="Q1182" s="2">
        <v>70.13</v>
      </c>
    </row>
    <row r="1183" spans="1:17" x14ac:dyDescent="0.25">
      <c r="A1183" t="s">
        <v>31</v>
      </c>
      <c r="B1183" t="s">
        <v>40</v>
      </c>
      <c r="C1183" t="str">
        <f>"556-1-CH-SU-24"</f>
        <v>556-1-CH-SU-24</v>
      </c>
      <c r="D1183" t="s">
        <v>19</v>
      </c>
      <c r="F1183" t="s">
        <v>23</v>
      </c>
      <c r="G1183" t="s">
        <v>42</v>
      </c>
      <c r="H1183">
        <v>24</v>
      </c>
      <c r="J1183" s="1">
        <v>70.13</v>
      </c>
      <c r="K1183" s="1">
        <v>0</v>
      </c>
      <c r="M1183" s="1">
        <v>0</v>
      </c>
      <c r="N1183" s="1">
        <v>0</v>
      </c>
      <c r="O1183" s="1">
        <v>0</v>
      </c>
      <c r="Q1183" s="2">
        <v>70.13</v>
      </c>
    </row>
    <row r="1184" spans="1:17" x14ac:dyDescent="0.25">
      <c r="A1184" t="s">
        <v>31</v>
      </c>
      <c r="B1184" t="s">
        <v>40</v>
      </c>
      <c r="C1184" t="str">
        <f>"556-1-CH-SU-26"</f>
        <v>556-1-CH-SU-26</v>
      </c>
      <c r="D1184" t="s">
        <v>19</v>
      </c>
      <c r="F1184" t="s">
        <v>23</v>
      </c>
      <c r="G1184" t="s">
        <v>42</v>
      </c>
      <c r="H1184">
        <v>26</v>
      </c>
      <c r="J1184" s="1">
        <v>70.13</v>
      </c>
      <c r="K1184" s="1">
        <v>0</v>
      </c>
      <c r="M1184" s="1">
        <v>0</v>
      </c>
      <c r="N1184" s="1">
        <v>0</v>
      </c>
      <c r="O1184" s="1">
        <v>0</v>
      </c>
      <c r="Q1184" s="2">
        <v>70.13</v>
      </c>
    </row>
    <row r="1185" spans="1:17" x14ac:dyDescent="0.25">
      <c r="A1185" t="s">
        <v>31</v>
      </c>
      <c r="B1185" t="s">
        <v>40</v>
      </c>
      <c r="C1185" t="str">
        <f>"556-1-CH-SU-28"</f>
        <v>556-1-CH-SU-28</v>
      </c>
      <c r="D1185" t="s">
        <v>19</v>
      </c>
      <c r="F1185" t="s">
        <v>23</v>
      </c>
      <c r="G1185" t="s">
        <v>42</v>
      </c>
      <c r="H1185">
        <v>28</v>
      </c>
      <c r="J1185" s="1">
        <v>70.13</v>
      </c>
      <c r="K1185" s="1">
        <v>0</v>
      </c>
      <c r="M1185" s="1">
        <v>0</v>
      </c>
      <c r="N1185" s="1">
        <v>0</v>
      </c>
      <c r="O1185" s="1">
        <v>0</v>
      </c>
      <c r="Q1185" s="2">
        <v>70.13</v>
      </c>
    </row>
    <row r="1186" spans="1:17" x14ac:dyDescent="0.25">
      <c r="A1186" t="s">
        <v>31</v>
      </c>
      <c r="B1186" t="s">
        <v>40</v>
      </c>
      <c r="C1186" t="str">
        <f>"556-1-CH-SU-30"</f>
        <v>556-1-CH-SU-30</v>
      </c>
      <c r="D1186" t="s">
        <v>19</v>
      </c>
      <c r="F1186" t="s">
        <v>23</v>
      </c>
      <c r="G1186" t="s">
        <v>42</v>
      </c>
      <c r="H1186">
        <v>30</v>
      </c>
      <c r="J1186" s="1">
        <v>70.13</v>
      </c>
      <c r="K1186" s="1">
        <v>0</v>
      </c>
      <c r="M1186" s="1">
        <v>0</v>
      </c>
      <c r="N1186" s="1">
        <v>0</v>
      </c>
      <c r="O1186" s="1">
        <v>0</v>
      </c>
      <c r="Q1186" s="2">
        <v>70.13</v>
      </c>
    </row>
    <row r="1187" spans="1:17" x14ac:dyDescent="0.25">
      <c r="A1187" t="s">
        <v>31</v>
      </c>
      <c r="B1187" t="s">
        <v>40</v>
      </c>
      <c r="C1187" t="str">
        <f>"556-1-CH-SU-32"</f>
        <v>556-1-CH-SU-32</v>
      </c>
      <c r="D1187" t="s">
        <v>19</v>
      </c>
      <c r="F1187" t="s">
        <v>23</v>
      </c>
      <c r="G1187" t="s">
        <v>42</v>
      </c>
      <c r="H1187">
        <v>32</v>
      </c>
      <c r="J1187" s="1">
        <v>70.13</v>
      </c>
      <c r="K1187" s="1">
        <v>0</v>
      </c>
      <c r="M1187" s="1">
        <v>0</v>
      </c>
      <c r="N1187" s="1">
        <v>0</v>
      </c>
      <c r="O1187" s="1">
        <v>0</v>
      </c>
      <c r="Q1187" s="2">
        <v>70.13</v>
      </c>
    </row>
    <row r="1188" spans="1:17" x14ac:dyDescent="0.25">
      <c r="A1188" t="s">
        <v>31</v>
      </c>
      <c r="B1188" t="s">
        <v>40</v>
      </c>
      <c r="C1188" t="str">
        <f>"556-1-CH-SU-34"</f>
        <v>556-1-CH-SU-34</v>
      </c>
      <c r="D1188" t="s">
        <v>19</v>
      </c>
      <c r="F1188" t="s">
        <v>23</v>
      </c>
      <c r="G1188" t="s">
        <v>42</v>
      </c>
      <c r="H1188">
        <v>34</v>
      </c>
      <c r="J1188" s="1">
        <v>70.13</v>
      </c>
      <c r="K1188" s="1">
        <v>0</v>
      </c>
      <c r="M1188" s="1">
        <v>0</v>
      </c>
      <c r="N1188" s="1">
        <v>0</v>
      </c>
      <c r="O1188" s="1">
        <v>0</v>
      </c>
      <c r="Q1188" s="2">
        <v>70.13</v>
      </c>
    </row>
    <row r="1189" spans="1:17" x14ac:dyDescent="0.25">
      <c r="A1189" t="s">
        <v>31</v>
      </c>
      <c r="B1189" t="s">
        <v>40</v>
      </c>
      <c r="C1189" t="str">
        <f>"556-1-CH-SU-36"</f>
        <v>556-1-CH-SU-36</v>
      </c>
      <c r="D1189" t="s">
        <v>19</v>
      </c>
      <c r="F1189" t="s">
        <v>23</v>
      </c>
      <c r="G1189" t="s">
        <v>42</v>
      </c>
      <c r="H1189">
        <v>36</v>
      </c>
      <c r="J1189" s="1">
        <v>70.13</v>
      </c>
      <c r="K1189" s="1">
        <v>0</v>
      </c>
      <c r="M1189" s="1">
        <v>0</v>
      </c>
      <c r="N1189" s="1">
        <v>0</v>
      </c>
      <c r="O1189" s="1">
        <v>0</v>
      </c>
      <c r="Q1189" s="2">
        <v>70.13</v>
      </c>
    </row>
    <row r="1190" spans="1:17" x14ac:dyDescent="0.25">
      <c r="A1190" t="s">
        <v>31</v>
      </c>
      <c r="B1190" t="s">
        <v>40</v>
      </c>
      <c r="C1190" t="str">
        <f>"556-1-CH-SU-38"</f>
        <v>556-1-CH-SU-38</v>
      </c>
      <c r="D1190" t="s">
        <v>19</v>
      </c>
      <c r="F1190" t="s">
        <v>23</v>
      </c>
      <c r="G1190" t="s">
        <v>42</v>
      </c>
      <c r="H1190">
        <v>38</v>
      </c>
      <c r="J1190" s="1">
        <v>70.13</v>
      </c>
      <c r="K1190" s="1">
        <v>0</v>
      </c>
      <c r="M1190" s="1">
        <v>0</v>
      </c>
      <c r="N1190" s="1">
        <v>0</v>
      </c>
      <c r="O1190" s="1">
        <v>0</v>
      </c>
      <c r="Q1190" s="2">
        <v>70.13</v>
      </c>
    </row>
    <row r="1191" spans="1:17" x14ac:dyDescent="0.25">
      <c r="A1191" t="s">
        <v>31</v>
      </c>
      <c r="B1191" t="s">
        <v>40</v>
      </c>
      <c r="C1191" t="str">
        <f>"556-1-CH-SU-40"</f>
        <v>556-1-CH-SU-40</v>
      </c>
      <c r="D1191" t="s">
        <v>19</v>
      </c>
      <c r="F1191" t="s">
        <v>23</v>
      </c>
      <c r="G1191" t="s">
        <v>42</v>
      </c>
      <c r="H1191">
        <v>40</v>
      </c>
      <c r="J1191" s="1">
        <v>70.13</v>
      </c>
      <c r="K1191" s="1">
        <v>0</v>
      </c>
      <c r="M1191" s="1">
        <v>0</v>
      </c>
      <c r="N1191" s="1">
        <v>0</v>
      </c>
      <c r="O1191" s="1">
        <v>0</v>
      </c>
      <c r="Q1191" s="2">
        <v>70.13</v>
      </c>
    </row>
    <row r="1192" spans="1:17" x14ac:dyDescent="0.25">
      <c r="A1192" t="s">
        <v>31</v>
      </c>
      <c r="B1192" t="s">
        <v>40</v>
      </c>
      <c r="C1192" t="str">
        <f>"556-1-CH-SU-42"</f>
        <v>556-1-CH-SU-42</v>
      </c>
      <c r="D1192" t="s">
        <v>19</v>
      </c>
      <c r="F1192" t="s">
        <v>23</v>
      </c>
      <c r="G1192" t="s">
        <v>42</v>
      </c>
      <c r="H1192">
        <v>42</v>
      </c>
      <c r="J1192" s="1">
        <v>70.13</v>
      </c>
      <c r="K1192" s="1">
        <v>0</v>
      </c>
      <c r="M1192" s="1">
        <v>0</v>
      </c>
      <c r="N1192" s="1">
        <v>0</v>
      </c>
      <c r="O1192" s="1">
        <v>0</v>
      </c>
      <c r="Q1192" s="2">
        <v>70.13</v>
      </c>
    </row>
    <row r="1193" spans="1:17" x14ac:dyDescent="0.25">
      <c r="A1193" t="s">
        <v>31</v>
      </c>
      <c r="B1193" t="s">
        <v>40</v>
      </c>
      <c r="C1193" t="str">
        <f>"556-1-CH-SU-44"</f>
        <v>556-1-CH-SU-44</v>
      </c>
      <c r="D1193" t="s">
        <v>19</v>
      </c>
      <c r="F1193" t="s">
        <v>23</v>
      </c>
      <c r="G1193" t="s">
        <v>42</v>
      </c>
      <c r="H1193">
        <v>44</v>
      </c>
      <c r="J1193" s="1">
        <v>70.13</v>
      </c>
      <c r="K1193" s="1">
        <v>0</v>
      </c>
      <c r="M1193" s="1">
        <v>0</v>
      </c>
      <c r="N1193" s="1">
        <v>0</v>
      </c>
      <c r="O1193" s="1">
        <v>0</v>
      </c>
      <c r="Q1193" s="2">
        <v>70.13</v>
      </c>
    </row>
    <row r="1194" spans="1:17" x14ac:dyDescent="0.25">
      <c r="A1194" t="s">
        <v>31</v>
      </c>
      <c r="B1194" t="s">
        <v>40</v>
      </c>
      <c r="C1194" t="str">
        <f>"556-1-CH-SU-46"</f>
        <v>556-1-CH-SU-46</v>
      </c>
      <c r="D1194" t="s">
        <v>19</v>
      </c>
      <c r="F1194" t="s">
        <v>23</v>
      </c>
      <c r="G1194" t="s">
        <v>42</v>
      </c>
      <c r="H1194">
        <v>46</v>
      </c>
      <c r="J1194" s="1">
        <v>70.13</v>
      </c>
      <c r="K1194" s="1">
        <v>0</v>
      </c>
      <c r="M1194" s="1">
        <v>0</v>
      </c>
      <c r="N1194" s="1">
        <v>0</v>
      </c>
      <c r="O1194" s="1">
        <v>5.0999999999999996</v>
      </c>
      <c r="Q1194" s="2">
        <v>75.23</v>
      </c>
    </row>
    <row r="1195" spans="1:17" x14ac:dyDescent="0.25">
      <c r="A1195" t="s">
        <v>31</v>
      </c>
      <c r="B1195" t="s">
        <v>40</v>
      </c>
      <c r="C1195" t="str">
        <f>"556-1-CH-SU-48"</f>
        <v>556-1-CH-SU-48</v>
      </c>
      <c r="D1195" t="s">
        <v>19</v>
      </c>
      <c r="F1195" t="s">
        <v>23</v>
      </c>
      <c r="G1195" t="s">
        <v>42</v>
      </c>
      <c r="H1195">
        <v>48</v>
      </c>
      <c r="J1195" s="1">
        <v>70.13</v>
      </c>
      <c r="K1195" s="1">
        <v>0</v>
      </c>
      <c r="M1195" s="1">
        <v>0</v>
      </c>
      <c r="N1195" s="1">
        <v>0</v>
      </c>
      <c r="O1195" s="1">
        <v>6.8</v>
      </c>
      <c r="Q1195" s="2">
        <v>76.930000000000007</v>
      </c>
    </row>
    <row r="1196" spans="1:17" x14ac:dyDescent="0.25">
      <c r="A1196" t="s">
        <v>31</v>
      </c>
      <c r="B1196" t="s">
        <v>40</v>
      </c>
      <c r="C1196" t="str">
        <f>"556-1-CH-SU-50"</f>
        <v>556-1-CH-SU-50</v>
      </c>
      <c r="D1196" t="s">
        <v>19</v>
      </c>
      <c r="F1196" t="s">
        <v>23</v>
      </c>
      <c r="G1196" t="s">
        <v>42</v>
      </c>
      <c r="H1196">
        <v>50</v>
      </c>
      <c r="J1196" s="1">
        <v>70.13</v>
      </c>
      <c r="K1196" s="1">
        <v>0</v>
      </c>
      <c r="M1196" s="1">
        <v>0</v>
      </c>
      <c r="N1196" s="1">
        <v>0</v>
      </c>
      <c r="O1196" s="1">
        <v>8.5</v>
      </c>
      <c r="Q1196" s="2">
        <v>78.63</v>
      </c>
    </row>
    <row r="1197" spans="1:17" x14ac:dyDescent="0.25">
      <c r="A1197" t="s">
        <v>31</v>
      </c>
      <c r="B1197" t="s">
        <v>40</v>
      </c>
      <c r="C1197" t="str">
        <f>"556-1-CH-SU-52"</f>
        <v>556-1-CH-SU-52</v>
      </c>
      <c r="D1197" t="s">
        <v>19</v>
      </c>
      <c r="F1197" t="s">
        <v>23</v>
      </c>
      <c r="G1197" t="s">
        <v>42</v>
      </c>
      <c r="H1197">
        <v>52</v>
      </c>
      <c r="J1197" s="1">
        <v>70.13</v>
      </c>
      <c r="K1197" s="1">
        <v>0</v>
      </c>
      <c r="M1197" s="1">
        <v>0</v>
      </c>
      <c r="N1197" s="1">
        <v>0</v>
      </c>
      <c r="O1197" s="1">
        <v>10.199999999999999</v>
      </c>
      <c r="Q1197" s="2">
        <v>80.33</v>
      </c>
    </row>
    <row r="1198" spans="1:17" x14ac:dyDescent="0.25">
      <c r="A1198" t="s">
        <v>31</v>
      </c>
      <c r="B1198" t="s">
        <v>40</v>
      </c>
      <c r="C1198" t="str">
        <f>"556-1-CH-SU-54"</f>
        <v>556-1-CH-SU-54</v>
      </c>
      <c r="D1198" t="s">
        <v>19</v>
      </c>
      <c r="F1198" t="s">
        <v>23</v>
      </c>
      <c r="G1198" t="s">
        <v>42</v>
      </c>
      <c r="H1198">
        <v>54</v>
      </c>
      <c r="J1198" s="1">
        <v>70.13</v>
      </c>
      <c r="K1198" s="1">
        <v>0</v>
      </c>
      <c r="M1198" s="1">
        <v>0</v>
      </c>
      <c r="N1198" s="1">
        <v>0</v>
      </c>
      <c r="O1198" s="1">
        <v>11.9</v>
      </c>
      <c r="Q1198" s="2">
        <v>82.03</v>
      </c>
    </row>
    <row r="1199" spans="1:17" x14ac:dyDescent="0.25">
      <c r="A1199" t="s">
        <v>31</v>
      </c>
      <c r="B1199" t="s">
        <v>40</v>
      </c>
      <c r="C1199" t="str">
        <f>"556-1-CH-SU-56"</f>
        <v>556-1-CH-SU-56</v>
      </c>
      <c r="D1199" t="s">
        <v>19</v>
      </c>
      <c r="F1199" t="s">
        <v>23</v>
      </c>
      <c r="G1199" t="s">
        <v>42</v>
      </c>
      <c r="H1199">
        <v>56</v>
      </c>
      <c r="J1199" s="1">
        <v>70.13</v>
      </c>
      <c r="K1199" s="1">
        <v>0</v>
      </c>
      <c r="M1199" s="1">
        <v>0</v>
      </c>
      <c r="N1199" s="1">
        <v>0</v>
      </c>
      <c r="O1199" s="1">
        <v>13.6</v>
      </c>
      <c r="Q1199" s="2">
        <v>83.73</v>
      </c>
    </row>
    <row r="1200" spans="1:17" x14ac:dyDescent="0.25">
      <c r="A1200" t="s">
        <v>31</v>
      </c>
      <c r="B1200" t="s">
        <v>40</v>
      </c>
      <c r="C1200" t="str">
        <f>"556-1-CH-SU-58"</f>
        <v>556-1-CH-SU-58</v>
      </c>
      <c r="D1200" t="s">
        <v>19</v>
      </c>
      <c r="F1200" t="s">
        <v>23</v>
      </c>
      <c r="G1200" t="s">
        <v>42</v>
      </c>
      <c r="H1200">
        <v>58</v>
      </c>
      <c r="J1200" s="1">
        <v>70.13</v>
      </c>
      <c r="K1200" s="1">
        <v>0</v>
      </c>
      <c r="M1200" s="1">
        <v>0</v>
      </c>
      <c r="N1200" s="1">
        <v>0</v>
      </c>
      <c r="O1200" s="1">
        <v>15.3</v>
      </c>
      <c r="Q1200" s="2">
        <v>85.43</v>
      </c>
    </row>
    <row r="1201" spans="1:17" x14ac:dyDescent="0.25">
      <c r="A1201" t="s">
        <v>31</v>
      </c>
      <c r="B1201" t="s">
        <v>40</v>
      </c>
      <c r="C1201" t="str">
        <f>"556-1-CH-SU-60"</f>
        <v>556-1-CH-SU-60</v>
      </c>
      <c r="D1201" t="s">
        <v>19</v>
      </c>
      <c r="F1201" t="s">
        <v>23</v>
      </c>
      <c r="G1201" t="s">
        <v>42</v>
      </c>
      <c r="H1201">
        <v>60</v>
      </c>
      <c r="J1201" s="1">
        <v>70.13</v>
      </c>
      <c r="K1201" s="1">
        <v>0</v>
      </c>
      <c r="M1201" s="1">
        <v>0</v>
      </c>
      <c r="N1201" s="1">
        <v>0</v>
      </c>
      <c r="O1201" s="1">
        <v>17</v>
      </c>
      <c r="Q1201" s="2">
        <v>87.13</v>
      </c>
    </row>
    <row r="1202" spans="1:17" x14ac:dyDescent="0.25">
      <c r="A1202" t="s">
        <v>31</v>
      </c>
      <c r="B1202" t="s">
        <v>40</v>
      </c>
      <c r="C1202" t="str">
        <f>"556-1-CH-SU-62"</f>
        <v>556-1-CH-SU-62</v>
      </c>
      <c r="D1202" t="s">
        <v>19</v>
      </c>
      <c r="F1202" t="s">
        <v>23</v>
      </c>
      <c r="G1202" t="s">
        <v>42</v>
      </c>
      <c r="H1202">
        <v>62</v>
      </c>
      <c r="J1202" s="1">
        <v>70.13</v>
      </c>
      <c r="K1202" s="1">
        <v>0</v>
      </c>
      <c r="M1202" s="1">
        <v>0</v>
      </c>
      <c r="N1202" s="1">
        <v>0</v>
      </c>
      <c r="O1202" s="1">
        <v>18.7</v>
      </c>
      <c r="Q1202" s="2">
        <v>88.83</v>
      </c>
    </row>
    <row r="1203" spans="1:17" x14ac:dyDescent="0.25">
      <c r="A1203" t="s">
        <v>31</v>
      </c>
      <c r="B1203" t="s">
        <v>40</v>
      </c>
      <c r="C1203" t="str">
        <f>"556-1-CH-SU-64"</f>
        <v>556-1-CH-SU-64</v>
      </c>
      <c r="D1203" t="s">
        <v>19</v>
      </c>
      <c r="F1203" t="s">
        <v>23</v>
      </c>
      <c r="G1203" t="s">
        <v>42</v>
      </c>
      <c r="H1203">
        <v>64</v>
      </c>
      <c r="J1203" s="1">
        <v>70.13</v>
      </c>
      <c r="K1203" s="1">
        <v>0</v>
      </c>
      <c r="M1203" s="1">
        <v>0</v>
      </c>
      <c r="N1203" s="1">
        <v>0</v>
      </c>
      <c r="O1203" s="1">
        <v>18.7</v>
      </c>
      <c r="Q1203" s="2">
        <v>88.83</v>
      </c>
    </row>
    <row r="1204" spans="1:17" x14ac:dyDescent="0.25">
      <c r="A1204" t="s">
        <v>31</v>
      </c>
      <c r="B1204" t="s">
        <v>40</v>
      </c>
      <c r="C1204" t="str">
        <f>"556-1-CH-SU-66"</f>
        <v>556-1-CH-SU-66</v>
      </c>
      <c r="D1204" t="s">
        <v>19</v>
      </c>
      <c r="F1204" t="s">
        <v>23</v>
      </c>
      <c r="G1204" t="s">
        <v>42</v>
      </c>
      <c r="H1204">
        <v>66</v>
      </c>
      <c r="J1204" s="1">
        <v>70.13</v>
      </c>
      <c r="K1204" s="1">
        <v>0</v>
      </c>
      <c r="M1204" s="1">
        <v>0</v>
      </c>
      <c r="N1204" s="1">
        <v>0</v>
      </c>
      <c r="O1204" s="1">
        <v>18.7</v>
      </c>
      <c r="Q1204" s="2">
        <v>88.83</v>
      </c>
    </row>
    <row r="1205" spans="1:17" x14ac:dyDescent="0.25">
      <c r="A1205" t="s">
        <v>31</v>
      </c>
      <c r="B1205" t="s">
        <v>40</v>
      </c>
      <c r="C1205" t="str">
        <f>"556-1-CH-SU-68"</f>
        <v>556-1-CH-SU-68</v>
      </c>
      <c r="D1205" t="s">
        <v>19</v>
      </c>
      <c r="F1205" t="s">
        <v>23</v>
      </c>
      <c r="G1205" t="s">
        <v>42</v>
      </c>
      <c r="H1205">
        <v>68</v>
      </c>
      <c r="J1205" s="1">
        <v>70.13</v>
      </c>
      <c r="K1205" s="1">
        <v>0</v>
      </c>
      <c r="M1205" s="1">
        <v>0</v>
      </c>
      <c r="N1205" s="1">
        <v>0</v>
      </c>
      <c r="O1205" s="1">
        <v>20.399999999999999</v>
      </c>
      <c r="Q1205" s="2">
        <v>90.53</v>
      </c>
    </row>
    <row r="1206" spans="1:17" x14ac:dyDescent="0.25">
      <c r="A1206" t="s">
        <v>31</v>
      </c>
      <c r="B1206" t="s">
        <v>40</v>
      </c>
      <c r="C1206" t="str">
        <f>"556-1-CH-SU-70"</f>
        <v>556-1-CH-SU-70</v>
      </c>
      <c r="D1206" t="s">
        <v>19</v>
      </c>
      <c r="F1206" t="s">
        <v>23</v>
      </c>
      <c r="G1206" t="s">
        <v>42</v>
      </c>
      <c r="H1206">
        <v>70</v>
      </c>
      <c r="J1206" s="1">
        <v>70.13</v>
      </c>
      <c r="K1206" s="1">
        <v>0</v>
      </c>
      <c r="M1206" s="1">
        <v>0</v>
      </c>
      <c r="N1206" s="1">
        <v>0</v>
      </c>
      <c r="O1206" s="1">
        <v>22.1</v>
      </c>
      <c r="Q1206" s="2">
        <v>92.23</v>
      </c>
    </row>
    <row r="1207" spans="1:17" x14ac:dyDescent="0.25">
      <c r="A1207" t="s">
        <v>31</v>
      </c>
      <c r="B1207" t="s">
        <v>40</v>
      </c>
      <c r="C1207" t="str">
        <f>"556-1-CH-SU-72"</f>
        <v>556-1-CH-SU-72</v>
      </c>
      <c r="D1207" t="s">
        <v>19</v>
      </c>
      <c r="F1207" t="s">
        <v>23</v>
      </c>
      <c r="G1207" t="s">
        <v>42</v>
      </c>
      <c r="H1207">
        <v>72</v>
      </c>
      <c r="J1207" s="1">
        <v>70.13</v>
      </c>
      <c r="K1207" s="1">
        <v>0</v>
      </c>
      <c r="M1207" s="1">
        <v>0</v>
      </c>
      <c r="N1207" s="1">
        <v>0</v>
      </c>
      <c r="O1207" s="1">
        <v>23.8</v>
      </c>
      <c r="Q1207" s="2">
        <v>93.93</v>
      </c>
    </row>
    <row r="1208" spans="1:17" x14ac:dyDescent="0.25">
      <c r="A1208" t="s">
        <v>31</v>
      </c>
      <c r="B1208" t="s">
        <v>40</v>
      </c>
      <c r="C1208" t="str">
        <f>"556-1-CH-SU-74"</f>
        <v>556-1-CH-SU-74</v>
      </c>
      <c r="D1208" t="s">
        <v>19</v>
      </c>
      <c r="F1208" t="s">
        <v>23</v>
      </c>
      <c r="G1208" t="s">
        <v>42</v>
      </c>
      <c r="H1208">
        <v>74</v>
      </c>
      <c r="J1208" s="1">
        <v>70.13</v>
      </c>
      <c r="K1208" s="1">
        <v>0</v>
      </c>
      <c r="M1208" s="1">
        <v>0</v>
      </c>
      <c r="N1208" s="1">
        <v>0</v>
      </c>
      <c r="O1208" s="1">
        <v>25.5</v>
      </c>
      <c r="Q1208" s="2">
        <v>95.63</v>
      </c>
    </row>
    <row r="1209" spans="1:17" x14ac:dyDescent="0.25">
      <c r="A1209" t="s">
        <v>31</v>
      </c>
      <c r="B1209" t="s">
        <v>40</v>
      </c>
      <c r="C1209" t="str">
        <f>"556-1-CH-SU-76"</f>
        <v>556-1-CH-SU-76</v>
      </c>
      <c r="D1209" t="s">
        <v>19</v>
      </c>
      <c r="F1209" t="s">
        <v>23</v>
      </c>
      <c r="G1209" t="s">
        <v>42</v>
      </c>
      <c r="H1209">
        <v>76</v>
      </c>
      <c r="J1209" s="1">
        <v>70.13</v>
      </c>
      <c r="K1209" s="1">
        <v>0</v>
      </c>
      <c r="M1209" s="1">
        <v>0</v>
      </c>
      <c r="N1209" s="1">
        <v>0</v>
      </c>
      <c r="O1209" s="1">
        <v>27.2</v>
      </c>
      <c r="Q1209" s="2">
        <v>97.33</v>
      </c>
    </row>
    <row r="1210" spans="1:17" x14ac:dyDescent="0.25">
      <c r="A1210" t="s">
        <v>31</v>
      </c>
      <c r="B1210" t="s">
        <v>40</v>
      </c>
      <c r="C1210" t="str">
        <f>"556-1-CH-SU-78"</f>
        <v>556-1-CH-SU-78</v>
      </c>
      <c r="D1210" t="s">
        <v>19</v>
      </c>
      <c r="F1210" t="s">
        <v>23</v>
      </c>
      <c r="G1210" t="s">
        <v>42</v>
      </c>
      <c r="H1210">
        <v>78</v>
      </c>
      <c r="J1210" s="1">
        <v>70.13</v>
      </c>
      <c r="K1210" s="1">
        <v>0</v>
      </c>
      <c r="M1210" s="1">
        <v>0</v>
      </c>
      <c r="N1210" s="1">
        <v>0</v>
      </c>
      <c r="O1210" s="1">
        <v>28.9</v>
      </c>
      <c r="Q1210" s="2">
        <v>99.03</v>
      </c>
    </row>
    <row r="1211" spans="1:17" x14ac:dyDescent="0.25">
      <c r="A1211" t="s">
        <v>31</v>
      </c>
      <c r="B1211" t="s">
        <v>40</v>
      </c>
      <c r="C1211" t="str">
        <f>"556-1-CH-SU-80"</f>
        <v>556-1-CH-SU-80</v>
      </c>
      <c r="D1211" t="s">
        <v>19</v>
      </c>
      <c r="F1211" t="s">
        <v>23</v>
      </c>
      <c r="G1211" t="s">
        <v>42</v>
      </c>
      <c r="H1211">
        <v>80</v>
      </c>
      <c r="J1211" s="1">
        <v>70.13</v>
      </c>
      <c r="K1211" s="1">
        <v>0</v>
      </c>
      <c r="M1211" s="1">
        <v>0</v>
      </c>
      <c r="N1211" s="1">
        <v>0</v>
      </c>
      <c r="O1211" s="1">
        <v>30.6</v>
      </c>
      <c r="Q1211" s="2">
        <v>100.73</v>
      </c>
    </row>
    <row r="1212" spans="1:17" x14ac:dyDescent="0.25">
      <c r="A1212" t="s">
        <v>31</v>
      </c>
      <c r="B1212" t="s">
        <v>40</v>
      </c>
      <c r="C1212" t="str">
        <f>"556-1-CH-VL-22"</f>
        <v>556-1-CH-VL-22</v>
      </c>
      <c r="D1212" t="s">
        <v>19</v>
      </c>
      <c r="F1212" t="s">
        <v>23</v>
      </c>
      <c r="G1212" t="s">
        <v>43</v>
      </c>
      <c r="H1212">
        <v>22</v>
      </c>
      <c r="J1212" s="1">
        <v>70.13</v>
      </c>
      <c r="K1212" s="1">
        <v>0</v>
      </c>
      <c r="M1212" s="1">
        <v>0</v>
      </c>
      <c r="N1212" s="1">
        <v>11.9</v>
      </c>
      <c r="O1212" s="1">
        <v>0</v>
      </c>
      <c r="Q1212" s="2">
        <v>82.03</v>
      </c>
    </row>
    <row r="1213" spans="1:17" x14ac:dyDescent="0.25">
      <c r="A1213" t="s">
        <v>31</v>
      </c>
      <c r="B1213" t="s">
        <v>40</v>
      </c>
      <c r="C1213" t="str">
        <f>"556-1-CH-VL-24"</f>
        <v>556-1-CH-VL-24</v>
      </c>
      <c r="D1213" t="s">
        <v>19</v>
      </c>
      <c r="F1213" t="s">
        <v>23</v>
      </c>
      <c r="G1213" t="s">
        <v>43</v>
      </c>
      <c r="H1213">
        <v>24</v>
      </c>
      <c r="J1213" s="1">
        <v>70.13</v>
      </c>
      <c r="K1213" s="1">
        <v>0</v>
      </c>
      <c r="M1213" s="1">
        <v>0</v>
      </c>
      <c r="N1213" s="1">
        <v>11.9</v>
      </c>
      <c r="O1213" s="1">
        <v>0</v>
      </c>
      <c r="Q1213" s="2">
        <v>82.03</v>
      </c>
    </row>
    <row r="1214" spans="1:17" x14ac:dyDescent="0.25">
      <c r="A1214" t="s">
        <v>31</v>
      </c>
      <c r="B1214" t="s">
        <v>40</v>
      </c>
      <c r="C1214" t="str">
        <f>"556-1-CH-VL-26"</f>
        <v>556-1-CH-VL-26</v>
      </c>
      <c r="D1214" t="s">
        <v>19</v>
      </c>
      <c r="F1214" t="s">
        <v>23</v>
      </c>
      <c r="G1214" t="s">
        <v>43</v>
      </c>
      <c r="H1214">
        <v>26</v>
      </c>
      <c r="J1214" s="1">
        <v>70.13</v>
      </c>
      <c r="K1214" s="1">
        <v>0</v>
      </c>
      <c r="M1214" s="1">
        <v>0</v>
      </c>
      <c r="N1214" s="1">
        <v>11.9</v>
      </c>
      <c r="O1214" s="1">
        <v>0</v>
      </c>
      <c r="Q1214" s="2">
        <v>82.03</v>
      </c>
    </row>
    <row r="1215" spans="1:17" x14ac:dyDescent="0.25">
      <c r="A1215" t="s">
        <v>31</v>
      </c>
      <c r="B1215" t="s">
        <v>40</v>
      </c>
      <c r="C1215" t="str">
        <f>"556-1-CH-VL-28"</f>
        <v>556-1-CH-VL-28</v>
      </c>
      <c r="D1215" t="s">
        <v>19</v>
      </c>
      <c r="F1215" t="s">
        <v>23</v>
      </c>
      <c r="G1215" t="s">
        <v>43</v>
      </c>
      <c r="H1215">
        <v>28</v>
      </c>
      <c r="J1215" s="1">
        <v>70.13</v>
      </c>
      <c r="K1215" s="1">
        <v>0</v>
      </c>
      <c r="M1215" s="1">
        <v>0</v>
      </c>
      <c r="N1215" s="1">
        <v>11.9</v>
      </c>
      <c r="O1215" s="1">
        <v>0</v>
      </c>
      <c r="Q1215" s="2">
        <v>82.03</v>
      </c>
    </row>
    <row r="1216" spans="1:17" x14ac:dyDescent="0.25">
      <c r="A1216" t="s">
        <v>31</v>
      </c>
      <c r="B1216" t="s">
        <v>40</v>
      </c>
      <c r="C1216" t="str">
        <f>"556-1-CH-VL-30"</f>
        <v>556-1-CH-VL-30</v>
      </c>
      <c r="D1216" t="s">
        <v>19</v>
      </c>
      <c r="F1216" t="s">
        <v>23</v>
      </c>
      <c r="G1216" t="s">
        <v>43</v>
      </c>
      <c r="H1216">
        <v>30</v>
      </c>
      <c r="J1216" s="1">
        <v>70.13</v>
      </c>
      <c r="K1216" s="1">
        <v>0</v>
      </c>
      <c r="M1216" s="1">
        <v>0</v>
      </c>
      <c r="N1216" s="1">
        <v>11.9</v>
      </c>
      <c r="O1216" s="1">
        <v>0</v>
      </c>
      <c r="Q1216" s="2">
        <v>82.03</v>
      </c>
    </row>
    <row r="1217" spans="1:17" x14ac:dyDescent="0.25">
      <c r="A1217" t="s">
        <v>31</v>
      </c>
      <c r="B1217" t="s">
        <v>40</v>
      </c>
      <c r="C1217" t="str">
        <f>"556-1-CH-VL-32"</f>
        <v>556-1-CH-VL-32</v>
      </c>
      <c r="D1217" t="s">
        <v>19</v>
      </c>
      <c r="F1217" t="s">
        <v>23</v>
      </c>
      <c r="G1217" t="s">
        <v>43</v>
      </c>
      <c r="H1217">
        <v>32</v>
      </c>
      <c r="J1217" s="1">
        <v>70.13</v>
      </c>
      <c r="K1217" s="1">
        <v>0</v>
      </c>
      <c r="M1217" s="1">
        <v>0</v>
      </c>
      <c r="N1217" s="1">
        <v>11.9</v>
      </c>
      <c r="O1217" s="1">
        <v>0</v>
      </c>
      <c r="Q1217" s="2">
        <v>82.03</v>
      </c>
    </row>
    <row r="1218" spans="1:17" x14ac:dyDescent="0.25">
      <c r="A1218" t="s">
        <v>31</v>
      </c>
      <c r="B1218" t="s">
        <v>40</v>
      </c>
      <c r="C1218" t="str">
        <f>"556-1-CH-VL-34"</f>
        <v>556-1-CH-VL-34</v>
      </c>
      <c r="D1218" t="s">
        <v>19</v>
      </c>
      <c r="F1218" t="s">
        <v>23</v>
      </c>
      <c r="G1218" t="s">
        <v>43</v>
      </c>
      <c r="H1218">
        <v>34</v>
      </c>
      <c r="J1218" s="1">
        <v>70.13</v>
      </c>
      <c r="K1218" s="1">
        <v>0</v>
      </c>
      <c r="M1218" s="1">
        <v>0</v>
      </c>
      <c r="N1218" s="1">
        <v>11.9</v>
      </c>
      <c r="O1218" s="1">
        <v>0</v>
      </c>
      <c r="Q1218" s="2">
        <v>82.03</v>
      </c>
    </row>
    <row r="1219" spans="1:17" x14ac:dyDescent="0.25">
      <c r="A1219" t="s">
        <v>31</v>
      </c>
      <c r="B1219" t="s">
        <v>40</v>
      </c>
      <c r="C1219" t="str">
        <f>"556-1-CH-VL-36"</f>
        <v>556-1-CH-VL-36</v>
      </c>
      <c r="D1219" t="s">
        <v>19</v>
      </c>
      <c r="F1219" t="s">
        <v>23</v>
      </c>
      <c r="G1219" t="s">
        <v>43</v>
      </c>
      <c r="H1219">
        <v>36</v>
      </c>
      <c r="J1219" s="1">
        <v>70.13</v>
      </c>
      <c r="K1219" s="1">
        <v>0</v>
      </c>
      <c r="M1219" s="1">
        <v>0</v>
      </c>
      <c r="N1219" s="1">
        <v>11.9</v>
      </c>
      <c r="O1219" s="1">
        <v>0</v>
      </c>
      <c r="Q1219" s="2">
        <v>82.03</v>
      </c>
    </row>
    <row r="1220" spans="1:17" x14ac:dyDescent="0.25">
      <c r="A1220" t="s">
        <v>31</v>
      </c>
      <c r="B1220" t="s">
        <v>40</v>
      </c>
      <c r="C1220" t="str">
        <f>"556-1-CH-VL-38"</f>
        <v>556-1-CH-VL-38</v>
      </c>
      <c r="D1220" t="s">
        <v>19</v>
      </c>
      <c r="F1220" t="s">
        <v>23</v>
      </c>
      <c r="G1220" t="s">
        <v>43</v>
      </c>
      <c r="H1220">
        <v>38</v>
      </c>
      <c r="J1220" s="1">
        <v>70.13</v>
      </c>
      <c r="K1220" s="1">
        <v>0</v>
      </c>
      <c r="M1220" s="1">
        <v>0</v>
      </c>
      <c r="N1220" s="1">
        <v>11.9</v>
      </c>
      <c r="O1220" s="1">
        <v>0</v>
      </c>
      <c r="Q1220" s="2">
        <v>82.03</v>
      </c>
    </row>
    <row r="1221" spans="1:17" x14ac:dyDescent="0.25">
      <c r="A1221" t="s">
        <v>31</v>
      </c>
      <c r="B1221" t="s">
        <v>40</v>
      </c>
      <c r="C1221" t="str">
        <f>"556-1-CH-VL-40"</f>
        <v>556-1-CH-VL-40</v>
      </c>
      <c r="D1221" t="s">
        <v>19</v>
      </c>
      <c r="F1221" t="s">
        <v>23</v>
      </c>
      <c r="G1221" t="s">
        <v>43</v>
      </c>
      <c r="H1221">
        <v>40</v>
      </c>
      <c r="J1221" s="1">
        <v>70.13</v>
      </c>
      <c r="K1221" s="1">
        <v>0</v>
      </c>
      <c r="M1221" s="1">
        <v>0</v>
      </c>
      <c r="N1221" s="1">
        <v>11.9</v>
      </c>
      <c r="O1221" s="1">
        <v>0</v>
      </c>
      <c r="Q1221" s="2">
        <v>82.03</v>
      </c>
    </row>
    <row r="1222" spans="1:17" x14ac:dyDescent="0.25">
      <c r="A1222" t="s">
        <v>31</v>
      </c>
      <c r="B1222" t="s">
        <v>40</v>
      </c>
      <c r="C1222" t="str">
        <f>"556-1-CH-VL-42"</f>
        <v>556-1-CH-VL-42</v>
      </c>
      <c r="D1222" t="s">
        <v>19</v>
      </c>
      <c r="F1222" t="s">
        <v>23</v>
      </c>
      <c r="G1222" t="s">
        <v>43</v>
      </c>
      <c r="H1222">
        <v>42</v>
      </c>
      <c r="J1222" s="1">
        <v>70.13</v>
      </c>
      <c r="K1222" s="1">
        <v>0</v>
      </c>
      <c r="M1222" s="1">
        <v>0</v>
      </c>
      <c r="N1222" s="1">
        <v>11.9</v>
      </c>
      <c r="O1222" s="1">
        <v>0</v>
      </c>
      <c r="Q1222" s="2">
        <v>82.03</v>
      </c>
    </row>
    <row r="1223" spans="1:17" x14ac:dyDescent="0.25">
      <c r="A1223" t="s">
        <v>31</v>
      </c>
      <c r="B1223" t="s">
        <v>40</v>
      </c>
      <c r="C1223" t="str">
        <f>"556-1-CH-VL-44"</f>
        <v>556-1-CH-VL-44</v>
      </c>
      <c r="D1223" t="s">
        <v>19</v>
      </c>
      <c r="F1223" t="s">
        <v>23</v>
      </c>
      <c r="G1223" t="s">
        <v>43</v>
      </c>
      <c r="H1223">
        <v>44</v>
      </c>
      <c r="J1223" s="1">
        <v>70.13</v>
      </c>
      <c r="K1223" s="1">
        <v>0</v>
      </c>
      <c r="M1223" s="1">
        <v>0</v>
      </c>
      <c r="N1223" s="1">
        <v>11.9</v>
      </c>
      <c r="O1223" s="1">
        <v>0</v>
      </c>
      <c r="Q1223" s="2">
        <v>82.03</v>
      </c>
    </row>
    <row r="1224" spans="1:17" x14ac:dyDescent="0.25">
      <c r="A1224" t="s">
        <v>31</v>
      </c>
      <c r="B1224" t="s">
        <v>40</v>
      </c>
      <c r="C1224" t="str">
        <f>"556-1-CH-VL-46"</f>
        <v>556-1-CH-VL-46</v>
      </c>
      <c r="D1224" t="s">
        <v>19</v>
      </c>
      <c r="F1224" t="s">
        <v>23</v>
      </c>
      <c r="G1224" t="s">
        <v>43</v>
      </c>
      <c r="H1224">
        <v>46</v>
      </c>
      <c r="J1224" s="1">
        <v>70.13</v>
      </c>
      <c r="K1224" s="1">
        <v>0</v>
      </c>
      <c r="M1224" s="1">
        <v>0</v>
      </c>
      <c r="N1224" s="1">
        <v>11.9</v>
      </c>
      <c r="O1224" s="1">
        <v>5.0999999999999996</v>
      </c>
      <c r="Q1224" s="2">
        <v>87.13</v>
      </c>
    </row>
    <row r="1225" spans="1:17" x14ac:dyDescent="0.25">
      <c r="A1225" t="s">
        <v>31</v>
      </c>
      <c r="B1225" t="s">
        <v>40</v>
      </c>
      <c r="C1225" t="str">
        <f>"556-1-CH-VL-48"</f>
        <v>556-1-CH-VL-48</v>
      </c>
      <c r="D1225" t="s">
        <v>19</v>
      </c>
      <c r="F1225" t="s">
        <v>23</v>
      </c>
      <c r="G1225" t="s">
        <v>43</v>
      </c>
      <c r="H1225">
        <v>48</v>
      </c>
      <c r="J1225" s="1">
        <v>70.13</v>
      </c>
      <c r="K1225" s="1">
        <v>0</v>
      </c>
      <c r="M1225" s="1">
        <v>0</v>
      </c>
      <c r="N1225" s="1">
        <v>11.9</v>
      </c>
      <c r="O1225" s="1">
        <v>6.8</v>
      </c>
      <c r="Q1225" s="2">
        <v>88.83</v>
      </c>
    </row>
    <row r="1226" spans="1:17" x14ac:dyDescent="0.25">
      <c r="A1226" t="s">
        <v>31</v>
      </c>
      <c r="B1226" t="s">
        <v>40</v>
      </c>
      <c r="C1226" t="str">
        <f>"556-1-CH-VL-50"</f>
        <v>556-1-CH-VL-50</v>
      </c>
      <c r="D1226" t="s">
        <v>19</v>
      </c>
      <c r="F1226" t="s">
        <v>23</v>
      </c>
      <c r="G1226" t="s">
        <v>43</v>
      </c>
      <c r="H1226">
        <v>50</v>
      </c>
      <c r="J1226" s="1">
        <v>70.13</v>
      </c>
      <c r="K1226" s="1">
        <v>0</v>
      </c>
      <c r="M1226" s="1">
        <v>0</v>
      </c>
      <c r="N1226" s="1">
        <v>11.9</v>
      </c>
      <c r="O1226" s="1">
        <v>8.5</v>
      </c>
      <c r="Q1226" s="2">
        <v>90.53</v>
      </c>
    </row>
    <row r="1227" spans="1:17" x14ac:dyDescent="0.25">
      <c r="A1227" t="s">
        <v>31</v>
      </c>
      <c r="B1227" t="s">
        <v>40</v>
      </c>
      <c r="C1227" t="str">
        <f>"556-1-CH-VL-52"</f>
        <v>556-1-CH-VL-52</v>
      </c>
      <c r="D1227" t="s">
        <v>19</v>
      </c>
      <c r="F1227" t="s">
        <v>23</v>
      </c>
      <c r="G1227" t="s">
        <v>43</v>
      </c>
      <c r="H1227">
        <v>52</v>
      </c>
      <c r="J1227" s="1">
        <v>70.13</v>
      </c>
      <c r="K1227" s="1">
        <v>0</v>
      </c>
      <c r="M1227" s="1">
        <v>0</v>
      </c>
      <c r="N1227" s="1">
        <v>11.9</v>
      </c>
      <c r="O1227" s="1">
        <v>10.199999999999999</v>
      </c>
      <c r="Q1227" s="2">
        <v>92.23</v>
      </c>
    </row>
    <row r="1228" spans="1:17" x14ac:dyDescent="0.25">
      <c r="A1228" t="s">
        <v>31</v>
      </c>
      <c r="B1228" t="s">
        <v>40</v>
      </c>
      <c r="C1228" t="str">
        <f>"556-1-CH-VL-54"</f>
        <v>556-1-CH-VL-54</v>
      </c>
      <c r="D1228" t="s">
        <v>19</v>
      </c>
      <c r="F1228" t="s">
        <v>23</v>
      </c>
      <c r="G1228" t="s">
        <v>43</v>
      </c>
      <c r="H1228">
        <v>54</v>
      </c>
      <c r="J1228" s="1">
        <v>70.13</v>
      </c>
      <c r="K1228" s="1">
        <v>0</v>
      </c>
      <c r="M1228" s="1">
        <v>0</v>
      </c>
      <c r="N1228" s="1">
        <v>11.9</v>
      </c>
      <c r="O1228" s="1">
        <v>11.9</v>
      </c>
      <c r="Q1228" s="2">
        <v>93.93</v>
      </c>
    </row>
    <row r="1229" spans="1:17" x14ac:dyDescent="0.25">
      <c r="A1229" t="s">
        <v>31</v>
      </c>
      <c r="B1229" t="s">
        <v>40</v>
      </c>
      <c r="C1229" t="str">
        <f>"556-1-CH-VL-56"</f>
        <v>556-1-CH-VL-56</v>
      </c>
      <c r="D1229" t="s">
        <v>19</v>
      </c>
      <c r="F1229" t="s">
        <v>23</v>
      </c>
      <c r="G1229" t="s">
        <v>43</v>
      </c>
      <c r="H1229">
        <v>56</v>
      </c>
      <c r="J1229" s="1">
        <v>70.13</v>
      </c>
      <c r="K1229" s="1">
        <v>0</v>
      </c>
      <c r="M1229" s="1">
        <v>0</v>
      </c>
      <c r="N1229" s="1">
        <v>11.9</v>
      </c>
      <c r="O1229" s="1">
        <v>13.6</v>
      </c>
      <c r="Q1229" s="2">
        <v>95.63</v>
      </c>
    </row>
    <row r="1230" spans="1:17" x14ac:dyDescent="0.25">
      <c r="A1230" t="s">
        <v>31</v>
      </c>
      <c r="B1230" t="s">
        <v>40</v>
      </c>
      <c r="C1230" t="str">
        <f>"556-1-CH-VL-58"</f>
        <v>556-1-CH-VL-58</v>
      </c>
      <c r="D1230" t="s">
        <v>19</v>
      </c>
      <c r="F1230" t="s">
        <v>23</v>
      </c>
      <c r="G1230" t="s">
        <v>43</v>
      </c>
      <c r="H1230">
        <v>58</v>
      </c>
      <c r="J1230" s="1">
        <v>70.13</v>
      </c>
      <c r="K1230" s="1">
        <v>0</v>
      </c>
      <c r="M1230" s="1">
        <v>0</v>
      </c>
      <c r="N1230" s="1">
        <v>11.9</v>
      </c>
      <c r="O1230" s="1">
        <v>15.3</v>
      </c>
      <c r="Q1230" s="2">
        <v>97.33</v>
      </c>
    </row>
    <row r="1231" spans="1:17" x14ac:dyDescent="0.25">
      <c r="A1231" t="s">
        <v>31</v>
      </c>
      <c r="B1231" t="s">
        <v>40</v>
      </c>
      <c r="C1231" t="str">
        <f>"556-1-CH-VL-60"</f>
        <v>556-1-CH-VL-60</v>
      </c>
      <c r="D1231" t="s">
        <v>19</v>
      </c>
      <c r="F1231" t="s">
        <v>23</v>
      </c>
      <c r="G1231" t="s">
        <v>43</v>
      </c>
      <c r="H1231">
        <v>60</v>
      </c>
      <c r="J1231" s="1">
        <v>70.13</v>
      </c>
      <c r="K1231" s="1">
        <v>0</v>
      </c>
      <c r="M1231" s="1">
        <v>0</v>
      </c>
      <c r="N1231" s="1">
        <v>11.9</v>
      </c>
      <c r="O1231" s="1">
        <v>17</v>
      </c>
      <c r="Q1231" s="2">
        <v>99.03</v>
      </c>
    </row>
    <row r="1232" spans="1:17" x14ac:dyDescent="0.25">
      <c r="A1232" t="s">
        <v>31</v>
      </c>
      <c r="B1232" t="s">
        <v>40</v>
      </c>
      <c r="C1232" t="str">
        <f>"556-1-CH-VL-62"</f>
        <v>556-1-CH-VL-62</v>
      </c>
      <c r="D1232" t="s">
        <v>19</v>
      </c>
      <c r="F1232" t="s">
        <v>23</v>
      </c>
      <c r="G1232" t="s">
        <v>43</v>
      </c>
      <c r="H1232">
        <v>62</v>
      </c>
      <c r="J1232" s="1">
        <v>70.13</v>
      </c>
      <c r="K1232" s="1">
        <v>0</v>
      </c>
      <c r="M1232" s="1">
        <v>0</v>
      </c>
      <c r="N1232" s="1">
        <v>11.9</v>
      </c>
      <c r="O1232" s="1">
        <v>18.7</v>
      </c>
      <c r="Q1232" s="2">
        <v>100.73</v>
      </c>
    </row>
    <row r="1233" spans="1:17" x14ac:dyDescent="0.25">
      <c r="A1233" t="s">
        <v>31</v>
      </c>
      <c r="B1233" t="s">
        <v>40</v>
      </c>
      <c r="C1233" t="str">
        <f>"556-1-CH-VL-64"</f>
        <v>556-1-CH-VL-64</v>
      </c>
      <c r="D1233" t="s">
        <v>19</v>
      </c>
      <c r="F1233" t="s">
        <v>23</v>
      </c>
      <c r="G1233" t="s">
        <v>43</v>
      </c>
      <c r="H1233">
        <v>64</v>
      </c>
      <c r="J1233" s="1">
        <v>70.13</v>
      </c>
      <c r="K1233" s="1">
        <v>0</v>
      </c>
      <c r="M1233" s="1">
        <v>0</v>
      </c>
      <c r="N1233" s="1">
        <v>11.9</v>
      </c>
      <c r="O1233" s="1">
        <v>18.7</v>
      </c>
      <c r="Q1233" s="2">
        <v>100.73</v>
      </c>
    </row>
    <row r="1234" spans="1:17" x14ac:dyDescent="0.25">
      <c r="A1234" t="s">
        <v>31</v>
      </c>
      <c r="B1234" t="s">
        <v>40</v>
      </c>
      <c r="C1234" t="str">
        <f>"556-1-CH-VL-66"</f>
        <v>556-1-CH-VL-66</v>
      </c>
      <c r="D1234" t="s">
        <v>19</v>
      </c>
      <c r="F1234" t="s">
        <v>23</v>
      </c>
      <c r="G1234" t="s">
        <v>43</v>
      </c>
      <c r="H1234">
        <v>66</v>
      </c>
      <c r="J1234" s="1">
        <v>70.13</v>
      </c>
      <c r="K1234" s="1">
        <v>0</v>
      </c>
      <c r="M1234" s="1">
        <v>0</v>
      </c>
      <c r="N1234" s="1">
        <v>11.9</v>
      </c>
      <c r="O1234" s="1">
        <v>18.7</v>
      </c>
      <c r="Q1234" s="2">
        <v>100.73</v>
      </c>
    </row>
    <row r="1235" spans="1:17" x14ac:dyDescent="0.25">
      <c r="A1235" t="s">
        <v>31</v>
      </c>
      <c r="B1235" t="s">
        <v>40</v>
      </c>
      <c r="C1235" t="str">
        <f>"556-1-CH-VL-68"</f>
        <v>556-1-CH-VL-68</v>
      </c>
      <c r="D1235" t="s">
        <v>19</v>
      </c>
      <c r="F1235" t="s">
        <v>23</v>
      </c>
      <c r="G1235" t="s">
        <v>43</v>
      </c>
      <c r="H1235">
        <v>68</v>
      </c>
      <c r="J1235" s="1">
        <v>70.13</v>
      </c>
      <c r="K1235" s="1">
        <v>0</v>
      </c>
      <c r="M1235" s="1">
        <v>0</v>
      </c>
      <c r="N1235" s="1">
        <v>11.9</v>
      </c>
      <c r="O1235" s="1">
        <v>20.399999999999999</v>
      </c>
      <c r="Q1235" s="2">
        <v>102.43</v>
      </c>
    </row>
    <row r="1236" spans="1:17" x14ac:dyDescent="0.25">
      <c r="A1236" t="s">
        <v>31</v>
      </c>
      <c r="B1236" t="s">
        <v>40</v>
      </c>
      <c r="C1236" t="str">
        <f>"556-1-CH-VL-70"</f>
        <v>556-1-CH-VL-70</v>
      </c>
      <c r="D1236" t="s">
        <v>19</v>
      </c>
      <c r="F1236" t="s">
        <v>23</v>
      </c>
      <c r="G1236" t="s">
        <v>43</v>
      </c>
      <c r="H1236">
        <v>70</v>
      </c>
      <c r="J1236" s="1">
        <v>70.13</v>
      </c>
      <c r="K1236" s="1">
        <v>0</v>
      </c>
      <c r="M1236" s="1">
        <v>0</v>
      </c>
      <c r="N1236" s="1">
        <v>11.9</v>
      </c>
      <c r="O1236" s="1">
        <v>22.1</v>
      </c>
      <c r="Q1236" s="2">
        <v>104.13</v>
      </c>
    </row>
    <row r="1237" spans="1:17" x14ac:dyDescent="0.25">
      <c r="A1237" t="s">
        <v>31</v>
      </c>
      <c r="B1237" t="s">
        <v>40</v>
      </c>
      <c r="C1237" t="str">
        <f>"556-1-CH-VL-72"</f>
        <v>556-1-CH-VL-72</v>
      </c>
      <c r="D1237" t="s">
        <v>19</v>
      </c>
      <c r="F1237" t="s">
        <v>23</v>
      </c>
      <c r="G1237" t="s">
        <v>43</v>
      </c>
      <c r="H1237">
        <v>72</v>
      </c>
      <c r="J1237" s="1">
        <v>70.13</v>
      </c>
      <c r="K1237" s="1">
        <v>0</v>
      </c>
      <c r="M1237" s="1">
        <v>0</v>
      </c>
      <c r="N1237" s="1">
        <v>11.9</v>
      </c>
      <c r="O1237" s="1">
        <v>23.8</v>
      </c>
      <c r="Q1237" s="2">
        <v>105.83</v>
      </c>
    </row>
    <row r="1238" spans="1:17" x14ac:dyDescent="0.25">
      <c r="A1238" t="s">
        <v>31</v>
      </c>
      <c r="B1238" t="s">
        <v>40</v>
      </c>
      <c r="C1238" t="str">
        <f>"556-1-CH-VL-74"</f>
        <v>556-1-CH-VL-74</v>
      </c>
      <c r="D1238" t="s">
        <v>19</v>
      </c>
      <c r="F1238" t="s">
        <v>23</v>
      </c>
      <c r="G1238" t="s">
        <v>43</v>
      </c>
      <c r="H1238">
        <v>74</v>
      </c>
      <c r="J1238" s="1">
        <v>70.13</v>
      </c>
      <c r="K1238" s="1">
        <v>0</v>
      </c>
      <c r="M1238" s="1">
        <v>0</v>
      </c>
      <c r="N1238" s="1">
        <v>11.9</v>
      </c>
      <c r="O1238" s="1">
        <v>25.5</v>
      </c>
      <c r="Q1238" s="2">
        <v>107.53</v>
      </c>
    </row>
    <row r="1239" spans="1:17" x14ac:dyDescent="0.25">
      <c r="A1239" t="s">
        <v>31</v>
      </c>
      <c r="B1239" t="s">
        <v>40</v>
      </c>
      <c r="C1239" t="str">
        <f>"556-1-CH-VL-76"</f>
        <v>556-1-CH-VL-76</v>
      </c>
      <c r="D1239" t="s">
        <v>19</v>
      </c>
      <c r="F1239" t="s">
        <v>23</v>
      </c>
      <c r="G1239" t="s">
        <v>43</v>
      </c>
      <c r="H1239">
        <v>76</v>
      </c>
      <c r="J1239" s="1">
        <v>70.13</v>
      </c>
      <c r="K1239" s="1">
        <v>0</v>
      </c>
      <c r="M1239" s="1">
        <v>0</v>
      </c>
      <c r="N1239" s="1">
        <v>11.9</v>
      </c>
      <c r="O1239" s="1">
        <v>27.2</v>
      </c>
      <c r="Q1239" s="2">
        <v>109.23</v>
      </c>
    </row>
    <row r="1240" spans="1:17" x14ac:dyDescent="0.25">
      <c r="A1240" t="s">
        <v>31</v>
      </c>
      <c r="B1240" t="s">
        <v>40</v>
      </c>
      <c r="C1240" t="str">
        <f>"556-1-CH-VL-78"</f>
        <v>556-1-CH-VL-78</v>
      </c>
      <c r="D1240" t="s">
        <v>19</v>
      </c>
      <c r="F1240" t="s">
        <v>23</v>
      </c>
      <c r="G1240" t="s">
        <v>43</v>
      </c>
      <c r="H1240">
        <v>78</v>
      </c>
      <c r="J1240" s="1">
        <v>70.13</v>
      </c>
      <c r="K1240" s="1">
        <v>0</v>
      </c>
      <c r="M1240" s="1">
        <v>0</v>
      </c>
      <c r="N1240" s="1">
        <v>11.9</v>
      </c>
      <c r="O1240" s="1">
        <v>28.9</v>
      </c>
      <c r="Q1240" s="2">
        <v>110.93</v>
      </c>
    </row>
    <row r="1241" spans="1:17" x14ac:dyDescent="0.25">
      <c r="A1241" t="s">
        <v>31</v>
      </c>
      <c r="B1241" t="s">
        <v>40</v>
      </c>
      <c r="C1241" t="str">
        <f>"556-1-CH-VL-80"</f>
        <v>556-1-CH-VL-80</v>
      </c>
      <c r="D1241" t="s">
        <v>19</v>
      </c>
      <c r="F1241" t="s">
        <v>23</v>
      </c>
      <c r="G1241" t="s">
        <v>43</v>
      </c>
      <c r="H1241">
        <v>80</v>
      </c>
      <c r="J1241" s="1">
        <v>70.13</v>
      </c>
      <c r="K1241" s="1">
        <v>0</v>
      </c>
      <c r="M1241" s="1">
        <v>0</v>
      </c>
      <c r="N1241" s="1">
        <v>11.9</v>
      </c>
      <c r="O1241" s="1">
        <v>30.6</v>
      </c>
      <c r="Q1241" s="2">
        <v>112.63</v>
      </c>
    </row>
    <row r="1242" spans="1:17" x14ac:dyDescent="0.25">
      <c r="A1242" t="s">
        <v>31</v>
      </c>
      <c r="B1242" t="s">
        <v>40</v>
      </c>
      <c r="C1242" t="str">
        <f>"556-2-BR-CO-22"</f>
        <v>556-2-BR-CO-22</v>
      </c>
      <c r="D1242" t="s">
        <v>25</v>
      </c>
      <c r="F1242" t="s">
        <v>22</v>
      </c>
      <c r="G1242" t="s">
        <v>41</v>
      </c>
      <c r="H1242">
        <v>22</v>
      </c>
      <c r="J1242" s="1">
        <v>70.13</v>
      </c>
      <c r="K1242" s="1">
        <v>0</v>
      </c>
      <c r="M1242" s="1">
        <v>0</v>
      </c>
      <c r="N1242" s="1">
        <v>14.37</v>
      </c>
      <c r="O1242" s="1">
        <v>0</v>
      </c>
      <c r="Q1242" s="2">
        <v>84.5</v>
      </c>
    </row>
    <row r="1243" spans="1:17" x14ac:dyDescent="0.25">
      <c r="A1243" t="s">
        <v>31</v>
      </c>
      <c r="B1243" t="s">
        <v>40</v>
      </c>
      <c r="C1243" t="str">
        <f>"556-2-BR-CO-24"</f>
        <v>556-2-BR-CO-24</v>
      </c>
      <c r="D1243" t="s">
        <v>25</v>
      </c>
      <c r="F1243" t="s">
        <v>22</v>
      </c>
      <c r="G1243" t="s">
        <v>41</v>
      </c>
      <c r="H1243">
        <v>24</v>
      </c>
      <c r="J1243" s="1">
        <v>70.13</v>
      </c>
      <c r="K1243" s="1">
        <v>0</v>
      </c>
      <c r="M1243" s="1">
        <v>0</v>
      </c>
      <c r="N1243" s="1">
        <v>14.37</v>
      </c>
      <c r="O1243" s="1">
        <v>0</v>
      </c>
      <c r="Q1243" s="2">
        <v>84.5</v>
      </c>
    </row>
    <row r="1244" spans="1:17" x14ac:dyDescent="0.25">
      <c r="A1244" t="s">
        <v>31</v>
      </c>
      <c r="B1244" t="s">
        <v>40</v>
      </c>
      <c r="C1244" t="str">
        <f>"556-2-BR-CO-26"</f>
        <v>556-2-BR-CO-26</v>
      </c>
      <c r="D1244" t="s">
        <v>25</v>
      </c>
      <c r="F1244" t="s">
        <v>22</v>
      </c>
      <c r="G1244" t="s">
        <v>41</v>
      </c>
      <c r="H1244">
        <v>26</v>
      </c>
      <c r="J1244" s="1">
        <v>70.13</v>
      </c>
      <c r="K1244" s="1">
        <v>0</v>
      </c>
      <c r="M1244" s="1">
        <v>0</v>
      </c>
      <c r="N1244" s="1">
        <v>14.37</v>
      </c>
      <c r="O1244" s="1">
        <v>0</v>
      </c>
      <c r="Q1244" s="2">
        <v>84.5</v>
      </c>
    </row>
    <row r="1245" spans="1:17" x14ac:dyDescent="0.25">
      <c r="A1245" t="s">
        <v>31</v>
      </c>
      <c r="B1245" t="s">
        <v>40</v>
      </c>
      <c r="C1245" t="str">
        <f>"556-2-BR-CO-28"</f>
        <v>556-2-BR-CO-28</v>
      </c>
      <c r="D1245" t="s">
        <v>25</v>
      </c>
      <c r="F1245" t="s">
        <v>22</v>
      </c>
      <c r="G1245" t="s">
        <v>41</v>
      </c>
      <c r="H1245">
        <v>28</v>
      </c>
      <c r="J1245" s="1">
        <v>70.13</v>
      </c>
      <c r="K1245" s="1">
        <v>0</v>
      </c>
      <c r="M1245" s="1">
        <v>0</v>
      </c>
      <c r="N1245" s="1">
        <v>14.37</v>
      </c>
      <c r="O1245" s="1">
        <v>0</v>
      </c>
      <c r="Q1245" s="2">
        <v>84.5</v>
      </c>
    </row>
    <row r="1246" spans="1:17" x14ac:dyDescent="0.25">
      <c r="A1246" t="s">
        <v>31</v>
      </c>
      <c r="B1246" t="s">
        <v>40</v>
      </c>
      <c r="C1246" t="str">
        <f>"556-2-BR-CO-30"</f>
        <v>556-2-BR-CO-30</v>
      </c>
      <c r="D1246" t="s">
        <v>25</v>
      </c>
      <c r="F1246" t="s">
        <v>22</v>
      </c>
      <c r="G1246" t="s">
        <v>41</v>
      </c>
      <c r="H1246">
        <v>30</v>
      </c>
      <c r="J1246" s="1">
        <v>70.13</v>
      </c>
      <c r="K1246" s="1">
        <v>0</v>
      </c>
      <c r="M1246" s="1">
        <v>0</v>
      </c>
      <c r="N1246" s="1">
        <v>14.37</v>
      </c>
      <c r="O1246" s="1">
        <v>0</v>
      </c>
      <c r="Q1246" s="2">
        <v>84.5</v>
      </c>
    </row>
    <row r="1247" spans="1:17" x14ac:dyDescent="0.25">
      <c r="A1247" t="s">
        <v>31</v>
      </c>
      <c r="B1247" t="s">
        <v>40</v>
      </c>
      <c r="C1247" t="str">
        <f>"556-2-BR-CO-32"</f>
        <v>556-2-BR-CO-32</v>
      </c>
      <c r="D1247" t="s">
        <v>25</v>
      </c>
      <c r="F1247" t="s">
        <v>22</v>
      </c>
      <c r="G1247" t="s">
        <v>41</v>
      </c>
      <c r="H1247">
        <v>32</v>
      </c>
      <c r="J1247" s="1">
        <v>70.13</v>
      </c>
      <c r="K1247" s="1">
        <v>0</v>
      </c>
      <c r="M1247" s="1">
        <v>0</v>
      </c>
      <c r="N1247" s="1">
        <v>14.37</v>
      </c>
      <c r="O1247" s="1">
        <v>0</v>
      </c>
      <c r="Q1247" s="2">
        <v>84.5</v>
      </c>
    </row>
    <row r="1248" spans="1:17" x14ac:dyDescent="0.25">
      <c r="A1248" t="s">
        <v>31</v>
      </c>
      <c r="B1248" t="s">
        <v>40</v>
      </c>
      <c r="C1248" t="str">
        <f>"556-2-BR-CO-34"</f>
        <v>556-2-BR-CO-34</v>
      </c>
      <c r="D1248" t="s">
        <v>25</v>
      </c>
      <c r="F1248" t="s">
        <v>22</v>
      </c>
      <c r="G1248" t="s">
        <v>41</v>
      </c>
      <c r="H1248">
        <v>34</v>
      </c>
      <c r="J1248" s="1">
        <v>70.13</v>
      </c>
      <c r="K1248" s="1">
        <v>0</v>
      </c>
      <c r="M1248" s="1">
        <v>0</v>
      </c>
      <c r="N1248" s="1">
        <v>14.37</v>
      </c>
      <c r="O1248" s="1">
        <v>0</v>
      </c>
      <c r="Q1248" s="2">
        <v>84.5</v>
      </c>
    </row>
    <row r="1249" spans="1:17" x14ac:dyDescent="0.25">
      <c r="A1249" t="s">
        <v>31</v>
      </c>
      <c r="B1249" t="s">
        <v>40</v>
      </c>
      <c r="C1249" t="str">
        <f>"556-2-BR-CO-36"</f>
        <v>556-2-BR-CO-36</v>
      </c>
      <c r="D1249" t="s">
        <v>25</v>
      </c>
      <c r="F1249" t="s">
        <v>22</v>
      </c>
      <c r="G1249" t="s">
        <v>41</v>
      </c>
      <c r="H1249">
        <v>36</v>
      </c>
      <c r="J1249" s="1">
        <v>70.13</v>
      </c>
      <c r="K1249" s="1">
        <v>0</v>
      </c>
      <c r="M1249" s="1">
        <v>0</v>
      </c>
      <c r="N1249" s="1">
        <v>14.37</v>
      </c>
      <c r="O1249" s="1">
        <v>0</v>
      </c>
      <c r="Q1249" s="2">
        <v>84.5</v>
      </c>
    </row>
    <row r="1250" spans="1:17" x14ac:dyDescent="0.25">
      <c r="A1250" t="s">
        <v>31</v>
      </c>
      <c r="B1250" t="s">
        <v>40</v>
      </c>
      <c r="C1250" t="str">
        <f>"556-2-BR-CO-38"</f>
        <v>556-2-BR-CO-38</v>
      </c>
      <c r="D1250" t="s">
        <v>25</v>
      </c>
      <c r="F1250" t="s">
        <v>22</v>
      </c>
      <c r="G1250" t="s">
        <v>41</v>
      </c>
      <c r="H1250">
        <v>38</v>
      </c>
      <c r="J1250" s="1">
        <v>70.13</v>
      </c>
      <c r="K1250" s="1">
        <v>0</v>
      </c>
      <c r="M1250" s="1">
        <v>0</v>
      </c>
      <c r="N1250" s="1">
        <v>14.37</v>
      </c>
      <c r="O1250" s="1">
        <v>0</v>
      </c>
      <c r="Q1250" s="2">
        <v>84.5</v>
      </c>
    </row>
    <row r="1251" spans="1:17" x14ac:dyDescent="0.25">
      <c r="A1251" t="s">
        <v>31</v>
      </c>
      <c r="B1251" t="s">
        <v>40</v>
      </c>
      <c r="C1251" t="str">
        <f>"556-2-BR-CO-40"</f>
        <v>556-2-BR-CO-40</v>
      </c>
      <c r="D1251" t="s">
        <v>25</v>
      </c>
      <c r="F1251" t="s">
        <v>22</v>
      </c>
      <c r="G1251" t="s">
        <v>41</v>
      </c>
      <c r="H1251">
        <v>40</v>
      </c>
      <c r="J1251" s="1">
        <v>70.13</v>
      </c>
      <c r="K1251" s="1">
        <v>0</v>
      </c>
      <c r="M1251" s="1">
        <v>0</v>
      </c>
      <c r="N1251" s="1">
        <v>14.37</v>
      </c>
      <c r="O1251" s="1">
        <v>0</v>
      </c>
      <c r="Q1251" s="2">
        <v>84.5</v>
      </c>
    </row>
    <row r="1252" spans="1:17" x14ac:dyDescent="0.25">
      <c r="A1252" t="s">
        <v>31</v>
      </c>
      <c r="B1252" t="s">
        <v>40</v>
      </c>
      <c r="C1252" t="str">
        <f>"556-2-BR-CO-42"</f>
        <v>556-2-BR-CO-42</v>
      </c>
      <c r="D1252" t="s">
        <v>25</v>
      </c>
      <c r="F1252" t="s">
        <v>22</v>
      </c>
      <c r="G1252" t="s">
        <v>41</v>
      </c>
      <c r="H1252">
        <v>42</v>
      </c>
      <c r="J1252" s="1">
        <v>70.13</v>
      </c>
      <c r="K1252" s="1">
        <v>0</v>
      </c>
      <c r="M1252" s="1">
        <v>0</v>
      </c>
      <c r="N1252" s="1">
        <v>14.37</v>
      </c>
      <c r="O1252" s="1">
        <v>0</v>
      </c>
      <c r="Q1252" s="2">
        <v>84.5</v>
      </c>
    </row>
    <row r="1253" spans="1:17" x14ac:dyDescent="0.25">
      <c r="A1253" t="s">
        <v>31</v>
      </c>
      <c r="B1253" t="s">
        <v>40</v>
      </c>
      <c r="C1253" t="str">
        <f>"556-2-BR-CO-44"</f>
        <v>556-2-BR-CO-44</v>
      </c>
      <c r="D1253" t="s">
        <v>25</v>
      </c>
      <c r="F1253" t="s">
        <v>22</v>
      </c>
      <c r="G1253" t="s">
        <v>41</v>
      </c>
      <c r="H1253">
        <v>44</v>
      </c>
      <c r="J1253" s="1">
        <v>70.13</v>
      </c>
      <c r="K1253" s="1">
        <v>0</v>
      </c>
      <c r="M1253" s="1">
        <v>0</v>
      </c>
      <c r="N1253" s="1">
        <v>14.37</v>
      </c>
      <c r="O1253" s="1">
        <v>0</v>
      </c>
      <c r="Q1253" s="2">
        <v>84.5</v>
      </c>
    </row>
    <row r="1254" spans="1:17" x14ac:dyDescent="0.25">
      <c r="A1254" t="s">
        <v>31</v>
      </c>
      <c r="B1254" t="s">
        <v>40</v>
      </c>
      <c r="C1254" t="str">
        <f>"556-2-BR-CO-46"</f>
        <v>556-2-BR-CO-46</v>
      </c>
      <c r="D1254" t="s">
        <v>25</v>
      </c>
      <c r="F1254" t="s">
        <v>22</v>
      </c>
      <c r="G1254" t="s">
        <v>41</v>
      </c>
      <c r="H1254">
        <v>46</v>
      </c>
      <c r="J1254" s="1">
        <v>70.13</v>
      </c>
      <c r="K1254" s="1">
        <v>0</v>
      </c>
      <c r="M1254" s="1">
        <v>0</v>
      </c>
      <c r="N1254" s="1">
        <v>14.37</v>
      </c>
      <c r="O1254" s="1">
        <v>2</v>
      </c>
      <c r="Q1254" s="2">
        <v>86.5</v>
      </c>
    </row>
    <row r="1255" spans="1:17" x14ac:dyDescent="0.25">
      <c r="A1255" t="s">
        <v>31</v>
      </c>
      <c r="B1255" t="s">
        <v>40</v>
      </c>
      <c r="C1255" t="str">
        <f>"556-2-BR-CO-48"</f>
        <v>556-2-BR-CO-48</v>
      </c>
      <c r="D1255" t="s">
        <v>25</v>
      </c>
      <c r="F1255" t="s">
        <v>22</v>
      </c>
      <c r="G1255" t="s">
        <v>41</v>
      </c>
      <c r="H1255">
        <v>48</v>
      </c>
      <c r="J1255" s="1">
        <v>70.13</v>
      </c>
      <c r="K1255" s="1">
        <v>0</v>
      </c>
      <c r="M1255" s="1">
        <v>0</v>
      </c>
      <c r="N1255" s="1">
        <v>14.37</v>
      </c>
      <c r="O1255" s="1">
        <v>4</v>
      </c>
      <c r="Q1255" s="2">
        <v>88.5</v>
      </c>
    </row>
    <row r="1256" spans="1:17" x14ac:dyDescent="0.25">
      <c r="A1256" t="s">
        <v>31</v>
      </c>
      <c r="B1256" t="s">
        <v>40</v>
      </c>
      <c r="C1256" t="str">
        <f>"556-2-BR-CO-50"</f>
        <v>556-2-BR-CO-50</v>
      </c>
      <c r="D1256" t="s">
        <v>25</v>
      </c>
      <c r="F1256" t="s">
        <v>22</v>
      </c>
      <c r="G1256" t="s">
        <v>41</v>
      </c>
      <c r="H1256">
        <v>50</v>
      </c>
      <c r="J1256" s="1">
        <v>70.13</v>
      </c>
      <c r="K1256" s="1">
        <v>0</v>
      </c>
      <c r="M1256" s="1">
        <v>0</v>
      </c>
      <c r="N1256" s="1">
        <v>14.37</v>
      </c>
      <c r="O1256" s="1">
        <v>6</v>
      </c>
      <c r="Q1256" s="2">
        <v>90.5</v>
      </c>
    </row>
    <row r="1257" spans="1:17" x14ac:dyDescent="0.25">
      <c r="A1257" t="s">
        <v>31</v>
      </c>
      <c r="B1257" t="s">
        <v>40</v>
      </c>
      <c r="C1257" t="str">
        <f>"556-2-BR-CO-52"</f>
        <v>556-2-BR-CO-52</v>
      </c>
      <c r="D1257" t="s">
        <v>25</v>
      </c>
      <c r="F1257" t="s">
        <v>22</v>
      </c>
      <c r="G1257" t="s">
        <v>41</v>
      </c>
      <c r="H1257">
        <v>52</v>
      </c>
      <c r="J1257" s="1">
        <v>70.13</v>
      </c>
      <c r="K1257" s="1">
        <v>0</v>
      </c>
      <c r="M1257" s="1">
        <v>0</v>
      </c>
      <c r="N1257" s="1">
        <v>14.37</v>
      </c>
      <c r="O1257" s="1">
        <v>8</v>
      </c>
      <c r="Q1257" s="2">
        <v>92.5</v>
      </c>
    </row>
    <row r="1258" spans="1:17" x14ac:dyDescent="0.25">
      <c r="A1258" t="s">
        <v>31</v>
      </c>
      <c r="B1258" t="s">
        <v>40</v>
      </c>
      <c r="C1258" t="str">
        <f>"556-2-BR-CO-54"</f>
        <v>556-2-BR-CO-54</v>
      </c>
      <c r="D1258" t="s">
        <v>25</v>
      </c>
      <c r="F1258" t="s">
        <v>22</v>
      </c>
      <c r="G1258" t="s">
        <v>41</v>
      </c>
      <c r="H1258">
        <v>54</v>
      </c>
      <c r="J1258" s="1">
        <v>70.13</v>
      </c>
      <c r="K1258" s="1">
        <v>0</v>
      </c>
      <c r="M1258" s="1">
        <v>0</v>
      </c>
      <c r="N1258" s="1">
        <v>14.37</v>
      </c>
      <c r="O1258" s="1">
        <v>10</v>
      </c>
      <c r="Q1258" s="2">
        <v>94.5</v>
      </c>
    </row>
    <row r="1259" spans="1:17" x14ac:dyDescent="0.25">
      <c r="A1259" t="s">
        <v>31</v>
      </c>
      <c r="B1259" t="s">
        <v>40</v>
      </c>
      <c r="C1259" t="str">
        <f>"556-2-BR-CO-56"</f>
        <v>556-2-BR-CO-56</v>
      </c>
      <c r="D1259" t="s">
        <v>25</v>
      </c>
      <c r="F1259" t="s">
        <v>22</v>
      </c>
      <c r="G1259" t="s">
        <v>41</v>
      </c>
      <c r="H1259">
        <v>56</v>
      </c>
      <c r="J1259" s="1">
        <v>70.13</v>
      </c>
      <c r="K1259" s="1">
        <v>0</v>
      </c>
      <c r="M1259" s="1">
        <v>0</v>
      </c>
      <c r="N1259" s="1">
        <v>14.37</v>
      </c>
      <c r="O1259" s="1">
        <v>12</v>
      </c>
      <c r="Q1259" s="2">
        <v>96.5</v>
      </c>
    </row>
    <row r="1260" spans="1:17" x14ac:dyDescent="0.25">
      <c r="A1260" t="s">
        <v>31</v>
      </c>
      <c r="B1260" t="s">
        <v>40</v>
      </c>
      <c r="C1260" t="str">
        <f>"556-2-BR-CO-58"</f>
        <v>556-2-BR-CO-58</v>
      </c>
      <c r="D1260" t="s">
        <v>25</v>
      </c>
      <c r="F1260" t="s">
        <v>22</v>
      </c>
      <c r="G1260" t="s">
        <v>41</v>
      </c>
      <c r="H1260">
        <v>58</v>
      </c>
      <c r="J1260" s="1">
        <v>70.13</v>
      </c>
      <c r="K1260" s="1">
        <v>0</v>
      </c>
      <c r="M1260" s="1">
        <v>0</v>
      </c>
      <c r="N1260" s="1">
        <v>14.37</v>
      </c>
      <c r="O1260" s="1">
        <v>14</v>
      </c>
      <c r="Q1260" s="2">
        <v>98.5</v>
      </c>
    </row>
    <row r="1261" spans="1:17" x14ac:dyDescent="0.25">
      <c r="A1261" t="s">
        <v>31</v>
      </c>
      <c r="B1261" t="s">
        <v>40</v>
      </c>
      <c r="C1261" t="str">
        <f>"556-2-BR-CO-60"</f>
        <v>556-2-BR-CO-60</v>
      </c>
      <c r="D1261" t="s">
        <v>25</v>
      </c>
      <c r="F1261" t="s">
        <v>22</v>
      </c>
      <c r="G1261" t="s">
        <v>41</v>
      </c>
      <c r="H1261">
        <v>60</v>
      </c>
      <c r="J1261" s="1">
        <v>70.13</v>
      </c>
      <c r="K1261" s="1">
        <v>0</v>
      </c>
      <c r="M1261" s="1">
        <v>0</v>
      </c>
      <c r="N1261" s="1">
        <v>14.37</v>
      </c>
      <c r="O1261" s="1">
        <v>16</v>
      </c>
      <c r="Q1261" s="2">
        <v>100.5</v>
      </c>
    </row>
    <row r="1262" spans="1:17" x14ac:dyDescent="0.25">
      <c r="A1262" t="s">
        <v>31</v>
      </c>
      <c r="B1262" t="s">
        <v>40</v>
      </c>
      <c r="C1262" t="str">
        <f>"556-2-BR-CO-62"</f>
        <v>556-2-BR-CO-62</v>
      </c>
      <c r="D1262" t="s">
        <v>25</v>
      </c>
      <c r="F1262" t="s">
        <v>22</v>
      </c>
      <c r="G1262" t="s">
        <v>41</v>
      </c>
      <c r="H1262">
        <v>62</v>
      </c>
      <c r="J1262" s="1">
        <v>70.13</v>
      </c>
      <c r="K1262" s="1">
        <v>0</v>
      </c>
      <c r="M1262" s="1">
        <v>0</v>
      </c>
      <c r="N1262" s="1">
        <v>14.37</v>
      </c>
      <c r="O1262" s="1">
        <v>18</v>
      </c>
      <c r="Q1262" s="2">
        <v>102.5</v>
      </c>
    </row>
    <row r="1263" spans="1:17" x14ac:dyDescent="0.25">
      <c r="A1263" t="s">
        <v>31</v>
      </c>
      <c r="B1263" t="s">
        <v>40</v>
      </c>
      <c r="C1263" t="str">
        <f>"556-2-BR-CO-64"</f>
        <v>556-2-BR-CO-64</v>
      </c>
      <c r="D1263" t="s">
        <v>25</v>
      </c>
      <c r="F1263" t="s">
        <v>22</v>
      </c>
      <c r="G1263" t="s">
        <v>41</v>
      </c>
      <c r="H1263">
        <v>64</v>
      </c>
      <c r="J1263" s="1">
        <v>70.13</v>
      </c>
      <c r="K1263" s="1">
        <v>0</v>
      </c>
      <c r="M1263" s="1">
        <v>0</v>
      </c>
      <c r="N1263" s="1">
        <v>14.37</v>
      </c>
      <c r="O1263" s="1">
        <v>20</v>
      </c>
      <c r="Q1263" s="2">
        <v>104.5</v>
      </c>
    </row>
    <row r="1264" spans="1:17" x14ac:dyDescent="0.25">
      <c r="A1264" t="s">
        <v>31</v>
      </c>
      <c r="B1264" t="s">
        <v>40</v>
      </c>
      <c r="C1264" t="str">
        <f>"556-2-BR-CO-66"</f>
        <v>556-2-BR-CO-66</v>
      </c>
      <c r="D1264" t="s">
        <v>25</v>
      </c>
      <c r="F1264" t="s">
        <v>22</v>
      </c>
      <c r="G1264" t="s">
        <v>41</v>
      </c>
      <c r="H1264">
        <v>66</v>
      </c>
      <c r="J1264" s="1">
        <v>70.13</v>
      </c>
      <c r="K1264" s="1">
        <v>0</v>
      </c>
      <c r="M1264" s="1">
        <v>0</v>
      </c>
      <c r="N1264" s="1">
        <v>14.37</v>
      </c>
      <c r="O1264" s="1">
        <v>22</v>
      </c>
      <c r="Q1264" s="2">
        <v>106.5</v>
      </c>
    </row>
    <row r="1265" spans="1:17" x14ac:dyDescent="0.25">
      <c r="A1265" t="s">
        <v>31</v>
      </c>
      <c r="B1265" t="s">
        <v>40</v>
      </c>
      <c r="C1265" t="str">
        <f>"556-2-BR-CO-68"</f>
        <v>556-2-BR-CO-68</v>
      </c>
      <c r="D1265" t="s">
        <v>25</v>
      </c>
      <c r="F1265" t="s">
        <v>22</v>
      </c>
      <c r="G1265" t="s">
        <v>41</v>
      </c>
      <c r="H1265">
        <v>68</v>
      </c>
      <c r="J1265" s="1">
        <v>70.13</v>
      </c>
      <c r="K1265" s="1">
        <v>0</v>
      </c>
      <c r="M1265" s="1">
        <v>0</v>
      </c>
      <c r="N1265" s="1">
        <v>14.37</v>
      </c>
      <c r="O1265" s="1">
        <v>24</v>
      </c>
      <c r="Q1265" s="2">
        <v>108.5</v>
      </c>
    </row>
    <row r="1266" spans="1:17" x14ac:dyDescent="0.25">
      <c r="A1266" t="s">
        <v>31</v>
      </c>
      <c r="B1266" t="s">
        <v>40</v>
      </c>
      <c r="C1266" t="str">
        <f>"556-2-BR-CO-70"</f>
        <v>556-2-BR-CO-70</v>
      </c>
      <c r="D1266" t="s">
        <v>25</v>
      </c>
      <c r="F1266" t="s">
        <v>22</v>
      </c>
      <c r="G1266" t="s">
        <v>41</v>
      </c>
      <c r="H1266">
        <v>70</v>
      </c>
      <c r="J1266" s="1">
        <v>70.13</v>
      </c>
      <c r="K1266" s="1">
        <v>0</v>
      </c>
      <c r="M1266" s="1">
        <v>0</v>
      </c>
      <c r="N1266" s="1">
        <v>14.37</v>
      </c>
      <c r="O1266" s="1">
        <v>26</v>
      </c>
      <c r="Q1266" s="2">
        <v>110.5</v>
      </c>
    </row>
    <row r="1267" spans="1:17" x14ac:dyDescent="0.25">
      <c r="A1267" t="s">
        <v>31</v>
      </c>
      <c r="B1267" t="s">
        <v>40</v>
      </c>
      <c r="C1267" t="str">
        <f>"556-2-BR-CO-72"</f>
        <v>556-2-BR-CO-72</v>
      </c>
      <c r="D1267" t="s">
        <v>25</v>
      </c>
      <c r="F1267" t="s">
        <v>22</v>
      </c>
      <c r="G1267" t="s">
        <v>41</v>
      </c>
      <c r="H1267">
        <v>72</v>
      </c>
      <c r="J1267" s="1">
        <v>70.13</v>
      </c>
      <c r="K1267" s="1">
        <v>0</v>
      </c>
      <c r="M1267" s="1">
        <v>0</v>
      </c>
      <c r="N1267" s="1">
        <v>14.37</v>
      </c>
      <c r="O1267" s="1">
        <v>28</v>
      </c>
      <c r="Q1267" s="2">
        <v>112.5</v>
      </c>
    </row>
    <row r="1268" spans="1:17" x14ac:dyDescent="0.25">
      <c r="A1268" t="s">
        <v>31</v>
      </c>
      <c r="B1268" t="s">
        <v>40</v>
      </c>
      <c r="C1268" t="str">
        <f>"556-2-BR-CO-74"</f>
        <v>556-2-BR-CO-74</v>
      </c>
      <c r="D1268" t="s">
        <v>25</v>
      </c>
      <c r="F1268" t="s">
        <v>22</v>
      </c>
      <c r="G1268" t="s">
        <v>41</v>
      </c>
      <c r="H1268">
        <v>74</v>
      </c>
      <c r="J1268" s="1">
        <v>70.13</v>
      </c>
      <c r="K1268" s="1">
        <v>0</v>
      </c>
      <c r="M1268" s="1">
        <v>0</v>
      </c>
      <c r="N1268" s="1">
        <v>14.37</v>
      </c>
      <c r="O1268" s="1">
        <v>30</v>
      </c>
      <c r="Q1268" s="2">
        <v>114.5</v>
      </c>
    </row>
    <row r="1269" spans="1:17" x14ac:dyDescent="0.25">
      <c r="A1269" t="s">
        <v>31</v>
      </c>
      <c r="B1269" t="s">
        <v>40</v>
      </c>
      <c r="C1269" t="str">
        <f>"556-2-BR-CO-76"</f>
        <v>556-2-BR-CO-76</v>
      </c>
      <c r="D1269" t="s">
        <v>25</v>
      </c>
      <c r="F1269" t="s">
        <v>22</v>
      </c>
      <c r="G1269" t="s">
        <v>41</v>
      </c>
      <c r="H1269">
        <v>76</v>
      </c>
      <c r="J1269" s="1">
        <v>70.13</v>
      </c>
      <c r="K1269" s="1">
        <v>0</v>
      </c>
      <c r="M1269" s="1">
        <v>0</v>
      </c>
      <c r="N1269" s="1">
        <v>14.37</v>
      </c>
      <c r="O1269" s="1">
        <v>32</v>
      </c>
      <c r="Q1269" s="2">
        <v>116.5</v>
      </c>
    </row>
    <row r="1270" spans="1:17" x14ac:dyDescent="0.25">
      <c r="A1270" t="s">
        <v>31</v>
      </c>
      <c r="B1270" t="s">
        <v>40</v>
      </c>
      <c r="C1270" t="str">
        <f>"556-2-BR-CO-78"</f>
        <v>556-2-BR-CO-78</v>
      </c>
      <c r="D1270" t="s">
        <v>25</v>
      </c>
      <c r="F1270" t="s">
        <v>22</v>
      </c>
      <c r="G1270" t="s">
        <v>41</v>
      </c>
      <c r="H1270">
        <v>78</v>
      </c>
      <c r="J1270" s="1">
        <v>70.13</v>
      </c>
      <c r="K1270" s="1">
        <v>0</v>
      </c>
      <c r="M1270" s="1">
        <v>0</v>
      </c>
      <c r="N1270" s="1">
        <v>14.37</v>
      </c>
      <c r="O1270" s="1">
        <v>34</v>
      </c>
      <c r="Q1270" s="2">
        <v>118.5</v>
      </c>
    </row>
    <row r="1271" spans="1:17" x14ac:dyDescent="0.25">
      <c r="A1271" t="s">
        <v>31</v>
      </c>
      <c r="B1271" t="s">
        <v>40</v>
      </c>
      <c r="C1271" t="str">
        <f>"556-2-BR-CO-80"</f>
        <v>556-2-BR-CO-80</v>
      </c>
      <c r="D1271" t="s">
        <v>25</v>
      </c>
      <c r="F1271" t="s">
        <v>22</v>
      </c>
      <c r="G1271" t="s">
        <v>41</v>
      </c>
      <c r="H1271">
        <v>80</v>
      </c>
      <c r="J1271" s="1">
        <v>70.13</v>
      </c>
      <c r="K1271" s="1">
        <v>0</v>
      </c>
      <c r="M1271" s="1">
        <v>0</v>
      </c>
      <c r="N1271" s="1">
        <v>14.37</v>
      </c>
      <c r="O1271" s="1">
        <v>36</v>
      </c>
      <c r="Q1271" s="2">
        <v>120.5</v>
      </c>
    </row>
    <row r="1272" spans="1:17" x14ac:dyDescent="0.25">
      <c r="A1272" t="s">
        <v>31</v>
      </c>
      <c r="B1272" t="s">
        <v>40</v>
      </c>
      <c r="C1272" t="str">
        <f>"556-2-BR-SU-22"</f>
        <v>556-2-BR-SU-22</v>
      </c>
      <c r="D1272" t="s">
        <v>25</v>
      </c>
      <c r="F1272" t="s">
        <v>22</v>
      </c>
      <c r="G1272" t="s">
        <v>42</v>
      </c>
      <c r="H1272">
        <v>22</v>
      </c>
      <c r="J1272" s="1">
        <v>70.13</v>
      </c>
      <c r="K1272" s="1">
        <v>0</v>
      </c>
      <c r="M1272" s="1">
        <v>0</v>
      </c>
      <c r="N1272" s="1">
        <v>0</v>
      </c>
      <c r="O1272" s="1">
        <v>0</v>
      </c>
      <c r="Q1272" s="2">
        <v>70.13</v>
      </c>
    </row>
    <row r="1273" spans="1:17" x14ac:dyDescent="0.25">
      <c r="A1273" t="s">
        <v>31</v>
      </c>
      <c r="B1273" t="s">
        <v>40</v>
      </c>
      <c r="C1273" t="str">
        <f>"556-2-BR-SU-24"</f>
        <v>556-2-BR-SU-24</v>
      </c>
      <c r="D1273" t="s">
        <v>25</v>
      </c>
      <c r="F1273" t="s">
        <v>22</v>
      </c>
      <c r="G1273" t="s">
        <v>42</v>
      </c>
      <c r="H1273">
        <v>24</v>
      </c>
      <c r="J1273" s="1">
        <v>70.13</v>
      </c>
      <c r="K1273" s="1">
        <v>0</v>
      </c>
      <c r="M1273" s="1">
        <v>0</v>
      </c>
      <c r="N1273" s="1">
        <v>0</v>
      </c>
      <c r="O1273" s="1">
        <v>0</v>
      </c>
      <c r="Q1273" s="2">
        <v>70.13</v>
      </c>
    </row>
    <row r="1274" spans="1:17" x14ac:dyDescent="0.25">
      <c r="A1274" t="s">
        <v>31</v>
      </c>
      <c r="B1274" t="s">
        <v>40</v>
      </c>
      <c r="C1274" t="str">
        <f>"556-2-BR-SU-26"</f>
        <v>556-2-BR-SU-26</v>
      </c>
      <c r="D1274" t="s">
        <v>25</v>
      </c>
      <c r="F1274" t="s">
        <v>22</v>
      </c>
      <c r="G1274" t="s">
        <v>42</v>
      </c>
      <c r="H1274">
        <v>26</v>
      </c>
      <c r="J1274" s="1">
        <v>70.13</v>
      </c>
      <c r="K1274" s="1">
        <v>0</v>
      </c>
      <c r="M1274" s="1">
        <v>0</v>
      </c>
      <c r="N1274" s="1">
        <v>0</v>
      </c>
      <c r="O1274" s="1">
        <v>0</v>
      </c>
      <c r="Q1274" s="2">
        <v>70.13</v>
      </c>
    </row>
    <row r="1275" spans="1:17" x14ac:dyDescent="0.25">
      <c r="A1275" t="s">
        <v>31</v>
      </c>
      <c r="B1275" t="s">
        <v>40</v>
      </c>
      <c r="C1275" t="str">
        <f>"556-2-BR-SU-28"</f>
        <v>556-2-BR-SU-28</v>
      </c>
      <c r="D1275" t="s">
        <v>25</v>
      </c>
      <c r="F1275" t="s">
        <v>22</v>
      </c>
      <c r="G1275" t="s">
        <v>42</v>
      </c>
      <c r="H1275">
        <v>28</v>
      </c>
      <c r="J1275" s="1">
        <v>70.13</v>
      </c>
      <c r="K1275" s="1">
        <v>0</v>
      </c>
      <c r="M1275" s="1">
        <v>0</v>
      </c>
      <c r="N1275" s="1">
        <v>0</v>
      </c>
      <c r="O1275" s="1">
        <v>0</v>
      </c>
      <c r="Q1275" s="2">
        <v>70.13</v>
      </c>
    </row>
    <row r="1276" spans="1:17" x14ac:dyDescent="0.25">
      <c r="A1276" t="s">
        <v>31</v>
      </c>
      <c r="B1276" t="s">
        <v>40</v>
      </c>
      <c r="C1276" t="str">
        <f>"556-2-BR-SU-30"</f>
        <v>556-2-BR-SU-30</v>
      </c>
      <c r="D1276" t="s">
        <v>25</v>
      </c>
      <c r="F1276" t="s">
        <v>22</v>
      </c>
      <c r="G1276" t="s">
        <v>42</v>
      </c>
      <c r="H1276">
        <v>30</v>
      </c>
      <c r="J1276" s="1">
        <v>70.13</v>
      </c>
      <c r="K1276" s="1">
        <v>0</v>
      </c>
      <c r="M1276" s="1">
        <v>0</v>
      </c>
      <c r="N1276" s="1">
        <v>0</v>
      </c>
      <c r="O1276" s="1">
        <v>0</v>
      </c>
      <c r="Q1276" s="2">
        <v>70.13</v>
      </c>
    </row>
    <row r="1277" spans="1:17" x14ac:dyDescent="0.25">
      <c r="A1277" t="s">
        <v>31</v>
      </c>
      <c r="B1277" t="s">
        <v>40</v>
      </c>
      <c r="C1277" t="str">
        <f>"556-2-BR-SU-32"</f>
        <v>556-2-BR-SU-32</v>
      </c>
      <c r="D1277" t="s">
        <v>25</v>
      </c>
      <c r="F1277" t="s">
        <v>22</v>
      </c>
      <c r="G1277" t="s">
        <v>42</v>
      </c>
      <c r="H1277">
        <v>32</v>
      </c>
      <c r="J1277" s="1">
        <v>70.13</v>
      </c>
      <c r="K1277" s="1">
        <v>0</v>
      </c>
      <c r="M1277" s="1">
        <v>0</v>
      </c>
      <c r="N1277" s="1">
        <v>0</v>
      </c>
      <c r="O1277" s="1">
        <v>0</v>
      </c>
      <c r="Q1277" s="2">
        <v>70.13</v>
      </c>
    </row>
    <row r="1278" spans="1:17" x14ac:dyDescent="0.25">
      <c r="A1278" t="s">
        <v>31</v>
      </c>
      <c r="B1278" t="s">
        <v>40</v>
      </c>
      <c r="C1278" t="str">
        <f>"556-2-BR-SU-34"</f>
        <v>556-2-BR-SU-34</v>
      </c>
      <c r="D1278" t="s">
        <v>25</v>
      </c>
      <c r="F1278" t="s">
        <v>22</v>
      </c>
      <c r="G1278" t="s">
        <v>42</v>
      </c>
      <c r="H1278">
        <v>34</v>
      </c>
      <c r="J1278" s="1">
        <v>70.13</v>
      </c>
      <c r="K1278" s="1">
        <v>0</v>
      </c>
      <c r="M1278" s="1">
        <v>0</v>
      </c>
      <c r="N1278" s="1">
        <v>0</v>
      </c>
      <c r="O1278" s="1">
        <v>0</v>
      </c>
      <c r="Q1278" s="2">
        <v>70.13</v>
      </c>
    </row>
    <row r="1279" spans="1:17" x14ac:dyDescent="0.25">
      <c r="A1279" t="s">
        <v>31</v>
      </c>
      <c r="B1279" t="s">
        <v>40</v>
      </c>
      <c r="C1279" t="str">
        <f>"556-2-BR-SU-36"</f>
        <v>556-2-BR-SU-36</v>
      </c>
      <c r="D1279" t="s">
        <v>25</v>
      </c>
      <c r="F1279" t="s">
        <v>22</v>
      </c>
      <c r="G1279" t="s">
        <v>42</v>
      </c>
      <c r="H1279">
        <v>36</v>
      </c>
      <c r="J1279" s="1">
        <v>70.13</v>
      </c>
      <c r="K1279" s="1">
        <v>0</v>
      </c>
      <c r="M1279" s="1">
        <v>0</v>
      </c>
      <c r="N1279" s="1">
        <v>0</v>
      </c>
      <c r="O1279" s="1">
        <v>0</v>
      </c>
      <c r="Q1279" s="2">
        <v>70.13</v>
      </c>
    </row>
    <row r="1280" spans="1:17" x14ac:dyDescent="0.25">
      <c r="A1280" t="s">
        <v>31</v>
      </c>
      <c r="B1280" t="s">
        <v>40</v>
      </c>
      <c r="C1280" t="str">
        <f>"556-2-BR-SU-38"</f>
        <v>556-2-BR-SU-38</v>
      </c>
      <c r="D1280" t="s">
        <v>25</v>
      </c>
      <c r="F1280" t="s">
        <v>22</v>
      </c>
      <c r="G1280" t="s">
        <v>42</v>
      </c>
      <c r="H1280">
        <v>38</v>
      </c>
      <c r="J1280" s="1">
        <v>70.13</v>
      </c>
      <c r="K1280" s="1">
        <v>0</v>
      </c>
      <c r="M1280" s="1">
        <v>0</v>
      </c>
      <c r="N1280" s="1">
        <v>0</v>
      </c>
      <c r="O1280" s="1">
        <v>0</v>
      </c>
      <c r="Q1280" s="2">
        <v>70.13</v>
      </c>
    </row>
    <row r="1281" spans="1:17" x14ac:dyDescent="0.25">
      <c r="A1281" t="s">
        <v>31</v>
      </c>
      <c r="B1281" t="s">
        <v>40</v>
      </c>
      <c r="C1281" t="str">
        <f>"556-2-BR-SU-40"</f>
        <v>556-2-BR-SU-40</v>
      </c>
      <c r="D1281" t="s">
        <v>25</v>
      </c>
      <c r="F1281" t="s">
        <v>22</v>
      </c>
      <c r="G1281" t="s">
        <v>42</v>
      </c>
      <c r="H1281">
        <v>40</v>
      </c>
      <c r="J1281" s="1">
        <v>70.13</v>
      </c>
      <c r="K1281" s="1">
        <v>0</v>
      </c>
      <c r="M1281" s="1">
        <v>0</v>
      </c>
      <c r="N1281" s="1">
        <v>0</v>
      </c>
      <c r="O1281" s="1">
        <v>0</v>
      </c>
      <c r="Q1281" s="2">
        <v>70.13</v>
      </c>
    </row>
    <row r="1282" spans="1:17" x14ac:dyDescent="0.25">
      <c r="A1282" t="s">
        <v>31</v>
      </c>
      <c r="B1282" t="s">
        <v>40</v>
      </c>
      <c r="C1282" t="str">
        <f>"556-2-BR-SU-42"</f>
        <v>556-2-BR-SU-42</v>
      </c>
      <c r="D1282" t="s">
        <v>25</v>
      </c>
      <c r="F1282" t="s">
        <v>22</v>
      </c>
      <c r="G1282" t="s">
        <v>42</v>
      </c>
      <c r="H1282">
        <v>42</v>
      </c>
      <c r="J1282" s="1">
        <v>70.13</v>
      </c>
      <c r="K1282" s="1">
        <v>0</v>
      </c>
      <c r="M1282" s="1">
        <v>0</v>
      </c>
      <c r="N1282" s="1">
        <v>0</v>
      </c>
      <c r="O1282" s="1">
        <v>0</v>
      </c>
      <c r="Q1282" s="2">
        <v>70.13</v>
      </c>
    </row>
    <row r="1283" spans="1:17" x14ac:dyDescent="0.25">
      <c r="A1283" t="s">
        <v>31</v>
      </c>
      <c r="B1283" t="s">
        <v>40</v>
      </c>
      <c r="C1283" t="str">
        <f>"556-2-BR-SU-44"</f>
        <v>556-2-BR-SU-44</v>
      </c>
      <c r="D1283" t="s">
        <v>25</v>
      </c>
      <c r="F1283" t="s">
        <v>22</v>
      </c>
      <c r="G1283" t="s">
        <v>42</v>
      </c>
      <c r="H1283">
        <v>44</v>
      </c>
      <c r="J1283" s="1">
        <v>70.13</v>
      </c>
      <c r="K1283" s="1">
        <v>0</v>
      </c>
      <c r="M1283" s="1">
        <v>0</v>
      </c>
      <c r="N1283" s="1">
        <v>0</v>
      </c>
      <c r="O1283" s="1">
        <v>0</v>
      </c>
      <c r="Q1283" s="2">
        <v>70.13</v>
      </c>
    </row>
    <row r="1284" spans="1:17" x14ac:dyDescent="0.25">
      <c r="A1284" t="s">
        <v>31</v>
      </c>
      <c r="B1284" t="s">
        <v>40</v>
      </c>
      <c r="C1284" t="str">
        <f>"556-2-BR-SU-46"</f>
        <v>556-2-BR-SU-46</v>
      </c>
      <c r="D1284" t="s">
        <v>25</v>
      </c>
      <c r="F1284" t="s">
        <v>22</v>
      </c>
      <c r="G1284" t="s">
        <v>42</v>
      </c>
      <c r="H1284">
        <v>46</v>
      </c>
      <c r="J1284" s="1">
        <v>70.13</v>
      </c>
      <c r="K1284" s="1">
        <v>0</v>
      </c>
      <c r="M1284" s="1">
        <v>0</v>
      </c>
      <c r="N1284" s="1">
        <v>0</v>
      </c>
      <c r="O1284" s="1">
        <v>5.0999999999999996</v>
      </c>
      <c r="Q1284" s="2">
        <v>75.23</v>
      </c>
    </row>
    <row r="1285" spans="1:17" x14ac:dyDescent="0.25">
      <c r="A1285" t="s">
        <v>31</v>
      </c>
      <c r="B1285" t="s">
        <v>40</v>
      </c>
      <c r="C1285" t="str">
        <f>"556-2-BR-SU-48"</f>
        <v>556-2-BR-SU-48</v>
      </c>
      <c r="D1285" t="s">
        <v>25</v>
      </c>
      <c r="F1285" t="s">
        <v>22</v>
      </c>
      <c r="G1285" t="s">
        <v>42</v>
      </c>
      <c r="H1285">
        <v>48</v>
      </c>
      <c r="J1285" s="1">
        <v>70.13</v>
      </c>
      <c r="K1285" s="1">
        <v>0</v>
      </c>
      <c r="M1285" s="1">
        <v>0</v>
      </c>
      <c r="N1285" s="1">
        <v>0</v>
      </c>
      <c r="O1285" s="1">
        <v>6.8</v>
      </c>
      <c r="Q1285" s="2">
        <v>76.930000000000007</v>
      </c>
    </row>
    <row r="1286" spans="1:17" x14ac:dyDescent="0.25">
      <c r="A1286" t="s">
        <v>31</v>
      </c>
      <c r="B1286" t="s">
        <v>40</v>
      </c>
      <c r="C1286" t="str">
        <f>"556-2-BR-SU-50"</f>
        <v>556-2-BR-SU-50</v>
      </c>
      <c r="D1286" t="s">
        <v>25</v>
      </c>
      <c r="F1286" t="s">
        <v>22</v>
      </c>
      <c r="G1286" t="s">
        <v>42</v>
      </c>
      <c r="H1286">
        <v>50</v>
      </c>
      <c r="J1286" s="1">
        <v>70.13</v>
      </c>
      <c r="K1286" s="1">
        <v>0</v>
      </c>
      <c r="M1286" s="1">
        <v>0</v>
      </c>
      <c r="N1286" s="1">
        <v>0</v>
      </c>
      <c r="O1286" s="1">
        <v>8.5</v>
      </c>
      <c r="Q1286" s="2">
        <v>78.63</v>
      </c>
    </row>
    <row r="1287" spans="1:17" x14ac:dyDescent="0.25">
      <c r="A1287" t="s">
        <v>31</v>
      </c>
      <c r="B1287" t="s">
        <v>40</v>
      </c>
      <c r="C1287" t="str">
        <f>"556-2-BR-SU-52"</f>
        <v>556-2-BR-SU-52</v>
      </c>
      <c r="D1287" t="s">
        <v>25</v>
      </c>
      <c r="F1287" t="s">
        <v>22</v>
      </c>
      <c r="G1287" t="s">
        <v>42</v>
      </c>
      <c r="H1287">
        <v>52</v>
      </c>
      <c r="J1287" s="1">
        <v>70.13</v>
      </c>
      <c r="K1287" s="1">
        <v>0</v>
      </c>
      <c r="M1287" s="1">
        <v>0</v>
      </c>
      <c r="N1287" s="1">
        <v>0</v>
      </c>
      <c r="O1287" s="1">
        <v>10.199999999999999</v>
      </c>
      <c r="Q1287" s="2">
        <v>80.33</v>
      </c>
    </row>
    <row r="1288" spans="1:17" x14ac:dyDescent="0.25">
      <c r="A1288" t="s">
        <v>31</v>
      </c>
      <c r="B1288" t="s">
        <v>40</v>
      </c>
      <c r="C1288" t="str">
        <f>"556-2-BR-SU-54"</f>
        <v>556-2-BR-SU-54</v>
      </c>
      <c r="D1288" t="s">
        <v>25</v>
      </c>
      <c r="F1288" t="s">
        <v>22</v>
      </c>
      <c r="G1288" t="s">
        <v>42</v>
      </c>
      <c r="H1288">
        <v>54</v>
      </c>
      <c r="J1288" s="1">
        <v>70.13</v>
      </c>
      <c r="K1288" s="1">
        <v>0</v>
      </c>
      <c r="M1288" s="1">
        <v>0</v>
      </c>
      <c r="N1288" s="1">
        <v>0</v>
      </c>
      <c r="O1288" s="1">
        <v>11.9</v>
      </c>
      <c r="Q1288" s="2">
        <v>82.03</v>
      </c>
    </row>
    <row r="1289" spans="1:17" x14ac:dyDescent="0.25">
      <c r="A1289" t="s">
        <v>31</v>
      </c>
      <c r="B1289" t="s">
        <v>40</v>
      </c>
      <c r="C1289" t="str">
        <f>"556-2-BR-SU-56"</f>
        <v>556-2-BR-SU-56</v>
      </c>
      <c r="D1289" t="s">
        <v>25</v>
      </c>
      <c r="F1289" t="s">
        <v>22</v>
      </c>
      <c r="G1289" t="s">
        <v>42</v>
      </c>
      <c r="H1289">
        <v>56</v>
      </c>
      <c r="J1289" s="1">
        <v>70.13</v>
      </c>
      <c r="K1289" s="1">
        <v>0</v>
      </c>
      <c r="M1289" s="1">
        <v>0</v>
      </c>
      <c r="N1289" s="1">
        <v>0</v>
      </c>
      <c r="O1289" s="1">
        <v>13.6</v>
      </c>
      <c r="Q1289" s="2">
        <v>83.73</v>
      </c>
    </row>
    <row r="1290" spans="1:17" x14ac:dyDescent="0.25">
      <c r="A1290" t="s">
        <v>31</v>
      </c>
      <c r="B1290" t="s">
        <v>40</v>
      </c>
      <c r="C1290" t="str">
        <f>"556-2-BR-SU-58"</f>
        <v>556-2-BR-SU-58</v>
      </c>
      <c r="D1290" t="s">
        <v>25</v>
      </c>
      <c r="F1290" t="s">
        <v>22</v>
      </c>
      <c r="G1290" t="s">
        <v>42</v>
      </c>
      <c r="H1290">
        <v>58</v>
      </c>
      <c r="J1290" s="1">
        <v>70.13</v>
      </c>
      <c r="K1290" s="1">
        <v>0</v>
      </c>
      <c r="M1290" s="1">
        <v>0</v>
      </c>
      <c r="N1290" s="1">
        <v>0</v>
      </c>
      <c r="O1290" s="1">
        <v>15.3</v>
      </c>
      <c r="Q1290" s="2">
        <v>85.43</v>
      </c>
    </row>
    <row r="1291" spans="1:17" x14ac:dyDescent="0.25">
      <c r="A1291" t="s">
        <v>31</v>
      </c>
      <c r="B1291" t="s">
        <v>40</v>
      </c>
      <c r="C1291" t="str">
        <f>"556-2-BR-SU-60"</f>
        <v>556-2-BR-SU-60</v>
      </c>
      <c r="D1291" t="s">
        <v>25</v>
      </c>
      <c r="F1291" t="s">
        <v>22</v>
      </c>
      <c r="G1291" t="s">
        <v>42</v>
      </c>
      <c r="H1291">
        <v>60</v>
      </c>
      <c r="J1291" s="1">
        <v>70.13</v>
      </c>
      <c r="K1291" s="1">
        <v>0</v>
      </c>
      <c r="M1291" s="1">
        <v>0</v>
      </c>
      <c r="N1291" s="1">
        <v>0</v>
      </c>
      <c r="O1291" s="1">
        <v>17</v>
      </c>
      <c r="Q1291" s="2">
        <v>87.13</v>
      </c>
    </row>
    <row r="1292" spans="1:17" x14ac:dyDescent="0.25">
      <c r="A1292" t="s">
        <v>31</v>
      </c>
      <c r="B1292" t="s">
        <v>40</v>
      </c>
      <c r="C1292" t="str">
        <f>"556-2-BR-SU-62"</f>
        <v>556-2-BR-SU-62</v>
      </c>
      <c r="D1292" t="s">
        <v>25</v>
      </c>
      <c r="F1292" t="s">
        <v>22</v>
      </c>
      <c r="G1292" t="s">
        <v>42</v>
      </c>
      <c r="H1292">
        <v>62</v>
      </c>
      <c r="J1292" s="1">
        <v>70.13</v>
      </c>
      <c r="K1292" s="1">
        <v>0</v>
      </c>
      <c r="M1292" s="1">
        <v>0</v>
      </c>
      <c r="N1292" s="1">
        <v>0</v>
      </c>
      <c r="O1292" s="1">
        <v>18.7</v>
      </c>
      <c r="Q1292" s="2">
        <v>88.83</v>
      </c>
    </row>
    <row r="1293" spans="1:17" x14ac:dyDescent="0.25">
      <c r="A1293" t="s">
        <v>31</v>
      </c>
      <c r="B1293" t="s">
        <v>40</v>
      </c>
      <c r="C1293" t="str">
        <f>"556-2-BR-SU-64"</f>
        <v>556-2-BR-SU-64</v>
      </c>
      <c r="D1293" t="s">
        <v>25</v>
      </c>
      <c r="F1293" t="s">
        <v>22</v>
      </c>
      <c r="G1293" t="s">
        <v>42</v>
      </c>
      <c r="H1293">
        <v>64</v>
      </c>
      <c r="J1293" s="1">
        <v>70.13</v>
      </c>
      <c r="K1293" s="1">
        <v>0</v>
      </c>
      <c r="M1293" s="1">
        <v>0</v>
      </c>
      <c r="N1293" s="1">
        <v>0</v>
      </c>
      <c r="O1293" s="1">
        <v>18.7</v>
      </c>
      <c r="Q1293" s="2">
        <v>88.83</v>
      </c>
    </row>
    <row r="1294" spans="1:17" x14ac:dyDescent="0.25">
      <c r="A1294" t="s">
        <v>31</v>
      </c>
      <c r="B1294" t="s">
        <v>40</v>
      </c>
      <c r="C1294" t="str">
        <f>"556-2-BR-SU-66"</f>
        <v>556-2-BR-SU-66</v>
      </c>
      <c r="D1294" t="s">
        <v>25</v>
      </c>
      <c r="F1294" t="s">
        <v>22</v>
      </c>
      <c r="G1294" t="s">
        <v>42</v>
      </c>
      <c r="H1294">
        <v>66</v>
      </c>
      <c r="J1294" s="1">
        <v>70.13</v>
      </c>
      <c r="K1294" s="1">
        <v>0</v>
      </c>
      <c r="M1294" s="1">
        <v>0</v>
      </c>
      <c r="N1294" s="1">
        <v>0</v>
      </c>
      <c r="O1294" s="1">
        <v>18.7</v>
      </c>
      <c r="Q1294" s="2">
        <v>88.83</v>
      </c>
    </row>
    <row r="1295" spans="1:17" x14ac:dyDescent="0.25">
      <c r="A1295" t="s">
        <v>31</v>
      </c>
      <c r="B1295" t="s">
        <v>40</v>
      </c>
      <c r="C1295" t="str">
        <f>"556-2-BR-SU-68"</f>
        <v>556-2-BR-SU-68</v>
      </c>
      <c r="D1295" t="s">
        <v>25</v>
      </c>
      <c r="F1295" t="s">
        <v>22</v>
      </c>
      <c r="G1295" t="s">
        <v>42</v>
      </c>
      <c r="H1295">
        <v>68</v>
      </c>
      <c r="J1295" s="1">
        <v>70.13</v>
      </c>
      <c r="K1295" s="1">
        <v>0</v>
      </c>
      <c r="M1295" s="1">
        <v>0</v>
      </c>
      <c r="N1295" s="1">
        <v>0</v>
      </c>
      <c r="O1295" s="1">
        <v>20.399999999999999</v>
      </c>
      <c r="Q1295" s="2">
        <v>90.53</v>
      </c>
    </row>
    <row r="1296" spans="1:17" x14ac:dyDescent="0.25">
      <c r="A1296" t="s">
        <v>31</v>
      </c>
      <c r="B1296" t="s">
        <v>40</v>
      </c>
      <c r="C1296" t="str">
        <f>"556-2-BR-SU-70"</f>
        <v>556-2-BR-SU-70</v>
      </c>
      <c r="D1296" t="s">
        <v>25</v>
      </c>
      <c r="F1296" t="s">
        <v>22</v>
      </c>
      <c r="G1296" t="s">
        <v>42</v>
      </c>
      <c r="H1296">
        <v>70</v>
      </c>
      <c r="J1296" s="1">
        <v>70.13</v>
      </c>
      <c r="K1296" s="1">
        <v>0</v>
      </c>
      <c r="M1296" s="1">
        <v>0</v>
      </c>
      <c r="N1296" s="1">
        <v>0</v>
      </c>
      <c r="O1296" s="1">
        <v>22.1</v>
      </c>
      <c r="Q1296" s="2">
        <v>92.23</v>
      </c>
    </row>
    <row r="1297" spans="1:17" x14ac:dyDescent="0.25">
      <c r="A1297" t="s">
        <v>31</v>
      </c>
      <c r="B1297" t="s">
        <v>40</v>
      </c>
      <c r="C1297" t="str">
        <f>"556-2-BR-SU-72"</f>
        <v>556-2-BR-SU-72</v>
      </c>
      <c r="D1297" t="s">
        <v>25</v>
      </c>
      <c r="F1297" t="s">
        <v>22</v>
      </c>
      <c r="G1297" t="s">
        <v>42</v>
      </c>
      <c r="H1297">
        <v>72</v>
      </c>
      <c r="J1297" s="1">
        <v>70.13</v>
      </c>
      <c r="K1297" s="1">
        <v>0</v>
      </c>
      <c r="M1297" s="1">
        <v>0</v>
      </c>
      <c r="N1297" s="1">
        <v>0</v>
      </c>
      <c r="O1297" s="1">
        <v>23.8</v>
      </c>
      <c r="Q1297" s="2">
        <v>93.93</v>
      </c>
    </row>
    <row r="1298" spans="1:17" x14ac:dyDescent="0.25">
      <c r="A1298" t="s">
        <v>31</v>
      </c>
      <c r="B1298" t="s">
        <v>40</v>
      </c>
      <c r="C1298" t="str">
        <f>"556-2-BR-SU-74"</f>
        <v>556-2-BR-SU-74</v>
      </c>
      <c r="D1298" t="s">
        <v>25</v>
      </c>
      <c r="F1298" t="s">
        <v>22</v>
      </c>
      <c r="G1298" t="s">
        <v>42</v>
      </c>
      <c r="H1298">
        <v>74</v>
      </c>
      <c r="J1298" s="1">
        <v>70.13</v>
      </c>
      <c r="K1298" s="1">
        <v>0</v>
      </c>
      <c r="M1298" s="1">
        <v>0</v>
      </c>
      <c r="N1298" s="1">
        <v>0</v>
      </c>
      <c r="O1298" s="1">
        <v>25.5</v>
      </c>
      <c r="Q1298" s="2">
        <v>95.63</v>
      </c>
    </row>
    <row r="1299" spans="1:17" x14ac:dyDescent="0.25">
      <c r="A1299" t="s">
        <v>31</v>
      </c>
      <c r="B1299" t="s">
        <v>40</v>
      </c>
      <c r="C1299" t="str">
        <f>"556-2-BR-SU-76"</f>
        <v>556-2-BR-SU-76</v>
      </c>
      <c r="D1299" t="s">
        <v>25</v>
      </c>
      <c r="F1299" t="s">
        <v>22</v>
      </c>
      <c r="G1299" t="s">
        <v>42</v>
      </c>
      <c r="H1299">
        <v>76</v>
      </c>
      <c r="J1299" s="1">
        <v>70.13</v>
      </c>
      <c r="K1299" s="1">
        <v>0</v>
      </c>
      <c r="M1299" s="1">
        <v>0</v>
      </c>
      <c r="N1299" s="1">
        <v>0</v>
      </c>
      <c r="O1299" s="1">
        <v>27.2</v>
      </c>
      <c r="Q1299" s="2">
        <v>97.33</v>
      </c>
    </row>
    <row r="1300" spans="1:17" x14ac:dyDescent="0.25">
      <c r="A1300" t="s">
        <v>31</v>
      </c>
      <c r="B1300" t="s">
        <v>40</v>
      </c>
      <c r="C1300" t="str">
        <f>"556-2-BR-SU-78"</f>
        <v>556-2-BR-SU-78</v>
      </c>
      <c r="D1300" t="s">
        <v>25</v>
      </c>
      <c r="F1300" t="s">
        <v>22</v>
      </c>
      <c r="G1300" t="s">
        <v>42</v>
      </c>
      <c r="H1300">
        <v>78</v>
      </c>
      <c r="J1300" s="1">
        <v>70.13</v>
      </c>
      <c r="K1300" s="1">
        <v>0</v>
      </c>
      <c r="M1300" s="1">
        <v>0</v>
      </c>
      <c r="N1300" s="1">
        <v>0</v>
      </c>
      <c r="O1300" s="1">
        <v>28.9</v>
      </c>
      <c r="Q1300" s="2">
        <v>99.03</v>
      </c>
    </row>
    <row r="1301" spans="1:17" x14ac:dyDescent="0.25">
      <c r="A1301" t="s">
        <v>31</v>
      </c>
      <c r="B1301" t="s">
        <v>40</v>
      </c>
      <c r="C1301" t="str">
        <f>"556-2-BR-SU-80"</f>
        <v>556-2-BR-SU-80</v>
      </c>
      <c r="D1301" t="s">
        <v>25</v>
      </c>
      <c r="F1301" t="s">
        <v>22</v>
      </c>
      <c r="G1301" t="s">
        <v>42</v>
      </c>
      <c r="H1301">
        <v>80</v>
      </c>
      <c r="J1301" s="1">
        <v>70.13</v>
      </c>
      <c r="K1301" s="1">
        <v>0</v>
      </c>
      <c r="M1301" s="1">
        <v>0</v>
      </c>
      <c r="N1301" s="1">
        <v>0</v>
      </c>
      <c r="O1301" s="1">
        <v>30.6</v>
      </c>
      <c r="Q1301" s="2">
        <v>100.73</v>
      </c>
    </row>
    <row r="1302" spans="1:17" x14ac:dyDescent="0.25">
      <c r="A1302" t="s">
        <v>31</v>
      </c>
      <c r="B1302" t="s">
        <v>40</v>
      </c>
      <c r="C1302" t="str">
        <f>"556-2-BR-VL-22"</f>
        <v>556-2-BR-VL-22</v>
      </c>
      <c r="D1302" t="s">
        <v>25</v>
      </c>
      <c r="F1302" t="s">
        <v>22</v>
      </c>
      <c r="G1302" t="s">
        <v>43</v>
      </c>
      <c r="H1302">
        <v>22</v>
      </c>
      <c r="J1302" s="1">
        <v>70.13</v>
      </c>
      <c r="K1302" s="1">
        <v>0</v>
      </c>
      <c r="M1302" s="1">
        <v>0</v>
      </c>
      <c r="N1302" s="1">
        <v>11.9</v>
      </c>
      <c r="O1302" s="1">
        <v>0</v>
      </c>
      <c r="Q1302" s="2">
        <v>82.03</v>
      </c>
    </row>
    <row r="1303" spans="1:17" x14ac:dyDescent="0.25">
      <c r="A1303" t="s">
        <v>31</v>
      </c>
      <c r="B1303" t="s">
        <v>40</v>
      </c>
      <c r="C1303" t="str">
        <f>"556-2-BR-VL-24"</f>
        <v>556-2-BR-VL-24</v>
      </c>
      <c r="D1303" t="s">
        <v>25</v>
      </c>
      <c r="F1303" t="s">
        <v>22</v>
      </c>
      <c r="G1303" t="s">
        <v>43</v>
      </c>
      <c r="H1303">
        <v>24</v>
      </c>
      <c r="J1303" s="1">
        <v>70.13</v>
      </c>
      <c r="K1303" s="1">
        <v>0</v>
      </c>
      <c r="M1303" s="1">
        <v>0</v>
      </c>
      <c r="N1303" s="1">
        <v>11.9</v>
      </c>
      <c r="O1303" s="1">
        <v>0</v>
      </c>
      <c r="Q1303" s="2">
        <v>82.03</v>
      </c>
    </row>
    <row r="1304" spans="1:17" x14ac:dyDescent="0.25">
      <c r="A1304" t="s">
        <v>31</v>
      </c>
      <c r="B1304" t="s">
        <v>40</v>
      </c>
      <c r="C1304" t="str">
        <f>"556-2-BR-VL-26"</f>
        <v>556-2-BR-VL-26</v>
      </c>
      <c r="D1304" t="s">
        <v>25</v>
      </c>
      <c r="F1304" t="s">
        <v>22</v>
      </c>
      <c r="G1304" t="s">
        <v>43</v>
      </c>
      <c r="H1304">
        <v>26</v>
      </c>
      <c r="J1304" s="1">
        <v>70.13</v>
      </c>
      <c r="K1304" s="1">
        <v>0</v>
      </c>
      <c r="M1304" s="1">
        <v>0</v>
      </c>
      <c r="N1304" s="1">
        <v>11.9</v>
      </c>
      <c r="O1304" s="1">
        <v>0</v>
      </c>
      <c r="Q1304" s="2">
        <v>82.03</v>
      </c>
    </row>
    <row r="1305" spans="1:17" x14ac:dyDescent="0.25">
      <c r="A1305" t="s">
        <v>31</v>
      </c>
      <c r="B1305" t="s">
        <v>40</v>
      </c>
      <c r="C1305" t="str">
        <f>"556-2-BR-VL-28"</f>
        <v>556-2-BR-VL-28</v>
      </c>
      <c r="D1305" t="s">
        <v>25</v>
      </c>
      <c r="F1305" t="s">
        <v>22</v>
      </c>
      <c r="G1305" t="s">
        <v>43</v>
      </c>
      <c r="H1305">
        <v>28</v>
      </c>
      <c r="J1305" s="1">
        <v>70.13</v>
      </c>
      <c r="K1305" s="1">
        <v>0</v>
      </c>
      <c r="M1305" s="1">
        <v>0</v>
      </c>
      <c r="N1305" s="1">
        <v>11.9</v>
      </c>
      <c r="O1305" s="1">
        <v>0</v>
      </c>
      <c r="Q1305" s="2">
        <v>82.03</v>
      </c>
    </row>
    <row r="1306" spans="1:17" x14ac:dyDescent="0.25">
      <c r="A1306" t="s">
        <v>31</v>
      </c>
      <c r="B1306" t="s">
        <v>40</v>
      </c>
      <c r="C1306" t="str">
        <f>"556-2-BR-VL-30"</f>
        <v>556-2-BR-VL-30</v>
      </c>
      <c r="D1306" t="s">
        <v>25</v>
      </c>
      <c r="F1306" t="s">
        <v>22</v>
      </c>
      <c r="G1306" t="s">
        <v>43</v>
      </c>
      <c r="H1306">
        <v>30</v>
      </c>
      <c r="J1306" s="1">
        <v>70.13</v>
      </c>
      <c r="K1306" s="1">
        <v>0</v>
      </c>
      <c r="M1306" s="1">
        <v>0</v>
      </c>
      <c r="N1306" s="1">
        <v>11.9</v>
      </c>
      <c r="O1306" s="1">
        <v>0</v>
      </c>
      <c r="Q1306" s="2">
        <v>82.03</v>
      </c>
    </row>
    <row r="1307" spans="1:17" x14ac:dyDescent="0.25">
      <c r="A1307" t="s">
        <v>31</v>
      </c>
      <c r="B1307" t="s">
        <v>40</v>
      </c>
      <c r="C1307" t="str">
        <f>"556-2-BR-VL-32"</f>
        <v>556-2-BR-VL-32</v>
      </c>
      <c r="D1307" t="s">
        <v>25</v>
      </c>
      <c r="F1307" t="s">
        <v>22</v>
      </c>
      <c r="G1307" t="s">
        <v>43</v>
      </c>
      <c r="H1307">
        <v>32</v>
      </c>
      <c r="J1307" s="1">
        <v>70.13</v>
      </c>
      <c r="K1307" s="1">
        <v>0</v>
      </c>
      <c r="M1307" s="1">
        <v>0</v>
      </c>
      <c r="N1307" s="1">
        <v>11.9</v>
      </c>
      <c r="O1307" s="1">
        <v>0</v>
      </c>
      <c r="Q1307" s="2">
        <v>82.03</v>
      </c>
    </row>
    <row r="1308" spans="1:17" x14ac:dyDescent="0.25">
      <c r="A1308" t="s">
        <v>31</v>
      </c>
      <c r="B1308" t="s">
        <v>40</v>
      </c>
      <c r="C1308" t="str">
        <f>"556-2-BR-VL-34"</f>
        <v>556-2-BR-VL-34</v>
      </c>
      <c r="D1308" t="s">
        <v>25</v>
      </c>
      <c r="F1308" t="s">
        <v>22</v>
      </c>
      <c r="G1308" t="s">
        <v>43</v>
      </c>
      <c r="H1308">
        <v>34</v>
      </c>
      <c r="J1308" s="1">
        <v>70.13</v>
      </c>
      <c r="K1308" s="1">
        <v>0</v>
      </c>
      <c r="M1308" s="1">
        <v>0</v>
      </c>
      <c r="N1308" s="1">
        <v>11.9</v>
      </c>
      <c r="O1308" s="1">
        <v>0</v>
      </c>
      <c r="Q1308" s="2">
        <v>82.03</v>
      </c>
    </row>
    <row r="1309" spans="1:17" x14ac:dyDescent="0.25">
      <c r="A1309" t="s">
        <v>31</v>
      </c>
      <c r="B1309" t="s">
        <v>40</v>
      </c>
      <c r="C1309" t="str">
        <f>"556-2-BR-VL-36"</f>
        <v>556-2-BR-VL-36</v>
      </c>
      <c r="D1309" t="s">
        <v>25</v>
      </c>
      <c r="F1309" t="s">
        <v>22</v>
      </c>
      <c r="G1309" t="s">
        <v>43</v>
      </c>
      <c r="H1309">
        <v>36</v>
      </c>
      <c r="J1309" s="1">
        <v>70.13</v>
      </c>
      <c r="K1309" s="1">
        <v>0</v>
      </c>
      <c r="M1309" s="1">
        <v>0</v>
      </c>
      <c r="N1309" s="1">
        <v>11.9</v>
      </c>
      <c r="O1309" s="1">
        <v>0</v>
      </c>
      <c r="Q1309" s="2">
        <v>82.03</v>
      </c>
    </row>
    <row r="1310" spans="1:17" x14ac:dyDescent="0.25">
      <c r="A1310" t="s">
        <v>31</v>
      </c>
      <c r="B1310" t="s">
        <v>40</v>
      </c>
      <c r="C1310" t="str">
        <f>"556-2-BR-VL-38"</f>
        <v>556-2-BR-VL-38</v>
      </c>
      <c r="D1310" t="s">
        <v>25</v>
      </c>
      <c r="F1310" t="s">
        <v>22</v>
      </c>
      <c r="G1310" t="s">
        <v>43</v>
      </c>
      <c r="H1310">
        <v>38</v>
      </c>
      <c r="J1310" s="1">
        <v>70.13</v>
      </c>
      <c r="K1310" s="1">
        <v>0</v>
      </c>
      <c r="M1310" s="1">
        <v>0</v>
      </c>
      <c r="N1310" s="1">
        <v>11.9</v>
      </c>
      <c r="O1310" s="1">
        <v>0</v>
      </c>
      <c r="Q1310" s="2">
        <v>82.03</v>
      </c>
    </row>
    <row r="1311" spans="1:17" x14ac:dyDescent="0.25">
      <c r="A1311" t="s">
        <v>31</v>
      </c>
      <c r="B1311" t="s">
        <v>40</v>
      </c>
      <c r="C1311" t="str">
        <f>"556-2-BR-VL-40"</f>
        <v>556-2-BR-VL-40</v>
      </c>
      <c r="D1311" t="s">
        <v>25</v>
      </c>
      <c r="F1311" t="s">
        <v>22</v>
      </c>
      <c r="G1311" t="s">
        <v>43</v>
      </c>
      <c r="H1311">
        <v>40</v>
      </c>
      <c r="J1311" s="1">
        <v>70.13</v>
      </c>
      <c r="K1311" s="1">
        <v>0</v>
      </c>
      <c r="M1311" s="1">
        <v>0</v>
      </c>
      <c r="N1311" s="1">
        <v>11.9</v>
      </c>
      <c r="O1311" s="1">
        <v>0</v>
      </c>
      <c r="Q1311" s="2">
        <v>82.03</v>
      </c>
    </row>
    <row r="1312" spans="1:17" x14ac:dyDescent="0.25">
      <c r="A1312" t="s">
        <v>31</v>
      </c>
      <c r="B1312" t="s">
        <v>40</v>
      </c>
      <c r="C1312" t="str">
        <f>"556-2-BR-VL-42"</f>
        <v>556-2-BR-VL-42</v>
      </c>
      <c r="D1312" t="s">
        <v>25</v>
      </c>
      <c r="F1312" t="s">
        <v>22</v>
      </c>
      <c r="G1312" t="s">
        <v>43</v>
      </c>
      <c r="H1312">
        <v>42</v>
      </c>
      <c r="J1312" s="1">
        <v>70.13</v>
      </c>
      <c r="K1312" s="1">
        <v>0</v>
      </c>
      <c r="M1312" s="1">
        <v>0</v>
      </c>
      <c r="N1312" s="1">
        <v>11.9</v>
      </c>
      <c r="O1312" s="1">
        <v>0</v>
      </c>
      <c r="Q1312" s="2">
        <v>82.03</v>
      </c>
    </row>
    <row r="1313" spans="1:17" x14ac:dyDescent="0.25">
      <c r="A1313" t="s">
        <v>31</v>
      </c>
      <c r="B1313" t="s">
        <v>40</v>
      </c>
      <c r="C1313" t="str">
        <f>"556-2-BR-VL-44"</f>
        <v>556-2-BR-VL-44</v>
      </c>
      <c r="D1313" t="s">
        <v>25</v>
      </c>
      <c r="F1313" t="s">
        <v>22</v>
      </c>
      <c r="G1313" t="s">
        <v>43</v>
      </c>
      <c r="H1313">
        <v>44</v>
      </c>
      <c r="J1313" s="1">
        <v>70.13</v>
      </c>
      <c r="K1313" s="1">
        <v>0</v>
      </c>
      <c r="M1313" s="1">
        <v>0</v>
      </c>
      <c r="N1313" s="1">
        <v>11.9</v>
      </c>
      <c r="O1313" s="1">
        <v>0</v>
      </c>
      <c r="Q1313" s="2">
        <v>82.03</v>
      </c>
    </row>
    <row r="1314" spans="1:17" x14ac:dyDescent="0.25">
      <c r="A1314" t="s">
        <v>31</v>
      </c>
      <c r="B1314" t="s">
        <v>40</v>
      </c>
      <c r="C1314" t="str">
        <f>"556-2-BR-VL-46"</f>
        <v>556-2-BR-VL-46</v>
      </c>
      <c r="D1314" t="s">
        <v>25</v>
      </c>
      <c r="F1314" t="s">
        <v>22</v>
      </c>
      <c r="G1314" t="s">
        <v>43</v>
      </c>
      <c r="H1314">
        <v>46</v>
      </c>
      <c r="J1314" s="1">
        <v>70.13</v>
      </c>
      <c r="K1314" s="1">
        <v>0</v>
      </c>
      <c r="M1314" s="1">
        <v>0</v>
      </c>
      <c r="N1314" s="1">
        <v>11.9</v>
      </c>
      <c r="O1314" s="1">
        <v>5.0999999999999996</v>
      </c>
      <c r="Q1314" s="2">
        <v>87.13</v>
      </c>
    </row>
    <row r="1315" spans="1:17" x14ac:dyDescent="0.25">
      <c r="A1315" t="s">
        <v>31</v>
      </c>
      <c r="B1315" t="s">
        <v>40</v>
      </c>
      <c r="C1315" t="str">
        <f>"556-2-BR-VL-48"</f>
        <v>556-2-BR-VL-48</v>
      </c>
      <c r="D1315" t="s">
        <v>25</v>
      </c>
      <c r="F1315" t="s">
        <v>22</v>
      </c>
      <c r="G1315" t="s">
        <v>43</v>
      </c>
      <c r="H1315">
        <v>48</v>
      </c>
      <c r="J1315" s="1">
        <v>70.13</v>
      </c>
      <c r="K1315" s="1">
        <v>0</v>
      </c>
      <c r="M1315" s="1">
        <v>0</v>
      </c>
      <c r="N1315" s="1">
        <v>11.9</v>
      </c>
      <c r="O1315" s="1">
        <v>6.8</v>
      </c>
      <c r="Q1315" s="2">
        <v>88.83</v>
      </c>
    </row>
    <row r="1316" spans="1:17" x14ac:dyDescent="0.25">
      <c r="A1316" t="s">
        <v>31</v>
      </c>
      <c r="B1316" t="s">
        <v>40</v>
      </c>
      <c r="C1316" t="str">
        <f>"556-2-BR-VL-50"</f>
        <v>556-2-BR-VL-50</v>
      </c>
      <c r="D1316" t="s">
        <v>25</v>
      </c>
      <c r="F1316" t="s">
        <v>22</v>
      </c>
      <c r="G1316" t="s">
        <v>43</v>
      </c>
      <c r="H1316">
        <v>50</v>
      </c>
      <c r="J1316" s="1">
        <v>70.13</v>
      </c>
      <c r="K1316" s="1">
        <v>0</v>
      </c>
      <c r="M1316" s="1">
        <v>0</v>
      </c>
      <c r="N1316" s="1">
        <v>11.9</v>
      </c>
      <c r="O1316" s="1">
        <v>8.5</v>
      </c>
      <c r="Q1316" s="2">
        <v>90.53</v>
      </c>
    </row>
    <row r="1317" spans="1:17" x14ac:dyDescent="0.25">
      <c r="A1317" t="s">
        <v>31</v>
      </c>
      <c r="B1317" t="s">
        <v>40</v>
      </c>
      <c r="C1317" t="str">
        <f>"556-2-BR-VL-52"</f>
        <v>556-2-BR-VL-52</v>
      </c>
      <c r="D1317" t="s">
        <v>25</v>
      </c>
      <c r="F1317" t="s">
        <v>22</v>
      </c>
      <c r="G1317" t="s">
        <v>43</v>
      </c>
      <c r="H1317">
        <v>52</v>
      </c>
      <c r="J1317" s="1">
        <v>70.13</v>
      </c>
      <c r="K1317" s="1">
        <v>0</v>
      </c>
      <c r="M1317" s="1">
        <v>0</v>
      </c>
      <c r="N1317" s="1">
        <v>11.9</v>
      </c>
      <c r="O1317" s="1">
        <v>10.199999999999999</v>
      </c>
      <c r="Q1317" s="2">
        <v>92.23</v>
      </c>
    </row>
    <row r="1318" spans="1:17" x14ac:dyDescent="0.25">
      <c r="A1318" t="s">
        <v>31</v>
      </c>
      <c r="B1318" t="s">
        <v>40</v>
      </c>
      <c r="C1318" t="str">
        <f>"556-2-BR-VL-54"</f>
        <v>556-2-BR-VL-54</v>
      </c>
      <c r="D1318" t="s">
        <v>25</v>
      </c>
      <c r="F1318" t="s">
        <v>22</v>
      </c>
      <c r="G1318" t="s">
        <v>43</v>
      </c>
      <c r="H1318">
        <v>54</v>
      </c>
      <c r="J1318" s="1">
        <v>70.13</v>
      </c>
      <c r="K1318" s="1">
        <v>0</v>
      </c>
      <c r="M1318" s="1">
        <v>0</v>
      </c>
      <c r="N1318" s="1">
        <v>11.9</v>
      </c>
      <c r="O1318" s="1">
        <v>11.9</v>
      </c>
      <c r="Q1318" s="2">
        <v>93.93</v>
      </c>
    </row>
    <row r="1319" spans="1:17" x14ac:dyDescent="0.25">
      <c r="A1319" t="s">
        <v>31</v>
      </c>
      <c r="B1319" t="s">
        <v>40</v>
      </c>
      <c r="C1319" t="str">
        <f>"556-2-BR-VL-56"</f>
        <v>556-2-BR-VL-56</v>
      </c>
      <c r="D1319" t="s">
        <v>25</v>
      </c>
      <c r="F1319" t="s">
        <v>22</v>
      </c>
      <c r="G1319" t="s">
        <v>43</v>
      </c>
      <c r="H1319">
        <v>56</v>
      </c>
      <c r="J1319" s="1">
        <v>70.13</v>
      </c>
      <c r="K1319" s="1">
        <v>0</v>
      </c>
      <c r="M1319" s="1">
        <v>0</v>
      </c>
      <c r="N1319" s="1">
        <v>11.9</v>
      </c>
      <c r="O1319" s="1">
        <v>13.6</v>
      </c>
      <c r="Q1319" s="2">
        <v>95.63</v>
      </c>
    </row>
    <row r="1320" spans="1:17" x14ac:dyDescent="0.25">
      <c r="A1320" t="s">
        <v>31</v>
      </c>
      <c r="B1320" t="s">
        <v>40</v>
      </c>
      <c r="C1320" t="str">
        <f>"556-2-BR-VL-58"</f>
        <v>556-2-BR-VL-58</v>
      </c>
      <c r="D1320" t="s">
        <v>25</v>
      </c>
      <c r="F1320" t="s">
        <v>22</v>
      </c>
      <c r="G1320" t="s">
        <v>43</v>
      </c>
      <c r="H1320">
        <v>58</v>
      </c>
      <c r="J1320" s="1">
        <v>70.13</v>
      </c>
      <c r="K1320" s="1">
        <v>0</v>
      </c>
      <c r="M1320" s="1">
        <v>0</v>
      </c>
      <c r="N1320" s="1">
        <v>11.9</v>
      </c>
      <c r="O1320" s="1">
        <v>15.3</v>
      </c>
      <c r="Q1320" s="2">
        <v>97.33</v>
      </c>
    </row>
    <row r="1321" spans="1:17" x14ac:dyDescent="0.25">
      <c r="A1321" t="s">
        <v>31</v>
      </c>
      <c r="B1321" t="s">
        <v>40</v>
      </c>
      <c r="C1321" t="str">
        <f>"556-2-BR-VL-60"</f>
        <v>556-2-BR-VL-60</v>
      </c>
      <c r="D1321" t="s">
        <v>25</v>
      </c>
      <c r="F1321" t="s">
        <v>22</v>
      </c>
      <c r="G1321" t="s">
        <v>43</v>
      </c>
      <c r="H1321">
        <v>60</v>
      </c>
      <c r="J1321" s="1">
        <v>70.13</v>
      </c>
      <c r="K1321" s="1">
        <v>0</v>
      </c>
      <c r="M1321" s="1">
        <v>0</v>
      </c>
      <c r="N1321" s="1">
        <v>11.9</v>
      </c>
      <c r="O1321" s="1">
        <v>17</v>
      </c>
      <c r="Q1321" s="2">
        <v>99.03</v>
      </c>
    </row>
    <row r="1322" spans="1:17" x14ac:dyDescent="0.25">
      <c r="A1322" t="s">
        <v>31</v>
      </c>
      <c r="B1322" t="s">
        <v>40</v>
      </c>
      <c r="C1322" t="str">
        <f>"556-2-BR-VL-62"</f>
        <v>556-2-BR-VL-62</v>
      </c>
      <c r="D1322" t="s">
        <v>25</v>
      </c>
      <c r="F1322" t="s">
        <v>22</v>
      </c>
      <c r="G1322" t="s">
        <v>43</v>
      </c>
      <c r="H1322">
        <v>62</v>
      </c>
      <c r="J1322" s="1">
        <v>70.13</v>
      </c>
      <c r="K1322" s="1">
        <v>0</v>
      </c>
      <c r="M1322" s="1">
        <v>0</v>
      </c>
      <c r="N1322" s="1">
        <v>11.9</v>
      </c>
      <c r="O1322" s="1">
        <v>18.7</v>
      </c>
      <c r="Q1322" s="2">
        <v>100.73</v>
      </c>
    </row>
    <row r="1323" spans="1:17" x14ac:dyDescent="0.25">
      <c r="A1323" t="s">
        <v>31</v>
      </c>
      <c r="B1323" t="s">
        <v>40</v>
      </c>
      <c r="C1323" t="str">
        <f>"556-2-BR-VL-64"</f>
        <v>556-2-BR-VL-64</v>
      </c>
      <c r="D1323" t="s">
        <v>25</v>
      </c>
      <c r="F1323" t="s">
        <v>22</v>
      </c>
      <c r="G1323" t="s">
        <v>43</v>
      </c>
      <c r="H1323">
        <v>64</v>
      </c>
      <c r="J1323" s="1">
        <v>70.13</v>
      </c>
      <c r="K1323" s="1">
        <v>0</v>
      </c>
      <c r="M1323" s="1">
        <v>0</v>
      </c>
      <c r="N1323" s="1">
        <v>11.9</v>
      </c>
      <c r="O1323" s="1">
        <v>18.7</v>
      </c>
      <c r="Q1323" s="2">
        <v>100.73</v>
      </c>
    </row>
    <row r="1324" spans="1:17" x14ac:dyDescent="0.25">
      <c r="A1324" t="s">
        <v>31</v>
      </c>
      <c r="B1324" t="s">
        <v>40</v>
      </c>
      <c r="C1324" t="str">
        <f>"556-2-BR-VL-66"</f>
        <v>556-2-BR-VL-66</v>
      </c>
      <c r="D1324" t="s">
        <v>25</v>
      </c>
      <c r="F1324" t="s">
        <v>22</v>
      </c>
      <c r="G1324" t="s">
        <v>43</v>
      </c>
      <c r="H1324">
        <v>66</v>
      </c>
      <c r="J1324" s="1">
        <v>70.13</v>
      </c>
      <c r="K1324" s="1">
        <v>0</v>
      </c>
      <c r="M1324" s="1">
        <v>0</v>
      </c>
      <c r="N1324" s="1">
        <v>11.9</v>
      </c>
      <c r="O1324" s="1">
        <v>18.7</v>
      </c>
      <c r="Q1324" s="2">
        <v>100.73</v>
      </c>
    </row>
    <row r="1325" spans="1:17" x14ac:dyDescent="0.25">
      <c r="A1325" t="s">
        <v>31</v>
      </c>
      <c r="B1325" t="s">
        <v>40</v>
      </c>
      <c r="C1325" t="str">
        <f>"556-2-BR-VL-68"</f>
        <v>556-2-BR-VL-68</v>
      </c>
      <c r="D1325" t="s">
        <v>25</v>
      </c>
      <c r="F1325" t="s">
        <v>22</v>
      </c>
      <c r="G1325" t="s">
        <v>43</v>
      </c>
      <c r="H1325">
        <v>68</v>
      </c>
      <c r="J1325" s="1">
        <v>70.13</v>
      </c>
      <c r="K1325" s="1">
        <v>0</v>
      </c>
      <c r="M1325" s="1">
        <v>0</v>
      </c>
      <c r="N1325" s="1">
        <v>11.9</v>
      </c>
      <c r="O1325" s="1">
        <v>20.399999999999999</v>
      </c>
      <c r="Q1325" s="2">
        <v>102.43</v>
      </c>
    </row>
    <row r="1326" spans="1:17" x14ac:dyDescent="0.25">
      <c r="A1326" t="s">
        <v>31</v>
      </c>
      <c r="B1326" t="s">
        <v>40</v>
      </c>
      <c r="C1326" t="str">
        <f>"556-2-BR-VL-70"</f>
        <v>556-2-BR-VL-70</v>
      </c>
      <c r="D1326" t="s">
        <v>25</v>
      </c>
      <c r="F1326" t="s">
        <v>22</v>
      </c>
      <c r="G1326" t="s">
        <v>43</v>
      </c>
      <c r="H1326">
        <v>70</v>
      </c>
      <c r="J1326" s="1">
        <v>70.13</v>
      </c>
      <c r="K1326" s="1">
        <v>0</v>
      </c>
      <c r="M1326" s="1">
        <v>0</v>
      </c>
      <c r="N1326" s="1">
        <v>11.9</v>
      </c>
      <c r="O1326" s="1">
        <v>22.1</v>
      </c>
      <c r="Q1326" s="2">
        <v>104.13</v>
      </c>
    </row>
    <row r="1327" spans="1:17" x14ac:dyDescent="0.25">
      <c r="A1327" t="s">
        <v>31</v>
      </c>
      <c r="B1327" t="s">
        <v>40</v>
      </c>
      <c r="C1327" t="str">
        <f>"556-2-BR-VL-72"</f>
        <v>556-2-BR-VL-72</v>
      </c>
      <c r="D1327" t="s">
        <v>25</v>
      </c>
      <c r="F1327" t="s">
        <v>22</v>
      </c>
      <c r="G1327" t="s">
        <v>43</v>
      </c>
      <c r="H1327">
        <v>72</v>
      </c>
      <c r="J1327" s="1">
        <v>70.13</v>
      </c>
      <c r="K1327" s="1">
        <v>0</v>
      </c>
      <c r="M1327" s="1">
        <v>0</v>
      </c>
      <c r="N1327" s="1">
        <v>11.9</v>
      </c>
      <c r="O1327" s="1">
        <v>23.8</v>
      </c>
      <c r="Q1327" s="2">
        <v>105.83</v>
      </c>
    </row>
    <row r="1328" spans="1:17" x14ac:dyDescent="0.25">
      <c r="A1328" t="s">
        <v>31</v>
      </c>
      <c r="B1328" t="s">
        <v>40</v>
      </c>
      <c r="C1328" t="str">
        <f>"556-2-BR-VL-74"</f>
        <v>556-2-BR-VL-74</v>
      </c>
      <c r="D1328" t="s">
        <v>25</v>
      </c>
      <c r="F1328" t="s">
        <v>22</v>
      </c>
      <c r="G1328" t="s">
        <v>43</v>
      </c>
      <c r="H1328">
        <v>74</v>
      </c>
      <c r="J1328" s="1">
        <v>70.13</v>
      </c>
      <c r="K1328" s="1">
        <v>0</v>
      </c>
      <c r="M1328" s="1">
        <v>0</v>
      </c>
      <c r="N1328" s="1">
        <v>11.9</v>
      </c>
      <c r="O1328" s="1">
        <v>25.5</v>
      </c>
      <c r="Q1328" s="2">
        <v>107.53</v>
      </c>
    </row>
    <row r="1329" spans="1:17" x14ac:dyDescent="0.25">
      <c r="A1329" t="s">
        <v>31</v>
      </c>
      <c r="B1329" t="s">
        <v>40</v>
      </c>
      <c r="C1329" t="str">
        <f>"556-2-BR-VL-76"</f>
        <v>556-2-BR-VL-76</v>
      </c>
      <c r="D1329" t="s">
        <v>25</v>
      </c>
      <c r="F1329" t="s">
        <v>22</v>
      </c>
      <c r="G1329" t="s">
        <v>43</v>
      </c>
      <c r="H1329">
        <v>76</v>
      </c>
      <c r="J1329" s="1">
        <v>70.13</v>
      </c>
      <c r="K1329" s="1">
        <v>0</v>
      </c>
      <c r="M1329" s="1">
        <v>0</v>
      </c>
      <c r="N1329" s="1">
        <v>11.9</v>
      </c>
      <c r="O1329" s="1">
        <v>27.2</v>
      </c>
      <c r="Q1329" s="2">
        <v>109.23</v>
      </c>
    </row>
    <row r="1330" spans="1:17" x14ac:dyDescent="0.25">
      <c r="A1330" t="s">
        <v>31</v>
      </c>
      <c r="B1330" t="s">
        <v>40</v>
      </c>
      <c r="C1330" t="str">
        <f>"556-2-BR-VL-78"</f>
        <v>556-2-BR-VL-78</v>
      </c>
      <c r="D1330" t="s">
        <v>25</v>
      </c>
      <c r="F1330" t="s">
        <v>22</v>
      </c>
      <c r="G1330" t="s">
        <v>43</v>
      </c>
      <c r="H1330">
        <v>78</v>
      </c>
      <c r="J1330" s="1">
        <v>70.13</v>
      </c>
      <c r="K1330" s="1">
        <v>0</v>
      </c>
      <c r="M1330" s="1">
        <v>0</v>
      </c>
      <c r="N1330" s="1">
        <v>11.9</v>
      </c>
      <c r="O1330" s="1">
        <v>28.9</v>
      </c>
      <c r="Q1330" s="2">
        <v>110.93</v>
      </c>
    </row>
    <row r="1331" spans="1:17" x14ac:dyDescent="0.25">
      <c r="A1331" t="s">
        <v>31</v>
      </c>
      <c r="B1331" t="s">
        <v>40</v>
      </c>
      <c r="C1331" t="str">
        <f>"556-2-BR-VL-80"</f>
        <v>556-2-BR-VL-80</v>
      </c>
      <c r="D1331" t="s">
        <v>25</v>
      </c>
      <c r="F1331" t="s">
        <v>22</v>
      </c>
      <c r="G1331" t="s">
        <v>43</v>
      </c>
      <c r="H1331">
        <v>80</v>
      </c>
      <c r="J1331" s="1">
        <v>70.13</v>
      </c>
      <c r="K1331" s="1">
        <v>0</v>
      </c>
      <c r="M1331" s="1">
        <v>0</v>
      </c>
      <c r="N1331" s="1">
        <v>11.9</v>
      </c>
      <c r="O1331" s="1">
        <v>30.6</v>
      </c>
      <c r="Q1331" s="2">
        <v>112.63</v>
      </c>
    </row>
    <row r="1332" spans="1:17" x14ac:dyDescent="0.25">
      <c r="A1332" t="s">
        <v>31</v>
      </c>
      <c r="B1332" t="s">
        <v>40</v>
      </c>
      <c r="C1332" t="str">
        <f>"556-2-CH-CO-22"</f>
        <v>556-2-CH-CO-22</v>
      </c>
      <c r="D1332" t="s">
        <v>25</v>
      </c>
      <c r="F1332" t="s">
        <v>23</v>
      </c>
      <c r="G1332" t="s">
        <v>41</v>
      </c>
      <c r="H1332">
        <v>22</v>
      </c>
      <c r="J1332" s="1">
        <v>70.13</v>
      </c>
      <c r="K1332" s="1">
        <v>0</v>
      </c>
      <c r="M1332" s="1">
        <v>0</v>
      </c>
      <c r="N1332" s="1">
        <v>14.37</v>
      </c>
      <c r="O1332" s="1">
        <v>0</v>
      </c>
      <c r="Q1332" s="2">
        <v>84.5</v>
      </c>
    </row>
    <row r="1333" spans="1:17" x14ac:dyDescent="0.25">
      <c r="A1333" t="s">
        <v>31</v>
      </c>
      <c r="B1333" t="s">
        <v>40</v>
      </c>
      <c r="C1333" t="str">
        <f>"556-2-CH-CO-24"</f>
        <v>556-2-CH-CO-24</v>
      </c>
      <c r="D1333" t="s">
        <v>25</v>
      </c>
      <c r="F1333" t="s">
        <v>23</v>
      </c>
      <c r="G1333" t="s">
        <v>41</v>
      </c>
      <c r="H1333">
        <v>24</v>
      </c>
      <c r="J1333" s="1">
        <v>70.13</v>
      </c>
      <c r="K1333" s="1">
        <v>0</v>
      </c>
      <c r="M1333" s="1">
        <v>0</v>
      </c>
      <c r="N1333" s="1">
        <v>14.37</v>
      </c>
      <c r="O1333" s="1">
        <v>0</v>
      </c>
      <c r="Q1333" s="2">
        <v>84.5</v>
      </c>
    </row>
    <row r="1334" spans="1:17" x14ac:dyDescent="0.25">
      <c r="A1334" t="s">
        <v>31</v>
      </c>
      <c r="B1334" t="s">
        <v>40</v>
      </c>
      <c r="C1334" t="str">
        <f>"556-2-CH-CO-26"</f>
        <v>556-2-CH-CO-26</v>
      </c>
      <c r="D1334" t="s">
        <v>25</v>
      </c>
      <c r="F1334" t="s">
        <v>23</v>
      </c>
      <c r="G1334" t="s">
        <v>41</v>
      </c>
      <c r="H1334">
        <v>26</v>
      </c>
      <c r="J1334" s="1">
        <v>70.13</v>
      </c>
      <c r="K1334" s="1">
        <v>0</v>
      </c>
      <c r="M1334" s="1">
        <v>0</v>
      </c>
      <c r="N1334" s="1">
        <v>14.37</v>
      </c>
      <c r="O1334" s="1">
        <v>0</v>
      </c>
      <c r="Q1334" s="2">
        <v>84.5</v>
      </c>
    </row>
    <row r="1335" spans="1:17" x14ac:dyDescent="0.25">
      <c r="A1335" t="s">
        <v>31</v>
      </c>
      <c r="B1335" t="s">
        <v>40</v>
      </c>
      <c r="C1335" t="str">
        <f>"556-2-CH-CO-28"</f>
        <v>556-2-CH-CO-28</v>
      </c>
      <c r="D1335" t="s">
        <v>25</v>
      </c>
      <c r="F1335" t="s">
        <v>23</v>
      </c>
      <c r="G1335" t="s">
        <v>41</v>
      </c>
      <c r="H1335">
        <v>28</v>
      </c>
      <c r="J1335" s="1">
        <v>70.13</v>
      </c>
      <c r="K1335" s="1">
        <v>0</v>
      </c>
      <c r="M1335" s="1">
        <v>0</v>
      </c>
      <c r="N1335" s="1">
        <v>14.37</v>
      </c>
      <c r="O1335" s="1">
        <v>0</v>
      </c>
      <c r="Q1335" s="2">
        <v>84.5</v>
      </c>
    </row>
    <row r="1336" spans="1:17" x14ac:dyDescent="0.25">
      <c r="A1336" t="s">
        <v>31</v>
      </c>
      <c r="B1336" t="s">
        <v>40</v>
      </c>
      <c r="C1336" t="str">
        <f>"556-2-CH-CO-30"</f>
        <v>556-2-CH-CO-30</v>
      </c>
      <c r="D1336" t="s">
        <v>25</v>
      </c>
      <c r="F1336" t="s">
        <v>23</v>
      </c>
      <c r="G1336" t="s">
        <v>41</v>
      </c>
      <c r="H1336">
        <v>30</v>
      </c>
      <c r="J1336" s="1">
        <v>70.13</v>
      </c>
      <c r="K1336" s="1">
        <v>0</v>
      </c>
      <c r="M1336" s="1">
        <v>0</v>
      </c>
      <c r="N1336" s="1">
        <v>14.37</v>
      </c>
      <c r="O1336" s="1">
        <v>0</v>
      </c>
      <c r="Q1336" s="2">
        <v>84.5</v>
      </c>
    </row>
    <row r="1337" spans="1:17" x14ac:dyDescent="0.25">
      <c r="A1337" t="s">
        <v>31</v>
      </c>
      <c r="B1337" t="s">
        <v>40</v>
      </c>
      <c r="C1337" t="str">
        <f>"556-2-CH-CO-32"</f>
        <v>556-2-CH-CO-32</v>
      </c>
      <c r="D1337" t="s">
        <v>25</v>
      </c>
      <c r="F1337" t="s">
        <v>23</v>
      </c>
      <c r="G1337" t="s">
        <v>41</v>
      </c>
      <c r="H1337">
        <v>32</v>
      </c>
      <c r="J1337" s="1">
        <v>70.13</v>
      </c>
      <c r="K1337" s="1">
        <v>0</v>
      </c>
      <c r="M1337" s="1">
        <v>0</v>
      </c>
      <c r="N1337" s="1">
        <v>14.37</v>
      </c>
      <c r="O1337" s="1">
        <v>0</v>
      </c>
      <c r="Q1337" s="2">
        <v>84.5</v>
      </c>
    </row>
    <row r="1338" spans="1:17" x14ac:dyDescent="0.25">
      <c r="A1338" t="s">
        <v>31</v>
      </c>
      <c r="B1338" t="s">
        <v>40</v>
      </c>
      <c r="C1338" t="str">
        <f>"556-2-CH-CO-34"</f>
        <v>556-2-CH-CO-34</v>
      </c>
      <c r="D1338" t="s">
        <v>25</v>
      </c>
      <c r="F1338" t="s">
        <v>23</v>
      </c>
      <c r="G1338" t="s">
        <v>41</v>
      </c>
      <c r="H1338">
        <v>34</v>
      </c>
      <c r="J1338" s="1">
        <v>70.13</v>
      </c>
      <c r="K1338" s="1">
        <v>0</v>
      </c>
      <c r="M1338" s="1">
        <v>0</v>
      </c>
      <c r="N1338" s="1">
        <v>14.37</v>
      </c>
      <c r="O1338" s="1">
        <v>0</v>
      </c>
      <c r="Q1338" s="2">
        <v>84.5</v>
      </c>
    </row>
    <row r="1339" spans="1:17" x14ac:dyDescent="0.25">
      <c r="A1339" t="s">
        <v>31</v>
      </c>
      <c r="B1339" t="s">
        <v>40</v>
      </c>
      <c r="C1339" t="str">
        <f>"556-2-CH-CO-36"</f>
        <v>556-2-CH-CO-36</v>
      </c>
      <c r="D1339" t="s">
        <v>25</v>
      </c>
      <c r="F1339" t="s">
        <v>23</v>
      </c>
      <c r="G1339" t="s">
        <v>41</v>
      </c>
      <c r="H1339">
        <v>36</v>
      </c>
      <c r="J1339" s="1">
        <v>70.13</v>
      </c>
      <c r="K1339" s="1">
        <v>0</v>
      </c>
      <c r="M1339" s="1">
        <v>0</v>
      </c>
      <c r="N1339" s="1">
        <v>14.37</v>
      </c>
      <c r="O1339" s="1">
        <v>0</v>
      </c>
      <c r="Q1339" s="2">
        <v>84.5</v>
      </c>
    </row>
    <row r="1340" spans="1:17" x14ac:dyDescent="0.25">
      <c r="A1340" t="s">
        <v>31</v>
      </c>
      <c r="B1340" t="s">
        <v>40</v>
      </c>
      <c r="C1340" t="str">
        <f>"556-2-CH-CO-38"</f>
        <v>556-2-CH-CO-38</v>
      </c>
      <c r="D1340" t="s">
        <v>25</v>
      </c>
      <c r="F1340" t="s">
        <v>23</v>
      </c>
      <c r="G1340" t="s">
        <v>41</v>
      </c>
      <c r="H1340">
        <v>38</v>
      </c>
      <c r="J1340" s="1">
        <v>70.13</v>
      </c>
      <c r="K1340" s="1">
        <v>0</v>
      </c>
      <c r="M1340" s="1">
        <v>0</v>
      </c>
      <c r="N1340" s="1">
        <v>14.37</v>
      </c>
      <c r="O1340" s="1">
        <v>0</v>
      </c>
      <c r="Q1340" s="2">
        <v>84.5</v>
      </c>
    </row>
    <row r="1341" spans="1:17" x14ac:dyDescent="0.25">
      <c r="A1341" t="s">
        <v>31</v>
      </c>
      <c r="B1341" t="s">
        <v>40</v>
      </c>
      <c r="C1341" t="str">
        <f>"556-2-CH-CO-40"</f>
        <v>556-2-CH-CO-40</v>
      </c>
      <c r="D1341" t="s">
        <v>25</v>
      </c>
      <c r="F1341" t="s">
        <v>23</v>
      </c>
      <c r="G1341" t="s">
        <v>41</v>
      </c>
      <c r="H1341">
        <v>40</v>
      </c>
      <c r="J1341" s="1">
        <v>70.13</v>
      </c>
      <c r="K1341" s="1">
        <v>0</v>
      </c>
      <c r="M1341" s="1">
        <v>0</v>
      </c>
      <c r="N1341" s="1">
        <v>14.37</v>
      </c>
      <c r="O1341" s="1">
        <v>0</v>
      </c>
      <c r="Q1341" s="2">
        <v>84.5</v>
      </c>
    </row>
    <row r="1342" spans="1:17" x14ac:dyDescent="0.25">
      <c r="A1342" t="s">
        <v>31</v>
      </c>
      <c r="B1342" t="s">
        <v>40</v>
      </c>
      <c r="C1342" t="str">
        <f>"556-2-CH-CO-42"</f>
        <v>556-2-CH-CO-42</v>
      </c>
      <c r="D1342" t="s">
        <v>25</v>
      </c>
      <c r="F1342" t="s">
        <v>23</v>
      </c>
      <c r="G1342" t="s">
        <v>41</v>
      </c>
      <c r="H1342">
        <v>42</v>
      </c>
      <c r="J1342" s="1">
        <v>70.13</v>
      </c>
      <c r="K1342" s="1">
        <v>0</v>
      </c>
      <c r="M1342" s="1">
        <v>0</v>
      </c>
      <c r="N1342" s="1">
        <v>14.37</v>
      </c>
      <c r="O1342" s="1">
        <v>0</v>
      </c>
      <c r="Q1342" s="2">
        <v>84.5</v>
      </c>
    </row>
    <row r="1343" spans="1:17" x14ac:dyDescent="0.25">
      <c r="A1343" t="s">
        <v>31</v>
      </c>
      <c r="B1343" t="s">
        <v>40</v>
      </c>
      <c r="C1343" t="str">
        <f>"556-2-CH-CO-44"</f>
        <v>556-2-CH-CO-44</v>
      </c>
      <c r="D1343" t="s">
        <v>25</v>
      </c>
      <c r="F1343" t="s">
        <v>23</v>
      </c>
      <c r="G1343" t="s">
        <v>41</v>
      </c>
      <c r="H1343">
        <v>44</v>
      </c>
      <c r="J1343" s="1">
        <v>70.13</v>
      </c>
      <c r="K1343" s="1">
        <v>0</v>
      </c>
      <c r="M1343" s="1">
        <v>0</v>
      </c>
      <c r="N1343" s="1">
        <v>14.37</v>
      </c>
      <c r="O1343" s="1">
        <v>0</v>
      </c>
      <c r="Q1343" s="2">
        <v>84.5</v>
      </c>
    </row>
    <row r="1344" spans="1:17" x14ac:dyDescent="0.25">
      <c r="A1344" t="s">
        <v>31</v>
      </c>
      <c r="B1344" t="s">
        <v>40</v>
      </c>
      <c r="C1344" t="str">
        <f>"556-2-CH-CO-46"</f>
        <v>556-2-CH-CO-46</v>
      </c>
      <c r="D1344" t="s">
        <v>25</v>
      </c>
      <c r="F1344" t="s">
        <v>23</v>
      </c>
      <c r="G1344" t="s">
        <v>41</v>
      </c>
      <c r="H1344">
        <v>46</v>
      </c>
      <c r="J1344" s="1">
        <v>70.13</v>
      </c>
      <c r="K1344" s="1">
        <v>0</v>
      </c>
      <c r="M1344" s="1">
        <v>0</v>
      </c>
      <c r="N1344" s="1">
        <v>14.37</v>
      </c>
      <c r="O1344" s="1">
        <v>2</v>
      </c>
      <c r="Q1344" s="2">
        <v>86.5</v>
      </c>
    </row>
    <row r="1345" spans="1:17" x14ac:dyDescent="0.25">
      <c r="A1345" t="s">
        <v>31</v>
      </c>
      <c r="B1345" t="s">
        <v>40</v>
      </c>
      <c r="C1345" t="str">
        <f>"556-2-CH-CO-48"</f>
        <v>556-2-CH-CO-48</v>
      </c>
      <c r="D1345" t="s">
        <v>25</v>
      </c>
      <c r="F1345" t="s">
        <v>23</v>
      </c>
      <c r="G1345" t="s">
        <v>41</v>
      </c>
      <c r="H1345">
        <v>48</v>
      </c>
      <c r="J1345" s="1">
        <v>70.13</v>
      </c>
      <c r="K1345" s="1">
        <v>0</v>
      </c>
      <c r="M1345" s="1">
        <v>0</v>
      </c>
      <c r="N1345" s="1">
        <v>14.37</v>
      </c>
      <c r="O1345" s="1">
        <v>4</v>
      </c>
      <c r="Q1345" s="2">
        <v>88.5</v>
      </c>
    </row>
    <row r="1346" spans="1:17" x14ac:dyDescent="0.25">
      <c r="A1346" t="s">
        <v>31</v>
      </c>
      <c r="B1346" t="s">
        <v>40</v>
      </c>
      <c r="C1346" t="str">
        <f>"556-2-CH-CO-50"</f>
        <v>556-2-CH-CO-50</v>
      </c>
      <c r="D1346" t="s">
        <v>25</v>
      </c>
      <c r="F1346" t="s">
        <v>23</v>
      </c>
      <c r="G1346" t="s">
        <v>41</v>
      </c>
      <c r="H1346">
        <v>50</v>
      </c>
      <c r="J1346" s="1">
        <v>70.13</v>
      </c>
      <c r="K1346" s="1">
        <v>0</v>
      </c>
      <c r="M1346" s="1">
        <v>0</v>
      </c>
      <c r="N1346" s="1">
        <v>14.37</v>
      </c>
      <c r="O1346" s="1">
        <v>6</v>
      </c>
      <c r="Q1346" s="2">
        <v>90.5</v>
      </c>
    </row>
    <row r="1347" spans="1:17" x14ac:dyDescent="0.25">
      <c r="A1347" t="s">
        <v>31</v>
      </c>
      <c r="B1347" t="s">
        <v>40</v>
      </c>
      <c r="C1347" t="str">
        <f>"556-2-CH-CO-52"</f>
        <v>556-2-CH-CO-52</v>
      </c>
      <c r="D1347" t="s">
        <v>25</v>
      </c>
      <c r="F1347" t="s">
        <v>23</v>
      </c>
      <c r="G1347" t="s">
        <v>41</v>
      </c>
      <c r="H1347">
        <v>52</v>
      </c>
      <c r="J1347" s="1">
        <v>70.13</v>
      </c>
      <c r="K1347" s="1">
        <v>0</v>
      </c>
      <c r="M1347" s="1">
        <v>0</v>
      </c>
      <c r="N1347" s="1">
        <v>14.37</v>
      </c>
      <c r="O1347" s="1">
        <v>8</v>
      </c>
      <c r="Q1347" s="2">
        <v>92.5</v>
      </c>
    </row>
    <row r="1348" spans="1:17" x14ac:dyDescent="0.25">
      <c r="A1348" t="s">
        <v>31</v>
      </c>
      <c r="B1348" t="s">
        <v>40</v>
      </c>
      <c r="C1348" t="str">
        <f>"556-2-CH-CO-54"</f>
        <v>556-2-CH-CO-54</v>
      </c>
      <c r="D1348" t="s">
        <v>25</v>
      </c>
      <c r="F1348" t="s">
        <v>23</v>
      </c>
      <c r="G1348" t="s">
        <v>41</v>
      </c>
      <c r="H1348">
        <v>54</v>
      </c>
      <c r="J1348" s="1">
        <v>70.13</v>
      </c>
      <c r="K1348" s="1">
        <v>0</v>
      </c>
      <c r="M1348" s="1">
        <v>0</v>
      </c>
      <c r="N1348" s="1">
        <v>14.37</v>
      </c>
      <c r="O1348" s="1">
        <v>10</v>
      </c>
      <c r="Q1348" s="2">
        <v>94.5</v>
      </c>
    </row>
    <row r="1349" spans="1:17" x14ac:dyDescent="0.25">
      <c r="A1349" t="s">
        <v>31</v>
      </c>
      <c r="B1349" t="s">
        <v>40</v>
      </c>
      <c r="C1349" t="str">
        <f>"556-2-CH-CO-56"</f>
        <v>556-2-CH-CO-56</v>
      </c>
      <c r="D1349" t="s">
        <v>25</v>
      </c>
      <c r="F1349" t="s">
        <v>23</v>
      </c>
      <c r="G1349" t="s">
        <v>41</v>
      </c>
      <c r="H1349">
        <v>56</v>
      </c>
      <c r="J1349" s="1">
        <v>70.13</v>
      </c>
      <c r="K1349" s="1">
        <v>0</v>
      </c>
      <c r="M1349" s="1">
        <v>0</v>
      </c>
      <c r="N1349" s="1">
        <v>14.37</v>
      </c>
      <c r="O1349" s="1">
        <v>12</v>
      </c>
      <c r="Q1349" s="2">
        <v>96.5</v>
      </c>
    </row>
    <row r="1350" spans="1:17" x14ac:dyDescent="0.25">
      <c r="A1350" t="s">
        <v>31</v>
      </c>
      <c r="B1350" t="s">
        <v>40</v>
      </c>
      <c r="C1350" t="str">
        <f>"556-2-CH-CO-58"</f>
        <v>556-2-CH-CO-58</v>
      </c>
      <c r="D1350" t="s">
        <v>25</v>
      </c>
      <c r="F1350" t="s">
        <v>23</v>
      </c>
      <c r="G1350" t="s">
        <v>41</v>
      </c>
      <c r="H1350">
        <v>58</v>
      </c>
      <c r="J1350" s="1">
        <v>70.13</v>
      </c>
      <c r="K1350" s="1">
        <v>0</v>
      </c>
      <c r="M1350" s="1">
        <v>0</v>
      </c>
      <c r="N1350" s="1">
        <v>14.37</v>
      </c>
      <c r="O1350" s="1">
        <v>14</v>
      </c>
      <c r="Q1350" s="2">
        <v>98.5</v>
      </c>
    </row>
    <row r="1351" spans="1:17" x14ac:dyDescent="0.25">
      <c r="A1351" t="s">
        <v>31</v>
      </c>
      <c r="B1351" t="s">
        <v>40</v>
      </c>
      <c r="C1351" t="str">
        <f>"556-2-CH-CO-60"</f>
        <v>556-2-CH-CO-60</v>
      </c>
      <c r="D1351" t="s">
        <v>25</v>
      </c>
      <c r="F1351" t="s">
        <v>23</v>
      </c>
      <c r="G1351" t="s">
        <v>41</v>
      </c>
      <c r="H1351">
        <v>60</v>
      </c>
      <c r="J1351" s="1">
        <v>70.13</v>
      </c>
      <c r="K1351" s="1">
        <v>0</v>
      </c>
      <c r="M1351" s="1">
        <v>0</v>
      </c>
      <c r="N1351" s="1">
        <v>14.37</v>
      </c>
      <c r="O1351" s="1">
        <v>16</v>
      </c>
      <c r="Q1351" s="2">
        <v>100.5</v>
      </c>
    </row>
    <row r="1352" spans="1:17" x14ac:dyDescent="0.25">
      <c r="A1352" t="s">
        <v>31</v>
      </c>
      <c r="B1352" t="s">
        <v>40</v>
      </c>
      <c r="C1352" t="str">
        <f>"556-2-CH-CO-62"</f>
        <v>556-2-CH-CO-62</v>
      </c>
      <c r="D1352" t="s">
        <v>25</v>
      </c>
      <c r="F1352" t="s">
        <v>23</v>
      </c>
      <c r="G1352" t="s">
        <v>41</v>
      </c>
      <c r="H1352">
        <v>62</v>
      </c>
      <c r="J1352" s="1">
        <v>70.13</v>
      </c>
      <c r="K1352" s="1">
        <v>0</v>
      </c>
      <c r="M1352" s="1">
        <v>0</v>
      </c>
      <c r="N1352" s="1">
        <v>14.37</v>
      </c>
      <c r="O1352" s="1">
        <v>18</v>
      </c>
      <c r="Q1352" s="2">
        <v>102.5</v>
      </c>
    </row>
    <row r="1353" spans="1:17" x14ac:dyDescent="0.25">
      <c r="A1353" t="s">
        <v>31</v>
      </c>
      <c r="B1353" t="s">
        <v>40</v>
      </c>
      <c r="C1353" t="str">
        <f>"556-2-CH-CO-64"</f>
        <v>556-2-CH-CO-64</v>
      </c>
      <c r="D1353" t="s">
        <v>25</v>
      </c>
      <c r="F1353" t="s">
        <v>23</v>
      </c>
      <c r="G1353" t="s">
        <v>41</v>
      </c>
      <c r="H1353">
        <v>64</v>
      </c>
      <c r="J1353" s="1">
        <v>70.13</v>
      </c>
      <c r="K1353" s="1">
        <v>0</v>
      </c>
      <c r="M1353" s="1">
        <v>0</v>
      </c>
      <c r="N1353" s="1">
        <v>14.37</v>
      </c>
      <c r="O1353" s="1">
        <v>20</v>
      </c>
      <c r="Q1353" s="2">
        <v>104.5</v>
      </c>
    </row>
    <row r="1354" spans="1:17" x14ac:dyDescent="0.25">
      <c r="A1354" t="s">
        <v>31</v>
      </c>
      <c r="B1354" t="s">
        <v>40</v>
      </c>
      <c r="C1354" t="str">
        <f>"556-2-CH-CO-66"</f>
        <v>556-2-CH-CO-66</v>
      </c>
      <c r="D1354" t="s">
        <v>25</v>
      </c>
      <c r="F1354" t="s">
        <v>23</v>
      </c>
      <c r="G1354" t="s">
        <v>41</v>
      </c>
      <c r="H1354">
        <v>66</v>
      </c>
      <c r="J1354" s="1">
        <v>70.13</v>
      </c>
      <c r="K1354" s="1">
        <v>0</v>
      </c>
      <c r="M1354" s="1">
        <v>0</v>
      </c>
      <c r="N1354" s="1">
        <v>14.37</v>
      </c>
      <c r="O1354" s="1">
        <v>22</v>
      </c>
      <c r="Q1354" s="2">
        <v>106.5</v>
      </c>
    </row>
    <row r="1355" spans="1:17" x14ac:dyDescent="0.25">
      <c r="A1355" t="s">
        <v>31</v>
      </c>
      <c r="B1355" t="s">
        <v>40</v>
      </c>
      <c r="C1355" t="str">
        <f>"556-2-CH-CO-68"</f>
        <v>556-2-CH-CO-68</v>
      </c>
      <c r="D1355" t="s">
        <v>25</v>
      </c>
      <c r="F1355" t="s">
        <v>23</v>
      </c>
      <c r="G1355" t="s">
        <v>41</v>
      </c>
      <c r="H1355">
        <v>68</v>
      </c>
      <c r="J1355" s="1">
        <v>70.13</v>
      </c>
      <c r="K1355" s="1">
        <v>0</v>
      </c>
      <c r="M1355" s="1">
        <v>0</v>
      </c>
      <c r="N1355" s="1">
        <v>14.37</v>
      </c>
      <c r="O1355" s="1">
        <v>24</v>
      </c>
      <c r="Q1355" s="2">
        <v>108.5</v>
      </c>
    </row>
    <row r="1356" spans="1:17" x14ac:dyDescent="0.25">
      <c r="A1356" t="s">
        <v>31</v>
      </c>
      <c r="B1356" t="s">
        <v>40</v>
      </c>
      <c r="C1356" t="str">
        <f>"556-2-CH-CO-70"</f>
        <v>556-2-CH-CO-70</v>
      </c>
      <c r="D1356" t="s">
        <v>25</v>
      </c>
      <c r="F1356" t="s">
        <v>23</v>
      </c>
      <c r="G1356" t="s">
        <v>41</v>
      </c>
      <c r="H1356">
        <v>70</v>
      </c>
      <c r="J1356" s="1">
        <v>70.13</v>
      </c>
      <c r="K1356" s="1">
        <v>0</v>
      </c>
      <c r="M1356" s="1">
        <v>0</v>
      </c>
      <c r="N1356" s="1">
        <v>14.37</v>
      </c>
      <c r="O1356" s="1">
        <v>26</v>
      </c>
      <c r="Q1356" s="2">
        <v>110.5</v>
      </c>
    </row>
    <row r="1357" spans="1:17" x14ac:dyDescent="0.25">
      <c r="A1357" t="s">
        <v>31</v>
      </c>
      <c r="B1357" t="s">
        <v>40</v>
      </c>
      <c r="C1357" t="str">
        <f>"556-2-CH-CO-72"</f>
        <v>556-2-CH-CO-72</v>
      </c>
      <c r="D1357" t="s">
        <v>25</v>
      </c>
      <c r="F1357" t="s">
        <v>23</v>
      </c>
      <c r="G1357" t="s">
        <v>41</v>
      </c>
      <c r="H1357">
        <v>72</v>
      </c>
      <c r="J1357" s="1">
        <v>70.13</v>
      </c>
      <c r="K1357" s="1">
        <v>0</v>
      </c>
      <c r="M1357" s="1">
        <v>0</v>
      </c>
      <c r="N1357" s="1">
        <v>14.37</v>
      </c>
      <c r="O1357" s="1">
        <v>28</v>
      </c>
      <c r="Q1357" s="2">
        <v>112.5</v>
      </c>
    </row>
    <row r="1358" spans="1:17" x14ac:dyDescent="0.25">
      <c r="A1358" t="s">
        <v>31</v>
      </c>
      <c r="B1358" t="s">
        <v>40</v>
      </c>
      <c r="C1358" t="str">
        <f>"556-2-CH-CO-74"</f>
        <v>556-2-CH-CO-74</v>
      </c>
      <c r="D1358" t="s">
        <v>25</v>
      </c>
      <c r="F1358" t="s">
        <v>23</v>
      </c>
      <c r="G1358" t="s">
        <v>41</v>
      </c>
      <c r="H1358">
        <v>74</v>
      </c>
      <c r="J1358" s="1">
        <v>70.13</v>
      </c>
      <c r="K1358" s="1">
        <v>0</v>
      </c>
      <c r="M1358" s="1">
        <v>0</v>
      </c>
      <c r="N1358" s="1">
        <v>14.37</v>
      </c>
      <c r="O1358" s="1">
        <v>30</v>
      </c>
      <c r="Q1358" s="2">
        <v>114.5</v>
      </c>
    </row>
    <row r="1359" spans="1:17" x14ac:dyDescent="0.25">
      <c r="A1359" t="s">
        <v>31</v>
      </c>
      <c r="B1359" t="s">
        <v>40</v>
      </c>
      <c r="C1359" t="str">
        <f>"556-2-CH-CO-76"</f>
        <v>556-2-CH-CO-76</v>
      </c>
      <c r="D1359" t="s">
        <v>25</v>
      </c>
      <c r="F1359" t="s">
        <v>23</v>
      </c>
      <c r="G1359" t="s">
        <v>41</v>
      </c>
      <c r="H1359">
        <v>76</v>
      </c>
      <c r="J1359" s="1">
        <v>70.13</v>
      </c>
      <c r="K1359" s="1">
        <v>0</v>
      </c>
      <c r="M1359" s="1">
        <v>0</v>
      </c>
      <c r="N1359" s="1">
        <v>14.37</v>
      </c>
      <c r="O1359" s="1">
        <v>32</v>
      </c>
      <c r="Q1359" s="2">
        <v>116.5</v>
      </c>
    </row>
    <row r="1360" spans="1:17" x14ac:dyDescent="0.25">
      <c r="A1360" t="s">
        <v>31</v>
      </c>
      <c r="B1360" t="s">
        <v>40</v>
      </c>
      <c r="C1360" t="str">
        <f>"556-2-CH-CO-78"</f>
        <v>556-2-CH-CO-78</v>
      </c>
      <c r="D1360" t="s">
        <v>25</v>
      </c>
      <c r="F1360" t="s">
        <v>23</v>
      </c>
      <c r="G1360" t="s">
        <v>41</v>
      </c>
      <c r="H1360">
        <v>78</v>
      </c>
      <c r="J1360" s="1">
        <v>70.13</v>
      </c>
      <c r="K1360" s="1">
        <v>0</v>
      </c>
      <c r="M1360" s="1">
        <v>0</v>
      </c>
      <c r="N1360" s="1">
        <v>14.37</v>
      </c>
      <c r="O1360" s="1">
        <v>34</v>
      </c>
      <c r="Q1360" s="2">
        <v>118.5</v>
      </c>
    </row>
    <row r="1361" spans="1:17" x14ac:dyDescent="0.25">
      <c r="A1361" t="s">
        <v>31</v>
      </c>
      <c r="B1361" t="s">
        <v>40</v>
      </c>
      <c r="C1361" t="str">
        <f>"556-2-CH-CO-80"</f>
        <v>556-2-CH-CO-80</v>
      </c>
      <c r="D1361" t="s">
        <v>25</v>
      </c>
      <c r="F1361" t="s">
        <v>23</v>
      </c>
      <c r="G1361" t="s">
        <v>41</v>
      </c>
      <c r="H1361">
        <v>80</v>
      </c>
      <c r="J1361" s="1">
        <v>70.13</v>
      </c>
      <c r="K1361" s="1">
        <v>0</v>
      </c>
      <c r="M1361" s="1">
        <v>0</v>
      </c>
      <c r="N1361" s="1">
        <v>14.37</v>
      </c>
      <c r="O1361" s="1">
        <v>36</v>
      </c>
      <c r="Q1361" s="2">
        <v>120.5</v>
      </c>
    </row>
    <row r="1362" spans="1:17" x14ac:dyDescent="0.25">
      <c r="A1362" t="s">
        <v>31</v>
      </c>
      <c r="B1362" t="s">
        <v>40</v>
      </c>
      <c r="C1362" t="str">
        <f>"556-2-CH-SU-22"</f>
        <v>556-2-CH-SU-22</v>
      </c>
      <c r="D1362" t="s">
        <v>25</v>
      </c>
      <c r="F1362" t="s">
        <v>23</v>
      </c>
      <c r="G1362" t="s">
        <v>42</v>
      </c>
      <c r="H1362">
        <v>22</v>
      </c>
      <c r="J1362" s="1">
        <v>70.13</v>
      </c>
      <c r="K1362" s="1">
        <v>0</v>
      </c>
      <c r="M1362" s="1">
        <v>0</v>
      </c>
      <c r="N1362" s="1">
        <v>0</v>
      </c>
      <c r="O1362" s="1">
        <v>0</v>
      </c>
      <c r="Q1362" s="2">
        <v>70.13</v>
      </c>
    </row>
    <row r="1363" spans="1:17" x14ac:dyDescent="0.25">
      <c r="A1363" t="s">
        <v>31</v>
      </c>
      <c r="B1363" t="s">
        <v>40</v>
      </c>
      <c r="C1363" t="str">
        <f>"556-2-CH-SU-24"</f>
        <v>556-2-CH-SU-24</v>
      </c>
      <c r="D1363" t="s">
        <v>25</v>
      </c>
      <c r="F1363" t="s">
        <v>23</v>
      </c>
      <c r="G1363" t="s">
        <v>42</v>
      </c>
      <c r="H1363">
        <v>24</v>
      </c>
      <c r="J1363" s="1">
        <v>70.13</v>
      </c>
      <c r="K1363" s="1">
        <v>0</v>
      </c>
      <c r="M1363" s="1">
        <v>0</v>
      </c>
      <c r="N1363" s="1">
        <v>0</v>
      </c>
      <c r="O1363" s="1">
        <v>0</v>
      </c>
      <c r="Q1363" s="2">
        <v>70.13</v>
      </c>
    </row>
    <row r="1364" spans="1:17" x14ac:dyDescent="0.25">
      <c r="A1364" t="s">
        <v>31</v>
      </c>
      <c r="B1364" t="s">
        <v>40</v>
      </c>
      <c r="C1364" t="str">
        <f>"556-2-CH-SU-26"</f>
        <v>556-2-CH-SU-26</v>
      </c>
      <c r="D1364" t="s">
        <v>25</v>
      </c>
      <c r="F1364" t="s">
        <v>23</v>
      </c>
      <c r="G1364" t="s">
        <v>42</v>
      </c>
      <c r="H1364">
        <v>26</v>
      </c>
      <c r="J1364" s="1">
        <v>70.13</v>
      </c>
      <c r="K1364" s="1">
        <v>0</v>
      </c>
      <c r="M1364" s="1">
        <v>0</v>
      </c>
      <c r="N1364" s="1">
        <v>0</v>
      </c>
      <c r="O1364" s="1">
        <v>0</v>
      </c>
      <c r="Q1364" s="2">
        <v>70.13</v>
      </c>
    </row>
    <row r="1365" spans="1:17" x14ac:dyDescent="0.25">
      <c r="A1365" t="s">
        <v>31</v>
      </c>
      <c r="B1365" t="s">
        <v>40</v>
      </c>
      <c r="C1365" t="str">
        <f>"556-2-CH-SU-28"</f>
        <v>556-2-CH-SU-28</v>
      </c>
      <c r="D1365" t="s">
        <v>25</v>
      </c>
      <c r="F1365" t="s">
        <v>23</v>
      </c>
      <c r="G1365" t="s">
        <v>42</v>
      </c>
      <c r="H1365">
        <v>28</v>
      </c>
      <c r="J1365" s="1">
        <v>70.13</v>
      </c>
      <c r="K1365" s="1">
        <v>0</v>
      </c>
      <c r="M1365" s="1">
        <v>0</v>
      </c>
      <c r="N1365" s="1">
        <v>0</v>
      </c>
      <c r="O1365" s="1">
        <v>0</v>
      </c>
      <c r="Q1365" s="2">
        <v>70.13</v>
      </c>
    </row>
    <row r="1366" spans="1:17" x14ac:dyDescent="0.25">
      <c r="A1366" t="s">
        <v>31</v>
      </c>
      <c r="B1366" t="s">
        <v>40</v>
      </c>
      <c r="C1366" t="str">
        <f>"556-2-CH-SU-30"</f>
        <v>556-2-CH-SU-30</v>
      </c>
      <c r="D1366" t="s">
        <v>25</v>
      </c>
      <c r="F1366" t="s">
        <v>23</v>
      </c>
      <c r="G1366" t="s">
        <v>42</v>
      </c>
      <c r="H1366">
        <v>30</v>
      </c>
      <c r="J1366" s="1">
        <v>70.13</v>
      </c>
      <c r="K1366" s="1">
        <v>0</v>
      </c>
      <c r="M1366" s="1">
        <v>0</v>
      </c>
      <c r="N1366" s="1">
        <v>0</v>
      </c>
      <c r="O1366" s="1">
        <v>0</v>
      </c>
      <c r="Q1366" s="2">
        <v>70.13</v>
      </c>
    </row>
    <row r="1367" spans="1:17" x14ac:dyDescent="0.25">
      <c r="A1367" t="s">
        <v>31</v>
      </c>
      <c r="B1367" t="s">
        <v>40</v>
      </c>
      <c r="C1367" t="str">
        <f>"556-2-CH-SU-32"</f>
        <v>556-2-CH-SU-32</v>
      </c>
      <c r="D1367" t="s">
        <v>25</v>
      </c>
      <c r="F1367" t="s">
        <v>23</v>
      </c>
      <c r="G1367" t="s">
        <v>42</v>
      </c>
      <c r="H1367">
        <v>32</v>
      </c>
      <c r="J1367" s="1">
        <v>70.13</v>
      </c>
      <c r="K1367" s="1">
        <v>0</v>
      </c>
      <c r="M1367" s="1">
        <v>0</v>
      </c>
      <c r="N1367" s="1">
        <v>0</v>
      </c>
      <c r="O1367" s="1">
        <v>0</v>
      </c>
      <c r="Q1367" s="2">
        <v>70.13</v>
      </c>
    </row>
    <row r="1368" spans="1:17" x14ac:dyDescent="0.25">
      <c r="A1368" t="s">
        <v>31</v>
      </c>
      <c r="B1368" t="s">
        <v>40</v>
      </c>
      <c r="C1368" t="str">
        <f>"556-2-CH-SU-34"</f>
        <v>556-2-CH-SU-34</v>
      </c>
      <c r="D1368" t="s">
        <v>25</v>
      </c>
      <c r="F1368" t="s">
        <v>23</v>
      </c>
      <c r="G1368" t="s">
        <v>42</v>
      </c>
      <c r="H1368">
        <v>34</v>
      </c>
      <c r="J1368" s="1">
        <v>70.13</v>
      </c>
      <c r="K1368" s="1">
        <v>0</v>
      </c>
      <c r="M1368" s="1">
        <v>0</v>
      </c>
      <c r="N1368" s="1">
        <v>0</v>
      </c>
      <c r="O1368" s="1">
        <v>0</v>
      </c>
      <c r="Q1368" s="2">
        <v>70.13</v>
      </c>
    </row>
    <row r="1369" spans="1:17" x14ac:dyDescent="0.25">
      <c r="A1369" t="s">
        <v>31</v>
      </c>
      <c r="B1369" t="s">
        <v>40</v>
      </c>
      <c r="C1369" t="str">
        <f>"556-2-CH-SU-36"</f>
        <v>556-2-CH-SU-36</v>
      </c>
      <c r="D1369" t="s">
        <v>25</v>
      </c>
      <c r="F1369" t="s">
        <v>23</v>
      </c>
      <c r="G1369" t="s">
        <v>42</v>
      </c>
      <c r="H1369">
        <v>36</v>
      </c>
      <c r="J1369" s="1">
        <v>70.13</v>
      </c>
      <c r="K1369" s="1">
        <v>0</v>
      </c>
      <c r="M1369" s="1">
        <v>0</v>
      </c>
      <c r="N1369" s="1">
        <v>0</v>
      </c>
      <c r="O1369" s="1">
        <v>0</v>
      </c>
      <c r="Q1369" s="2">
        <v>70.13</v>
      </c>
    </row>
    <row r="1370" spans="1:17" x14ac:dyDescent="0.25">
      <c r="A1370" t="s">
        <v>31</v>
      </c>
      <c r="B1370" t="s">
        <v>40</v>
      </c>
      <c r="C1370" t="str">
        <f>"556-2-CH-SU-38"</f>
        <v>556-2-CH-SU-38</v>
      </c>
      <c r="D1370" t="s">
        <v>25</v>
      </c>
      <c r="F1370" t="s">
        <v>23</v>
      </c>
      <c r="G1370" t="s">
        <v>42</v>
      </c>
      <c r="H1370">
        <v>38</v>
      </c>
      <c r="J1370" s="1">
        <v>70.13</v>
      </c>
      <c r="K1370" s="1">
        <v>0</v>
      </c>
      <c r="M1370" s="1">
        <v>0</v>
      </c>
      <c r="N1370" s="1">
        <v>0</v>
      </c>
      <c r="O1370" s="1">
        <v>0</v>
      </c>
      <c r="Q1370" s="2">
        <v>70.13</v>
      </c>
    </row>
    <row r="1371" spans="1:17" x14ac:dyDescent="0.25">
      <c r="A1371" t="s">
        <v>31</v>
      </c>
      <c r="B1371" t="s">
        <v>40</v>
      </c>
      <c r="C1371" t="str">
        <f>"556-2-CH-SU-40"</f>
        <v>556-2-CH-SU-40</v>
      </c>
      <c r="D1371" t="s">
        <v>25</v>
      </c>
      <c r="F1371" t="s">
        <v>23</v>
      </c>
      <c r="G1371" t="s">
        <v>42</v>
      </c>
      <c r="H1371">
        <v>40</v>
      </c>
      <c r="J1371" s="1">
        <v>70.13</v>
      </c>
      <c r="K1371" s="1">
        <v>0</v>
      </c>
      <c r="M1371" s="1">
        <v>0</v>
      </c>
      <c r="N1371" s="1">
        <v>0</v>
      </c>
      <c r="O1371" s="1">
        <v>0</v>
      </c>
      <c r="Q1371" s="2">
        <v>70.13</v>
      </c>
    </row>
    <row r="1372" spans="1:17" x14ac:dyDescent="0.25">
      <c r="A1372" t="s">
        <v>31</v>
      </c>
      <c r="B1372" t="s">
        <v>40</v>
      </c>
      <c r="C1372" t="str">
        <f>"556-2-CH-SU-42"</f>
        <v>556-2-CH-SU-42</v>
      </c>
      <c r="D1372" t="s">
        <v>25</v>
      </c>
      <c r="F1372" t="s">
        <v>23</v>
      </c>
      <c r="G1372" t="s">
        <v>42</v>
      </c>
      <c r="H1372">
        <v>42</v>
      </c>
      <c r="J1372" s="1">
        <v>70.13</v>
      </c>
      <c r="K1372" s="1">
        <v>0</v>
      </c>
      <c r="M1372" s="1">
        <v>0</v>
      </c>
      <c r="N1372" s="1">
        <v>0</v>
      </c>
      <c r="O1372" s="1">
        <v>0</v>
      </c>
      <c r="Q1372" s="2">
        <v>70.13</v>
      </c>
    </row>
    <row r="1373" spans="1:17" x14ac:dyDescent="0.25">
      <c r="A1373" t="s">
        <v>31</v>
      </c>
      <c r="B1373" t="s">
        <v>40</v>
      </c>
      <c r="C1373" t="str">
        <f>"556-2-CH-SU-44"</f>
        <v>556-2-CH-SU-44</v>
      </c>
      <c r="D1373" t="s">
        <v>25</v>
      </c>
      <c r="F1373" t="s">
        <v>23</v>
      </c>
      <c r="G1373" t="s">
        <v>42</v>
      </c>
      <c r="H1373">
        <v>44</v>
      </c>
      <c r="J1373" s="1">
        <v>70.13</v>
      </c>
      <c r="K1373" s="1">
        <v>0</v>
      </c>
      <c r="M1373" s="1">
        <v>0</v>
      </c>
      <c r="N1373" s="1">
        <v>0</v>
      </c>
      <c r="O1373" s="1">
        <v>0</v>
      </c>
      <c r="Q1373" s="2">
        <v>70.13</v>
      </c>
    </row>
    <row r="1374" spans="1:17" x14ac:dyDescent="0.25">
      <c r="A1374" t="s">
        <v>31</v>
      </c>
      <c r="B1374" t="s">
        <v>40</v>
      </c>
      <c r="C1374" t="str">
        <f>"556-2-CH-SU-46"</f>
        <v>556-2-CH-SU-46</v>
      </c>
      <c r="D1374" t="s">
        <v>25</v>
      </c>
      <c r="F1374" t="s">
        <v>23</v>
      </c>
      <c r="G1374" t="s">
        <v>42</v>
      </c>
      <c r="H1374">
        <v>46</v>
      </c>
      <c r="J1374" s="1">
        <v>70.13</v>
      </c>
      <c r="K1374" s="1">
        <v>0</v>
      </c>
      <c r="M1374" s="1">
        <v>0</v>
      </c>
      <c r="N1374" s="1">
        <v>0</v>
      </c>
      <c r="O1374" s="1">
        <v>5.0999999999999996</v>
      </c>
      <c r="Q1374" s="2">
        <v>75.23</v>
      </c>
    </row>
    <row r="1375" spans="1:17" x14ac:dyDescent="0.25">
      <c r="A1375" t="s">
        <v>31</v>
      </c>
      <c r="B1375" t="s">
        <v>40</v>
      </c>
      <c r="C1375" t="str">
        <f>"556-2-CH-SU-48"</f>
        <v>556-2-CH-SU-48</v>
      </c>
      <c r="D1375" t="s">
        <v>25</v>
      </c>
      <c r="F1375" t="s">
        <v>23</v>
      </c>
      <c r="G1375" t="s">
        <v>42</v>
      </c>
      <c r="H1375">
        <v>48</v>
      </c>
      <c r="J1375" s="1">
        <v>70.13</v>
      </c>
      <c r="K1375" s="1">
        <v>0</v>
      </c>
      <c r="M1375" s="1">
        <v>0</v>
      </c>
      <c r="N1375" s="1">
        <v>0</v>
      </c>
      <c r="O1375" s="1">
        <v>6.8</v>
      </c>
      <c r="Q1375" s="2">
        <v>76.930000000000007</v>
      </c>
    </row>
    <row r="1376" spans="1:17" x14ac:dyDescent="0.25">
      <c r="A1376" t="s">
        <v>31</v>
      </c>
      <c r="B1376" t="s">
        <v>40</v>
      </c>
      <c r="C1376" t="str">
        <f>"556-2-CH-SU-50"</f>
        <v>556-2-CH-SU-50</v>
      </c>
      <c r="D1376" t="s">
        <v>25</v>
      </c>
      <c r="F1376" t="s">
        <v>23</v>
      </c>
      <c r="G1376" t="s">
        <v>42</v>
      </c>
      <c r="H1376">
        <v>50</v>
      </c>
      <c r="J1376" s="1">
        <v>70.13</v>
      </c>
      <c r="K1376" s="1">
        <v>0</v>
      </c>
      <c r="M1376" s="1">
        <v>0</v>
      </c>
      <c r="N1376" s="1">
        <v>0</v>
      </c>
      <c r="O1376" s="1">
        <v>8.5</v>
      </c>
      <c r="Q1376" s="2">
        <v>78.63</v>
      </c>
    </row>
    <row r="1377" spans="1:17" x14ac:dyDescent="0.25">
      <c r="A1377" t="s">
        <v>31</v>
      </c>
      <c r="B1377" t="s">
        <v>40</v>
      </c>
      <c r="C1377" t="str">
        <f>"556-2-CH-SU-52"</f>
        <v>556-2-CH-SU-52</v>
      </c>
      <c r="D1377" t="s">
        <v>25</v>
      </c>
      <c r="F1377" t="s">
        <v>23</v>
      </c>
      <c r="G1377" t="s">
        <v>42</v>
      </c>
      <c r="H1377">
        <v>52</v>
      </c>
      <c r="J1377" s="1">
        <v>70.13</v>
      </c>
      <c r="K1377" s="1">
        <v>0</v>
      </c>
      <c r="M1377" s="1">
        <v>0</v>
      </c>
      <c r="N1377" s="1">
        <v>0</v>
      </c>
      <c r="O1377" s="1">
        <v>10.199999999999999</v>
      </c>
      <c r="Q1377" s="2">
        <v>80.33</v>
      </c>
    </row>
    <row r="1378" spans="1:17" x14ac:dyDescent="0.25">
      <c r="A1378" t="s">
        <v>31</v>
      </c>
      <c r="B1378" t="s">
        <v>40</v>
      </c>
      <c r="C1378" t="str">
        <f>"556-2-CH-SU-54"</f>
        <v>556-2-CH-SU-54</v>
      </c>
      <c r="D1378" t="s">
        <v>25</v>
      </c>
      <c r="F1378" t="s">
        <v>23</v>
      </c>
      <c r="G1378" t="s">
        <v>42</v>
      </c>
      <c r="H1378">
        <v>54</v>
      </c>
      <c r="J1378" s="1">
        <v>70.13</v>
      </c>
      <c r="K1378" s="1">
        <v>0</v>
      </c>
      <c r="M1378" s="1">
        <v>0</v>
      </c>
      <c r="N1378" s="1">
        <v>0</v>
      </c>
      <c r="O1378" s="1">
        <v>11.9</v>
      </c>
      <c r="Q1378" s="2">
        <v>82.03</v>
      </c>
    </row>
    <row r="1379" spans="1:17" x14ac:dyDescent="0.25">
      <c r="A1379" t="s">
        <v>31</v>
      </c>
      <c r="B1379" t="s">
        <v>40</v>
      </c>
      <c r="C1379" t="str">
        <f>"556-2-CH-SU-56"</f>
        <v>556-2-CH-SU-56</v>
      </c>
      <c r="D1379" t="s">
        <v>25</v>
      </c>
      <c r="F1379" t="s">
        <v>23</v>
      </c>
      <c r="G1379" t="s">
        <v>42</v>
      </c>
      <c r="H1379">
        <v>56</v>
      </c>
      <c r="J1379" s="1">
        <v>70.13</v>
      </c>
      <c r="K1379" s="1">
        <v>0</v>
      </c>
      <c r="M1379" s="1">
        <v>0</v>
      </c>
      <c r="N1379" s="1">
        <v>0</v>
      </c>
      <c r="O1379" s="1">
        <v>13.6</v>
      </c>
      <c r="Q1379" s="2">
        <v>83.73</v>
      </c>
    </row>
    <row r="1380" spans="1:17" x14ac:dyDescent="0.25">
      <c r="A1380" t="s">
        <v>31</v>
      </c>
      <c r="B1380" t="s">
        <v>40</v>
      </c>
      <c r="C1380" t="str">
        <f>"556-2-CH-SU-58"</f>
        <v>556-2-CH-SU-58</v>
      </c>
      <c r="D1380" t="s">
        <v>25</v>
      </c>
      <c r="F1380" t="s">
        <v>23</v>
      </c>
      <c r="G1380" t="s">
        <v>42</v>
      </c>
      <c r="H1380">
        <v>58</v>
      </c>
      <c r="J1380" s="1">
        <v>70.13</v>
      </c>
      <c r="K1380" s="1">
        <v>0</v>
      </c>
      <c r="M1380" s="1">
        <v>0</v>
      </c>
      <c r="N1380" s="1">
        <v>0</v>
      </c>
      <c r="O1380" s="1">
        <v>15.3</v>
      </c>
      <c r="Q1380" s="2">
        <v>85.43</v>
      </c>
    </row>
    <row r="1381" spans="1:17" x14ac:dyDescent="0.25">
      <c r="A1381" t="s">
        <v>31</v>
      </c>
      <c r="B1381" t="s">
        <v>40</v>
      </c>
      <c r="C1381" t="str">
        <f>"556-2-CH-SU-60"</f>
        <v>556-2-CH-SU-60</v>
      </c>
      <c r="D1381" t="s">
        <v>25</v>
      </c>
      <c r="F1381" t="s">
        <v>23</v>
      </c>
      <c r="G1381" t="s">
        <v>42</v>
      </c>
      <c r="H1381">
        <v>60</v>
      </c>
      <c r="J1381" s="1">
        <v>70.13</v>
      </c>
      <c r="K1381" s="1">
        <v>0</v>
      </c>
      <c r="M1381" s="1">
        <v>0</v>
      </c>
      <c r="N1381" s="1">
        <v>0</v>
      </c>
      <c r="O1381" s="1">
        <v>17</v>
      </c>
      <c r="Q1381" s="2">
        <v>87.13</v>
      </c>
    </row>
    <row r="1382" spans="1:17" x14ac:dyDescent="0.25">
      <c r="A1382" t="s">
        <v>31</v>
      </c>
      <c r="B1382" t="s">
        <v>40</v>
      </c>
      <c r="C1382" t="str">
        <f>"556-2-CH-SU-62"</f>
        <v>556-2-CH-SU-62</v>
      </c>
      <c r="D1382" t="s">
        <v>25</v>
      </c>
      <c r="F1382" t="s">
        <v>23</v>
      </c>
      <c r="G1382" t="s">
        <v>42</v>
      </c>
      <c r="H1382">
        <v>62</v>
      </c>
      <c r="J1382" s="1">
        <v>70.13</v>
      </c>
      <c r="K1382" s="1">
        <v>0</v>
      </c>
      <c r="M1382" s="1">
        <v>0</v>
      </c>
      <c r="N1382" s="1">
        <v>0</v>
      </c>
      <c r="O1382" s="1">
        <v>18.7</v>
      </c>
      <c r="Q1382" s="2">
        <v>88.83</v>
      </c>
    </row>
    <row r="1383" spans="1:17" x14ac:dyDescent="0.25">
      <c r="A1383" t="s">
        <v>31</v>
      </c>
      <c r="B1383" t="s">
        <v>40</v>
      </c>
      <c r="C1383" t="str">
        <f>"556-2-CH-SU-64"</f>
        <v>556-2-CH-SU-64</v>
      </c>
      <c r="D1383" t="s">
        <v>25</v>
      </c>
      <c r="F1383" t="s">
        <v>23</v>
      </c>
      <c r="G1383" t="s">
        <v>42</v>
      </c>
      <c r="H1383">
        <v>64</v>
      </c>
      <c r="J1383" s="1">
        <v>70.13</v>
      </c>
      <c r="K1383" s="1">
        <v>0</v>
      </c>
      <c r="M1383" s="1">
        <v>0</v>
      </c>
      <c r="N1383" s="1">
        <v>0</v>
      </c>
      <c r="O1383" s="1">
        <v>18.7</v>
      </c>
      <c r="Q1383" s="2">
        <v>88.83</v>
      </c>
    </row>
    <row r="1384" spans="1:17" x14ac:dyDescent="0.25">
      <c r="A1384" t="s">
        <v>31</v>
      </c>
      <c r="B1384" t="s">
        <v>40</v>
      </c>
      <c r="C1384" t="str">
        <f>"556-2-CH-SU-66"</f>
        <v>556-2-CH-SU-66</v>
      </c>
      <c r="D1384" t="s">
        <v>25</v>
      </c>
      <c r="F1384" t="s">
        <v>23</v>
      </c>
      <c r="G1384" t="s">
        <v>42</v>
      </c>
      <c r="H1384">
        <v>66</v>
      </c>
      <c r="J1384" s="1">
        <v>70.13</v>
      </c>
      <c r="K1384" s="1">
        <v>0</v>
      </c>
      <c r="M1384" s="1">
        <v>0</v>
      </c>
      <c r="N1384" s="1">
        <v>0</v>
      </c>
      <c r="O1384" s="1">
        <v>18.7</v>
      </c>
      <c r="Q1384" s="2">
        <v>88.83</v>
      </c>
    </row>
    <row r="1385" spans="1:17" x14ac:dyDescent="0.25">
      <c r="A1385" t="s">
        <v>31</v>
      </c>
      <c r="B1385" t="s">
        <v>40</v>
      </c>
      <c r="C1385" t="str">
        <f>"556-2-CH-SU-68"</f>
        <v>556-2-CH-SU-68</v>
      </c>
      <c r="D1385" t="s">
        <v>25</v>
      </c>
      <c r="F1385" t="s">
        <v>23</v>
      </c>
      <c r="G1385" t="s">
        <v>42</v>
      </c>
      <c r="H1385">
        <v>68</v>
      </c>
      <c r="J1385" s="1">
        <v>70.13</v>
      </c>
      <c r="K1385" s="1">
        <v>0</v>
      </c>
      <c r="M1385" s="1">
        <v>0</v>
      </c>
      <c r="N1385" s="1">
        <v>0</v>
      </c>
      <c r="O1385" s="1">
        <v>20.399999999999999</v>
      </c>
      <c r="Q1385" s="2">
        <v>90.53</v>
      </c>
    </row>
    <row r="1386" spans="1:17" x14ac:dyDescent="0.25">
      <c r="A1386" t="s">
        <v>31</v>
      </c>
      <c r="B1386" t="s">
        <v>40</v>
      </c>
      <c r="C1386" t="str">
        <f>"556-2-CH-SU-70"</f>
        <v>556-2-CH-SU-70</v>
      </c>
      <c r="D1386" t="s">
        <v>25</v>
      </c>
      <c r="F1386" t="s">
        <v>23</v>
      </c>
      <c r="G1386" t="s">
        <v>42</v>
      </c>
      <c r="H1386">
        <v>70</v>
      </c>
      <c r="J1386" s="1">
        <v>70.13</v>
      </c>
      <c r="K1386" s="1">
        <v>0</v>
      </c>
      <c r="M1386" s="1">
        <v>0</v>
      </c>
      <c r="N1386" s="1">
        <v>0</v>
      </c>
      <c r="O1386" s="1">
        <v>22.1</v>
      </c>
      <c r="Q1386" s="2">
        <v>92.23</v>
      </c>
    </row>
    <row r="1387" spans="1:17" x14ac:dyDescent="0.25">
      <c r="A1387" t="s">
        <v>31</v>
      </c>
      <c r="B1387" t="s">
        <v>40</v>
      </c>
      <c r="C1387" t="str">
        <f>"556-2-CH-SU-72"</f>
        <v>556-2-CH-SU-72</v>
      </c>
      <c r="D1387" t="s">
        <v>25</v>
      </c>
      <c r="F1387" t="s">
        <v>23</v>
      </c>
      <c r="G1387" t="s">
        <v>42</v>
      </c>
      <c r="H1387">
        <v>72</v>
      </c>
      <c r="J1387" s="1">
        <v>70.13</v>
      </c>
      <c r="K1387" s="1">
        <v>0</v>
      </c>
      <c r="M1387" s="1">
        <v>0</v>
      </c>
      <c r="N1387" s="1">
        <v>0</v>
      </c>
      <c r="O1387" s="1">
        <v>23.8</v>
      </c>
      <c r="Q1387" s="2">
        <v>93.93</v>
      </c>
    </row>
    <row r="1388" spans="1:17" x14ac:dyDescent="0.25">
      <c r="A1388" t="s">
        <v>31</v>
      </c>
      <c r="B1388" t="s">
        <v>40</v>
      </c>
      <c r="C1388" t="str">
        <f>"556-2-CH-SU-74"</f>
        <v>556-2-CH-SU-74</v>
      </c>
      <c r="D1388" t="s">
        <v>25</v>
      </c>
      <c r="F1388" t="s">
        <v>23</v>
      </c>
      <c r="G1388" t="s">
        <v>42</v>
      </c>
      <c r="H1388">
        <v>74</v>
      </c>
      <c r="J1388" s="1">
        <v>70.13</v>
      </c>
      <c r="K1388" s="1">
        <v>0</v>
      </c>
      <c r="M1388" s="1">
        <v>0</v>
      </c>
      <c r="N1388" s="1">
        <v>0</v>
      </c>
      <c r="O1388" s="1">
        <v>25.5</v>
      </c>
      <c r="Q1388" s="2">
        <v>95.63</v>
      </c>
    </row>
    <row r="1389" spans="1:17" x14ac:dyDescent="0.25">
      <c r="A1389" t="s">
        <v>31</v>
      </c>
      <c r="B1389" t="s">
        <v>40</v>
      </c>
      <c r="C1389" t="str">
        <f>"556-2-CH-SU-76"</f>
        <v>556-2-CH-SU-76</v>
      </c>
      <c r="D1389" t="s">
        <v>25</v>
      </c>
      <c r="F1389" t="s">
        <v>23</v>
      </c>
      <c r="G1389" t="s">
        <v>42</v>
      </c>
      <c r="H1389">
        <v>76</v>
      </c>
      <c r="J1389" s="1">
        <v>70.13</v>
      </c>
      <c r="K1389" s="1">
        <v>0</v>
      </c>
      <c r="M1389" s="1">
        <v>0</v>
      </c>
      <c r="N1389" s="1">
        <v>0</v>
      </c>
      <c r="O1389" s="1">
        <v>27.2</v>
      </c>
      <c r="Q1389" s="2">
        <v>97.33</v>
      </c>
    </row>
    <row r="1390" spans="1:17" x14ac:dyDescent="0.25">
      <c r="A1390" t="s">
        <v>31</v>
      </c>
      <c r="B1390" t="s">
        <v>40</v>
      </c>
      <c r="C1390" t="str">
        <f>"556-2-CH-SU-78"</f>
        <v>556-2-CH-SU-78</v>
      </c>
      <c r="D1390" t="s">
        <v>25</v>
      </c>
      <c r="F1390" t="s">
        <v>23</v>
      </c>
      <c r="G1390" t="s">
        <v>42</v>
      </c>
      <c r="H1390">
        <v>78</v>
      </c>
      <c r="J1390" s="1">
        <v>70.13</v>
      </c>
      <c r="K1390" s="1">
        <v>0</v>
      </c>
      <c r="M1390" s="1">
        <v>0</v>
      </c>
      <c r="N1390" s="1">
        <v>0</v>
      </c>
      <c r="O1390" s="1">
        <v>28.9</v>
      </c>
      <c r="Q1390" s="2">
        <v>99.03</v>
      </c>
    </row>
    <row r="1391" spans="1:17" x14ac:dyDescent="0.25">
      <c r="A1391" t="s">
        <v>31</v>
      </c>
      <c r="B1391" t="s">
        <v>40</v>
      </c>
      <c r="C1391" t="str">
        <f>"556-2-CH-SU-80"</f>
        <v>556-2-CH-SU-80</v>
      </c>
      <c r="D1391" t="s">
        <v>25</v>
      </c>
      <c r="F1391" t="s">
        <v>23</v>
      </c>
      <c r="G1391" t="s">
        <v>42</v>
      </c>
      <c r="H1391">
        <v>80</v>
      </c>
      <c r="J1391" s="1">
        <v>70.13</v>
      </c>
      <c r="K1391" s="1">
        <v>0</v>
      </c>
      <c r="M1391" s="1">
        <v>0</v>
      </c>
      <c r="N1391" s="1">
        <v>0</v>
      </c>
      <c r="O1391" s="1">
        <v>30.6</v>
      </c>
      <c r="Q1391" s="2">
        <v>100.73</v>
      </c>
    </row>
    <row r="1392" spans="1:17" x14ac:dyDescent="0.25">
      <c r="A1392" t="s">
        <v>31</v>
      </c>
      <c r="B1392" t="s">
        <v>40</v>
      </c>
      <c r="C1392" t="str">
        <f>"556-2-CH-VL-22"</f>
        <v>556-2-CH-VL-22</v>
      </c>
      <c r="D1392" t="s">
        <v>25</v>
      </c>
      <c r="F1392" t="s">
        <v>23</v>
      </c>
      <c r="G1392" t="s">
        <v>43</v>
      </c>
      <c r="H1392">
        <v>22</v>
      </c>
      <c r="J1392" s="1">
        <v>70.13</v>
      </c>
      <c r="K1392" s="1">
        <v>0</v>
      </c>
      <c r="M1392" s="1">
        <v>0</v>
      </c>
      <c r="N1392" s="1">
        <v>11.9</v>
      </c>
      <c r="O1392" s="1">
        <v>0</v>
      </c>
      <c r="Q1392" s="2">
        <v>82.03</v>
      </c>
    </row>
    <row r="1393" spans="1:17" x14ac:dyDescent="0.25">
      <c r="A1393" t="s">
        <v>31</v>
      </c>
      <c r="B1393" t="s">
        <v>40</v>
      </c>
      <c r="C1393" t="str">
        <f>"556-2-CH-VL-24"</f>
        <v>556-2-CH-VL-24</v>
      </c>
      <c r="D1393" t="s">
        <v>25</v>
      </c>
      <c r="F1393" t="s">
        <v>23</v>
      </c>
      <c r="G1393" t="s">
        <v>43</v>
      </c>
      <c r="H1393">
        <v>24</v>
      </c>
      <c r="J1393" s="1">
        <v>70.13</v>
      </c>
      <c r="K1393" s="1">
        <v>0</v>
      </c>
      <c r="M1393" s="1">
        <v>0</v>
      </c>
      <c r="N1393" s="1">
        <v>11.9</v>
      </c>
      <c r="O1393" s="1">
        <v>0</v>
      </c>
      <c r="Q1393" s="2">
        <v>82.03</v>
      </c>
    </row>
    <row r="1394" spans="1:17" x14ac:dyDescent="0.25">
      <c r="A1394" t="s">
        <v>31</v>
      </c>
      <c r="B1394" t="s">
        <v>40</v>
      </c>
      <c r="C1394" t="str">
        <f>"556-2-CH-VL-26"</f>
        <v>556-2-CH-VL-26</v>
      </c>
      <c r="D1394" t="s">
        <v>25</v>
      </c>
      <c r="F1394" t="s">
        <v>23</v>
      </c>
      <c r="G1394" t="s">
        <v>43</v>
      </c>
      <c r="H1394">
        <v>26</v>
      </c>
      <c r="J1394" s="1">
        <v>70.13</v>
      </c>
      <c r="K1394" s="1">
        <v>0</v>
      </c>
      <c r="M1394" s="1">
        <v>0</v>
      </c>
      <c r="N1394" s="1">
        <v>11.9</v>
      </c>
      <c r="O1394" s="1">
        <v>0</v>
      </c>
      <c r="Q1394" s="2">
        <v>82.03</v>
      </c>
    </row>
    <row r="1395" spans="1:17" x14ac:dyDescent="0.25">
      <c r="A1395" t="s">
        <v>31</v>
      </c>
      <c r="B1395" t="s">
        <v>40</v>
      </c>
      <c r="C1395" t="str">
        <f>"556-2-CH-VL-28"</f>
        <v>556-2-CH-VL-28</v>
      </c>
      <c r="D1395" t="s">
        <v>25</v>
      </c>
      <c r="F1395" t="s">
        <v>23</v>
      </c>
      <c r="G1395" t="s">
        <v>43</v>
      </c>
      <c r="H1395">
        <v>28</v>
      </c>
      <c r="J1395" s="1">
        <v>70.13</v>
      </c>
      <c r="K1395" s="1">
        <v>0</v>
      </c>
      <c r="M1395" s="1">
        <v>0</v>
      </c>
      <c r="N1395" s="1">
        <v>11.9</v>
      </c>
      <c r="O1395" s="1">
        <v>0</v>
      </c>
      <c r="Q1395" s="2">
        <v>82.03</v>
      </c>
    </row>
    <row r="1396" spans="1:17" x14ac:dyDescent="0.25">
      <c r="A1396" t="s">
        <v>31</v>
      </c>
      <c r="B1396" t="s">
        <v>40</v>
      </c>
      <c r="C1396" t="str">
        <f>"556-2-CH-VL-30"</f>
        <v>556-2-CH-VL-30</v>
      </c>
      <c r="D1396" t="s">
        <v>25</v>
      </c>
      <c r="F1396" t="s">
        <v>23</v>
      </c>
      <c r="G1396" t="s">
        <v>43</v>
      </c>
      <c r="H1396">
        <v>30</v>
      </c>
      <c r="J1396" s="1">
        <v>70.13</v>
      </c>
      <c r="K1396" s="1">
        <v>0</v>
      </c>
      <c r="M1396" s="1">
        <v>0</v>
      </c>
      <c r="N1396" s="1">
        <v>11.9</v>
      </c>
      <c r="O1396" s="1">
        <v>0</v>
      </c>
      <c r="Q1396" s="2">
        <v>82.03</v>
      </c>
    </row>
    <row r="1397" spans="1:17" x14ac:dyDescent="0.25">
      <c r="A1397" t="s">
        <v>31</v>
      </c>
      <c r="B1397" t="s">
        <v>40</v>
      </c>
      <c r="C1397" t="str">
        <f>"556-2-CH-VL-32"</f>
        <v>556-2-CH-VL-32</v>
      </c>
      <c r="D1397" t="s">
        <v>25</v>
      </c>
      <c r="F1397" t="s">
        <v>23</v>
      </c>
      <c r="G1397" t="s">
        <v>43</v>
      </c>
      <c r="H1397">
        <v>32</v>
      </c>
      <c r="J1397" s="1">
        <v>70.13</v>
      </c>
      <c r="K1397" s="1">
        <v>0</v>
      </c>
      <c r="M1397" s="1">
        <v>0</v>
      </c>
      <c r="N1397" s="1">
        <v>11.9</v>
      </c>
      <c r="O1397" s="1">
        <v>0</v>
      </c>
      <c r="Q1397" s="2">
        <v>82.03</v>
      </c>
    </row>
    <row r="1398" spans="1:17" x14ac:dyDescent="0.25">
      <c r="A1398" t="s">
        <v>31</v>
      </c>
      <c r="B1398" t="s">
        <v>40</v>
      </c>
      <c r="C1398" t="str">
        <f>"556-2-CH-VL-34"</f>
        <v>556-2-CH-VL-34</v>
      </c>
      <c r="D1398" t="s">
        <v>25</v>
      </c>
      <c r="F1398" t="s">
        <v>23</v>
      </c>
      <c r="G1398" t="s">
        <v>43</v>
      </c>
      <c r="H1398">
        <v>34</v>
      </c>
      <c r="J1398" s="1">
        <v>70.13</v>
      </c>
      <c r="K1398" s="1">
        <v>0</v>
      </c>
      <c r="M1398" s="1">
        <v>0</v>
      </c>
      <c r="N1398" s="1">
        <v>11.9</v>
      </c>
      <c r="O1398" s="1">
        <v>0</v>
      </c>
      <c r="Q1398" s="2">
        <v>82.03</v>
      </c>
    </row>
    <row r="1399" spans="1:17" x14ac:dyDescent="0.25">
      <c r="A1399" t="s">
        <v>31</v>
      </c>
      <c r="B1399" t="s">
        <v>40</v>
      </c>
      <c r="C1399" t="str">
        <f>"556-2-CH-VL-36"</f>
        <v>556-2-CH-VL-36</v>
      </c>
      <c r="D1399" t="s">
        <v>25</v>
      </c>
      <c r="F1399" t="s">
        <v>23</v>
      </c>
      <c r="G1399" t="s">
        <v>43</v>
      </c>
      <c r="H1399">
        <v>36</v>
      </c>
      <c r="J1399" s="1">
        <v>70.13</v>
      </c>
      <c r="K1399" s="1">
        <v>0</v>
      </c>
      <c r="M1399" s="1">
        <v>0</v>
      </c>
      <c r="N1399" s="1">
        <v>11.9</v>
      </c>
      <c r="O1399" s="1">
        <v>0</v>
      </c>
      <c r="Q1399" s="2">
        <v>82.03</v>
      </c>
    </row>
    <row r="1400" spans="1:17" x14ac:dyDescent="0.25">
      <c r="A1400" t="s">
        <v>31</v>
      </c>
      <c r="B1400" t="s">
        <v>40</v>
      </c>
      <c r="C1400" t="str">
        <f>"556-2-CH-VL-38"</f>
        <v>556-2-CH-VL-38</v>
      </c>
      <c r="D1400" t="s">
        <v>25</v>
      </c>
      <c r="F1400" t="s">
        <v>23</v>
      </c>
      <c r="G1400" t="s">
        <v>43</v>
      </c>
      <c r="H1400">
        <v>38</v>
      </c>
      <c r="J1400" s="1">
        <v>70.13</v>
      </c>
      <c r="K1400" s="1">
        <v>0</v>
      </c>
      <c r="M1400" s="1">
        <v>0</v>
      </c>
      <c r="N1400" s="1">
        <v>11.9</v>
      </c>
      <c r="O1400" s="1">
        <v>0</v>
      </c>
      <c r="Q1400" s="2">
        <v>82.03</v>
      </c>
    </row>
    <row r="1401" spans="1:17" x14ac:dyDescent="0.25">
      <c r="A1401" t="s">
        <v>31</v>
      </c>
      <c r="B1401" t="s">
        <v>40</v>
      </c>
      <c r="C1401" t="str">
        <f>"556-2-CH-VL-40"</f>
        <v>556-2-CH-VL-40</v>
      </c>
      <c r="D1401" t="s">
        <v>25</v>
      </c>
      <c r="F1401" t="s">
        <v>23</v>
      </c>
      <c r="G1401" t="s">
        <v>43</v>
      </c>
      <c r="H1401">
        <v>40</v>
      </c>
      <c r="J1401" s="1">
        <v>70.13</v>
      </c>
      <c r="K1401" s="1">
        <v>0</v>
      </c>
      <c r="M1401" s="1">
        <v>0</v>
      </c>
      <c r="N1401" s="1">
        <v>11.9</v>
      </c>
      <c r="O1401" s="1">
        <v>0</v>
      </c>
      <c r="Q1401" s="2">
        <v>82.03</v>
      </c>
    </row>
    <row r="1402" spans="1:17" x14ac:dyDescent="0.25">
      <c r="A1402" t="s">
        <v>31</v>
      </c>
      <c r="B1402" t="s">
        <v>40</v>
      </c>
      <c r="C1402" t="str">
        <f>"556-2-CH-VL-42"</f>
        <v>556-2-CH-VL-42</v>
      </c>
      <c r="D1402" t="s">
        <v>25</v>
      </c>
      <c r="F1402" t="s">
        <v>23</v>
      </c>
      <c r="G1402" t="s">
        <v>43</v>
      </c>
      <c r="H1402">
        <v>42</v>
      </c>
      <c r="J1402" s="1">
        <v>70.13</v>
      </c>
      <c r="K1402" s="1">
        <v>0</v>
      </c>
      <c r="M1402" s="1">
        <v>0</v>
      </c>
      <c r="N1402" s="1">
        <v>11.9</v>
      </c>
      <c r="O1402" s="1">
        <v>0</v>
      </c>
      <c r="Q1402" s="2">
        <v>82.03</v>
      </c>
    </row>
    <row r="1403" spans="1:17" x14ac:dyDescent="0.25">
      <c r="A1403" t="s">
        <v>31</v>
      </c>
      <c r="B1403" t="s">
        <v>40</v>
      </c>
      <c r="C1403" t="str">
        <f>"556-2-CH-VL-44"</f>
        <v>556-2-CH-VL-44</v>
      </c>
      <c r="D1403" t="s">
        <v>25</v>
      </c>
      <c r="F1403" t="s">
        <v>23</v>
      </c>
      <c r="G1403" t="s">
        <v>43</v>
      </c>
      <c r="H1403">
        <v>44</v>
      </c>
      <c r="J1403" s="1">
        <v>70.13</v>
      </c>
      <c r="K1403" s="1">
        <v>0</v>
      </c>
      <c r="M1403" s="1">
        <v>0</v>
      </c>
      <c r="N1403" s="1">
        <v>11.9</v>
      </c>
      <c r="O1403" s="1">
        <v>0</v>
      </c>
      <c r="Q1403" s="2">
        <v>82.03</v>
      </c>
    </row>
    <row r="1404" spans="1:17" x14ac:dyDescent="0.25">
      <c r="A1404" t="s">
        <v>31</v>
      </c>
      <c r="B1404" t="s">
        <v>40</v>
      </c>
      <c r="C1404" t="str">
        <f>"556-2-CH-VL-46"</f>
        <v>556-2-CH-VL-46</v>
      </c>
      <c r="D1404" t="s">
        <v>25</v>
      </c>
      <c r="F1404" t="s">
        <v>23</v>
      </c>
      <c r="G1404" t="s">
        <v>43</v>
      </c>
      <c r="H1404">
        <v>46</v>
      </c>
      <c r="J1404" s="1">
        <v>70.13</v>
      </c>
      <c r="K1404" s="1">
        <v>0</v>
      </c>
      <c r="M1404" s="1">
        <v>0</v>
      </c>
      <c r="N1404" s="1">
        <v>11.9</v>
      </c>
      <c r="O1404" s="1">
        <v>5.0999999999999996</v>
      </c>
      <c r="Q1404" s="2">
        <v>87.13</v>
      </c>
    </row>
    <row r="1405" spans="1:17" x14ac:dyDescent="0.25">
      <c r="A1405" t="s">
        <v>31</v>
      </c>
      <c r="B1405" t="s">
        <v>40</v>
      </c>
      <c r="C1405" t="str">
        <f>"556-2-CH-VL-48"</f>
        <v>556-2-CH-VL-48</v>
      </c>
      <c r="D1405" t="s">
        <v>25</v>
      </c>
      <c r="F1405" t="s">
        <v>23</v>
      </c>
      <c r="G1405" t="s">
        <v>43</v>
      </c>
      <c r="H1405">
        <v>48</v>
      </c>
      <c r="J1405" s="1">
        <v>70.13</v>
      </c>
      <c r="K1405" s="1">
        <v>0</v>
      </c>
      <c r="M1405" s="1">
        <v>0</v>
      </c>
      <c r="N1405" s="1">
        <v>11.9</v>
      </c>
      <c r="O1405" s="1">
        <v>6.8</v>
      </c>
      <c r="Q1405" s="2">
        <v>88.83</v>
      </c>
    </row>
    <row r="1406" spans="1:17" x14ac:dyDescent="0.25">
      <c r="A1406" t="s">
        <v>31</v>
      </c>
      <c r="B1406" t="s">
        <v>40</v>
      </c>
      <c r="C1406" t="str">
        <f>"556-2-CH-VL-50"</f>
        <v>556-2-CH-VL-50</v>
      </c>
      <c r="D1406" t="s">
        <v>25</v>
      </c>
      <c r="F1406" t="s">
        <v>23</v>
      </c>
      <c r="G1406" t="s">
        <v>43</v>
      </c>
      <c r="H1406">
        <v>50</v>
      </c>
      <c r="J1406" s="1">
        <v>70.13</v>
      </c>
      <c r="K1406" s="1">
        <v>0</v>
      </c>
      <c r="M1406" s="1">
        <v>0</v>
      </c>
      <c r="N1406" s="1">
        <v>11.9</v>
      </c>
      <c r="O1406" s="1">
        <v>8.5</v>
      </c>
      <c r="Q1406" s="2">
        <v>90.53</v>
      </c>
    </row>
    <row r="1407" spans="1:17" x14ac:dyDescent="0.25">
      <c r="A1407" t="s">
        <v>31</v>
      </c>
      <c r="B1407" t="s">
        <v>40</v>
      </c>
      <c r="C1407" t="str">
        <f>"556-2-CH-VL-52"</f>
        <v>556-2-CH-VL-52</v>
      </c>
      <c r="D1407" t="s">
        <v>25</v>
      </c>
      <c r="F1407" t="s">
        <v>23</v>
      </c>
      <c r="G1407" t="s">
        <v>43</v>
      </c>
      <c r="H1407">
        <v>52</v>
      </c>
      <c r="J1407" s="1">
        <v>70.13</v>
      </c>
      <c r="K1407" s="1">
        <v>0</v>
      </c>
      <c r="M1407" s="1">
        <v>0</v>
      </c>
      <c r="N1407" s="1">
        <v>11.9</v>
      </c>
      <c r="O1407" s="1">
        <v>10.199999999999999</v>
      </c>
      <c r="Q1407" s="2">
        <v>92.23</v>
      </c>
    </row>
    <row r="1408" spans="1:17" x14ac:dyDescent="0.25">
      <c r="A1408" t="s">
        <v>31</v>
      </c>
      <c r="B1408" t="s">
        <v>40</v>
      </c>
      <c r="C1408" t="str">
        <f>"556-2-CH-VL-54"</f>
        <v>556-2-CH-VL-54</v>
      </c>
      <c r="D1408" t="s">
        <v>25</v>
      </c>
      <c r="F1408" t="s">
        <v>23</v>
      </c>
      <c r="G1408" t="s">
        <v>43</v>
      </c>
      <c r="H1408">
        <v>54</v>
      </c>
      <c r="J1408" s="1">
        <v>70.13</v>
      </c>
      <c r="K1408" s="1">
        <v>0</v>
      </c>
      <c r="M1408" s="1">
        <v>0</v>
      </c>
      <c r="N1408" s="1">
        <v>11.9</v>
      </c>
      <c r="O1408" s="1">
        <v>11.9</v>
      </c>
      <c r="Q1408" s="2">
        <v>93.93</v>
      </c>
    </row>
    <row r="1409" spans="1:17" x14ac:dyDescent="0.25">
      <c r="A1409" t="s">
        <v>31</v>
      </c>
      <c r="B1409" t="s">
        <v>40</v>
      </c>
      <c r="C1409" t="str">
        <f>"556-2-CH-VL-56"</f>
        <v>556-2-CH-VL-56</v>
      </c>
      <c r="D1409" t="s">
        <v>25</v>
      </c>
      <c r="F1409" t="s">
        <v>23</v>
      </c>
      <c r="G1409" t="s">
        <v>43</v>
      </c>
      <c r="H1409">
        <v>56</v>
      </c>
      <c r="J1409" s="1">
        <v>70.13</v>
      </c>
      <c r="K1409" s="1">
        <v>0</v>
      </c>
      <c r="M1409" s="1">
        <v>0</v>
      </c>
      <c r="N1409" s="1">
        <v>11.9</v>
      </c>
      <c r="O1409" s="1">
        <v>13.6</v>
      </c>
      <c r="Q1409" s="2">
        <v>95.63</v>
      </c>
    </row>
    <row r="1410" spans="1:17" x14ac:dyDescent="0.25">
      <c r="A1410" t="s">
        <v>31</v>
      </c>
      <c r="B1410" t="s">
        <v>40</v>
      </c>
      <c r="C1410" t="str">
        <f>"556-2-CH-VL-58"</f>
        <v>556-2-CH-VL-58</v>
      </c>
      <c r="D1410" t="s">
        <v>25</v>
      </c>
      <c r="F1410" t="s">
        <v>23</v>
      </c>
      <c r="G1410" t="s">
        <v>43</v>
      </c>
      <c r="H1410">
        <v>58</v>
      </c>
      <c r="J1410" s="1">
        <v>70.13</v>
      </c>
      <c r="K1410" s="1">
        <v>0</v>
      </c>
      <c r="M1410" s="1">
        <v>0</v>
      </c>
      <c r="N1410" s="1">
        <v>11.9</v>
      </c>
      <c r="O1410" s="1">
        <v>15.3</v>
      </c>
      <c r="Q1410" s="2">
        <v>97.33</v>
      </c>
    </row>
    <row r="1411" spans="1:17" x14ac:dyDescent="0.25">
      <c r="A1411" t="s">
        <v>31</v>
      </c>
      <c r="B1411" t="s">
        <v>40</v>
      </c>
      <c r="C1411" t="str">
        <f>"556-2-CH-VL-60"</f>
        <v>556-2-CH-VL-60</v>
      </c>
      <c r="D1411" t="s">
        <v>25</v>
      </c>
      <c r="F1411" t="s">
        <v>23</v>
      </c>
      <c r="G1411" t="s">
        <v>43</v>
      </c>
      <c r="H1411">
        <v>60</v>
      </c>
      <c r="J1411" s="1">
        <v>70.13</v>
      </c>
      <c r="K1411" s="1">
        <v>0</v>
      </c>
      <c r="M1411" s="1">
        <v>0</v>
      </c>
      <c r="N1411" s="1">
        <v>11.9</v>
      </c>
      <c r="O1411" s="1">
        <v>17</v>
      </c>
      <c r="Q1411" s="2">
        <v>99.03</v>
      </c>
    </row>
    <row r="1412" spans="1:17" x14ac:dyDescent="0.25">
      <c r="A1412" t="s">
        <v>31</v>
      </c>
      <c r="B1412" t="s">
        <v>40</v>
      </c>
      <c r="C1412" t="str">
        <f>"556-2-CH-VL-62"</f>
        <v>556-2-CH-VL-62</v>
      </c>
      <c r="D1412" t="s">
        <v>25</v>
      </c>
      <c r="F1412" t="s">
        <v>23</v>
      </c>
      <c r="G1412" t="s">
        <v>43</v>
      </c>
      <c r="H1412">
        <v>62</v>
      </c>
      <c r="J1412" s="1">
        <v>70.13</v>
      </c>
      <c r="K1412" s="1">
        <v>0</v>
      </c>
      <c r="M1412" s="1">
        <v>0</v>
      </c>
      <c r="N1412" s="1">
        <v>11.9</v>
      </c>
      <c r="O1412" s="1">
        <v>18.7</v>
      </c>
      <c r="Q1412" s="2">
        <v>100.73</v>
      </c>
    </row>
    <row r="1413" spans="1:17" x14ac:dyDescent="0.25">
      <c r="A1413" t="s">
        <v>31</v>
      </c>
      <c r="B1413" t="s">
        <v>40</v>
      </c>
      <c r="C1413" t="str">
        <f>"556-2-CH-VL-64"</f>
        <v>556-2-CH-VL-64</v>
      </c>
      <c r="D1413" t="s">
        <v>25</v>
      </c>
      <c r="F1413" t="s">
        <v>23</v>
      </c>
      <c r="G1413" t="s">
        <v>43</v>
      </c>
      <c r="H1413">
        <v>64</v>
      </c>
      <c r="J1413" s="1">
        <v>70.13</v>
      </c>
      <c r="K1413" s="1">
        <v>0</v>
      </c>
      <c r="M1413" s="1">
        <v>0</v>
      </c>
      <c r="N1413" s="1">
        <v>11.9</v>
      </c>
      <c r="O1413" s="1">
        <v>18.7</v>
      </c>
      <c r="Q1413" s="2">
        <v>100.73</v>
      </c>
    </row>
    <row r="1414" spans="1:17" x14ac:dyDescent="0.25">
      <c r="A1414" t="s">
        <v>31</v>
      </c>
      <c r="B1414" t="s">
        <v>40</v>
      </c>
      <c r="C1414" t="str">
        <f>"556-2-CH-VL-66"</f>
        <v>556-2-CH-VL-66</v>
      </c>
      <c r="D1414" t="s">
        <v>25</v>
      </c>
      <c r="F1414" t="s">
        <v>23</v>
      </c>
      <c r="G1414" t="s">
        <v>43</v>
      </c>
      <c r="H1414">
        <v>66</v>
      </c>
      <c r="J1414" s="1">
        <v>70.13</v>
      </c>
      <c r="K1414" s="1">
        <v>0</v>
      </c>
      <c r="M1414" s="1">
        <v>0</v>
      </c>
      <c r="N1414" s="1">
        <v>11.9</v>
      </c>
      <c r="O1414" s="1">
        <v>18.7</v>
      </c>
      <c r="Q1414" s="2">
        <v>100.73</v>
      </c>
    </row>
    <row r="1415" spans="1:17" x14ac:dyDescent="0.25">
      <c r="A1415" t="s">
        <v>31</v>
      </c>
      <c r="B1415" t="s">
        <v>40</v>
      </c>
      <c r="C1415" t="str">
        <f>"556-2-CH-VL-68"</f>
        <v>556-2-CH-VL-68</v>
      </c>
      <c r="D1415" t="s">
        <v>25</v>
      </c>
      <c r="F1415" t="s">
        <v>23</v>
      </c>
      <c r="G1415" t="s">
        <v>43</v>
      </c>
      <c r="H1415">
        <v>68</v>
      </c>
      <c r="J1415" s="1">
        <v>70.13</v>
      </c>
      <c r="K1415" s="1">
        <v>0</v>
      </c>
      <c r="M1415" s="1">
        <v>0</v>
      </c>
      <c r="N1415" s="1">
        <v>11.9</v>
      </c>
      <c r="O1415" s="1">
        <v>20.399999999999999</v>
      </c>
      <c r="Q1415" s="2">
        <v>102.43</v>
      </c>
    </row>
    <row r="1416" spans="1:17" x14ac:dyDescent="0.25">
      <c r="A1416" t="s">
        <v>31</v>
      </c>
      <c r="B1416" t="s">
        <v>40</v>
      </c>
      <c r="C1416" t="str">
        <f>"556-2-CH-VL-70"</f>
        <v>556-2-CH-VL-70</v>
      </c>
      <c r="D1416" t="s">
        <v>25</v>
      </c>
      <c r="F1416" t="s">
        <v>23</v>
      </c>
      <c r="G1416" t="s">
        <v>43</v>
      </c>
      <c r="H1416">
        <v>70</v>
      </c>
      <c r="J1416" s="1">
        <v>70.13</v>
      </c>
      <c r="K1416" s="1">
        <v>0</v>
      </c>
      <c r="M1416" s="1">
        <v>0</v>
      </c>
      <c r="N1416" s="1">
        <v>11.9</v>
      </c>
      <c r="O1416" s="1">
        <v>22.1</v>
      </c>
      <c r="Q1416" s="2">
        <v>104.13</v>
      </c>
    </row>
    <row r="1417" spans="1:17" x14ac:dyDescent="0.25">
      <c r="A1417" t="s">
        <v>31</v>
      </c>
      <c r="B1417" t="s">
        <v>40</v>
      </c>
      <c r="C1417" t="str">
        <f>"556-2-CH-VL-72"</f>
        <v>556-2-CH-VL-72</v>
      </c>
      <c r="D1417" t="s">
        <v>25</v>
      </c>
      <c r="F1417" t="s">
        <v>23</v>
      </c>
      <c r="G1417" t="s">
        <v>43</v>
      </c>
      <c r="H1417">
        <v>72</v>
      </c>
      <c r="J1417" s="1">
        <v>70.13</v>
      </c>
      <c r="K1417" s="1">
        <v>0</v>
      </c>
      <c r="M1417" s="1">
        <v>0</v>
      </c>
      <c r="N1417" s="1">
        <v>11.9</v>
      </c>
      <c r="O1417" s="1">
        <v>23.8</v>
      </c>
      <c r="Q1417" s="2">
        <v>105.83</v>
      </c>
    </row>
    <row r="1418" spans="1:17" x14ac:dyDescent="0.25">
      <c r="A1418" t="s">
        <v>31</v>
      </c>
      <c r="B1418" t="s">
        <v>40</v>
      </c>
      <c r="C1418" t="str">
        <f>"556-2-CH-VL-74"</f>
        <v>556-2-CH-VL-74</v>
      </c>
      <c r="D1418" t="s">
        <v>25</v>
      </c>
      <c r="F1418" t="s">
        <v>23</v>
      </c>
      <c r="G1418" t="s">
        <v>43</v>
      </c>
      <c r="H1418">
        <v>74</v>
      </c>
      <c r="J1418" s="1">
        <v>70.13</v>
      </c>
      <c r="K1418" s="1">
        <v>0</v>
      </c>
      <c r="M1418" s="1">
        <v>0</v>
      </c>
      <c r="N1418" s="1">
        <v>11.9</v>
      </c>
      <c r="O1418" s="1">
        <v>25.5</v>
      </c>
      <c r="Q1418" s="2">
        <v>107.53</v>
      </c>
    </row>
    <row r="1419" spans="1:17" x14ac:dyDescent="0.25">
      <c r="A1419" t="s">
        <v>31</v>
      </c>
      <c r="B1419" t="s">
        <v>40</v>
      </c>
      <c r="C1419" t="str">
        <f>"556-2-CH-VL-76"</f>
        <v>556-2-CH-VL-76</v>
      </c>
      <c r="D1419" t="s">
        <v>25</v>
      </c>
      <c r="F1419" t="s">
        <v>23</v>
      </c>
      <c r="G1419" t="s">
        <v>43</v>
      </c>
      <c r="H1419">
        <v>76</v>
      </c>
      <c r="J1419" s="1">
        <v>70.13</v>
      </c>
      <c r="K1419" s="1">
        <v>0</v>
      </c>
      <c r="M1419" s="1">
        <v>0</v>
      </c>
      <c r="N1419" s="1">
        <v>11.9</v>
      </c>
      <c r="O1419" s="1">
        <v>27.2</v>
      </c>
      <c r="Q1419" s="2">
        <v>109.23</v>
      </c>
    </row>
    <row r="1420" spans="1:17" x14ac:dyDescent="0.25">
      <c r="A1420" t="s">
        <v>31</v>
      </c>
      <c r="B1420" t="s">
        <v>40</v>
      </c>
      <c r="C1420" t="str">
        <f>"556-2-CH-VL-78"</f>
        <v>556-2-CH-VL-78</v>
      </c>
      <c r="D1420" t="s">
        <v>25</v>
      </c>
      <c r="F1420" t="s">
        <v>23</v>
      </c>
      <c r="G1420" t="s">
        <v>43</v>
      </c>
      <c r="H1420">
        <v>78</v>
      </c>
      <c r="J1420" s="1">
        <v>70.13</v>
      </c>
      <c r="K1420" s="1">
        <v>0</v>
      </c>
      <c r="M1420" s="1">
        <v>0</v>
      </c>
      <c r="N1420" s="1">
        <v>11.9</v>
      </c>
      <c r="O1420" s="1">
        <v>28.9</v>
      </c>
      <c r="Q1420" s="2">
        <v>110.93</v>
      </c>
    </row>
    <row r="1421" spans="1:17" x14ac:dyDescent="0.25">
      <c r="A1421" t="s">
        <v>31</v>
      </c>
      <c r="B1421" t="s">
        <v>40</v>
      </c>
      <c r="C1421" t="str">
        <f>"556-2-CH-VL-80"</f>
        <v>556-2-CH-VL-80</v>
      </c>
      <c r="D1421" t="s">
        <v>25</v>
      </c>
      <c r="F1421" t="s">
        <v>23</v>
      </c>
      <c r="G1421" t="s">
        <v>43</v>
      </c>
      <c r="H1421">
        <v>80</v>
      </c>
      <c r="J1421" s="1">
        <v>70.13</v>
      </c>
      <c r="K1421" s="1">
        <v>0</v>
      </c>
      <c r="M1421" s="1">
        <v>0</v>
      </c>
      <c r="N1421" s="1">
        <v>11.9</v>
      </c>
      <c r="O1421" s="1">
        <v>30.6</v>
      </c>
      <c r="Q1421" s="2">
        <v>112.63</v>
      </c>
    </row>
    <row r="1422" spans="1:17" x14ac:dyDescent="0.25">
      <c r="A1422" t="s">
        <v>31</v>
      </c>
      <c r="B1422" t="s">
        <v>40</v>
      </c>
      <c r="C1422" t="str">
        <f>"556-3-BR-CO-22"</f>
        <v>556-3-BR-CO-22</v>
      </c>
      <c r="D1422" t="s">
        <v>26</v>
      </c>
      <c r="F1422" t="s">
        <v>22</v>
      </c>
      <c r="G1422" t="s">
        <v>41</v>
      </c>
      <c r="H1422">
        <v>22</v>
      </c>
      <c r="J1422" s="1">
        <v>70.13</v>
      </c>
      <c r="K1422" s="1">
        <v>0</v>
      </c>
      <c r="M1422" s="1">
        <v>0</v>
      </c>
      <c r="N1422" s="1">
        <v>14.37</v>
      </c>
      <c r="O1422" s="1">
        <v>0</v>
      </c>
      <c r="Q1422" s="2">
        <v>84.5</v>
      </c>
    </row>
    <row r="1423" spans="1:17" x14ac:dyDescent="0.25">
      <c r="A1423" t="s">
        <v>31</v>
      </c>
      <c r="B1423" t="s">
        <v>40</v>
      </c>
      <c r="C1423" t="str">
        <f>"556-3-BR-CO-24"</f>
        <v>556-3-BR-CO-24</v>
      </c>
      <c r="D1423" t="s">
        <v>26</v>
      </c>
      <c r="F1423" t="s">
        <v>22</v>
      </c>
      <c r="G1423" t="s">
        <v>41</v>
      </c>
      <c r="H1423">
        <v>24</v>
      </c>
      <c r="J1423" s="1">
        <v>70.13</v>
      </c>
      <c r="K1423" s="1">
        <v>0</v>
      </c>
      <c r="M1423" s="1">
        <v>0</v>
      </c>
      <c r="N1423" s="1">
        <v>14.37</v>
      </c>
      <c r="O1423" s="1">
        <v>0</v>
      </c>
      <c r="Q1423" s="2">
        <v>84.5</v>
      </c>
    </row>
    <row r="1424" spans="1:17" x14ac:dyDescent="0.25">
      <c r="A1424" t="s">
        <v>31</v>
      </c>
      <c r="B1424" t="s">
        <v>40</v>
      </c>
      <c r="C1424" t="str">
        <f>"556-3-BR-CO-26"</f>
        <v>556-3-BR-CO-26</v>
      </c>
      <c r="D1424" t="s">
        <v>26</v>
      </c>
      <c r="F1424" t="s">
        <v>22</v>
      </c>
      <c r="G1424" t="s">
        <v>41</v>
      </c>
      <c r="H1424">
        <v>26</v>
      </c>
      <c r="J1424" s="1">
        <v>70.13</v>
      </c>
      <c r="K1424" s="1">
        <v>0</v>
      </c>
      <c r="M1424" s="1">
        <v>0</v>
      </c>
      <c r="N1424" s="1">
        <v>14.37</v>
      </c>
      <c r="O1424" s="1">
        <v>0</v>
      </c>
      <c r="Q1424" s="2">
        <v>84.5</v>
      </c>
    </row>
    <row r="1425" spans="1:17" x14ac:dyDescent="0.25">
      <c r="A1425" t="s">
        <v>31</v>
      </c>
      <c r="B1425" t="s">
        <v>40</v>
      </c>
      <c r="C1425" t="str">
        <f>"556-3-BR-CO-28"</f>
        <v>556-3-BR-CO-28</v>
      </c>
      <c r="D1425" t="s">
        <v>26</v>
      </c>
      <c r="F1425" t="s">
        <v>22</v>
      </c>
      <c r="G1425" t="s">
        <v>41</v>
      </c>
      <c r="H1425">
        <v>28</v>
      </c>
      <c r="J1425" s="1">
        <v>70.13</v>
      </c>
      <c r="K1425" s="1">
        <v>0</v>
      </c>
      <c r="M1425" s="1">
        <v>0</v>
      </c>
      <c r="N1425" s="1">
        <v>14.37</v>
      </c>
      <c r="O1425" s="1">
        <v>0</v>
      </c>
      <c r="Q1425" s="2">
        <v>84.5</v>
      </c>
    </row>
    <row r="1426" spans="1:17" x14ac:dyDescent="0.25">
      <c r="A1426" t="s">
        <v>31</v>
      </c>
      <c r="B1426" t="s">
        <v>40</v>
      </c>
      <c r="C1426" t="str">
        <f>"556-3-BR-CO-30"</f>
        <v>556-3-BR-CO-30</v>
      </c>
      <c r="D1426" t="s">
        <v>26</v>
      </c>
      <c r="F1426" t="s">
        <v>22</v>
      </c>
      <c r="G1426" t="s">
        <v>41</v>
      </c>
      <c r="H1426">
        <v>30</v>
      </c>
      <c r="J1426" s="1">
        <v>70.13</v>
      </c>
      <c r="K1426" s="1">
        <v>0</v>
      </c>
      <c r="M1426" s="1">
        <v>0</v>
      </c>
      <c r="N1426" s="1">
        <v>14.37</v>
      </c>
      <c r="O1426" s="1">
        <v>0</v>
      </c>
      <c r="Q1426" s="2">
        <v>84.5</v>
      </c>
    </row>
    <row r="1427" spans="1:17" x14ac:dyDescent="0.25">
      <c r="A1427" t="s">
        <v>31</v>
      </c>
      <c r="B1427" t="s">
        <v>40</v>
      </c>
      <c r="C1427" t="str">
        <f>"556-3-BR-CO-32"</f>
        <v>556-3-BR-CO-32</v>
      </c>
      <c r="D1427" t="s">
        <v>26</v>
      </c>
      <c r="F1427" t="s">
        <v>22</v>
      </c>
      <c r="G1427" t="s">
        <v>41</v>
      </c>
      <c r="H1427">
        <v>32</v>
      </c>
      <c r="J1427" s="1">
        <v>70.13</v>
      </c>
      <c r="K1427" s="1">
        <v>0</v>
      </c>
      <c r="M1427" s="1">
        <v>0</v>
      </c>
      <c r="N1427" s="1">
        <v>14.37</v>
      </c>
      <c r="O1427" s="1">
        <v>0</v>
      </c>
      <c r="Q1427" s="2">
        <v>84.5</v>
      </c>
    </row>
    <row r="1428" spans="1:17" x14ac:dyDescent="0.25">
      <c r="A1428" t="s">
        <v>31</v>
      </c>
      <c r="B1428" t="s">
        <v>40</v>
      </c>
      <c r="C1428" t="str">
        <f>"556-3-BR-CO-34"</f>
        <v>556-3-BR-CO-34</v>
      </c>
      <c r="D1428" t="s">
        <v>26</v>
      </c>
      <c r="F1428" t="s">
        <v>22</v>
      </c>
      <c r="G1428" t="s">
        <v>41</v>
      </c>
      <c r="H1428">
        <v>34</v>
      </c>
      <c r="J1428" s="1">
        <v>70.13</v>
      </c>
      <c r="K1428" s="1">
        <v>0</v>
      </c>
      <c r="M1428" s="1">
        <v>0</v>
      </c>
      <c r="N1428" s="1">
        <v>14.37</v>
      </c>
      <c r="O1428" s="1">
        <v>0</v>
      </c>
      <c r="Q1428" s="2">
        <v>84.5</v>
      </c>
    </row>
    <row r="1429" spans="1:17" x14ac:dyDescent="0.25">
      <c r="A1429" t="s">
        <v>31</v>
      </c>
      <c r="B1429" t="s">
        <v>40</v>
      </c>
      <c r="C1429" t="str">
        <f>"556-3-BR-CO-36"</f>
        <v>556-3-BR-CO-36</v>
      </c>
      <c r="D1429" t="s">
        <v>26</v>
      </c>
      <c r="F1429" t="s">
        <v>22</v>
      </c>
      <c r="G1429" t="s">
        <v>41</v>
      </c>
      <c r="H1429">
        <v>36</v>
      </c>
      <c r="J1429" s="1">
        <v>70.13</v>
      </c>
      <c r="K1429" s="1">
        <v>0</v>
      </c>
      <c r="M1429" s="1">
        <v>0</v>
      </c>
      <c r="N1429" s="1">
        <v>14.37</v>
      </c>
      <c r="O1429" s="1">
        <v>0</v>
      </c>
      <c r="Q1429" s="2">
        <v>84.5</v>
      </c>
    </row>
    <row r="1430" spans="1:17" x14ac:dyDescent="0.25">
      <c r="A1430" t="s">
        <v>31</v>
      </c>
      <c r="B1430" t="s">
        <v>40</v>
      </c>
      <c r="C1430" t="str">
        <f>"556-3-BR-CO-38"</f>
        <v>556-3-BR-CO-38</v>
      </c>
      <c r="D1430" t="s">
        <v>26</v>
      </c>
      <c r="F1430" t="s">
        <v>22</v>
      </c>
      <c r="G1430" t="s">
        <v>41</v>
      </c>
      <c r="H1430">
        <v>38</v>
      </c>
      <c r="J1430" s="1">
        <v>70.13</v>
      </c>
      <c r="K1430" s="1">
        <v>0</v>
      </c>
      <c r="M1430" s="1">
        <v>0</v>
      </c>
      <c r="N1430" s="1">
        <v>14.37</v>
      </c>
      <c r="O1430" s="1">
        <v>0</v>
      </c>
      <c r="Q1430" s="2">
        <v>84.5</v>
      </c>
    </row>
    <row r="1431" spans="1:17" x14ac:dyDescent="0.25">
      <c r="A1431" t="s">
        <v>31</v>
      </c>
      <c r="B1431" t="s">
        <v>40</v>
      </c>
      <c r="C1431" t="str">
        <f>"556-3-BR-CO-40"</f>
        <v>556-3-BR-CO-40</v>
      </c>
      <c r="D1431" t="s">
        <v>26</v>
      </c>
      <c r="F1431" t="s">
        <v>22</v>
      </c>
      <c r="G1431" t="s">
        <v>41</v>
      </c>
      <c r="H1431">
        <v>40</v>
      </c>
      <c r="J1431" s="1">
        <v>70.13</v>
      </c>
      <c r="K1431" s="1">
        <v>0</v>
      </c>
      <c r="M1431" s="1">
        <v>0</v>
      </c>
      <c r="N1431" s="1">
        <v>14.37</v>
      </c>
      <c r="O1431" s="1">
        <v>0</v>
      </c>
      <c r="Q1431" s="2">
        <v>84.5</v>
      </c>
    </row>
    <row r="1432" spans="1:17" x14ac:dyDescent="0.25">
      <c r="A1432" t="s">
        <v>31</v>
      </c>
      <c r="B1432" t="s">
        <v>40</v>
      </c>
      <c r="C1432" t="str">
        <f>"556-3-BR-CO-42"</f>
        <v>556-3-BR-CO-42</v>
      </c>
      <c r="D1432" t="s">
        <v>26</v>
      </c>
      <c r="F1432" t="s">
        <v>22</v>
      </c>
      <c r="G1432" t="s">
        <v>41</v>
      </c>
      <c r="H1432">
        <v>42</v>
      </c>
      <c r="J1432" s="1">
        <v>70.13</v>
      </c>
      <c r="K1432" s="1">
        <v>0</v>
      </c>
      <c r="M1432" s="1">
        <v>0</v>
      </c>
      <c r="N1432" s="1">
        <v>14.37</v>
      </c>
      <c r="O1432" s="1">
        <v>0</v>
      </c>
      <c r="Q1432" s="2">
        <v>84.5</v>
      </c>
    </row>
    <row r="1433" spans="1:17" x14ac:dyDescent="0.25">
      <c r="A1433" t="s">
        <v>31</v>
      </c>
      <c r="B1433" t="s">
        <v>40</v>
      </c>
      <c r="C1433" t="str">
        <f>"556-3-BR-CO-44"</f>
        <v>556-3-BR-CO-44</v>
      </c>
      <c r="D1433" t="s">
        <v>26</v>
      </c>
      <c r="F1433" t="s">
        <v>22</v>
      </c>
      <c r="G1433" t="s">
        <v>41</v>
      </c>
      <c r="H1433">
        <v>44</v>
      </c>
      <c r="J1433" s="1">
        <v>70.13</v>
      </c>
      <c r="K1433" s="1">
        <v>0</v>
      </c>
      <c r="M1433" s="1">
        <v>0</v>
      </c>
      <c r="N1433" s="1">
        <v>14.37</v>
      </c>
      <c r="O1433" s="1">
        <v>0</v>
      </c>
      <c r="Q1433" s="2">
        <v>84.5</v>
      </c>
    </row>
    <row r="1434" spans="1:17" x14ac:dyDescent="0.25">
      <c r="A1434" t="s">
        <v>31</v>
      </c>
      <c r="B1434" t="s">
        <v>40</v>
      </c>
      <c r="C1434" t="str">
        <f>"556-3-BR-CO-46"</f>
        <v>556-3-BR-CO-46</v>
      </c>
      <c r="D1434" t="s">
        <v>26</v>
      </c>
      <c r="F1434" t="s">
        <v>22</v>
      </c>
      <c r="G1434" t="s">
        <v>41</v>
      </c>
      <c r="H1434">
        <v>46</v>
      </c>
      <c r="J1434" s="1">
        <v>70.13</v>
      </c>
      <c r="K1434" s="1">
        <v>0</v>
      </c>
      <c r="M1434" s="1">
        <v>0</v>
      </c>
      <c r="N1434" s="1">
        <v>14.37</v>
      </c>
      <c r="O1434" s="1">
        <v>2</v>
      </c>
      <c r="Q1434" s="2">
        <v>86.5</v>
      </c>
    </row>
    <row r="1435" spans="1:17" x14ac:dyDescent="0.25">
      <c r="A1435" t="s">
        <v>31</v>
      </c>
      <c r="B1435" t="s">
        <v>40</v>
      </c>
      <c r="C1435" t="str">
        <f>"556-3-BR-CO-48"</f>
        <v>556-3-BR-CO-48</v>
      </c>
      <c r="D1435" t="s">
        <v>26</v>
      </c>
      <c r="F1435" t="s">
        <v>22</v>
      </c>
      <c r="G1435" t="s">
        <v>41</v>
      </c>
      <c r="H1435">
        <v>48</v>
      </c>
      <c r="J1435" s="1">
        <v>70.13</v>
      </c>
      <c r="K1435" s="1">
        <v>0</v>
      </c>
      <c r="M1435" s="1">
        <v>0</v>
      </c>
      <c r="N1435" s="1">
        <v>14.37</v>
      </c>
      <c r="O1435" s="1">
        <v>4</v>
      </c>
      <c r="Q1435" s="2">
        <v>88.5</v>
      </c>
    </row>
    <row r="1436" spans="1:17" x14ac:dyDescent="0.25">
      <c r="A1436" t="s">
        <v>31</v>
      </c>
      <c r="B1436" t="s">
        <v>40</v>
      </c>
      <c r="C1436" t="str">
        <f>"556-3-BR-CO-50"</f>
        <v>556-3-BR-CO-50</v>
      </c>
      <c r="D1436" t="s">
        <v>26</v>
      </c>
      <c r="F1436" t="s">
        <v>22</v>
      </c>
      <c r="G1436" t="s">
        <v>41</v>
      </c>
      <c r="H1436">
        <v>50</v>
      </c>
      <c r="J1436" s="1">
        <v>70.13</v>
      </c>
      <c r="K1436" s="1">
        <v>0</v>
      </c>
      <c r="M1436" s="1">
        <v>0</v>
      </c>
      <c r="N1436" s="1">
        <v>14.37</v>
      </c>
      <c r="O1436" s="1">
        <v>6</v>
      </c>
      <c r="Q1436" s="2">
        <v>90.5</v>
      </c>
    </row>
    <row r="1437" spans="1:17" x14ac:dyDescent="0.25">
      <c r="A1437" t="s">
        <v>31</v>
      </c>
      <c r="B1437" t="s">
        <v>40</v>
      </c>
      <c r="C1437" t="str">
        <f>"556-3-BR-CO-52"</f>
        <v>556-3-BR-CO-52</v>
      </c>
      <c r="D1437" t="s">
        <v>26</v>
      </c>
      <c r="F1437" t="s">
        <v>22</v>
      </c>
      <c r="G1437" t="s">
        <v>41</v>
      </c>
      <c r="H1437">
        <v>52</v>
      </c>
      <c r="J1437" s="1">
        <v>70.13</v>
      </c>
      <c r="K1437" s="1">
        <v>0</v>
      </c>
      <c r="M1437" s="1">
        <v>0</v>
      </c>
      <c r="N1437" s="1">
        <v>14.37</v>
      </c>
      <c r="O1437" s="1">
        <v>8</v>
      </c>
      <c r="Q1437" s="2">
        <v>92.5</v>
      </c>
    </row>
    <row r="1438" spans="1:17" x14ac:dyDescent="0.25">
      <c r="A1438" t="s">
        <v>31</v>
      </c>
      <c r="B1438" t="s">
        <v>40</v>
      </c>
      <c r="C1438" t="str">
        <f>"556-3-BR-CO-54"</f>
        <v>556-3-BR-CO-54</v>
      </c>
      <c r="D1438" t="s">
        <v>26</v>
      </c>
      <c r="F1438" t="s">
        <v>22</v>
      </c>
      <c r="G1438" t="s">
        <v>41</v>
      </c>
      <c r="H1438">
        <v>54</v>
      </c>
      <c r="J1438" s="1">
        <v>70.13</v>
      </c>
      <c r="K1438" s="1">
        <v>0</v>
      </c>
      <c r="M1438" s="1">
        <v>0</v>
      </c>
      <c r="N1438" s="1">
        <v>14.37</v>
      </c>
      <c r="O1438" s="1">
        <v>10</v>
      </c>
      <c r="Q1438" s="2">
        <v>94.5</v>
      </c>
    </row>
    <row r="1439" spans="1:17" x14ac:dyDescent="0.25">
      <c r="A1439" t="s">
        <v>31</v>
      </c>
      <c r="B1439" t="s">
        <v>40</v>
      </c>
      <c r="C1439" t="str">
        <f>"556-3-BR-CO-56"</f>
        <v>556-3-BR-CO-56</v>
      </c>
      <c r="D1439" t="s">
        <v>26</v>
      </c>
      <c r="F1439" t="s">
        <v>22</v>
      </c>
      <c r="G1439" t="s">
        <v>41</v>
      </c>
      <c r="H1439">
        <v>56</v>
      </c>
      <c r="J1439" s="1">
        <v>70.13</v>
      </c>
      <c r="K1439" s="1">
        <v>0</v>
      </c>
      <c r="M1439" s="1">
        <v>0</v>
      </c>
      <c r="N1439" s="1">
        <v>14.37</v>
      </c>
      <c r="O1439" s="1">
        <v>12</v>
      </c>
      <c r="Q1439" s="2">
        <v>96.5</v>
      </c>
    </row>
    <row r="1440" spans="1:17" x14ac:dyDescent="0.25">
      <c r="A1440" t="s">
        <v>31</v>
      </c>
      <c r="B1440" t="s">
        <v>40</v>
      </c>
      <c r="C1440" t="str">
        <f>"556-3-BR-CO-58"</f>
        <v>556-3-BR-CO-58</v>
      </c>
      <c r="D1440" t="s">
        <v>26</v>
      </c>
      <c r="F1440" t="s">
        <v>22</v>
      </c>
      <c r="G1440" t="s">
        <v>41</v>
      </c>
      <c r="H1440">
        <v>58</v>
      </c>
      <c r="J1440" s="1">
        <v>70.13</v>
      </c>
      <c r="K1440" s="1">
        <v>0</v>
      </c>
      <c r="M1440" s="1">
        <v>0</v>
      </c>
      <c r="N1440" s="1">
        <v>14.37</v>
      </c>
      <c r="O1440" s="1">
        <v>14</v>
      </c>
      <c r="Q1440" s="2">
        <v>98.5</v>
      </c>
    </row>
    <row r="1441" spans="1:17" x14ac:dyDescent="0.25">
      <c r="A1441" t="s">
        <v>31</v>
      </c>
      <c r="B1441" t="s">
        <v>40</v>
      </c>
      <c r="C1441" t="str">
        <f>"556-3-BR-CO-60"</f>
        <v>556-3-BR-CO-60</v>
      </c>
      <c r="D1441" t="s">
        <v>26</v>
      </c>
      <c r="F1441" t="s">
        <v>22</v>
      </c>
      <c r="G1441" t="s">
        <v>41</v>
      </c>
      <c r="H1441">
        <v>60</v>
      </c>
      <c r="J1441" s="1">
        <v>70.13</v>
      </c>
      <c r="K1441" s="1">
        <v>0</v>
      </c>
      <c r="M1441" s="1">
        <v>0</v>
      </c>
      <c r="N1441" s="1">
        <v>14.37</v>
      </c>
      <c r="O1441" s="1">
        <v>16</v>
      </c>
      <c r="Q1441" s="2">
        <v>100.5</v>
      </c>
    </row>
    <row r="1442" spans="1:17" x14ac:dyDescent="0.25">
      <c r="A1442" t="s">
        <v>31</v>
      </c>
      <c r="B1442" t="s">
        <v>40</v>
      </c>
      <c r="C1442" t="str">
        <f>"556-3-BR-CO-62"</f>
        <v>556-3-BR-CO-62</v>
      </c>
      <c r="D1442" t="s">
        <v>26</v>
      </c>
      <c r="F1442" t="s">
        <v>22</v>
      </c>
      <c r="G1442" t="s">
        <v>41</v>
      </c>
      <c r="H1442">
        <v>62</v>
      </c>
      <c r="J1442" s="1">
        <v>70.13</v>
      </c>
      <c r="K1442" s="1">
        <v>0</v>
      </c>
      <c r="M1442" s="1">
        <v>0</v>
      </c>
      <c r="N1442" s="1">
        <v>14.37</v>
      </c>
      <c r="O1442" s="1">
        <v>18</v>
      </c>
      <c r="Q1442" s="2">
        <v>102.5</v>
      </c>
    </row>
    <row r="1443" spans="1:17" x14ac:dyDescent="0.25">
      <c r="A1443" t="s">
        <v>31</v>
      </c>
      <c r="B1443" t="s">
        <v>40</v>
      </c>
      <c r="C1443" t="str">
        <f>"556-3-BR-CO-64"</f>
        <v>556-3-BR-CO-64</v>
      </c>
      <c r="D1443" t="s">
        <v>26</v>
      </c>
      <c r="F1443" t="s">
        <v>22</v>
      </c>
      <c r="G1443" t="s">
        <v>41</v>
      </c>
      <c r="H1443">
        <v>64</v>
      </c>
      <c r="J1443" s="1">
        <v>70.13</v>
      </c>
      <c r="K1443" s="1">
        <v>0</v>
      </c>
      <c r="M1443" s="1">
        <v>0</v>
      </c>
      <c r="N1443" s="1">
        <v>14.37</v>
      </c>
      <c r="O1443" s="1">
        <v>20</v>
      </c>
      <c r="Q1443" s="2">
        <v>104.5</v>
      </c>
    </row>
    <row r="1444" spans="1:17" x14ac:dyDescent="0.25">
      <c r="A1444" t="s">
        <v>31</v>
      </c>
      <c r="B1444" t="s">
        <v>40</v>
      </c>
      <c r="C1444" t="str">
        <f>"556-3-BR-CO-66"</f>
        <v>556-3-BR-CO-66</v>
      </c>
      <c r="D1444" t="s">
        <v>26</v>
      </c>
      <c r="F1444" t="s">
        <v>22</v>
      </c>
      <c r="G1444" t="s">
        <v>41</v>
      </c>
      <c r="H1444">
        <v>66</v>
      </c>
      <c r="J1444" s="1">
        <v>70.13</v>
      </c>
      <c r="K1444" s="1">
        <v>0</v>
      </c>
      <c r="M1444" s="1">
        <v>0</v>
      </c>
      <c r="N1444" s="1">
        <v>14.37</v>
      </c>
      <c r="O1444" s="1">
        <v>22</v>
      </c>
      <c r="Q1444" s="2">
        <v>106.5</v>
      </c>
    </row>
    <row r="1445" spans="1:17" x14ac:dyDescent="0.25">
      <c r="A1445" t="s">
        <v>31</v>
      </c>
      <c r="B1445" t="s">
        <v>40</v>
      </c>
      <c r="C1445" t="str">
        <f>"556-3-BR-CO-68"</f>
        <v>556-3-BR-CO-68</v>
      </c>
      <c r="D1445" t="s">
        <v>26</v>
      </c>
      <c r="F1445" t="s">
        <v>22</v>
      </c>
      <c r="G1445" t="s">
        <v>41</v>
      </c>
      <c r="H1445">
        <v>68</v>
      </c>
      <c r="J1445" s="1">
        <v>70.13</v>
      </c>
      <c r="K1445" s="1">
        <v>0</v>
      </c>
      <c r="M1445" s="1">
        <v>0</v>
      </c>
      <c r="N1445" s="1">
        <v>14.37</v>
      </c>
      <c r="O1445" s="1">
        <v>24</v>
      </c>
      <c r="Q1445" s="2">
        <v>108.5</v>
      </c>
    </row>
    <row r="1446" spans="1:17" x14ac:dyDescent="0.25">
      <c r="A1446" t="s">
        <v>31</v>
      </c>
      <c r="B1446" t="s">
        <v>40</v>
      </c>
      <c r="C1446" t="str">
        <f>"556-3-BR-CO-70"</f>
        <v>556-3-BR-CO-70</v>
      </c>
      <c r="D1446" t="s">
        <v>26</v>
      </c>
      <c r="F1446" t="s">
        <v>22</v>
      </c>
      <c r="G1446" t="s">
        <v>41</v>
      </c>
      <c r="H1446">
        <v>70</v>
      </c>
      <c r="J1446" s="1">
        <v>70.13</v>
      </c>
      <c r="K1446" s="1">
        <v>0</v>
      </c>
      <c r="M1446" s="1">
        <v>0</v>
      </c>
      <c r="N1446" s="1">
        <v>14.37</v>
      </c>
      <c r="O1446" s="1">
        <v>26</v>
      </c>
      <c r="Q1446" s="2">
        <v>110.5</v>
      </c>
    </row>
    <row r="1447" spans="1:17" x14ac:dyDescent="0.25">
      <c r="A1447" t="s">
        <v>31</v>
      </c>
      <c r="B1447" t="s">
        <v>40</v>
      </c>
      <c r="C1447" t="str">
        <f>"556-3-BR-CO-72"</f>
        <v>556-3-BR-CO-72</v>
      </c>
      <c r="D1447" t="s">
        <v>26</v>
      </c>
      <c r="F1447" t="s">
        <v>22</v>
      </c>
      <c r="G1447" t="s">
        <v>41</v>
      </c>
      <c r="H1447">
        <v>72</v>
      </c>
      <c r="J1447" s="1">
        <v>70.13</v>
      </c>
      <c r="K1447" s="1">
        <v>0</v>
      </c>
      <c r="M1447" s="1">
        <v>0</v>
      </c>
      <c r="N1447" s="1">
        <v>14.37</v>
      </c>
      <c r="O1447" s="1">
        <v>28</v>
      </c>
      <c r="Q1447" s="2">
        <v>112.5</v>
      </c>
    </row>
    <row r="1448" spans="1:17" x14ac:dyDescent="0.25">
      <c r="A1448" t="s">
        <v>31</v>
      </c>
      <c r="B1448" t="s">
        <v>40</v>
      </c>
      <c r="C1448" t="str">
        <f>"556-3-BR-CO-74"</f>
        <v>556-3-BR-CO-74</v>
      </c>
      <c r="D1448" t="s">
        <v>26</v>
      </c>
      <c r="F1448" t="s">
        <v>22</v>
      </c>
      <c r="G1448" t="s">
        <v>41</v>
      </c>
      <c r="H1448">
        <v>74</v>
      </c>
      <c r="J1448" s="1">
        <v>70.13</v>
      </c>
      <c r="K1448" s="1">
        <v>0</v>
      </c>
      <c r="M1448" s="1">
        <v>0</v>
      </c>
      <c r="N1448" s="1">
        <v>14.37</v>
      </c>
      <c r="O1448" s="1">
        <v>30</v>
      </c>
      <c r="Q1448" s="2">
        <v>114.5</v>
      </c>
    </row>
    <row r="1449" spans="1:17" x14ac:dyDescent="0.25">
      <c r="A1449" t="s">
        <v>31</v>
      </c>
      <c r="B1449" t="s">
        <v>40</v>
      </c>
      <c r="C1449" t="str">
        <f>"556-3-BR-CO-76"</f>
        <v>556-3-BR-CO-76</v>
      </c>
      <c r="D1449" t="s">
        <v>26</v>
      </c>
      <c r="F1449" t="s">
        <v>22</v>
      </c>
      <c r="G1449" t="s">
        <v>41</v>
      </c>
      <c r="H1449">
        <v>76</v>
      </c>
      <c r="J1449" s="1">
        <v>70.13</v>
      </c>
      <c r="K1449" s="1">
        <v>0</v>
      </c>
      <c r="M1449" s="1">
        <v>0</v>
      </c>
      <c r="N1449" s="1">
        <v>14.37</v>
      </c>
      <c r="O1449" s="1">
        <v>32</v>
      </c>
      <c r="Q1449" s="2">
        <v>116.5</v>
      </c>
    </row>
    <row r="1450" spans="1:17" x14ac:dyDescent="0.25">
      <c r="A1450" t="s">
        <v>31</v>
      </c>
      <c r="B1450" t="s">
        <v>40</v>
      </c>
      <c r="C1450" t="str">
        <f>"556-3-BR-CO-78"</f>
        <v>556-3-BR-CO-78</v>
      </c>
      <c r="D1450" t="s">
        <v>26</v>
      </c>
      <c r="F1450" t="s">
        <v>22</v>
      </c>
      <c r="G1450" t="s">
        <v>41</v>
      </c>
      <c r="H1450">
        <v>78</v>
      </c>
      <c r="J1450" s="1">
        <v>70.13</v>
      </c>
      <c r="K1450" s="1">
        <v>0</v>
      </c>
      <c r="M1450" s="1">
        <v>0</v>
      </c>
      <c r="N1450" s="1">
        <v>14.37</v>
      </c>
      <c r="O1450" s="1">
        <v>34</v>
      </c>
      <c r="Q1450" s="2">
        <v>118.5</v>
      </c>
    </row>
    <row r="1451" spans="1:17" x14ac:dyDescent="0.25">
      <c r="A1451" t="s">
        <v>31</v>
      </c>
      <c r="B1451" t="s">
        <v>40</v>
      </c>
      <c r="C1451" t="str">
        <f>"556-3-BR-CO-80"</f>
        <v>556-3-BR-CO-80</v>
      </c>
      <c r="D1451" t="s">
        <v>26</v>
      </c>
      <c r="F1451" t="s">
        <v>22</v>
      </c>
      <c r="G1451" t="s">
        <v>41</v>
      </c>
      <c r="H1451">
        <v>80</v>
      </c>
      <c r="J1451" s="1">
        <v>70.13</v>
      </c>
      <c r="K1451" s="1">
        <v>0</v>
      </c>
      <c r="M1451" s="1">
        <v>0</v>
      </c>
      <c r="N1451" s="1">
        <v>14.37</v>
      </c>
      <c r="O1451" s="1">
        <v>36</v>
      </c>
      <c r="Q1451" s="2">
        <v>120.5</v>
      </c>
    </row>
    <row r="1452" spans="1:17" x14ac:dyDescent="0.25">
      <c r="A1452" t="s">
        <v>31</v>
      </c>
      <c r="B1452" t="s">
        <v>40</v>
      </c>
      <c r="C1452" t="str">
        <f>"556-3-BR-SU-22"</f>
        <v>556-3-BR-SU-22</v>
      </c>
      <c r="D1452" t="s">
        <v>26</v>
      </c>
      <c r="F1452" t="s">
        <v>22</v>
      </c>
      <c r="G1452" t="s">
        <v>42</v>
      </c>
      <c r="H1452">
        <v>22</v>
      </c>
      <c r="J1452" s="1">
        <v>70.13</v>
      </c>
      <c r="K1452" s="1">
        <v>0</v>
      </c>
      <c r="M1452" s="1">
        <v>0</v>
      </c>
      <c r="N1452" s="1">
        <v>0</v>
      </c>
      <c r="O1452" s="1">
        <v>0</v>
      </c>
      <c r="Q1452" s="2">
        <v>70.13</v>
      </c>
    </row>
    <row r="1453" spans="1:17" x14ac:dyDescent="0.25">
      <c r="A1453" t="s">
        <v>31</v>
      </c>
      <c r="B1453" t="s">
        <v>40</v>
      </c>
      <c r="C1453" t="str">
        <f>"556-3-BR-SU-24"</f>
        <v>556-3-BR-SU-24</v>
      </c>
      <c r="D1453" t="s">
        <v>26</v>
      </c>
      <c r="F1453" t="s">
        <v>22</v>
      </c>
      <c r="G1453" t="s">
        <v>42</v>
      </c>
      <c r="H1453">
        <v>24</v>
      </c>
      <c r="J1453" s="1">
        <v>70.13</v>
      </c>
      <c r="K1453" s="1">
        <v>0</v>
      </c>
      <c r="M1453" s="1">
        <v>0</v>
      </c>
      <c r="N1453" s="1">
        <v>0</v>
      </c>
      <c r="O1453" s="1">
        <v>0</v>
      </c>
      <c r="Q1453" s="2">
        <v>70.13</v>
      </c>
    </row>
    <row r="1454" spans="1:17" x14ac:dyDescent="0.25">
      <c r="A1454" t="s">
        <v>31</v>
      </c>
      <c r="B1454" t="s">
        <v>40</v>
      </c>
      <c r="C1454" t="str">
        <f>"556-3-BR-SU-26"</f>
        <v>556-3-BR-SU-26</v>
      </c>
      <c r="D1454" t="s">
        <v>26</v>
      </c>
      <c r="F1454" t="s">
        <v>22</v>
      </c>
      <c r="G1454" t="s">
        <v>42</v>
      </c>
      <c r="H1454">
        <v>26</v>
      </c>
      <c r="J1454" s="1">
        <v>70.13</v>
      </c>
      <c r="K1454" s="1">
        <v>0</v>
      </c>
      <c r="M1454" s="1">
        <v>0</v>
      </c>
      <c r="N1454" s="1">
        <v>0</v>
      </c>
      <c r="O1454" s="1">
        <v>0</v>
      </c>
      <c r="Q1454" s="2">
        <v>70.13</v>
      </c>
    </row>
    <row r="1455" spans="1:17" x14ac:dyDescent="0.25">
      <c r="A1455" t="s">
        <v>31</v>
      </c>
      <c r="B1455" t="s">
        <v>40</v>
      </c>
      <c r="C1455" t="str">
        <f>"556-3-BR-SU-28"</f>
        <v>556-3-BR-SU-28</v>
      </c>
      <c r="D1455" t="s">
        <v>26</v>
      </c>
      <c r="F1455" t="s">
        <v>22</v>
      </c>
      <c r="G1455" t="s">
        <v>42</v>
      </c>
      <c r="H1455">
        <v>28</v>
      </c>
      <c r="J1455" s="1">
        <v>70.13</v>
      </c>
      <c r="K1455" s="1">
        <v>0</v>
      </c>
      <c r="M1455" s="1">
        <v>0</v>
      </c>
      <c r="N1455" s="1">
        <v>0</v>
      </c>
      <c r="O1455" s="1">
        <v>0</v>
      </c>
      <c r="Q1455" s="2">
        <v>70.13</v>
      </c>
    </row>
    <row r="1456" spans="1:17" x14ac:dyDescent="0.25">
      <c r="A1456" t="s">
        <v>31</v>
      </c>
      <c r="B1456" t="s">
        <v>40</v>
      </c>
      <c r="C1456" t="str">
        <f>"556-3-BR-SU-30"</f>
        <v>556-3-BR-SU-30</v>
      </c>
      <c r="D1456" t="s">
        <v>26</v>
      </c>
      <c r="F1456" t="s">
        <v>22</v>
      </c>
      <c r="G1456" t="s">
        <v>42</v>
      </c>
      <c r="H1456">
        <v>30</v>
      </c>
      <c r="J1456" s="1">
        <v>70.13</v>
      </c>
      <c r="K1456" s="1">
        <v>0</v>
      </c>
      <c r="M1456" s="1">
        <v>0</v>
      </c>
      <c r="N1456" s="1">
        <v>0</v>
      </c>
      <c r="O1456" s="1">
        <v>0</v>
      </c>
      <c r="Q1456" s="2">
        <v>70.13</v>
      </c>
    </row>
    <row r="1457" spans="1:17" x14ac:dyDescent="0.25">
      <c r="A1457" t="s">
        <v>31</v>
      </c>
      <c r="B1457" t="s">
        <v>40</v>
      </c>
      <c r="C1457" t="str">
        <f>"556-3-BR-SU-32"</f>
        <v>556-3-BR-SU-32</v>
      </c>
      <c r="D1457" t="s">
        <v>26</v>
      </c>
      <c r="F1457" t="s">
        <v>22</v>
      </c>
      <c r="G1457" t="s">
        <v>42</v>
      </c>
      <c r="H1457">
        <v>32</v>
      </c>
      <c r="J1457" s="1">
        <v>70.13</v>
      </c>
      <c r="K1457" s="1">
        <v>0</v>
      </c>
      <c r="M1457" s="1">
        <v>0</v>
      </c>
      <c r="N1457" s="1">
        <v>0</v>
      </c>
      <c r="O1457" s="1">
        <v>0</v>
      </c>
      <c r="Q1457" s="2">
        <v>70.13</v>
      </c>
    </row>
    <row r="1458" spans="1:17" x14ac:dyDescent="0.25">
      <c r="A1458" t="s">
        <v>31</v>
      </c>
      <c r="B1458" t="s">
        <v>40</v>
      </c>
      <c r="C1458" t="str">
        <f>"556-3-BR-SU-34"</f>
        <v>556-3-BR-SU-34</v>
      </c>
      <c r="D1458" t="s">
        <v>26</v>
      </c>
      <c r="F1458" t="s">
        <v>22</v>
      </c>
      <c r="G1458" t="s">
        <v>42</v>
      </c>
      <c r="H1458">
        <v>34</v>
      </c>
      <c r="J1458" s="1">
        <v>70.13</v>
      </c>
      <c r="K1458" s="1">
        <v>0</v>
      </c>
      <c r="M1458" s="1">
        <v>0</v>
      </c>
      <c r="N1458" s="1">
        <v>0</v>
      </c>
      <c r="O1458" s="1">
        <v>0</v>
      </c>
      <c r="Q1458" s="2">
        <v>70.13</v>
      </c>
    </row>
    <row r="1459" spans="1:17" x14ac:dyDescent="0.25">
      <c r="A1459" t="s">
        <v>31</v>
      </c>
      <c r="B1459" t="s">
        <v>40</v>
      </c>
      <c r="C1459" t="str">
        <f>"556-3-BR-SU-36"</f>
        <v>556-3-BR-SU-36</v>
      </c>
      <c r="D1459" t="s">
        <v>26</v>
      </c>
      <c r="F1459" t="s">
        <v>22</v>
      </c>
      <c r="G1459" t="s">
        <v>42</v>
      </c>
      <c r="H1459">
        <v>36</v>
      </c>
      <c r="J1459" s="1">
        <v>70.13</v>
      </c>
      <c r="K1459" s="1">
        <v>0</v>
      </c>
      <c r="M1459" s="1">
        <v>0</v>
      </c>
      <c r="N1459" s="1">
        <v>0</v>
      </c>
      <c r="O1459" s="1">
        <v>0</v>
      </c>
      <c r="Q1459" s="2">
        <v>70.13</v>
      </c>
    </row>
    <row r="1460" spans="1:17" x14ac:dyDescent="0.25">
      <c r="A1460" t="s">
        <v>31</v>
      </c>
      <c r="B1460" t="s">
        <v>40</v>
      </c>
      <c r="C1460" t="str">
        <f>"556-3-BR-SU-38"</f>
        <v>556-3-BR-SU-38</v>
      </c>
      <c r="D1460" t="s">
        <v>26</v>
      </c>
      <c r="F1460" t="s">
        <v>22</v>
      </c>
      <c r="G1460" t="s">
        <v>42</v>
      </c>
      <c r="H1460">
        <v>38</v>
      </c>
      <c r="J1460" s="1">
        <v>70.13</v>
      </c>
      <c r="K1460" s="1">
        <v>0</v>
      </c>
      <c r="M1460" s="1">
        <v>0</v>
      </c>
      <c r="N1460" s="1">
        <v>0</v>
      </c>
      <c r="O1460" s="1">
        <v>0</v>
      </c>
      <c r="Q1460" s="2">
        <v>70.13</v>
      </c>
    </row>
    <row r="1461" spans="1:17" x14ac:dyDescent="0.25">
      <c r="A1461" t="s">
        <v>31</v>
      </c>
      <c r="B1461" t="s">
        <v>40</v>
      </c>
      <c r="C1461" t="str">
        <f>"556-3-BR-SU-40"</f>
        <v>556-3-BR-SU-40</v>
      </c>
      <c r="D1461" t="s">
        <v>26</v>
      </c>
      <c r="F1461" t="s">
        <v>22</v>
      </c>
      <c r="G1461" t="s">
        <v>42</v>
      </c>
      <c r="H1461">
        <v>40</v>
      </c>
      <c r="J1461" s="1">
        <v>70.13</v>
      </c>
      <c r="K1461" s="1">
        <v>0</v>
      </c>
      <c r="M1461" s="1">
        <v>0</v>
      </c>
      <c r="N1461" s="1">
        <v>0</v>
      </c>
      <c r="O1461" s="1">
        <v>0</v>
      </c>
      <c r="Q1461" s="2">
        <v>70.13</v>
      </c>
    </row>
    <row r="1462" spans="1:17" x14ac:dyDescent="0.25">
      <c r="A1462" t="s">
        <v>31</v>
      </c>
      <c r="B1462" t="s">
        <v>40</v>
      </c>
      <c r="C1462" t="str">
        <f>"556-3-BR-SU-42"</f>
        <v>556-3-BR-SU-42</v>
      </c>
      <c r="D1462" t="s">
        <v>26</v>
      </c>
      <c r="F1462" t="s">
        <v>22</v>
      </c>
      <c r="G1462" t="s">
        <v>42</v>
      </c>
      <c r="H1462">
        <v>42</v>
      </c>
      <c r="J1462" s="1">
        <v>70.13</v>
      </c>
      <c r="K1462" s="1">
        <v>0</v>
      </c>
      <c r="M1462" s="1">
        <v>0</v>
      </c>
      <c r="N1462" s="1">
        <v>0</v>
      </c>
      <c r="O1462" s="1">
        <v>0</v>
      </c>
      <c r="Q1462" s="2">
        <v>70.13</v>
      </c>
    </row>
    <row r="1463" spans="1:17" x14ac:dyDescent="0.25">
      <c r="A1463" t="s">
        <v>31</v>
      </c>
      <c r="B1463" t="s">
        <v>40</v>
      </c>
      <c r="C1463" t="str">
        <f>"556-3-BR-SU-44"</f>
        <v>556-3-BR-SU-44</v>
      </c>
      <c r="D1463" t="s">
        <v>26</v>
      </c>
      <c r="F1463" t="s">
        <v>22</v>
      </c>
      <c r="G1463" t="s">
        <v>42</v>
      </c>
      <c r="H1463">
        <v>44</v>
      </c>
      <c r="J1463" s="1">
        <v>70.13</v>
      </c>
      <c r="K1463" s="1">
        <v>0</v>
      </c>
      <c r="M1463" s="1">
        <v>0</v>
      </c>
      <c r="N1463" s="1">
        <v>0</v>
      </c>
      <c r="O1463" s="1">
        <v>0</v>
      </c>
      <c r="Q1463" s="2">
        <v>70.13</v>
      </c>
    </row>
    <row r="1464" spans="1:17" x14ac:dyDescent="0.25">
      <c r="A1464" t="s">
        <v>31</v>
      </c>
      <c r="B1464" t="s">
        <v>40</v>
      </c>
      <c r="C1464" t="str">
        <f>"556-3-BR-SU-46"</f>
        <v>556-3-BR-SU-46</v>
      </c>
      <c r="D1464" t="s">
        <v>26</v>
      </c>
      <c r="F1464" t="s">
        <v>22</v>
      </c>
      <c r="G1464" t="s">
        <v>42</v>
      </c>
      <c r="H1464">
        <v>46</v>
      </c>
      <c r="J1464" s="1">
        <v>70.13</v>
      </c>
      <c r="K1464" s="1">
        <v>0</v>
      </c>
      <c r="M1464" s="1">
        <v>0</v>
      </c>
      <c r="N1464" s="1">
        <v>0</v>
      </c>
      <c r="O1464" s="1">
        <v>5.0999999999999996</v>
      </c>
      <c r="Q1464" s="2">
        <v>75.23</v>
      </c>
    </row>
    <row r="1465" spans="1:17" x14ac:dyDescent="0.25">
      <c r="A1465" t="s">
        <v>31</v>
      </c>
      <c r="B1465" t="s">
        <v>40</v>
      </c>
      <c r="C1465" t="str">
        <f>"556-3-BR-SU-48"</f>
        <v>556-3-BR-SU-48</v>
      </c>
      <c r="D1465" t="s">
        <v>26</v>
      </c>
      <c r="F1465" t="s">
        <v>22</v>
      </c>
      <c r="G1465" t="s">
        <v>42</v>
      </c>
      <c r="H1465">
        <v>48</v>
      </c>
      <c r="J1465" s="1">
        <v>70.13</v>
      </c>
      <c r="K1465" s="1">
        <v>0</v>
      </c>
      <c r="M1465" s="1">
        <v>0</v>
      </c>
      <c r="N1465" s="1">
        <v>0</v>
      </c>
      <c r="O1465" s="1">
        <v>6.8</v>
      </c>
      <c r="Q1465" s="2">
        <v>76.930000000000007</v>
      </c>
    </row>
    <row r="1466" spans="1:17" x14ac:dyDescent="0.25">
      <c r="A1466" t="s">
        <v>31</v>
      </c>
      <c r="B1466" t="s">
        <v>40</v>
      </c>
      <c r="C1466" t="str">
        <f>"556-3-BR-SU-50"</f>
        <v>556-3-BR-SU-50</v>
      </c>
      <c r="D1466" t="s">
        <v>26</v>
      </c>
      <c r="F1466" t="s">
        <v>22</v>
      </c>
      <c r="G1466" t="s">
        <v>42</v>
      </c>
      <c r="H1466">
        <v>50</v>
      </c>
      <c r="J1466" s="1">
        <v>70.13</v>
      </c>
      <c r="K1466" s="1">
        <v>0</v>
      </c>
      <c r="M1466" s="1">
        <v>0</v>
      </c>
      <c r="N1466" s="1">
        <v>0</v>
      </c>
      <c r="O1466" s="1">
        <v>8.5</v>
      </c>
      <c r="Q1466" s="2">
        <v>78.63</v>
      </c>
    </row>
    <row r="1467" spans="1:17" x14ac:dyDescent="0.25">
      <c r="A1467" t="s">
        <v>31</v>
      </c>
      <c r="B1467" t="s">
        <v>40</v>
      </c>
      <c r="C1467" t="str">
        <f>"556-3-BR-SU-52"</f>
        <v>556-3-BR-SU-52</v>
      </c>
      <c r="D1467" t="s">
        <v>26</v>
      </c>
      <c r="F1467" t="s">
        <v>22</v>
      </c>
      <c r="G1467" t="s">
        <v>42</v>
      </c>
      <c r="H1467">
        <v>52</v>
      </c>
      <c r="J1467" s="1">
        <v>70.13</v>
      </c>
      <c r="K1467" s="1">
        <v>0</v>
      </c>
      <c r="M1467" s="1">
        <v>0</v>
      </c>
      <c r="N1467" s="1">
        <v>0</v>
      </c>
      <c r="O1467" s="1">
        <v>10.199999999999999</v>
      </c>
      <c r="Q1467" s="2">
        <v>80.33</v>
      </c>
    </row>
    <row r="1468" spans="1:17" x14ac:dyDescent="0.25">
      <c r="A1468" t="s">
        <v>31</v>
      </c>
      <c r="B1468" t="s">
        <v>40</v>
      </c>
      <c r="C1468" t="str">
        <f>"556-3-BR-SU-54"</f>
        <v>556-3-BR-SU-54</v>
      </c>
      <c r="D1468" t="s">
        <v>26</v>
      </c>
      <c r="F1468" t="s">
        <v>22</v>
      </c>
      <c r="G1468" t="s">
        <v>42</v>
      </c>
      <c r="H1468">
        <v>54</v>
      </c>
      <c r="J1468" s="1">
        <v>70.13</v>
      </c>
      <c r="K1468" s="1">
        <v>0</v>
      </c>
      <c r="M1468" s="1">
        <v>0</v>
      </c>
      <c r="N1468" s="1">
        <v>0</v>
      </c>
      <c r="O1468" s="1">
        <v>11.9</v>
      </c>
      <c r="Q1468" s="2">
        <v>82.03</v>
      </c>
    </row>
    <row r="1469" spans="1:17" x14ac:dyDescent="0.25">
      <c r="A1469" t="s">
        <v>31</v>
      </c>
      <c r="B1469" t="s">
        <v>40</v>
      </c>
      <c r="C1469" t="str">
        <f>"556-3-BR-SU-56"</f>
        <v>556-3-BR-SU-56</v>
      </c>
      <c r="D1469" t="s">
        <v>26</v>
      </c>
      <c r="F1469" t="s">
        <v>22</v>
      </c>
      <c r="G1469" t="s">
        <v>42</v>
      </c>
      <c r="H1469">
        <v>56</v>
      </c>
      <c r="J1469" s="1">
        <v>70.13</v>
      </c>
      <c r="K1469" s="1">
        <v>0</v>
      </c>
      <c r="M1469" s="1">
        <v>0</v>
      </c>
      <c r="N1469" s="1">
        <v>0</v>
      </c>
      <c r="O1469" s="1">
        <v>13.6</v>
      </c>
      <c r="Q1469" s="2">
        <v>83.73</v>
      </c>
    </row>
    <row r="1470" spans="1:17" x14ac:dyDescent="0.25">
      <c r="A1470" t="s">
        <v>31</v>
      </c>
      <c r="B1470" t="s">
        <v>40</v>
      </c>
      <c r="C1470" t="str">
        <f>"556-3-BR-SU-58"</f>
        <v>556-3-BR-SU-58</v>
      </c>
      <c r="D1470" t="s">
        <v>26</v>
      </c>
      <c r="F1470" t="s">
        <v>22</v>
      </c>
      <c r="G1470" t="s">
        <v>42</v>
      </c>
      <c r="H1470">
        <v>58</v>
      </c>
      <c r="J1470" s="1">
        <v>70.13</v>
      </c>
      <c r="K1470" s="1">
        <v>0</v>
      </c>
      <c r="M1470" s="1">
        <v>0</v>
      </c>
      <c r="N1470" s="1">
        <v>0</v>
      </c>
      <c r="O1470" s="1">
        <v>15.3</v>
      </c>
      <c r="Q1470" s="2">
        <v>85.43</v>
      </c>
    </row>
    <row r="1471" spans="1:17" x14ac:dyDescent="0.25">
      <c r="A1471" t="s">
        <v>31</v>
      </c>
      <c r="B1471" t="s">
        <v>40</v>
      </c>
      <c r="C1471" t="str">
        <f>"556-3-BR-SU-60"</f>
        <v>556-3-BR-SU-60</v>
      </c>
      <c r="D1471" t="s">
        <v>26</v>
      </c>
      <c r="F1471" t="s">
        <v>22</v>
      </c>
      <c r="G1471" t="s">
        <v>42</v>
      </c>
      <c r="H1471">
        <v>60</v>
      </c>
      <c r="J1471" s="1">
        <v>70.13</v>
      </c>
      <c r="K1471" s="1">
        <v>0</v>
      </c>
      <c r="M1471" s="1">
        <v>0</v>
      </c>
      <c r="N1471" s="1">
        <v>0</v>
      </c>
      <c r="O1471" s="1">
        <v>17</v>
      </c>
      <c r="Q1471" s="2">
        <v>87.13</v>
      </c>
    </row>
    <row r="1472" spans="1:17" x14ac:dyDescent="0.25">
      <c r="A1472" t="s">
        <v>31</v>
      </c>
      <c r="B1472" t="s">
        <v>40</v>
      </c>
      <c r="C1472" t="str">
        <f>"556-3-BR-SU-62"</f>
        <v>556-3-BR-SU-62</v>
      </c>
      <c r="D1472" t="s">
        <v>26</v>
      </c>
      <c r="F1472" t="s">
        <v>22</v>
      </c>
      <c r="G1472" t="s">
        <v>42</v>
      </c>
      <c r="H1472">
        <v>62</v>
      </c>
      <c r="J1472" s="1">
        <v>70.13</v>
      </c>
      <c r="K1472" s="1">
        <v>0</v>
      </c>
      <c r="M1472" s="1">
        <v>0</v>
      </c>
      <c r="N1472" s="1">
        <v>0</v>
      </c>
      <c r="O1472" s="1">
        <v>18.7</v>
      </c>
      <c r="Q1472" s="2">
        <v>88.83</v>
      </c>
    </row>
    <row r="1473" spans="1:17" x14ac:dyDescent="0.25">
      <c r="A1473" t="s">
        <v>31</v>
      </c>
      <c r="B1473" t="s">
        <v>40</v>
      </c>
      <c r="C1473" t="str">
        <f>"556-3-BR-SU-64"</f>
        <v>556-3-BR-SU-64</v>
      </c>
      <c r="D1473" t="s">
        <v>26</v>
      </c>
      <c r="F1473" t="s">
        <v>22</v>
      </c>
      <c r="G1473" t="s">
        <v>42</v>
      </c>
      <c r="H1473">
        <v>64</v>
      </c>
      <c r="J1473" s="1">
        <v>70.13</v>
      </c>
      <c r="K1473" s="1">
        <v>0</v>
      </c>
      <c r="M1473" s="1">
        <v>0</v>
      </c>
      <c r="N1473" s="1">
        <v>0</v>
      </c>
      <c r="O1473" s="1">
        <v>18.7</v>
      </c>
      <c r="Q1473" s="2">
        <v>88.83</v>
      </c>
    </row>
    <row r="1474" spans="1:17" x14ac:dyDescent="0.25">
      <c r="A1474" t="s">
        <v>31</v>
      </c>
      <c r="B1474" t="s">
        <v>40</v>
      </c>
      <c r="C1474" t="str">
        <f>"556-3-BR-SU-66"</f>
        <v>556-3-BR-SU-66</v>
      </c>
      <c r="D1474" t="s">
        <v>26</v>
      </c>
      <c r="F1474" t="s">
        <v>22</v>
      </c>
      <c r="G1474" t="s">
        <v>42</v>
      </c>
      <c r="H1474">
        <v>66</v>
      </c>
      <c r="J1474" s="1">
        <v>70.13</v>
      </c>
      <c r="K1474" s="1">
        <v>0</v>
      </c>
      <c r="M1474" s="1">
        <v>0</v>
      </c>
      <c r="N1474" s="1">
        <v>0</v>
      </c>
      <c r="O1474" s="1">
        <v>18.7</v>
      </c>
      <c r="Q1474" s="2">
        <v>88.83</v>
      </c>
    </row>
    <row r="1475" spans="1:17" x14ac:dyDescent="0.25">
      <c r="A1475" t="s">
        <v>31</v>
      </c>
      <c r="B1475" t="s">
        <v>40</v>
      </c>
      <c r="C1475" t="str">
        <f>"556-3-BR-SU-68"</f>
        <v>556-3-BR-SU-68</v>
      </c>
      <c r="D1475" t="s">
        <v>26</v>
      </c>
      <c r="F1475" t="s">
        <v>22</v>
      </c>
      <c r="G1475" t="s">
        <v>42</v>
      </c>
      <c r="H1475">
        <v>68</v>
      </c>
      <c r="J1475" s="1">
        <v>70.13</v>
      </c>
      <c r="K1475" s="1">
        <v>0</v>
      </c>
      <c r="M1475" s="1">
        <v>0</v>
      </c>
      <c r="N1475" s="1">
        <v>0</v>
      </c>
      <c r="O1475" s="1">
        <v>20.399999999999999</v>
      </c>
      <c r="Q1475" s="2">
        <v>90.53</v>
      </c>
    </row>
    <row r="1476" spans="1:17" x14ac:dyDescent="0.25">
      <c r="A1476" t="s">
        <v>31</v>
      </c>
      <c r="B1476" t="s">
        <v>40</v>
      </c>
      <c r="C1476" t="str">
        <f>"556-3-BR-SU-70"</f>
        <v>556-3-BR-SU-70</v>
      </c>
      <c r="D1476" t="s">
        <v>26</v>
      </c>
      <c r="F1476" t="s">
        <v>22</v>
      </c>
      <c r="G1476" t="s">
        <v>42</v>
      </c>
      <c r="H1476">
        <v>70</v>
      </c>
      <c r="J1476" s="1">
        <v>70.13</v>
      </c>
      <c r="K1476" s="1">
        <v>0</v>
      </c>
      <c r="M1476" s="1">
        <v>0</v>
      </c>
      <c r="N1476" s="1">
        <v>0</v>
      </c>
      <c r="O1476" s="1">
        <v>22.1</v>
      </c>
      <c r="Q1476" s="2">
        <v>92.23</v>
      </c>
    </row>
    <row r="1477" spans="1:17" x14ac:dyDescent="0.25">
      <c r="A1477" t="s">
        <v>31</v>
      </c>
      <c r="B1477" t="s">
        <v>40</v>
      </c>
      <c r="C1477" t="str">
        <f>"556-3-BR-SU-72"</f>
        <v>556-3-BR-SU-72</v>
      </c>
      <c r="D1477" t="s">
        <v>26</v>
      </c>
      <c r="F1477" t="s">
        <v>22</v>
      </c>
      <c r="G1477" t="s">
        <v>42</v>
      </c>
      <c r="H1477">
        <v>72</v>
      </c>
      <c r="J1477" s="1">
        <v>70.13</v>
      </c>
      <c r="K1477" s="1">
        <v>0</v>
      </c>
      <c r="M1477" s="1">
        <v>0</v>
      </c>
      <c r="N1477" s="1">
        <v>0</v>
      </c>
      <c r="O1477" s="1">
        <v>23.8</v>
      </c>
      <c r="Q1477" s="2">
        <v>93.93</v>
      </c>
    </row>
    <row r="1478" spans="1:17" x14ac:dyDescent="0.25">
      <c r="A1478" t="s">
        <v>31</v>
      </c>
      <c r="B1478" t="s">
        <v>40</v>
      </c>
      <c r="C1478" t="str">
        <f>"556-3-BR-SU-74"</f>
        <v>556-3-BR-SU-74</v>
      </c>
      <c r="D1478" t="s">
        <v>26</v>
      </c>
      <c r="F1478" t="s">
        <v>22</v>
      </c>
      <c r="G1478" t="s">
        <v>42</v>
      </c>
      <c r="H1478">
        <v>74</v>
      </c>
      <c r="J1478" s="1">
        <v>70.13</v>
      </c>
      <c r="K1478" s="1">
        <v>0</v>
      </c>
      <c r="M1478" s="1">
        <v>0</v>
      </c>
      <c r="N1478" s="1">
        <v>0</v>
      </c>
      <c r="O1478" s="1">
        <v>25.5</v>
      </c>
      <c r="Q1478" s="2">
        <v>95.63</v>
      </c>
    </row>
    <row r="1479" spans="1:17" x14ac:dyDescent="0.25">
      <c r="A1479" t="s">
        <v>31</v>
      </c>
      <c r="B1479" t="s">
        <v>40</v>
      </c>
      <c r="C1479" t="str">
        <f>"556-3-BR-SU-76"</f>
        <v>556-3-BR-SU-76</v>
      </c>
      <c r="D1479" t="s">
        <v>26</v>
      </c>
      <c r="F1479" t="s">
        <v>22</v>
      </c>
      <c r="G1479" t="s">
        <v>42</v>
      </c>
      <c r="H1479">
        <v>76</v>
      </c>
      <c r="J1479" s="1">
        <v>70.13</v>
      </c>
      <c r="K1479" s="1">
        <v>0</v>
      </c>
      <c r="M1479" s="1">
        <v>0</v>
      </c>
      <c r="N1479" s="1">
        <v>0</v>
      </c>
      <c r="O1479" s="1">
        <v>27.2</v>
      </c>
      <c r="Q1479" s="2">
        <v>97.33</v>
      </c>
    </row>
    <row r="1480" spans="1:17" x14ac:dyDescent="0.25">
      <c r="A1480" t="s">
        <v>31</v>
      </c>
      <c r="B1480" t="s">
        <v>40</v>
      </c>
      <c r="C1480" t="str">
        <f>"556-3-BR-SU-78"</f>
        <v>556-3-BR-SU-78</v>
      </c>
      <c r="D1480" t="s">
        <v>26</v>
      </c>
      <c r="F1480" t="s">
        <v>22</v>
      </c>
      <c r="G1480" t="s">
        <v>42</v>
      </c>
      <c r="H1480">
        <v>78</v>
      </c>
      <c r="J1480" s="1">
        <v>70.13</v>
      </c>
      <c r="K1480" s="1">
        <v>0</v>
      </c>
      <c r="M1480" s="1">
        <v>0</v>
      </c>
      <c r="N1480" s="1">
        <v>0</v>
      </c>
      <c r="O1480" s="1">
        <v>28.9</v>
      </c>
      <c r="Q1480" s="2">
        <v>99.03</v>
      </c>
    </row>
    <row r="1481" spans="1:17" x14ac:dyDescent="0.25">
      <c r="A1481" t="s">
        <v>31</v>
      </c>
      <c r="B1481" t="s">
        <v>40</v>
      </c>
      <c r="C1481" t="str">
        <f>"556-3-BR-SU-80"</f>
        <v>556-3-BR-SU-80</v>
      </c>
      <c r="D1481" t="s">
        <v>26</v>
      </c>
      <c r="F1481" t="s">
        <v>22</v>
      </c>
      <c r="G1481" t="s">
        <v>42</v>
      </c>
      <c r="H1481">
        <v>80</v>
      </c>
      <c r="J1481" s="1">
        <v>70.13</v>
      </c>
      <c r="K1481" s="1">
        <v>0</v>
      </c>
      <c r="M1481" s="1">
        <v>0</v>
      </c>
      <c r="N1481" s="1">
        <v>0</v>
      </c>
      <c r="O1481" s="1">
        <v>30.6</v>
      </c>
      <c r="Q1481" s="2">
        <v>100.73</v>
      </c>
    </row>
    <row r="1482" spans="1:17" x14ac:dyDescent="0.25">
      <c r="A1482" t="s">
        <v>31</v>
      </c>
      <c r="B1482" t="s">
        <v>40</v>
      </c>
      <c r="C1482" t="str">
        <f>"556-3-BR-VL-22"</f>
        <v>556-3-BR-VL-22</v>
      </c>
      <c r="D1482" t="s">
        <v>26</v>
      </c>
      <c r="F1482" t="s">
        <v>22</v>
      </c>
      <c r="G1482" t="s">
        <v>43</v>
      </c>
      <c r="H1482">
        <v>22</v>
      </c>
      <c r="J1482" s="1">
        <v>70.13</v>
      </c>
      <c r="K1482" s="1">
        <v>0</v>
      </c>
      <c r="M1482" s="1">
        <v>0</v>
      </c>
      <c r="N1482" s="1">
        <v>11.9</v>
      </c>
      <c r="O1482" s="1">
        <v>0</v>
      </c>
      <c r="Q1482" s="2">
        <v>82.03</v>
      </c>
    </row>
    <row r="1483" spans="1:17" x14ac:dyDescent="0.25">
      <c r="A1483" t="s">
        <v>31</v>
      </c>
      <c r="B1483" t="s">
        <v>40</v>
      </c>
      <c r="C1483" t="str">
        <f>"556-3-BR-VL-24"</f>
        <v>556-3-BR-VL-24</v>
      </c>
      <c r="D1483" t="s">
        <v>26</v>
      </c>
      <c r="F1483" t="s">
        <v>22</v>
      </c>
      <c r="G1483" t="s">
        <v>43</v>
      </c>
      <c r="H1483">
        <v>24</v>
      </c>
      <c r="J1483" s="1">
        <v>70.13</v>
      </c>
      <c r="K1483" s="1">
        <v>0</v>
      </c>
      <c r="M1483" s="1">
        <v>0</v>
      </c>
      <c r="N1483" s="1">
        <v>11.9</v>
      </c>
      <c r="O1483" s="1">
        <v>0</v>
      </c>
      <c r="Q1483" s="2">
        <v>82.03</v>
      </c>
    </row>
    <row r="1484" spans="1:17" x14ac:dyDescent="0.25">
      <c r="A1484" t="s">
        <v>31</v>
      </c>
      <c r="B1484" t="s">
        <v>40</v>
      </c>
      <c r="C1484" t="str">
        <f>"556-3-BR-VL-26"</f>
        <v>556-3-BR-VL-26</v>
      </c>
      <c r="D1484" t="s">
        <v>26</v>
      </c>
      <c r="F1484" t="s">
        <v>22</v>
      </c>
      <c r="G1484" t="s">
        <v>43</v>
      </c>
      <c r="H1484">
        <v>26</v>
      </c>
      <c r="J1484" s="1">
        <v>70.13</v>
      </c>
      <c r="K1484" s="1">
        <v>0</v>
      </c>
      <c r="M1484" s="1">
        <v>0</v>
      </c>
      <c r="N1484" s="1">
        <v>11.9</v>
      </c>
      <c r="O1484" s="1">
        <v>0</v>
      </c>
      <c r="Q1484" s="2">
        <v>82.03</v>
      </c>
    </row>
    <row r="1485" spans="1:17" x14ac:dyDescent="0.25">
      <c r="A1485" t="s">
        <v>31</v>
      </c>
      <c r="B1485" t="s">
        <v>40</v>
      </c>
      <c r="C1485" t="str">
        <f>"556-3-BR-VL-28"</f>
        <v>556-3-BR-VL-28</v>
      </c>
      <c r="D1485" t="s">
        <v>26</v>
      </c>
      <c r="F1485" t="s">
        <v>22</v>
      </c>
      <c r="G1485" t="s">
        <v>43</v>
      </c>
      <c r="H1485">
        <v>28</v>
      </c>
      <c r="J1485" s="1">
        <v>70.13</v>
      </c>
      <c r="K1485" s="1">
        <v>0</v>
      </c>
      <c r="M1485" s="1">
        <v>0</v>
      </c>
      <c r="N1485" s="1">
        <v>11.9</v>
      </c>
      <c r="O1485" s="1">
        <v>0</v>
      </c>
      <c r="Q1485" s="2">
        <v>82.03</v>
      </c>
    </row>
    <row r="1486" spans="1:17" x14ac:dyDescent="0.25">
      <c r="A1486" t="s">
        <v>31</v>
      </c>
      <c r="B1486" t="s">
        <v>40</v>
      </c>
      <c r="C1486" t="str">
        <f>"556-3-BR-VL-30"</f>
        <v>556-3-BR-VL-30</v>
      </c>
      <c r="D1486" t="s">
        <v>26</v>
      </c>
      <c r="F1486" t="s">
        <v>22</v>
      </c>
      <c r="G1486" t="s">
        <v>43</v>
      </c>
      <c r="H1486">
        <v>30</v>
      </c>
      <c r="J1486" s="1">
        <v>70.13</v>
      </c>
      <c r="K1486" s="1">
        <v>0</v>
      </c>
      <c r="M1486" s="1">
        <v>0</v>
      </c>
      <c r="N1486" s="1">
        <v>11.9</v>
      </c>
      <c r="O1486" s="1">
        <v>0</v>
      </c>
      <c r="Q1486" s="2">
        <v>82.03</v>
      </c>
    </row>
    <row r="1487" spans="1:17" x14ac:dyDescent="0.25">
      <c r="A1487" t="s">
        <v>31</v>
      </c>
      <c r="B1487" t="s">
        <v>40</v>
      </c>
      <c r="C1487" t="str">
        <f>"556-3-BR-VL-32"</f>
        <v>556-3-BR-VL-32</v>
      </c>
      <c r="D1487" t="s">
        <v>26</v>
      </c>
      <c r="F1487" t="s">
        <v>22</v>
      </c>
      <c r="G1487" t="s">
        <v>43</v>
      </c>
      <c r="H1487">
        <v>32</v>
      </c>
      <c r="J1487" s="1">
        <v>70.13</v>
      </c>
      <c r="K1487" s="1">
        <v>0</v>
      </c>
      <c r="M1487" s="1">
        <v>0</v>
      </c>
      <c r="N1487" s="1">
        <v>11.9</v>
      </c>
      <c r="O1487" s="1">
        <v>0</v>
      </c>
      <c r="Q1487" s="2">
        <v>82.03</v>
      </c>
    </row>
    <row r="1488" spans="1:17" x14ac:dyDescent="0.25">
      <c r="A1488" t="s">
        <v>31</v>
      </c>
      <c r="B1488" t="s">
        <v>40</v>
      </c>
      <c r="C1488" t="str">
        <f>"556-3-BR-VL-34"</f>
        <v>556-3-BR-VL-34</v>
      </c>
      <c r="D1488" t="s">
        <v>26</v>
      </c>
      <c r="F1488" t="s">
        <v>22</v>
      </c>
      <c r="G1488" t="s">
        <v>43</v>
      </c>
      <c r="H1488">
        <v>34</v>
      </c>
      <c r="J1488" s="1">
        <v>70.13</v>
      </c>
      <c r="K1488" s="1">
        <v>0</v>
      </c>
      <c r="M1488" s="1">
        <v>0</v>
      </c>
      <c r="N1488" s="1">
        <v>11.9</v>
      </c>
      <c r="O1488" s="1">
        <v>0</v>
      </c>
      <c r="Q1488" s="2">
        <v>82.03</v>
      </c>
    </row>
    <row r="1489" spans="1:17" x14ac:dyDescent="0.25">
      <c r="A1489" t="s">
        <v>31</v>
      </c>
      <c r="B1489" t="s">
        <v>40</v>
      </c>
      <c r="C1489" t="str">
        <f>"556-3-BR-VL-36"</f>
        <v>556-3-BR-VL-36</v>
      </c>
      <c r="D1489" t="s">
        <v>26</v>
      </c>
      <c r="F1489" t="s">
        <v>22</v>
      </c>
      <c r="G1489" t="s">
        <v>43</v>
      </c>
      <c r="H1489">
        <v>36</v>
      </c>
      <c r="J1489" s="1">
        <v>70.13</v>
      </c>
      <c r="K1489" s="1">
        <v>0</v>
      </c>
      <c r="M1489" s="1">
        <v>0</v>
      </c>
      <c r="N1489" s="1">
        <v>11.9</v>
      </c>
      <c r="O1489" s="1">
        <v>0</v>
      </c>
      <c r="Q1489" s="2">
        <v>82.03</v>
      </c>
    </row>
    <row r="1490" spans="1:17" x14ac:dyDescent="0.25">
      <c r="A1490" t="s">
        <v>31</v>
      </c>
      <c r="B1490" t="s">
        <v>40</v>
      </c>
      <c r="C1490" t="str">
        <f>"556-3-BR-VL-38"</f>
        <v>556-3-BR-VL-38</v>
      </c>
      <c r="D1490" t="s">
        <v>26</v>
      </c>
      <c r="F1490" t="s">
        <v>22</v>
      </c>
      <c r="G1490" t="s">
        <v>43</v>
      </c>
      <c r="H1490">
        <v>38</v>
      </c>
      <c r="J1490" s="1">
        <v>70.13</v>
      </c>
      <c r="K1490" s="1">
        <v>0</v>
      </c>
      <c r="M1490" s="1">
        <v>0</v>
      </c>
      <c r="N1490" s="1">
        <v>11.9</v>
      </c>
      <c r="O1490" s="1">
        <v>0</v>
      </c>
      <c r="Q1490" s="2">
        <v>82.03</v>
      </c>
    </row>
    <row r="1491" spans="1:17" x14ac:dyDescent="0.25">
      <c r="A1491" t="s">
        <v>31</v>
      </c>
      <c r="B1491" t="s">
        <v>40</v>
      </c>
      <c r="C1491" t="str">
        <f>"556-3-BR-VL-40"</f>
        <v>556-3-BR-VL-40</v>
      </c>
      <c r="D1491" t="s">
        <v>26</v>
      </c>
      <c r="F1491" t="s">
        <v>22</v>
      </c>
      <c r="G1491" t="s">
        <v>43</v>
      </c>
      <c r="H1491">
        <v>40</v>
      </c>
      <c r="J1491" s="1">
        <v>70.13</v>
      </c>
      <c r="K1491" s="1">
        <v>0</v>
      </c>
      <c r="M1491" s="1">
        <v>0</v>
      </c>
      <c r="N1491" s="1">
        <v>11.9</v>
      </c>
      <c r="O1491" s="1">
        <v>0</v>
      </c>
      <c r="Q1491" s="2">
        <v>82.03</v>
      </c>
    </row>
    <row r="1492" spans="1:17" x14ac:dyDescent="0.25">
      <c r="A1492" t="s">
        <v>31</v>
      </c>
      <c r="B1492" t="s">
        <v>40</v>
      </c>
      <c r="C1492" t="str">
        <f>"556-3-BR-VL-42"</f>
        <v>556-3-BR-VL-42</v>
      </c>
      <c r="D1492" t="s">
        <v>26</v>
      </c>
      <c r="F1492" t="s">
        <v>22</v>
      </c>
      <c r="G1492" t="s">
        <v>43</v>
      </c>
      <c r="H1492">
        <v>42</v>
      </c>
      <c r="J1492" s="1">
        <v>70.13</v>
      </c>
      <c r="K1492" s="1">
        <v>0</v>
      </c>
      <c r="M1492" s="1">
        <v>0</v>
      </c>
      <c r="N1492" s="1">
        <v>11.9</v>
      </c>
      <c r="O1492" s="1">
        <v>0</v>
      </c>
      <c r="Q1492" s="2">
        <v>82.03</v>
      </c>
    </row>
    <row r="1493" spans="1:17" x14ac:dyDescent="0.25">
      <c r="A1493" t="s">
        <v>31</v>
      </c>
      <c r="B1493" t="s">
        <v>40</v>
      </c>
      <c r="C1493" t="str">
        <f>"556-3-BR-VL-44"</f>
        <v>556-3-BR-VL-44</v>
      </c>
      <c r="D1493" t="s">
        <v>26</v>
      </c>
      <c r="F1493" t="s">
        <v>22</v>
      </c>
      <c r="G1493" t="s">
        <v>43</v>
      </c>
      <c r="H1493">
        <v>44</v>
      </c>
      <c r="J1493" s="1">
        <v>70.13</v>
      </c>
      <c r="K1493" s="1">
        <v>0</v>
      </c>
      <c r="M1493" s="1">
        <v>0</v>
      </c>
      <c r="N1493" s="1">
        <v>11.9</v>
      </c>
      <c r="O1493" s="1">
        <v>0</v>
      </c>
      <c r="Q1493" s="2">
        <v>82.03</v>
      </c>
    </row>
    <row r="1494" spans="1:17" x14ac:dyDescent="0.25">
      <c r="A1494" t="s">
        <v>31</v>
      </c>
      <c r="B1494" t="s">
        <v>40</v>
      </c>
      <c r="C1494" t="str">
        <f>"556-3-BR-VL-46"</f>
        <v>556-3-BR-VL-46</v>
      </c>
      <c r="D1494" t="s">
        <v>26</v>
      </c>
      <c r="F1494" t="s">
        <v>22</v>
      </c>
      <c r="G1494" t="s">
        <v>43</v>
      </c>
      <c r="H1494">
        <v>46</v>
      </c>
      <c r="J1494" s="1">
        <v>70.13</v>
      </c>
      <c r="K1494" s="1">
        <v>0</v>
      </c>
      <c r="M1494" s="1">
        <v>0</v>
      </c>
      <c r="N1494" s="1">
        <v>11.9</v>
      </c>
      <c r="O1494" s="1">
        <v>5.0999999999999996</v>
      </c>
      <c r="Q1494" s="2">
        <v>87.13</v>
      </c>
    </row>
    <row r="1495" spans="1:17" x14ac:dyDescent="0.25">
      <c r="A1495" t="s">
        <v>31</v>
      </c>
      <c r="B1495" t="s">
        <v>40</v>
      </c>
      <c r="C1495" t="str">
        <f>"556-3-BR-VL-48"</f>
        <v>556-3-BR-VL-48</v>
      </c>
      <c r="D1495" t="s">
        <v>26</v>
      </c>
      <c r="F1495" t="s">
        <v>22</v>
      </c>
      <c r="G1495" t="s">
        <v>43</v>
      </c>
      <c r="H1495">
        <v>48</v>
      </c>
      <c r="J1495" s="1">
        <v>70.13</v>
      </c>
      <c r="K1495" s="1">
        <v>0</v>
      </c>
      <c r="M1495" s="1">
        <v>0</v>
      </c>
      <c r="N1495" s="1">
        <v>11.9</v>
      </c>
      <c r="O1495" s="1">
        <v>6.8</v>
      </c>
      <c r="Q1495" s="2">
        <v>88.83</v>
      </c>
    </row>
    <row r="1496" spans="1:17" x14ac:dyDescent="0.25">
      <c r="A1496" t="s">
        <v>31</v>
      </c>
      <c r="B1496" t="s">
        <v>40</v>
      </c>
      <c r="C1496" t="str">
        <f>"556-3-BR-VL-50"</f>
        <v>556-3-BR-VL-50</v>
      </c>
      <c r="D1496" t="s">
        <v>26</v>
      </c>
      <c r="F1496" t="s">
        <v>22</v>
      </c>
      <c r="G1496" t="s">
        <v>43</v>
      </c>
      <c r="H1496">
        <v>50</v>
      </c>
      <c r="J1496" s="1">
        <v>70.13</v>
      </c>
      <c r="K1496" s="1">
        <v>0</v>
      </c>
      <c r="M1496" s="1">
        <v>0</v>
      </c>
      <c r="N1496" s="1">
        <v>11.9</v>
      </c>
      <c r="O1496" s="1">
        <v>8.5</v>
      </c>
      <c r="Q1496" s="2">
        <v>90.53</v>
      </c>
    </row>
    <row r="1497" spans="1:17" x14ac:dyDescent="0.25">
      <c r="A1497" t="s">
        <v>31</v>
      </c>
      <c r="B1497" t="s">
        <v>40</v>
      </c>
      <c r="C1497" t="str">
        <f>"556-3-BR-VL-52"</f>
        <v>556-3-BR-VL-52</v>
      </c>
      <c r="D1497" t="s">
        <v>26</v>
      </c>
      <c r="F1497" t="s">
        <v>22</v>
      </c>
      <c r="G1497" t="s">
        <v>43</v>
      </c>
      <c r="H1497">
        <v>52</v>
      </c>
      <c r="J1497" s="1">
        <v>70.13</v>
      </c>
      <c r="K1497" s="1">
        <v>0</v>
      </c>
      <c r="M1497" s="1">
        <v>0</v>
      </c>
      <c r="N1497" s="1">
        <v>11.9</v>
      </c>
      <c r="O1497" s="1">
        <v>10.199999999999999</v>
      </c>
      <c r="Q1497" s="2">
        <v>92.23</v>
      </c>
    </row>
    <row r="1498" spans="1:17" x14ac:dyDescent="0.25">
      <c r="A1498" t="s">
        <v>31</v>
      </c>
      <c r="B1498" t="s">
        <v>40</v>
      </c>
      <c r="C1498" t="str">
        <f>"556-3-BR-VL-54"</f>
        <v>556-3-BR-VL-54</v>
      </c>
      <c r="D1498" t="s">
        <v>26</v>
      </c>
      <c r="F1498" t="s">
        <v>22</v>
      </c>
      <c r="G1498" t="s">
        <v>43</v>
      </c>
      <c r="H1498">
        <v>54</v>
      </c>
      <c r="J1498" s="1">
        <v>70.13</v>
      </c>
      <c r="K1498" s="1">
        <v>0</v>
      </c>
      <c r="M1498" s="1">
        <v>0</v>
      </c>
      <c r="N1498" s="1">
        <v>11.9</v>
      </c>
      <c r="O1498" s="1">
        <v>11.9</v>
      </c>
      <c r="Q1498" s="2">
        <v>93.93</v>
      </c>
    </row>
    <row r="1499" spans="1:17" x14ac:dyDescent="0.25">
      <c r="A1499" t="s">
        <v>31</v>
      </c>
      <c r="B1499" t="s">
        <v>40</v>
      </c>
      <c r="C1499" t="str">
        <f>"556-3-BR-VL-56"</f>
        <v>556-3-BR-VL-56</v>
      </c>
      <c r="D1499" t="s">
        <v>26</v>
      </c>
      <c r="F1499" t="s">
        <v>22</v>
      </c>
      <c r="G1499" t="s">
        <v>43</v>
      </c>
      <c r="H1499">
        <v>56</v>
      </c>
      <c r="J1499" s="1">
        <v>70.13</v>
      </c>
      <c r="K1499" s="1">
        <v>0</v>
      </c>
      <c r="M1499" s="1">
        <v>0</v>
      </c>
      <c r="N1499" s="1">
        <v>11.9</v>
      </c>
      <c r="O1499" s="1">
        <v>13.6</v>
      </c>
      <c r="Q1499" s="2">
        <v>95.63</v>
      </c>
    </row>
    <row r="1500" spans="1:17" x14ac:dyDescent="0.25">
      <c r="A1500" t="s">
        <v>31</v>
      </c>
      <c r="B1500" t="s">
        <v>40</v>
      </c>
      <c r="C1500" t="str">
        <f>"556-3-BR-VL-58"</f>
        <v>556-3-BR-VL-58</v>
      </c>
      <c r="D1500" t="s">
        <v>26</v>
      </c>
      <c r="F1500" t="s">
        <v>22</v>
      </c>
      <c r="G1500" t="s">
        <v>43</v>
      </c>
      <c r="H1500">
        <v>58</v>
      </c>
      <c r="J1500" s="1">
        <v>70.13</v>
      </c>
      <c r="K1500" s="1">
        <v>0</v>
      </c>
      <c r="M1500" s="1">
        <v>0</v>
      </c>
      <c r="N1500" s="1">
        <v>11.9</v>
      </c>
      <c r="O1500" s="1">
        <v>15.3</v>
      </c>
      <c r="Q1500" s="2">
        <v>97.33</v>
      </c>
    </row>
    <row r="1501" spans="1:17" x14ac:dyDescent="0.25">
      <c r="A1501" t="s">
        <v>31</v>
      </c>
      <c r="B1501" t="s">
        <v>40</v>
      </c>
      <c r="C1501" t="str">
        <f>"556-3-BR-VL-60"</f>
        <v>556-3-BR-VL-60</v>
      </c>
      <c r="D1501" t="s">
        <v>26</v>
      </c>
      <c r="F1501" t="s">
        <v>22</v>
      </c>
      <c r="G1501" t="s">
        <v>43</v>
      </c>
      <c r="H1501">
        <v>60</v>
      </c>
      <c r="J1501" s="1">
        <v>70.13</v>
      </c>
      <c r="K1501" s="1">
        <v>0</v>
      </c>
      <c r="M1501" s="1">
        <v>0</v>
      </c>
      <c r="N1501" s="1">
        <v>11.9</v>
      </c>
      <c r="O1501" s="1">
        <v>17</v>
      </c>
      <c r="Q1501" s="2">
        <v>99.03</v>
      </c>
    </row>
    <row r="1502" spans="1:17" x14ac:dyDescent="0.25">
      <c r="A1502" t="s">
        <v>31</v>
      </c>
      <c r="B1502" t="s">
        <v>40</v>
      </c>
      <c r="C1502" t="str">
        <f>"556-3-BR-VL-62"</f>
        <v>556-3-BR-VL-62</v>
      </c>
      <c r="D1502" t="s">
        <v>26</v>
      </c>
      <c r="F1502" t="s">
        <v>22</v>
      </c>
      <c r="G1502" t="s">
        <v>43</v>
      </c>
      <c r="H1502">
        <v>62</v>
      </c>
      <c r="J1502" s="1">
        <v>70.13</v>
      </c>
      <c r="K1502" s="1">
        <v>0</v>
      </c>
      <c r="M1502" s="1">
        <v>0</v>
      </c>
      <c r="N1502" s="1">
        <v>11.9</v>
      </c>
      <c r="O1502" s="1">
        <v>18.7</v>
      </c>
      <c r="Q1502" s="2">
        <v>100.73</v>
      </c>
    </row>
    <row r="1503" spans="1:17" x14ac:dyDescent="0.25">
      <c r="A1503" t="s">
        <v>31</v>
      </c>
      <c r="B1503" t="s">
        <v>40</v>
      </c>
      <c r="C1503" t="str">
        <f>"556-3-BR-VL-64"</f>
        <v>556-3-BR-VL-64</v>
      </c>
      <c r="D1503" t="s">
        <v>26</v>
      </c>
      <c r="F1503" t="s">
        <v>22</v>
      </c>
      <c r="G1503" t="s">
        <v>43</v>
      </c>
      <c r="H1503">
        <v>64</v>
      </c>
      <c r="J1503" s="1">
        <v>70.13</v>
      </c>
      <c r="K1503" s="1">
        <v>0</v>
      </c>
      <c r="M1503" s="1">
        <v>0</v>
      </c>
      <c r="N1503" s="1">
        <v>11.9</v>
      </c>
      <c r="O1503" s="1">
        <v>18.7</v>
      </c>
      <c r="Q1503" s="2">
        <v>100.73</v>
      </c>
    </row>
    <row r="1504" spans="1:17" x14ac:dyDescent="0.25">
      <c r="A1504" t="s">
        <v>31</v>
      </c>
      <c r="B1504" t="s">
        <v>40</v>
      </c>
      <c r="C1504" t="str">
        <f>"556-3-BR-VL-66"</f>
        <v>556-3-BR-VL-66</v>
      </c>
      <c r="D1504" t="s">
        <v>26</v>
      </c>
      <c r="F1504" t="s">
        <v>22</v>
      </c>
      <c r="G1504" t="s">
        <v>43</v>
      </c>
      <c r="H1504">
        <v>66</v>
      </c>
      <c r="J1504" s="1">
        <v>70.13</v>
      </c>
      <c r="K1504" s="1">
        <v>0</v>
      </c>
      <c r="M1504" s="1">
        <v>0</v>
      </c>
      <c r="N1504" s="1">
        <v>11.9</v>
      </c>
      <c r="O1504" s="1">
        <v>18.7</v>
      </c>
      <c r="Q1504" s="2">
        <v>100.73</v>
      </c>
    </row>
    <row r="1505" spans="1:17" x14ac:dyDescent="0.25">
      <c r="A1505" t="s">
        <v>31</v>
      </c>
      <c r="B1505" t="s">
        <v>40</v>
      </c>
      <c r="C1505" t="str">
        <f>"556-3-BR-VL-68"</f>
        <v>556-3-BR-VL-68</v>
      </c>
      <c r="D1505" t="s">
        <v>26</v>
      </c>
      <c r="F1505" t="s">
        <v>22</v>
      </c>
      <c r="G1505" t="s">
        <v>43</v>
      </c>
      <c r="H1505">
        <v>68</v>
      </c>
      <c r="J1505" s="1">
        <v>70.13</v>
      </c>
      <c r="K1505" s="1">
        <v>0</v>
      </c>
      <c r="M1505" s="1">
        <v>0</v>
      </c>
      <c r="N1505" s="1">
        <v>11.9</v>
      </c>
      <c r="O1505" s="1">
        <v>20.399999999999999</v>
      </c>
      <c r="Q1505" s="2">
        <v>102.43</v>
      </c>
    </row>
    <row r="1506" spans="1:17" x14ac:dyDescent="0.25">
      <c r="A1506" t="s">
        <v>31</v>
      </c>
      <c r="B1506" t="s">
        <v>40</v>
      </c>
      <c r="C1506" t="str">
        <f>"556-3-BR-VL-70"</f>
        <v>556-3-BR-VL-70</v>
      </c>
      <c r="D1506" t="s">
        <v>26</v>
      </c>
      <c r="F1506" t="s">
        <v>22</v>
      </c>
      <c r="G1506" t="s">
        <v>43</v>
      </c>
      <c r="H1506">
        <v>70</v>
      </c>
      <c r="J1506" s="1">
        <v>70.13</v>
      </c>
      <c r="K1506" s="1">
        <v>0</v>
      </c>
      <c r="M1506" s="1">
        <v>0</v>
      </c>
      <c r="N1506" s="1">
        <v>11.9</v>
      </c>
      <c r="O1506" s="1">
        <v>22.1</v>
      </c>
      <c r="Q1506" s="2">
        <v>104.13</v>
      </c>
    </row>
    <row r="1507" spans="1:17" x14ac:dyDescent="0.25">
      <c r="A1507" t="s">
        <v>31</v>
      </c>
      <c r="B1507" t="s">
        <v>40</v>
      </c>
      <c r="C1507" t="str">
        <f>"556-3-BR-VL-72"</f>
        <v>556-3-BR-VL-72</v>
      </c>
      <c r="D1507" t="s">
        <v>26</v>
      </c>
      <c r="F1507" t="s">
        <v>22</v>
      </c>
      <c r="G1507" t="s">
        <v>43</v>
      </c>
      <c r="H1507">
        <v>72</v>
      </c>
      <c r="J1507" s="1">
        <v>70.13</v>
      </c>
      <c r="K1507" s="1">
        <v>0</v>
      </c>
      <c r="M1507" s="1">
        <v>0</v>
      </c>
      <c r="N1507" s="1">
        <v>11.9</v>
      </c>
      <c r="O1507" s="1">
        <v>23.8</v>
      </c>
      <c r="Q1507" s="2">
        <v>105.83</v>
      </c>
    </row>
    <row r="1508" spans="1:17" x14ac:dyDescent="0.25">
      <c r="A1508" t="s">
        <v>31</v>
      </c>
      <c r="B1508" t="s">
        <v>40</v>
      </c>
      <c r="C1508" t="str">
        <f>"556-3-BR-VL-74"</f>
        <v>556-3-BR-VL-74</v>
      </c>
      <c r="D1508" t="s">
        <v>26</v>
      </c>
      <c r="F1508" t="s">
        <v>22</v>
      </c>
      <c r="G1508" t="s">
        <v>43</v>
      </c>
      <c r="H1508">
        <v>74</v>
      </c>
      <c r="J1508" s="1">
        <v>70.13</v>
      </c>
      <c r="K1508" s="1">
        <v>0</v>
      </c>
      <c r="M1508" s="1">
        <v>0</v>
      </c>
      <c r="N1508" s="1">
        <v>11.9</v>
      </c>
      <c r="O1508" s="1">
        <v>25.5</v>
      </c>
      <c r="Q1508" s="2">
        <v>107.53</v>
      </c>
    </row>
    <row r="1509" spans="1:17" x14ac:dyDescent="0.25">
      <c r="A1509" t="s">
        <v>31</v>
      </c>
      <c r="B1509" t="s">
        <v>40</v>
      </c>
      <c r="C1509" t="str">
        <f>"556-3-BR-VL-76"</f>
        <v>556-3-BR-VL-76</v>
      </c>
      <c r="D1509" t="s">
        <v>26</v>
      </c>
      <c r="F1509" t="s">
        <v>22</v>
      </c>
      <c r="G1509" t="s">
        <v>43</v>
      </c>
      <c r="H1509">
        <v>76</v>
      </c>
      <c r="J1509" s="1">
        <v>70.13</v>
      </c>
      <c r="K1509" s="1">
        <v>0</v>
      </c>
      <c r="M1509" s="1">
        <v>0</v>
      </c>
      <c r="N1509" s="1">
        <v>11.9</v>
      </c>
      <c r="O1509" s="1">
        <v>27.2</v>
      </c>
      <c r="Q1509" s="2">
        <v>109.23</v>
      </c>
    </row>
    <row r="1510" spans="1:17" x14ac:dyDescent="0.25">
      <c r="A1510" t="s">
        <v>31</v>
      </c>
      <c r="B1510" t="s">
        <v>40</v>
      </c>
      <c r="C1510" t="str">
        <f>"556-3-BR-VL-78"</f>
        <v>556-3-BR-VL-78</v>
      </c>
      <c r="D1510" t="s">
        <v>26</v>
      </c>
      <c r="F1510" t="s">
        <v>22</v>
      </c>
      <c r="G1510" t="s">
        <v>43</v>
      </c>
      <c r="H1510">
        <v>78</v>
      </c>
      <c r="J1510" s="1">
        <v>70.13</v>
      </c>
      <c r="K1510" s="1">
        <v>0</v>
      </c>
      <c r="M1510" s="1">
        <v>0</v>
      </c>
      <c r="N1510" s="1">
        <v>11.9</v>
      </c>
      <c r="O1510" s="1">
        <v>28.9</v>
      </c>
      <c r="Q1510" s="2">
        <v>110.93</v>
      </c>
    </row>
    <row r="1511" spans="1:17" x14ac:dyDescent="0.25">
      <c r="A1511" t="s">
        <v>31</v>
      </c>
      <c r="B1511" t="s">
        <v>40</v>
      </c>
      <c r="C1511" t="str">
        <f>"556-3-BR-VL-80"</f>
        <v>556-3-BR-VL-80</v>
      </c>
      <c r="D1511" t="s">
        <v>26</v>
      </c>
      <c r="F1511" t="s">
        <v>22</v>
      </c>
      <c r="G1511" t="s">
        <v>43</v>
      </c>
      <c r="H1511">
        <v>80</v>
      </c>
      <c r="J1511" s="1">
        <v>70.13</v>
      </c>
      <c r="K1511" s="1">
        <v>0</v>
      </c>
      <c r="M1511" s="1">
        <v>0</v>
      </c>
      <c r="N1511" s="1">
        <v>11.9</v>
      </c>
      <c r="O1511" s="1">
        <v>30.6</v>
      </c>
      <c r="Q1511" s="2">
        <v>112.63</v>
      </c>
    </row>
    <row r="1512" spans="1:17" x14ac:dyDescent="0.25">
      <c r="A1512" t="s">
        <v>31</v>
      </c>
      <c r="B1512" t="s">
        <v>40</v>
      </c>
      <c r="C1512" t="str">
        <f>"556-3-CH-CO-22"</f>
        <v>556-3-CH-CO-22</v>
      </c>
      <c r="D1512" t="s">
        <v>26</v>
      </c>
      <c r="F1512" t="s">
        <v>23</v>
      </c>
      <c r="G1512" t="s">
        <v>41</v>
      </c>
      <c r="H1512">
        <v>22</v>
      </c>
      <c r="J1512" s="1">
        <v>70.13</v>
      </c>
      <c r="K1512" s="1">
        <v>0</v>
      </c>
      <c r="M1512" s="1">
        <v>0</v>
      </c>
      <c r="N1512" s="1">
        <v>14.37</v>
      </c>
      <c r="O1512" s="1">
        <v>0</v>
      </c>
      <c r="Q1512" s="2">
        <v>84.5</v>
      </c>
    </row>
    <row r="1513" spans="1:17" x14ac:dyDescent="0.25">
      <c r="A1513" t="s">
        <v>31</v>
      </c>
      <c r="B1513" t="s">
        <v>40</v>
      </c>
      <c r="C1513" t="str">
        <f>"556-3-CH-CO-24"</f>
        <v>556-3-CH-CO-24</v>
      </c>
      <c r="D1513" t="s">
        <v>26</v>
      </c>
      <c r="F1513" t="s">
        <v>23</v>
      </c>
      <c r="G1513" t="s">
        <v>41</v>
      </c>
      <c r="H1513">
        <v>24</v>
      </c>
      <c r="J1513" s="1">
        <v>70.13</v>
      </c>
      <c r="K1513" s="1">
        <v>0</v>
      </c>
      <c r="M1513" s="1">
        <v>0</v>
      </c>
      <c r="N1513" s="1">
        <v>14.37</v>
      </c>
      <c r="O1513" s="1">
        <v>0</v>
      </c>
      <c r="Q1513" s="2">
        <v>84.5</v>
      </c>
    </row>
    <row r="1514" spans="1:17" x14ac:dyDescent="0.25">
      <c r="A1514" t="s">
        <v>31</v>
      </c>
      <c r="B1514" t="s">
        <v>40</v>
      </c>
      <c r="C1514" t="str">
        <f>"556-3-CH-CO-26"</f>
        <v>556-3-CH-CO-26</v>
      </c>
      <c r="D1514" t="s">
        <v>26</v>
      </c>
      <c r="F1514" t="s">
        <v>23</v>
      </c>
      <c r="G1514" t="s">
        <v>41</v>
      </c>
      <c r="H1514">
        <v>26</v>
      </c>
      <c r="J1514" s="1">
        <v>70.13</v>
      </c>
      <c r="K1514" s="1">
        <v>0</v>
      </c>
      <c r="M1514" s="1">
        <v>0</v>
      </c>
      <c r="N1514" s="1">
        <v>14.37</v>
      </c>
      <c r="O1514" s="1">
        <v>0</v>
      </c>
      <c r="Q1514" s="2">
        <v>84.5</v>
      </c>
    </row>
    <row r="1515" spans="1:17" x14ac:dyDescent="0.25">
      <c r="A1515" t="s">
        <v>31</v>
      </c>
      <c r="B1515" t="s">
        <v>40</v>
      </c>
      <c r="C1515" t="str">
        <f>"556-3-CH-CO-28"</f>
        <v>556-3-CH-CO-28</v>
      </c>
      <c r="D1515" t="s">
        <v>26</v>
      </c>
      <c r="F1515" t="s">
        <v>23</v>
      </c>
      <c r="G1515" t="s">
        <v>41</v>
      </c>
      <c r="H1515">
        <v>28</v>
      </c>
      <c r="J1515" s="1">
        <v>70.13</v>
      </c>
      <c r="K1515" s="1">
        <v>0</v>
      </c>
      <c r="M1515" s="1">
        <v>0</v>
      </c>
      <c r="N1515" s="1">
        <v>14.37</v>
      </c>
      <c r="O1515" s="1">
        <v>0</v>
      </c>
      <c r="Q1515" s="2">
        <v>84.5</v>
      </c>
    </row>
    <row r="1516" spans="1:17" x14ac:dyDescent="0.25">
      <c r="A1516" t="s">
        <v>31</v>
      </c>
      <c r="B1516" t="s">
        <v>40</v>
      </c>
      <c r="C1516" t="str">
        <f>"556-3-CH-CO-30"</f>
        <v>556-3-CH-CO-30</v>
      </c>
      <c r="D1516" t="s">
        <v>26</v>
      </c>
      <c r="F1516" t="s">
        <v>23</v>
      </c>
      <c r="G1516" t="s">
        <v>41</v>
      </c>
      <c r="H1516">
        <v>30</v>
      </c>
      <c r="J1516" s="1">
        <v>70.13</v>
      </c>
      <c r="K1516" s="1">
        <v>0</v>
      </c>
      <c r="M1516" s="1">
        <v>0</v>
      </c>
      <c r="N1516" s="1">
        <v>14.37</v>
      </c>
      <c r="O1516" s="1">
        <v>0</v>
      </c>
      <c r="Q1516" s="2">
        <v>84.5</v>
      </c>
    </row>
    <row r="1517" spans="1:17" x14ac:dyDescent="0.25">
      <c r="A1517" t="s">
        <v>31</v>
      </c>
      <c r="B1517" t="s">
        <v>40</v>
      </c>
      <c r="C1517" t="str">
        <f>"556-3-CH-CO-32"</f>
        <v>556-3-CH-CO-32</v>
      </c>
      <c r="D1517" t="s">
        <v>26</v>
      </c>
      <c r="F1517" t="s">
        <v>23</v>
      </c>
      <c r="G1517" t="s">
        <v>41</v>
      </c>
      <c r="H1517">
        <v>32</v>
      </c>
      <c r="J1517" s="1">
        <v>70.13</v>
      </c>
      <c r="K1517" s="1">
        <v>0</v>
      </c>
      <c r="M1517" s="1">
        <v>0</v>
      </c>
      <c r="N1517" s="1">
        <v>14.37</v>
      </c>
      <c r="O1517" s="1">
        <v>0</v>
      </c>
      <c r="Q1517" s="2">
        <v>84.5</v>
      </c>
    </row>
    <row r="1518" spans="1:17" x14ac:dyDescent="0.25">
      <c r="A1518" t="s">
        <v>31</v>
      </c>
      <c r="B1518" t="s">
        <v>40</v>
      </c>
      <c r="C1518" t="str">
        <f>"556-3-CH-CO-34"</f>
        <v>556-3-CH-CO-34</v>
      </c>
      <c r="D1518" t="s">
        <v>26</v>
      </c>
      <c r="F1518" t="s">
        <v>23</v>
      </c>
      <c r="G1518" t="s">
        <v>41</v>
      </c>
      <c r="H1518">
        <v>34</v>
      </c>
      <c r="J1518" s="1">
        <v>70.13</v>
      </c>
      <c r="K1518" s="1">
        <v>0</v>
      </c>
      <c r="M1518" s="1">
        <v>0</v>
      </c>
      <c r="N1518" s="1">
        <v>14.37</v>
      </c>
      <c r="O1518" s="1">
        <v>0</v>
      </c>
      <c r="Q1518" s="2">
        <v>84.5</v>
      </c>
    </row>
    <row r="1519" spans="1:17" x14ac:dyDescent="0.25">
      <c r="A1519" t="s">
        <v>31</v>
      </c>
      <c r="B1519" t="s">
        <v>40</v>
      </c>
      <c r="C1519" t="str">
        <f>"556-3-CH-CO-36"</f>
        <v>556-3-CH-CO-36</v>
      </c>
      <c r="D1519" t="s">
        <v>26</v>
      </c>
      <c r="F1519" t="s">
        <v>23</v>
      </c>
      <c r="G1519" t="s">
        <v>41</v>
      </c>
      <c r="H1519">
        <v>36</v>
      </c>
      <c r="J1519" s="1">
        <v>70.13</v>
      </c>
      <c r="K1519" s="1">
        <v>0</v>
      </c>
      <c r="M1519" s="1">
        <v>0</v>
      </c>
      <c r="N1519" s="1">
        <v>14.37</v>
      </c>
      <c r="O1519" s="1">
        <v>0</v>
      </c>
      <c r="Q1519" s="2">
        <v>84.5</v>
      </c>
    </row>
    <row r="1520" spans="1:17" x14ac:dyDescent="0.25">
      <c r="A1520" t="s">
        <v>31</v>
      </c>
      <c r="B1520" t="s">
        <v>40</v>
      </c>
      <c r="C1520" t="str">
        <f>"556-3-CH-CO-38"</f>
        <v>556-3-CH-CO-38</v>
      </c>
      <c r="D1520" t="s">
        <v>26</v>
      </c>
      <c r="F1520" t="s">
        <v>23</v>
      </c>
      <c r="G1520" t="s">
        <v>41</v>
      </c>
      <c r="H1520">
        <v>38</v>
      </c>
      <c r="J1520" s="1">
        <v>70.13</v>
      </c>
      <c r="K1520" s="1">
        <v>0</v>
      </c>
      <c r="M1520" s="1">
        <v>0</v>
      </c>
      <c r="N1520" s="1">
        <v>14.37</v>
      </c>
      <c r="O1520" s="1">
        <v>0</v>
      </c>
      <c r="Q1520" s="2">
        <v>84.5</v>
      </c>
    </row>
    <row r="1521" spans="1:17" x14ac:dyDescent="0.25">
      <c r="A1521" t="s">
        <v>31</v>
      </c>
      <c r="B1521" t="s">
        <v>40</v>
      </c>
      <c r="C1521" t="str">
        <f>"556-3-CH-CO-40"</f>
        <v>556-3-CH-CO-40</v>
      </c>
      <c r="D1521" t="s">
        <v>26</v>
      </c>
      <c r="F1521" t="s">
        <v>23</v>
      </c>
      <c r="G1521" t="s">
        <v>41</v>
      </c>
      <c r="H1521">
        <v>40</v>
      </c>
      <c r="J1521" s="1">
        <v>70.13</v>
      </c>
      <c r="K1521" s="1">
        <v>0</v>
      </c>
      <c r="M1521" s="1">
        <v>0</v>
      </c>
      <c r="N1521" s="1">
        <v>14.37</v>
      </c>
      <c r="O1521" s="1">
        <v>0</v>
      </c>
      <c r="Q1521" s="2">
        <v>84.5</v>
      </c>
    </row>
    <row r="1522" spans="1:17" x14ac:dyDescent="0.25">
      <c r="A1522" t="s">
        <v>31</v>
      </c>
      <c r="B1522" t="s">
        <v>40</v>
      </c>
      <c r="C1522" t="str">
        <f>"556-3-CH-CO-42"</f>
        <v>556-3-CH-CO-42</v>
      </c>
      <c r="D1522" t="s">
        <v>26</v>
      </c>
      <c r="F1522" t="s">
        <v>23</v>
      </c>
      <c r="G1522" t="s">
        <v>41</v>
      </c>
      <c r="H1522">
        <v>42</v>
      </c>
      <c r="J1522" s="1">
        <v>70.13</v>
      </c>
      <c r="K1522" s="1">
        <v>0</v>
      </c>
      <c r="M1522" s="1">
        <v>0</v>
      </c>
      <c r="N1522" s="1">
        <v>14.37</v>
      </c>
      <c r="O1522" s="1">
        <v>0</v>
      </c>
      <c r="Q1522" s="2">
        <v>84.5</v>
      </c>
    </row>
    <row r="1523" spans="1:17" x14ac:dyDescent="0.25">
      <c r="A1523" t="s">
        <v>31</v>
      </c>
      <c r="B1523" t="s">
        <v>40</v>
      </c>
      <c r="C1523" t="str">
        <f>"556-3-CH-CO-44"</f>
        <v>556-3-CH-CO-44</v>
      </c>
      <c r="D1523" t="s">
        <v>26</v>
      </c>
      <c r="F1523" t="s">
        <v>23</v>
      </c>
      <c r="G1523" t="s">
        <v>41</v>
      </c>
      <c r="H1523">
        <v>44</v>
      </c>
      <c r="J1523" s="1">
        <v>70.13</v>
      </c>
      <c r="K1523" s="1">
        <v>0</v>
      </c>
      <c r="M1523" s="1">
        <v>0</v>
      </c>
      <c r="N1523" s="1">
        <v>14.37</v>
      </c>
      <c r="O1523" s="1">
        <v>0</v>
      </c>
      <c r="Q1523" s="2">
        <v>84.5</v>
      </c>
    </row>
    <row r="1524" spans="1:17" x14ac:dyDescent="0.25">
      <c r="A1524" t="s">
        <v>31</v>
      </c>
      <c r="B1524" t="s">
        <v>40</v>
      </c>
      <c r="C1524" t="str">
        <f>"556-3-CH-CO-46"</f>
        <v>556-3-CH-CO-46</v>
      </c>
      <c r="D1524" t="s">
        <v>26</v>
      </c>
      <c r="F1524" t="s">
        <v>23</v>
      </c>
      <c r="G1524" t="s">
        <v>41</v>
      </c>
      <c r="H1524">
        <v>46</v>
      </c>
      <c r="J1524" s="1">
        <v>70.13</v>
      </c>
      <c r="K1524" s="1">
        <v>0</v>
      </c>
      <c r="M1524" s="1">
        <v>0</v>
      </c>
      <c r="N1524" s="1">
        <v>14.37</v>
      </c>
      <c r="O1524" s="1">
        <v>2</v>
      </c>
      <c r="Q1524" s="2">
        <v>86.5</v>
      </c>
    </row>
    <row r="1525" spans="1:17" x14ac:dyDescent="0.25">
      <c r="A1525" t="s">
        <v>31</v>
      </c>
      <c r="B1525" t="s">
        <v>40</v>
      </c>
      <c r="C1525" t="str">
        <f>"556-3-CH-CO-48"</f>
        <v>556-3-CH-CO-48</v>
      </c>
      <c r="D1525" t="s">
        <v>26</v>
      </c>
      <c r="F1525" t="s">
        <v>23</v>
      </c>
      <c r="G1525" t="s">
        <v>41</v>
      </c>
      <c r="H1525">
        <v>48</v>
      </c>
      <c r="J1525" s="1">
        <v>70.13</v>
      </c>
      <c r="K1525" s="1">
        <v>0</v>
      </c>
      <c r="M1525" s="1">
        <v>0</v>
      </c>
      <c r="N1525" s="1">
        <v>14.37</v>
      </c>
      <c r="O1525" s="1">
        <v>4</v>
      </c>
      <c r="Q1525" s="2">
        <v>88.5</v>
      </c>
    </row>
    <row r="1526" spans="1:17" x14ac:dyDescent="0.25">
      <c r="A1526" t="s">
        <v>31</v>
      </c>
      <c r="B1526" t="s">
        <v>40</v>
      </c>
      <c r="C1526" t="str">
        <f>"556-3-CH-CO-50"</f>
        <v>556-3-CH-CO-50</v>
      </c>
      <c r="D1526" t="s">
        <v>26</v>
      </c>
      <c r="F1526" t="s">
        <v>23</v>
      </c>
      <c r="G1526" t="s">
        <v>41</v>
      </c>
      <c r="H1526">
        <v>50</v>
      </c>
      <c r="J1526" s="1">
        <v>70.13</v>
      </c>
      <c r="K1526" s="1">
        <v>0</v>
      </c>
      <c r="M1526" s="1">
        <v>0</v>
      </c>
      <c r="N1526" s="1">
        <v>14.37</v>
      </c>
      <c r="O1526" s="1">
        <v>6</v>
      </c>
      <c r="Q1526" s="2">
        <v>90.5</v>
      </c>
    </row>
    <row r="1527" spans="1:17" x14ac:dyDescent="0.25">
      <c r="A1527" t="s">
        <v>31</v>
      </c>
      <c r="B1527" t="s">
        <v>40</v>
      </c>
      <c r="C1527" t="str">
        <f>"556-3-CH-CO-52"</f>
        <v>556-3-CH-CO-52</v>
      </c>
      <c r="D1527" t="s">
        <v>26</v>
      </c>
      <c r="F1527" t="s">
        <v>23</v>
      </c>
      <c r="G1527" t="s">
        <v>41</v>
      </c>
      <c r="H1527">
        <v>52</v>
      </c>
      <c r="J1527" s="1">
        <v>70.13</v>
      </c>
      <c r="K1527" s="1">
        <v>0</v>
      </c>
      <c r="M1527" s="1">
        <v>0</v>
      </c>
      <c r="N1527" s="1">
        <v>14.37</v>
      </c>
      <c r="O1527" s="1">
        <v>8</v>
      </c>
      <c r="Q1527" s="2">
        <v>92.5</v>
      </c>
    </row>
    <row r="1528" spans="1:17" x14ac:dyDescent="0.25">
      <c r="A1528" t="s">
        <v>31</v>
      </c>
      <c r="B1528" t="s">
        <v>40</v>
      </c>
      <c r="C1528" t="str">
        <f>"556-3-CH-CO-54"</f>
        <v>556-3-CH-CO-54</v>
      </c>
      <c r="D1528" t="s">
        <v>26</v>
      </c>
      <c r="F1528" t="s">
        <v>23</v>
      </c>
      <c r="G1528" t="s">
        <v>41</v>
      </c>
      <c r="H1528">
        <v>54</v>
      </c>
      <c r="J1528" s="1">
        <v>70.13</v>
      </c>
      <c r="K1528" s="1">
        <v>0</v>
      </c>
      <c r="M1528" s="1">
        <v>0</v>
      </c>
      <c r="N1528" s="1">
        <v>14.37</v>
      </c>
      <c r="O1528" s="1">
        <v>10</v>
      </c>
      <c r="Q1528" s="2">
        <v>94.5</v>
      </c>
    </row>
    <row r="1529" spans="1:17" x14ac:dyDescent="0.25">
      <c r="A1529" t="s">
        <v>31</v>
      </c>
      <c r="B1529" t="s">
        <v>40</v>
      </c>
      <c r="C1529" t="str">
        <f>"556-3-CH-CO-56"</f>
        <v>556-3-CH-CO-56</v>
      </c>
      <c r="D1529" t="s">
        <v>26</v>
      </c>
      <c r="F1529" t="s">
        <v>23</v>
      </c>
      <c r="G1529" t="s">
        <v>41</v>
      </c>
      <c r="H1529">
        <v>56</v>
      </c>
      <c r="J1529" s="1">
        <v>70.13</v>
      </c>
      <c r="K1529" s="1">
        <v>0</v>
      </c>
      <c r="M1529" s="1">
        <v>0</v>
      </c>
      <c r="N1529" s="1">
        <v>14.37</v>
      </c>
      <c r="O1529" s="1">
        <v>12</v>
      </c>
      <c r="Q1529" s="2">
        <v>96.5</v>
      </c>
    </row>
    <row r="1530" spans="1:17" x14ac:dyDescent="0.25">
      <c r="A1530" t="s">
        <v>31</v>
      </c>
      <c r="B1530" t="s">
        <v>40</v>
      </c>
      <c r="C1530" t="str">
        <f>"556-3-CH-CO-58"</f>
        <v>556-3-CH-CO-58</v>
      </c>
      <c r="D1530" t="s">
        <v>26</v>
      </c>
      <c r="F1530" t="s">
        <v>23</v>
      </c>
      <c r="G1530" t="s">
        <v>41</v>
      </c>
      <c r="H1530">
        <v>58</v>
      </c>
      <c r="J1530" s="1">
        <v>70.13</v>
      </c>
      <c r="K1530" s="1">
        <v>0</v>
      </c>
      <c r="M1530" s="1">
        <v>0</v>
      </c>
      <c r="N1530" s="1">
        <v>14.37</v>
      </c>
      <c r="O1530" s="1">
        <v>14</v>
      </c>
      <c r="Q1530" s="2">
        <v>98.5</v>
      </c>
    </row>
    <row r="1531" spans="1:17" x14ac:dyDescent="0.25">
      <c r="A1531" t="s">
        <v>31</v>
      </c>
      <c r="B1531" t="s">
        <v>40</v>
      </c>
      <c r="C1531" t="str">
        <f>"556-3-CH-CO-60"</f>
        <v>556-3-CH-CO-60</v>
      </c>
      <c r="D1531" t="s">
        <v>26</v>
      </c>
      <c r="F1531" t="s">
        <v>23</v>
      </c>
      <c r="G1531" t="s">
        <v>41</v>
      </c>
      <c r="H1531">
        <v>60</v>
      </c>
      <c r="J1531" s="1">
        <v>70.13</v>
      </c>
      <c r="K1531" s="1">
        <v>0</v>
      </c>
      <c r="M1531" s="1">
        <v>0</v>
      </c>
      <c r="N1531" s="1">
        <v>14.37</v>
      </c>
      <c r="O1531" s="1">
        <v>16</v>
      </c>
      <c r="Q1531" s="2">
        <v>100.5</v>
      </c>
    </row>
    <row r="1532" spans="1:17" x14ac:dyDescent="0.25">
      <c r="A1532" t="s">
        <v>31</v>
      </c>
      <c r="B1532" t="s">
        <v>40</v>
      </c>
      <c r="C1532" t="str">
        <f>"556-3-CH-CO-62"</f>
        <v>556-3-CH-CO-62</v>
      </c>
      <c r="D1532" t="s">
        <v>26</v>
      </c>
      <c r="F1532" t="s">
        <v>23</v>
      </c>
      <c r="G1532" t="s">
        <v>41</v>
      </c>
      <c r="H1532">
        <v>62</v>
      </c>
      <c r="J1532" s="1">
        <v>70.13</v>
      </c>
      <c r="K1532" s="1">
        <v>0</v>
      </c>
      <c r="M1532" s="1">
        <v>0</v>
      </c>
      <c r="N1532" s="1">
        <v>14.37</v>
      </c>
      <c r="O1532" s="1">
        <v>18</v>
      </c>
      <c r="Q1532" s="2">
        <v>102.5</v>
      </c>
    </row>
    <row r="1533" spans="1:17" x14ac:dyDescent="0.25">
      <c r="A1533" t="s">
        <v>31</v>
      </c>
      <c r="B1533" t="s">
        <v>40</v>
      </c>
      <c r="C1533" t="str">
        <f>"556-3-CH-CO-64"</f>
        <v>556-3-CH-CO-64</v>
      </c>
      <c r="D1533" t="s">
        <v>26</v>
      </c>
      <c r="F1533" t="s">
        <v>23</v>
      </c>
      <c r="G1533" t="s">
        <v>41</v>
      </c>
      <c r="H1533">
        <v>64</v>
      </c>
      <c r="J1533" s="1">
        <v>70.13</v>
      </c>
      <c r="K1533" s="1">
        <v>0</v>
      </c>
      <c r="M1533" s="1">
        <v>0</v>
      </c>
      <c r="N1533" s="1">
        <v>14.37</v>
      </c>
      <c r="O1533" s="1">
        <v>20</v>
      </c>
      <c r="Q1533" s="2">
        <v>104.5</v>
      </c>
    </row>
    <row r="1534" spans="1:17" x14ac:dyDescent="0.25">
      <c r="A1534" t="s">
        <v>31</v>
      </c>
      <c r="B1534" t="s">
        <v>40</v>
      </c>
      <c r="C1534" t="str">
        <f>"556-3-CH-CO-66"</f>
        <v>556-3-CH-CO-66</v>
      </c>
      <c r="D1534" t="s">
        <v>26</v>
      </c>
      <c r="F1534" t="s">
        <v>23</v>
      </c>
      <c r="G1534" t="s">
        <v>41</v>
      </c>
      <c r="H1534">
        <v>66</v>
      </c>
      <c r="J1534" s="1">
        <v>70.13</v>
      </c>
      <c r="K1534" s="1">
        <v>0</v>
      </c>
      <c r="M1534" s="1">
        <v>0</v>
      </c>
      <c r="N1534" s="1">
        <v>14.37</v>
      </c>
      <c r="O1534" s="1">
        <v>22</v>
      </c>
      <c r="Q1534" s="2">
        <v>106.5</v>
      </c>
    </row>
    <row r="1535" spans="1:17" x14ac:dyDescent="0.25">
      <c r="A1535" t="s">
        <v>31</v>
      </c>
      <c r="B1535" t="s">
        <v>40</v>
      </c>
      <c r="C1535" t="str">
        <f>"556-3-CH-CO-68"</f>
        <v>556-3-CH-CO-68</v>
      </c>
      <c r="D1535" t="s">
        <v>26</v>
      </c>
      <c r="F1535" t="s">
        <v>23</v>
      </c>
      <c r="G1535" t="s">
        <v>41</v>
      </c>
      <c r="H1535">
        <v>68</v>
      </c>
      <c r="J1535" s="1">
        <v>70.13</v>
      </c>
      <c r="K1535" s="1">
        <v>0</v>
      </c>
      <c r="M1535" s="1">
        <v>0</v>
      </c>
      <c r="N1535" s="1">
        <v>14.37</v>
      </c>
      <c r="O1535" s="1">
        <v>24</v>
      </c>
      <c r="Q1535" s="2">
        <v>108.5</v>
      </c>
    </row>
    <row r="1536" spans="1:17" x14ac:dyDescent="0.25">
      <c r="A1536" t="s">
        <v>31</v>
      </c>
      <c r="B1536" t="s">
        <v>40</v>
      </c>
      <c r="C1536" t="str">
        <f>"556-3-CH-CO-70"</f>
        <v>556-3-CH-CO-70</v>
      </c>
      <c r="D1536" t="s">
        <v>26</v>
      </c>
      <c r="F1536" t="s">
        <v>23</v>
      </c>
      <c r="G1536" t="s">
        <v>41</v>
      </c>
      <c r="H1536">
        <v>70</v>
      </c>
      <c r="J1536" s="1">
        <v>70.13</v>
      </c>
      <c r="K1536" s="1">
        <v>0</v>
      </c>
      <c r="M1536" s="1">
        <v>0</v>
      </c>
      <c r="N1536" s="1">
        <v>14.37</v>
      </c>
      <c r="O1536" s="1">
        <v>26</v>
      </c>
      <c r="Q1536" s="2">
        <v>110.5</v>
      </c>
    </row>
    <row r="1537" spans="1:17" x14ac:dyDescent="0.25">
      <c r="A1537" t="s">
        <v>31</v>
      </c>
      <c r="B1537" t="s">
        <v>40</v>
      </c>
      <c r="C1537" t="str">
        <f>"556-3-CH-CO-72"</f>
        <v>556-3-CH-CO-72</v>
      </c>
      <c r="D1537" t="s">
        <v>26</v>
      </c>
      <c r="F1537" t="s">
        <v>23</v>
      </c>
      <c r="G1537" t="s">
        <v>41</v>
      </c>
      <c r="H1537">
        <v>72</v>
      </c>
      <c r="J1537" s="1">
        <v>70.13</v>
      </c>
      <c r="K1537" s="1">
        <v>0</v>
      </c>
      <c r="M1537" s="1">
        <v>0</v>
      </c>
      <c r="N1537" s="1">
        <v>14.37</v>
      </c>
      <c r="O1537" s="1">
        <v>28</v>
      </c>
      <c r="Q1537" s="2">
        <v>112.5</v>
      </c>
    </row>
    <row r="1538" spans="1:17" x14ac:dyDescent="0.25">
      <c r="A1538" t="s">
        <v>31</v>
      </c>
      <c r="B1538" t="s">
        <v>40</v>
      </c>
      <c r="C1538" t="str">
        <f>"556-3-CH-CO-74"</f>
        <v>556-3-CH-CO-74</v>
      </c>
      <c r="D1538" t="s">
        <v>26</v>
      </c>
      <c r="F1538" t="s">
        <v>23</v>
      </c>
      <c r="G1538" t="s">
        <v>41</v>
      </c>
      <c r="H1538">
        <v>74</v>
      </c>
      <c r="J1538" s="1">
        <v>70.13</v>
      </c>
      <c r="K1538" s="1">
        <v>0</v>
      </c>
      <c r="M1538" s="1">
        <v>0</v>
      </c>
      <c r="N1538" s="1">
        <v>14.37</v>
      </c>
      <c r="O1538" s="1">
        <v>30</v>
      </c>
      <c r="Q1538" s="2">
        <v>114.5</v>
      </c>
    </row>
    <row r="1539" spans="1:17" x14ac:dyDescent="0.25">
      <c r="A1539" t="s">
        <v>31</v>
      </c>
      <c r="B1539" t="s">
        <v>40</v>
      </c>
      <c r="C1539" t="str">
        <f>"556-3-CH-CO-76"</f>
        <v>556-3-CH-CO-76</v>
      </c>
      <c r="D1539" t="s">
        <v>26</v>
      </c>
      <c r="F1539" t="s">
        <v>23</v>
      </c>
      <c r="G1539" t="s">
        <v>41</v>
      </c>
      <c r="H1539">
        <v>76</v>
      </c>
      <c r="J1539" s="1">
        <v>70.13</v>
      </c>
      <c r="K1539" s="1">
        <v>0</v>
      </c>
      <c r="M1539" s="1">
        <v>0</v>
      </c>
      <c r="N1539" s="1">
        <v>14.37</v>
      </c>
      <c r="O1539" s="1">
        <v>32</v>
      </c>
      <c r="Q1539" s="2">
        <v>116.5</v>
      </c>
    </row>
    <row r="1540" spans="1:17" x14ac:dyDescent="0.25">
      <c r="A1540" t="s">
        <v>31</v>
      </c>
      <c r="B1540" t="s">
        <v>40</v>
      </c>
      <c r="C1540" t="str">
        <f>"556-3-CH-CO-78"</f>
        <v>556-3-CH-CO-78</v>
      </c>
      <c r="D1540" t="s">
        <v>26</v>
      </c>
      <c r="F1540" t="s">
        <v>23</v>
      </c>
      <c r="G1540" t="s">
        <v>41</v>
      </c>
      <c r="H1540">
        <v>78</v>
      </c>
      <c r="J1540" s="1">
        <v>70.13</v>
      </c>
      <c r="K1540" s="1">
        <v>0</v>
      </c>
      <c r="M1540" s="1">
        <v>0</v>
      </c>
      <c r="N1540" s="1">
        <v>14.37</v>
      </c>
      <c r="O1540" s="1">
        <v>34</v>
      </c>
      <c r="Q1540" s="2">
        <v>118.5</v>
      </c>
    </row>
    <row r="1541" spans="1:17" x14ac:dyDescent="0.25">
      <c r="A1541" t="s">
        <v>31</v>
      </c>
      <c r="B1541" t="s">
        <v>40</v>
      </c>
      <c r="C1541" t="str">
        <f>"556-3-CH-CO-80"</f>
        <v>556-3-CH-CO-80</v>
      </c>
      <c r="D1541" t="s">
        <v>26</v>
      </c>
      <c r="F1541" t="s">
        <v>23</v>
      </c>
      <c r="G1541" t="s">
        <v>41</v>
      </c>
      <c r="H1541">
        <v>80</v>
      </c>
      <c r="J1541" s="1">
        <v>70.13</v>
      </c>
      <c r="K1541" s="1">
        <v>0</v>
      </c>
      <c r="M1541" s="1">
        <v>0</v>
      </c>
      <c r="N1541" s="1">
        <v>14.37</v>
      </c>
      <c r="O1541" s="1">
        <v>36</v>
      </c>
      <c r="Q1541" s="2">
        <v>120.5</v>
      </c>
    </row>
    <row r="1542" spans="1:17" x14ac:dyDescent="0.25">
      <c r="A1542" t="s">
        <v>31</v>
      </c>
      <c r="B1542" t="s">
        <v>40</v>
      </c>
      <c r="C1542" t="str">
        <f>"556-3-CH-SU-22"</f>
        <v>556-3-CH-SU-22</v>
      </c>
      <c r="D1542" t="s">
        <v>26</v>
      </c>
      <c r="F1542" t="s">
        <v>23</v>
      </c>
      <c r="G1542" t="s">
        <v>42</v>
      </c>
      <c r="H1542">
        <v>22</v>
      </c>
      <c r="J1542" s="1">
        <v>70.13</v>
      </c>
      <c r="K1542" s="1">
        <v>0</v>
      </c>
      <c r="M1542" s="1">
        <v>0</v>
      </c>
      <c r="N1542" s="1">
        <v>0</v>
      </c>
      <c r="O1542" s="1">
        <v>0</v>
      </c>
      <c r="Q1542" s="2">
        <v>70.13</v>
      </c>
    </row>
    <row r="1543" spans="1:17" x14ac:dyDescent="0.25">
      <c r="A1543" t="s">
        <v>31</v>
      </c>
      <c r="B1543" t="s">
        <v>40</v>
      </c>
      <c r="C1543" t="str">
        <f>"556-3-CH-SU-24"</f>
        <v>556-3-CH-SU-24</v>
      </c>
      <c r="D1543" t="s">
        <v>26</v>
      </c>
      <c r="F1543" t="s">
        <v>23</v>
      </c>
      <c r="G1543" t="s">
        <v>42</v>
      </c>
      <c r="H1543">
        <v>24</v>
      </c>
      <c r="J1543" s="1">
        <v>70.13</v>
      </c>
      <c r="K1543" s="1">
        <v>0</v>
      </c>
      <c r="M1543" s="1">
        <v>0</v>
      </c>
      <c r="N1543" s="1">
        <v>0</v>
      </c>
      <c r="O1543" s="1">
        <v>0</v>
      </c>
      <c r="Q1543" s="2">
        <v>70.13</v>
      </c>
    </row>
    <row r="1544" spans="1:17" x14ac:dyDescent="0.25">
      <c r="A1544" t="s">
        <v>31</v>
      </c>
      <c r="B1544" t="s">
        <v>40</v>
      </c>
      <c r="C1544" t="str">
        <f>"556-3-CH-SU-26"</f>
        <v>556-3-CH-SU-26</v>
      </c>
      <c r="D1544" t="s">
        <v>26</v>
      </c>
      <c r="F1544" t="s">
        <v>23</v>
      </c>
      <c r="G1544" t="s">
        <v>42</v>
      </c>
      <c r="H1544">
        <v>26</v>
      </c>
      <c r="J1544" s="1">
        <v>70.13</v>
      </c>
      <c r="K1544" s="1">
        <v>0</v>
      </c>
      <c r="M1544" s="1">
        <v>0</v>
      </c>
      <c r="N1544" s="1">
        <v>0</v>
      </c>
      <c r="O1544" s="1">
        <v>0</v>
      </c>
      <c r="Q1544" s="2">
        <v>70.13</v>
      </c>
    </row>
    <row r="1545" spans="1:17" x14ac:dyDescent="0.25">
      <c r="A1545" t="s">
        <v>31</v>
      </c>
      <c r="B1545" t="s">
        <v>40</v>
      </c>
      <c r="C1545" t="str">
        <f>"556-3-CH-SU-28"</f>
        <v>556-3-CH-SU-28</v>
      </c>
      <c r="D1545" t="s">
        <v>26</v>
      </c>
      <c r="F1545" t="s">
        <v>23</v>
      </c>
      <c r="G1545" t="s">
        <v>42</v>
      </c>
      <c r="H1545">
        <v>28</v>
      </c>
      <c r="J1545" s="1">
        <v>70.13</v>
      </c>
      <c r="K1545" s="1">
        <v>0</v>
      </c>
      <c r="M1545" s="1">
        <v>0</v>
      </c>
      <c r="N1545" s="1">
        <v>0</v>
      </c>
      <c r="O1545" s="1">
        <v>0</v>
      </c>
      <c r="Q1545" s="2">
        <v>70.13</v>
      </c>
    </row>
    <row r="1546" spans="1:17" x14ac:dyDescent="0.25">
      <c r="A1546" t="s">
        <v>31</v>
      </c>
      <c r="B1546" t="s">
        <v>40</v>
      </c>
      <c r="C1546" t="str">
        <f>"556-3-CH-SU-30"</f>
        <v>556-3-CH-SU-30</v>
      </c>
      <c r="D1546" t="s">
        <v>26</v>
      </c>
      <c r="F1546" t="s">
        <v>23</v>
      </c>
      <c r="G1546" t="s">
        <v>42</v>
      </c>
      <c r="H1546">
        <v>30</v>
      </c>
      <c r="J1546" s="1">
        <v>70.13</v>
      </c>
      <c r="K1546" s="1">
        <v>0</v>
      </c>
      <c r="M1546" s="1">
        <v>0</v>
      </c>
      <c r="N1546" s="1">
        <v>0</v>
      </c>
      <c r="O1546" s="1">
        <v>0</v>
      </c>
      <c r="Q1546" s="2">
        <v>70.13</v>
      </c>
    </row>
    <row r="1547" spans="1:17" x14ac:dyDescent="0.25">
      <c r="A1547" t="s">
        <v>31</v>
      </c>
      <c r="B1547" t="s">
        <v>40</v>
      </c>
      <c r="C1547" t="str">
        <f>"556-3-CH-SU-32"</f>
        <v>556-3-CH-SU-32</v>
      </c>
      <c r="D1547" t="s">
        <v>26</v>
      </c>
      <c r="F1547" t="s">
        <v>23</v>
      </c>
      <c r="G1547" t="s">
        <v>42</v>
      </c>
      <c r="H1547">
        <v>32</v>
      </c>
      <c r="J1547" s="1">
        <v>70.13</v>
      </c>
      <c r="K1547" s="1">
        <v>0</v>
      </c>
      <c r="M1547" s="1">
        <v>0</v>
      </c>
      <c r="N1547" s="1">
        <v>0</v>
      </c>
      <c r="O1547" s="1">
        <v>0</v>
      </c>
      <c r="Q1547" s="2">
        <v>70.13</v>
      </c>
    </row>
    <row r="1548" spans="1:17" x14ac:dyDescent="0.25">
      <c r="A1548" t="s">
        <v>31</v>
      </c>
      <c r="B1548" t="s">
        <v>40</v>
      </c>
      <c r="C1548" t="str">
        <f>"556-3-CH-SU-34"</f>
        <v>556-3-CH-SU-34</v>
      </c>
      <c r="D1548" t="s">
        <v>26</v>
      </c>
      <c r="F1548" t="s">
        <v>23</v>
      </c>
      <c r="G1548" t="s">
        <v>42</v>
      </c>
      <c r="H1548">
        <v>34</v>
      </c>
      <c r="J1548" s="1">
        <v>70.13</v>
      </c>
      <c r="K1548" s="1">
        <v>0</v>
      </c>
      <c r="M1548" s="1">
        <v>0</v>
      </c>
      <c r="N1548" s="1">
        <v>0</v>
      </c>
      <c r="O1548" s="1">
        <v>0</v>
      </c>
      <c r="Q1548" s="2">
        <v>70.13</v>
      </c>
    </row>
    <row r="1549" spans="1:17" x14ac:dyDescent="0.25">
      <c r="A1549" t="s">
        <v>31</v>
      </c>
      <c r="B1549" t="s">
        <v>40</v>
      </c>
      <c r="C1549" t="str">
        <f>"556-3-CH-SU-36"</f>
        <v>556-3-CH-SU-36</v>
      </c>
      <c r="D1549" t="s">
        <v>26</v>
      </c>
      <c r="F1549" t="s">
        <v>23</v>
      </c>
      <c r="G1549" t="s">
        <v>42</v>
      </c>
      <c r="H1549">
        <v>36</v>
      </c>
      <c r="J1549" s="1">
        <v>70.13</v>
      </c>
      <c r="K1549" s="1">
        <v>0</v>
      </c>
      <c r="M1549" s="1">
        <v>0</v>
      </c>
      <c r="N1549" s="1">
        <v>0</v>
      </c>
      <c r="O1549" s="1">
        <v>0</v>
      </c>
      <c r="Q1549" s="2">
        <v>70.13</v>
      </c>
    </row>
    <row r="1550" spans="1:17" x14ac:dyDescent="0.25">
      <c r="A1550" t="s">
        <v>31</v>
      </c>
      <c r="B1550" t="s">
        <v>40</v>
      </c>
      <c r="C1550" t="str">
        <f>"556-3-CH-SU-38"</f>
        <v>556-3-CH-SU-38</v>
      </c>
      <c r="D1550" t="s">
        <v>26</v>
      </c>
      <c r="F1550" t="s">
        <v>23</v>
      </c>
      <c r="G1550" t="s">
        <v>42</v>
      </c>
      <c r="H1550">
        <v>38</v>
      </c>
      <c r="J1550" s="1">
        <v>70.13</v>
      </c>
      <c r="K1550" s="1">
        <v>0</v>
      </c>
      <c r="M1550" s="1">
        <v>0</v>
      </c>
      <c r="N1550" s="1">
        <v>0</v>
      </c>
      <c r="O1550" s="1">
        <v>0</v>
      </c>
      <c r="Q1550" s="2">
        <v>70.13</v>
      </c>
    </row>
    <row r="1551" spans="1:17" x14ac:dyDescent="0.25">
      <c r="A1551" t="s">
        <v>31</v>
      </c>
      <c r="B1551" t="s">
        <v>40</v>
      </c>
      <c r="C1551" t="str">
        <f>"556-3-CH-SU-40"</f>
        <v>556-3-CH-SU-40</v>
      </c>
      <c r="D1551" t="s">
        <v>26</v>
      </c>
      <c r="F1551" t="s">
        <v>23</v>
      </c>
      <c r="G1551" t="s">
        <v>42</v>
      </c>
      <c r="H1551">
        <v>40</v>
      </c>
      <c r="J1551" s="1">
        <v>70.13</v>
      </c>
      <c r="K1551" s="1">
        <v>0</v>
      </c>
      <c r="M1551" s="1">
        <v>0</v>
      </c>
      <c r="N1551" s="1">
        <v>0</v>
      </c>
      <c r="O1551" s="1">
        <v>0</v>
      </c>
      <c r="Q1551" s="2">
        <v>70.13</v>
      </c>
    </row>
    <row r="1552" spans="1:17" x14ac:dyDescent="0.25">
      <c r="A1552" t="s">
        <v>31</v>
      </c>
      <c r="B1552" t="s">
        <v>40</v>
      </c>
      <c r="C1552" t="str">
        <f>"556-3-CH-SU-42"</f>
        <v>556-3-CH-SU-42</v>
      </c>
      <c r="D1552" t="s">
        <v>26</v>
      </c>
      <c r="F1552" t="s">
        <v>23</v>
      </c>
      <c r="G1552" t="s">
        <v>42</v>
      </c>
      <c r="H1552">
        <v>42</v>
      </c>
      <c r="J1552" s="1">
        <v>70.13</v>
      </c>
      <c r="K1552" s="1">
        <v>0</v>
      </c>
      <c r="M1552" s="1">
        <v>0</v>
      </c>
      <c r="N1552" s="1">
        <v>0</v>
      </c>
      <c r="O1552" s="1">
        <v>0</v>
      </c>
      <c r="Q1552" s="2">
        <v>70.13</v>
      </c>
    </row>
    <row r="1553" spans="1:17" x14ac:dyDescent="0.25">
      <c r="A1553" t="s">
        <v>31</v>
      </c>
      <c r="B1553" t="s">
        <v>40</v>
      </c>
      <c r="C1553" t="str">
        <f>"556-3-CH-SU-44"</f>
        <v>556-3-CH-SU-44</v>
      </c>
      <c r="D1553" t="s">
        <v>26</v>
      </c>
      <c r="F1553" t="s">
        <v>23</v>
      </c>
      <c r="G1553" t="s">
        <v>42</v>
      </c>
      <c r="H1553">
        <v>44</v>
      </c>
      <c r="J1553" s="1">
        <v>70.13</v>
      </c>
      <c r="K1553" s="1">
        <v>0</v>
      </c>
      <c r="M1553" s="1">
        <v>0</v>
      </c>
      <c r="N1553" s="1">
        <v>0</v>
      </c>
      <c r="O1553" s="1">
        <v>0</v>
      </c>
      <c r="Q1553" s="2">
        <v>70.13</v>
      </c>
    </row>
    <row r="1554" spans="1:17" x14ac:dyDescent="0.25">
      <c r="A1554" t="s">
        <v>31</v>
      </c>
      <c r="B1554" t="s">
        <v>40</v>
      </c>
      <c r="C1554" t="str">
        <f>"556-3-CH-SU-46"</f>
        <v>556-3-CH-SU-46</v>
      </c>
      <c r="D1554" t="s">
        <v>26</v>
      </c>
      <c r="F1554" t="s">
        <v>23</v>
      </c>
      <c r="G1554" t="s">
        <v>42</v>
      </c>
      <c r="H1554">
        <v>46</v>
      </c>
      <c r="J1554" s="1">
        <v>70.13</v>
      </c>
      <c r="K1554" s="1">
        <v>0</v>
      </c>
      <c r="M1554" s="1">
        <v>0</v>
      </c>
      <c r="N1554" s="1">
        <v>0</v>
      </c>
      <c r="O1554" s="1">
        <v>5.0999999999999996</v>
      </c>
      <c r="Q1554" s="2">
        <v>75.23</v>
      </c>
    </row>
    <row r="1555" spans="1:17" x14ac:dyDescent="0.25">
      <c r="A1555" t="s">
        <v>31</v>
      </c>
      <c r="B1555" t="s">
        <v>40</v>
      </c>
      <c r="C1555" t="str">
        <f>"556-3-CH-SU-48"</f>
        <v>556-3-CH-SU-48</v>
      </c>
      <c r="D1555" t="s">
        <v>26</v>
      </c>
      <c r="F1555" t="s">
        <v>23</v>
      </c>
      <c r="G1555" t="s">
        <v>42</v>
      </c>
      <c r="H1555">
        <v>48</v>
      </c>
      <c r="J1555" s="1">
        <v>70.13</v>
      </c>
      <c r="K1555" s="1">
        <v>0</v>
      </c>
      <c r="M1555" s="1">
        <v>0</v>
      </c>
      <c r="N1555" s="1">
        <v>0</v>
      </c>
      <c r="O1555" s="1">
        <v>6.8</v>
      </c>
      <c r="Q1555" s="2">
        <v>76.930000000000007</v>
      </c>
    </row>
    <row r="1556" spans="1:17" x14ac:dyDescent="0.25">
      <c r="A1556" t="s">
        <v>31</v>
      </c>
      <c r="B1556" t="s">
        <v>40</v>
      </c>
      <c r="C1556" t="str">
        <f>"556-3-CH-SU-50"</f>
        <v>556-3-CH-SU-50</v>
      </c>
      <c r="D1556" t="s">
        <v>26</v>
      </c>
      <c r="F1556" t="s">
        <v>23</v>
      </c>
      <c r="G1556" t="s">
        <v>42</v>
      </c>
      <c r="H1556">
        <v>50</v>
      </c>
      <c r="J1556" s="1">
        <v>70.13</v>
      </c>
      <c r="K1556" s="1">
        <v>0</v>
      </c>
      <c r="M1556" s="1">
        <v>0</v>
      </c>
      <c r="N1556" s="1">
        <v>0</v>
      </c>
      <c r="O1556" s="1">
        <v>8.5</v>
      </c>
      <c r="Q1556" s="2">
        <v>78.63</v>
      </c>
    </row>
    <row r="1557" spans="1:17" x14ac:dyDescent="0.25">
      <c r="A1557" t="s">
        <v>31</v>
      </c>
      <c r="B1557" t="s">
        <v>40</v>
      </c>
      <c r="C1557" t="str">
        <f>"556-3-CH-SU-52"</f>
        <v>556-3-CH-SU-52</v>
      </c>
      <c r="D1557" t="s">
        <v>26</v>
      </c>
      <c r="F1557" t="s">
        <v>23</v>
      </c>
      <c r="G1557" t="s">
        <v>42</v>
      </c>
      <c r="H1557">
        <v>52</v>
      </c>
      <c r="J1557" s="1">
        <v>70.13</v>
      </c>
      <c r="K1557" s="1">
        <v>0</v>
      </c>
      <c r="M1557" s="1">
        <v>0</v>
      </c>
      <c r="N1557" s="1">
        <v>0</v>
      </c>
      <c r="O1557" s="1">
        <v>10.199999999999999</v>
      </c>
      <c r="Q1557" s="2">
        <v>80.33</v>
      </c>
    </row>
    <row r="1558" spans="1:17" x14ac:dyDescent="0.25">
      <c r="A1558" t="s">
        <v>31</v>
      </c>
      <c r="B1558" t="s">
        <v>40</v>
      </c>
      <c r="C1558" t="str">
        <f>"556-3-CH-SU-54"</f>
        <v>556-3-CH-SU-54</v>
      </c>
      <c r="D1558" t="s">
        <v>26</v>
      </c>
      <c r="F1558" t="s">
        <v>23</v>
      </c>
      <c r="G1558" t="s">
        <v>42</v>
      </c>
      <c r="H1558">
        <v>54</v>
      </c>
      <c r="J1558" s="1">
        <v>70.13</v>
      </c>
      <c r="K1558" s="1">
        <v>0</v>
      </c>
      <c r="M1558" s="1">
        <v>0</v>
      </c>
      <c r="N1558" s="1">
        <v>0</v>
      </c>
      <c r="O1558" s="1">
        <v>11.9</v>
      </c>
      <c r="Q1558" s="2">
        <v>82.03</v>
      </c>
    </row>
    <row r="1559" spans="1:17" x14ac:dyDescent="0.25">
      <c r="A1559" t="s">
        <v>31</v>
      </c>
      <c r="B1559" t="s">
        <v>40</v>
      </c>
      <c r="C1559" t="str">
        <f>"556-3-CH-SU-56"</f>
        <v>556-3-CH-SU-56</v>
      </c>
      <c r="D1559" t="s">
        <v>26</v>
      </c>
      <c r="F1559" t="s">
        <v>23</v>
      </c>
      <c r="G1559" t="s">
        <v>42</v>
      </c>
      <c r="H1559">
        <v>56</v>
      </c>
      <c r="J1559" s="1">
        <v>70.13</v>
      </c>
      <c r="K1559" s="1">
        <v>0</v>
      </c>
      <c r="M1559" s="1">
        <v>0</v>
      </c>
      <c r="N1559" s="1">
        <v>0</v>
      </c>
      <c r="O1559" s="1">
        <v>13.6</v>
      </c>
      <c r="Q1559" s="2">
        <v>83.73</v>
      </c>
    </row>
    <row r="1560" spans="1:17" x14ac:dyDescent="0.25">
      <c r="A1560" t="s">
        <v>31</v>
      </c>
      <c r="B1560" t="s">
        <v>40</v>
      </c>
      <c r="C1560" t="str">
        <f>"556-3-CH-SU-58"</f>
        <v>556-3-CH-SU-58</v>
      </c>
      <c r="D1560" t="s">
        <v>26</v>
      </c>
      <c r="F1560" t="s">
        <v>23</v>
      </c>
      <c r="G1560" t="s">
        <v>42</v>
      </c>
      <c r="H1560">
        <v>58</v>
      </c>
      <c r="J1560" s="1">
        <v>70.13</v>
      </c>
      <c r="K1560" s="1">
        <v>0</v>
      </c>
      <c r="M1560" s="1">
        <v>0</v>
      </c>
      <c r="N1560" s="1">
        <v>0</v>
      </c>
      <c r="O1560" s="1">
        <v>15.3</v>
      </c>
      <c r="Q1560" s="2">
        <v>85.43</v>
      </c>
    </row>
    <row r="1561" spans="1:17" x14ac:dyDescent="0.25">
      <c r="A1561" t="s">
        <v>31</v>
      </c>
      <c r="B1561" t="s">
        <v>40</v>
      </c>
      <c r="C1561" t="str">
        <f>"556-3-CH-SU-60"</f>
        <v>556-3-CH-SU-60</v>
      </c>
      <c r="D1561" t="s">
        <v>26</v>
      </c>
      <c r="F1561" t="s">
        <v>23</v>
      </c>
      <c r="G1561" t="s">
        <v>42</v>
      </c>
      <c r="H1561">
        <v>60</v>
      </c>
      <c r="J1561" s="1">
        <v>70.13</v>
      </c>
      <c r="K1561" s="1">
        <v>0</v>
      </c>
      <c r="M1561" s="1">
        <v>0</v>
      </c>
      <c r="N1561" s="1">
        <v>0</v>
      </c>
      <c r="O1561" s="1">
        <v>17</v>
      </c>
      <c r="Q1561" s="2">
        <v>87.13</v>
      </c>
    </row>
    <row r="1562" spans="1:17" x14ac:dyDescent="0.25">
      <c r="A1562" t="s">
        <v>31</v>
      </c>
      <c r="B1562" t="s">
        <v>40</v>
      </c>
      <c r="C1562" t="str">
        <f>"556-3-CH-SU-62"</f>
        <v>556-3-CH-SU-62</v>
      </c>
      <c r="D1562" t="s">
        <v>26</v>
      </c>
      <c r="F1562" t="s">
        <v>23</v>
      </c>
      <c r="G1562" t="s">
        <v>42</v>
      </c>
      <c r="H1562">
        <v>62</v>
      </c>
      <c r="J1562" s="1">
        <v>70.13</v>
      </c>
      <c r="K1562" s="1">
        <v>0</v>
      </c>
      <c r="M1562" s="1">
        <v>0</v>
      </c>
      <c r="N1562" s="1">
        <v>0</v>
      </c>
      <c r="O1562" s="1">
        <v>18.7</v>
      </c>
      <c r="Q1562" s="2">
        <v>88.83</v>
      </c>
    </row>
    <row r="1563" spans="1:17" x14ac:dyDescent="0.25">
      <c r="A1563" t="s">
        <v>31</v>
      </c>
      <c r="B1563" t="s">
        <v>40</v>
      </c>
      <c r="C1563" t="str">
        <f>"556-3-CH-SU-64"</f>
        <v>556-3-CH-SU-64</v>
      </c>
      <c r="D1563" t="s">
        <v>26</v>
      </c>
      <c r="F1563" t="s">
        <v>23</v>
      </c>
      <c r="G1563" t="s">
        <v>42</v>
      </c>
      <c r="H1563">
        <v>64</v>
      </c>
      <c r="J1563" s="1">
        <v>70.13</v>
      </c>
      <c r="K1563" s="1">
        <v>0</v>
      </c>
      <c r="M1563" s="1">
        <v>0</v>
      </c>
      <c r="N1563" s="1">
        <v>0</v>
      </c>
      <c r="O1563" s="1">
        <v>18.7</v>
      </c>
      <c r="Q1563" s="2">
        <v>88.83</v>
      </c>
    </row>
    <row r="1564" spans="1:17" x14ac:dyDescent="0.25">
      <c r="A1564" t="s">
        <v>31</v>
      </c>
      <c r="B1564" t="s">
        <v>40</v>
      </c>
      <c r="C1564" t="str">
        <f>"556-3-CH-SU-66"</f>
        <v>556-3-CH-SU-66</v>
      </c>
      <c r="D1564" t="s">
        <v>26</v>
      </c>
      <c r="F1564" t="s">
        <v>23</v>
      </c>
      <c r="G1564" t="s">
        <v>42</v>
      </c>
      <c r="H1564">
        <v>66</v>
      </c>
      <c r="J1564" s="1">
        <v>70.13</v>
      </c>
      <c r="K1564" s="1">
        <v>0</v>
      </c>
      <c r="M1564" s="1">
        <v>0</v>
      </c>
      <c r="N1564" s="1">
        <v>0</v>
      </c>
      <c r="O1564" s="1">
        <v>18.7</v>
      </c>
      <c r="Q1564" s="2">
        <v>88.83</v>
      </c>
    </row>
    <row r="1565" spans="1:17" x14ac:dyDescent="0.25">
      <c r="A1565" t="s">
        <v>31</v>
      </c>
      <c r="B1565" t="s">
        <v>40</v>
      </c>
      <c r="C1565" t="str">
        <f>"556-3-CH-SU-68"</f>
        <v>556-3-CH-SU-68</v>
      </c>
      <c r="D1565" t="s">
        <v>26</v>
      </c>
      <c r="F1565" t="s">
        <v>23</v>
      </c>
      <c r="G1565" t="s">
        <v>42</v>
      </c>
      <c r="H1565">
        <v>68</v>
      </c>
      <c r="J1565" s="1">
        <v>70.13</v>
      </c>
      <c r="K1565" s="1">
        <v>0</v>
      </c>
      <c r="M1565" s="1">
        <v>0</v>
      </c>
      <c r="N1565" s="1">
        <v>0</v>
      </c>
      <c r="O1565" s="1">
        <v>20.399999999999999</v>
      </c>
      <c r="Q1565" s="2">
        <v>90.53</v>
      </c>
    </row>
    <row r="1566" spans="1:17" x14ac:dyDescent="0.25">
      <c r="A1566" t="s">
        <v>31</v>
      </c>
      <c r="B1566" t="s">
        <v>40</v>
      </c>
      <c r="C1566" t="str">
        <f>"556-3-CH-SU-70"</f>
        <v>556-3-CH-SU-70</v>
      </c>
      <c r="D1566" t="s">
        <v>26</v>
      </c>
      <c r="F1566" t="s">
        <v>23</v>
      </c>
      <c r="G1566" t="s">
        <v>42</v>
      </c>
      <c r="H1566">
        <v>70</v>
      </c>
      <c r="J1566" s="1">
        <v>70.13</v>
      </c>
      <c r="K1566" s="1">
        <v>0</v>
      </c>
      <c r="M1566" s="1">
        <v>0</v>
      </c>
      <c r="N1566" s="1">
        <v>0</v>
      </c>
      <c r="O1566" s="1">
        <v>22.1</v>
      </c>
      <c r="Q1566" s="2">
        <v>92.23</v>
      </c>
    </row>
    <row r="1567" spans="1:17" x14ac:dyDescent="0.25">
      <c r="A1567" t="s">
        <v>31</v>
      </c>
      <c r="B1567" t="s">
        <v>40</v>
      </c>
      <c r="C1567" t="str">
        <f>"556-3-CH-SU-72"</f>
        <v>556-3-CH-SU-72</v>
      </c>
      <c r="D1567" t="s">
        <v>26</v>
      </c>
      <c r="F1567" t="s">
        <v>23</v>
      </c>
      <c r="G1567" t="s">
        <v>42</v>
      </c>
      <c r="H1567">
        <v>72</v>
      </c>
      <c r="J1567" s="1">
        <v>70.13</v>
      </c>
      <c r="K1567" s="1">
        <v>0</v>
      </c>
      <c r="M1567" s="1">
        <v>0</v>
      </c>
      <c r="N1567" s="1">
        <v>0</v>
      </c>
      <c r="O1567" s="1">
        <v>23.8</v>
      </c>
      <c r="Q1567" s="2">
        <v>93.93</v>
      </c>
    </row>
    <row r="1568" spans="1:17" x14ac:dyDescent="0.25">
      <c r="A1568" t="s">
        <v>31</v>
      </c>
      <c r="B1568" t="s">
        <v>40</v>
      </c>
      <c r="C1568" t="str">
        <f>"556-3-CH-SU-74"</f>
        <v>556-3-CH-SU-74</v>
      </c>
      <c r="D1568" t="s">
        <v>26</v>
      </c>
      <c r="F1568" t="s">
        <v>23</v>
      </c>
      <c r="G1568" t="s">
        <v>42</v>
      </c>
      <c r="H1568">
        <v>74</v>
      </c>
      <c r="J1568" s="1">
        <v>70.13</v>
      </c>
      <c r="K1568" s="1">
        <v>0</v>
      </c>
      <c r="M1568" s="1">
        <v>0</v>
      </c>
      <c r="N1568" s="1">
        <v>0</v>
      </c>
      <c r="O1568" s="1">
        <v>25.5</v>
      </c>
      <c r="Q1568" s="2">
        <v>95.63</v>
      </c>
    </row>
    <row r="1569" spans="1:17" x14ac:dyDescent="0.25">
      <c r="A1569" t="s">
        <v>31</v>
      </c>
      <c r="B1569" t="s">
        <v>40</v>
      </c>
      <c r="C1569" t="str">
        <f>"556-3-CH-SU-76"</f>
        <v>556-3-CH-SU-76</v>
      </c>
      <c r="D1569" t="s">
        <v>26</v>
      </c>
      <c r="F1569" t="s">
        <v>23</v>
      </c>
      <c r="G1569" t="s">
        <v>42</v>
      </c>
      <c r="H1569">
        <v>76</v>
      </c>
      <c r="J1569" s="1">
        <v>70.13</v>
      </c>
      <c r="K1569" s="1">
        <v>0</v>
      </c>
      <c r="M1569" s="1">
        <v>0</v>
      </c>
      <c r="N1569" s="1">
        <v>0</v>
      </c>
      <c r="O1569" s="1">
        <v>27.2</v>
      </c>
      <c r="Q1569" s="2">
        <v>97.33</v>
      </c>
    </row>
    <row r="1570" spans="1:17" x14ac:dyDescent="0.25">
      <c r="A1570" t="s">
        <v>31</v>
      </c>
      <c r="B1570" t="s">
        <v>40</v>
      </c>
      <c r="C1570" t="str">
        <f>"556-3-CH-SU-78"</f>
        <v>556-3-CH-SU-78</v>
      </c>
      <c r="D1570" t="s">
        <v>26</v>
      </c>
      <c r="F1570" t="s">
        <v>23</v>
      </c>
      <c r="G1570" t="s">
        <v>42</v>
      </c>
      <c r="H1570">
        <v>78</v>
      </c>
      <c r="J1570" s="1">
        <v>70.13</v>
      </c>
      <c r="K1570" s="1">
        <v>0</v>
      </c>
      <c r="M1570" s="1">
        <v>0</v>
      </c>
      <c r="N1570" s="1">
        <v>0</v>
      </c>
      <c r="O1570" s="1">
        <v>28.9</v>
      </c>
      <c r="Q1570" s="2">
        <v>99.03</v>
      </c>
    </row>
    <row r="1571" spans="1:17" x14ac:dyDescent="0.25">
      <c r="A1571" t="s">
        <v>31</v>
      </c>
      <c r="B1571" t="s">
        <v>40</v>
      </c>
      <c r="C1571" t="str">
        <f>"556-3-CH-SU-80"</f>
        <v>556-3-CH-SU-80</v>
      </c>
      <c r="D1571" t="s">
        <v>26</v>
      </c>
      <c r="F1571" t="s">
        <v>23</v>
      </c>
      <c r="G1571" t="s">
        <v>42</v>
      </c>
      <c r="H1571">
        <v>80</v>
      </c>
      <c r="J1571" s="1">
        <v>70.13</v>
      </c>
      <c r="K1571" s="1">
        <v>0</v>
      </c>
      <c r="M1571" s="1">
        <v>0</v>
      </c>
      <c r="N1571" s="1">
        <v>0</v>
      </c>
      <c r="O1571" s="1">
        <v>30.6</v>
      </c>
      <c r="Q1571" s="2">
        <v>100.73</v>
      </c>
    </row>
    <row r="1572" spans="1:17" x14ac:dyDescent="0.25">
      <c r="A1572" t="s">
        <v>31</v>
      </c>
      <c r="B1572" t="s">
        <v>40</v>
      </c>
      <c r="C1572" t="str">
        <f>"556-3-CH-VL-22"</f>
        <v>556-3-CH-VL-22</v>
      </c>
      <c r="D1572" t="s">
        <v>26</v>
      </c>
      <c r="F1572" t="s">
        <v>23</v>
      </c>
      <c r="G1572" t="s">
        <v>43</v>
      </c>
      <c r="H1572">
        <v>22</v>
      </c>
      <c r="J1572" s="1">
        <v>70.13</v>
      </c>
      <c r="K1572" s="1">
        <v>0</v>
      </c>
      <c r="M1572" s="1">
        <v>0</v>
      </c>
      <c r="N1572" s="1">
        <v>11.9</v>
      </c>
      <c r="O1572" s="1">
        <v>0</v>
      </c>
      <c r="Q1572" s="2">
        <v>82.03</v>
      </c>
    </row>
    <row r="1573" spans="1:17" x14ac:dyDescent="0.25">
      <c r="A1573" t="s">
        <v>31</v>
      </c>
      <c r="B1573" t="s">
        <v>40</v>
      </c>
      <c r="C1573" t="str">
        <f>"556-3-CH-VL-24"</f>
        <v>556-3-CH-VL-24</v>
      </c>
      <c r="D1573" t="s">
        <v>26</v>
      </c>
      <c r="F1573" t="s">
        <v>23</v>
      </c>
      <c r="G1573" t="s">
        <v>43</v>
      </c>
      <c r="H1573">
        <v>24</v>
      </c>
      <c r="J1573" s="1">
        <v>70.13</v>
      </c>
      <c r="K1573" s="1">
        <v>0</v>
      </c>
      <c r="M1573" s="1">
        <v>0</v>
      </c>
      <c r="N1573" s="1">
        <v>11.9</v>
      </c>
      <c r="O1573" s="1">
        <v>0</v>
      </c>
      <c r="Q1573" s="2">
        <v>82.03</v>
      </c>
    </row>
    <row r="1574" spans="1:17" x14ac:dyDescent="0.25">
      <c r="A1574" t="s">
        <v>31</v>
      </c>
      <c r="B1574" t="s">
        <v>40</v>
      </c>
      <c r="C1574" t="str">
        <f>"556-3-CH-VL-26"</f>
        <v>556-3-CH-VL-26</v>
      </c>
      <c r="D1574" t="s">
        <v>26</v>
      </c>
      <c r="F1574" t="s">
        <v>23</v>
      </c>
      <c r="G1574" t="s">
        <v>43</v>
      </c>
      <c r="H1574">
        <v>26</v>
      </c>
      <c r="J1574" s="1">
        <v>70.13</v>
      </c>
      <c r="K1574" s="1">
        <v>0</v>
      </c>
      <c r="M1574" s="1">
        <v>0</v>
      </c>
      <c r="N1574" s="1">
        <v>11.9</v>
      </c>
      <c r="O1574" s="1">
        <v>0</v>
      </c>
      <c r="Q1574" s="2">
        <v>82.03</v>
      </c>
    </row>
    <row r="1575" spans="1:17" x14ac:dyDescent="0.25">
      <c r="A1575" t="s">
        <v>31</v>
      </c>
      <c r="B1575" t="s">
        <v>40</v>
      </c>
      <c r="C1575" t="str">
        <f>"556-3-CH-VL-28"</f>
        <v>556-3-CH-VL-28</v>
      </c>
      <c r="D1575" t="s">
        <v>26</v>
      </c>
      <c r="F1575" t="s">
        <v>23</v>
      </c>
      <c r="G1575" t="s">
        <v>43</v>
      </c>
      <c r="H1575">
        <v>28</v>
      </c>
      <c r="J1575" s="1">
        <v>70.13</v>
      </c>
      <c r="K1575" s="1">
        <v>0</v>
      </c>
      <c r="M1575" s="1">
        <v>0</v>
      </c>
      <c r="N1575" s="1">
        <v>11.9</v>
      </c>
      <c r="O1575" s="1">
        <v>0</v>
      </c>
      <c r="Q1575" s="2">
        <v>82.03</v>
      </c>
    </row>
    <row r="1576" spans="1:17" x14ac:dyDescent="0.25">
      <c r="A1576" t="s">
        <v>31</v>
      </c>
      <c r="B1576" t="s">
        <v>40</v>
      </c>
      <c r="C1576" t="str">
        <f>"556-3-CH-VL-30"</f>
        <v>556-3-CH-VL-30</v>
      </c>
      <c r="D1576" t="s">
        <v>26</v>
      </c>
      <c r="F1576" t="s">
        <v>23</v>
      </c>
      <c r="G1576" t="s">
        <v>43</v>
      </c>
      <c r="H1576">
        <v>30</v>
      </c>
      <c r="J1576" s="1">
        <v>70.13</v>
      </c>
      <c r="K1576" s="1">
        <v>0</v>
      </c>
      <c r="M1576" s="1">
        <v>0</v>
      </c>
      <c r="N1576" s="1">
        <v>11.9</v>
      </c>
      <c r="O1576" s="1">
        <v>0</v>
      </c>
      <c r="Q1576" s="2">
        <v>82.03</v>
      </c>
    </row>
    <row r="1577" spans="1:17" x14ac:dyDescent="0.25">
      <c r="A1577" t="s">
        <v>31</v>
      </c>
      <c r="B1577" t="s">
        <v>40</v>
      </c>
      <c r="C1577" t="str">
        <f>"556-3-CH-VL-32"</f>
        <v>556-3-CH-VL-32</v>
      </c>
      <c r="D1577" t="s">
        <v>26</v>
      </c>
      <c r="F1577" t="s">
        <v>23</v>
      </c>
      <c r="G1577" t="s">
        <v>43</v>
      </c>
      <c r="H1577">
        <v>32</v>
      </c>
      <c r="J1577" s="1">
        <v>70.13</v>
      </c>
      <c r="K1577" s="1">
        <v>0</v>
      </c>
      <c r="M1577" s="1">
        <v>0</v>
      </c>
      <c r="N1577" s="1">
        <v>11.9</v>
      </c>
      <c r="O1577" s="1">
        <v>0</v>
      </c>
      <c r="Q1577" s="2">
        <v>82.03</v>
      </c>
    </row>
    <row r="1578" spans="1:17" x14ac:dyDescent="0.25">
      <c r="A1578" t="s">
        <v>31</v>
      </c>
      <c r="B1578" t="s">
        <v>40</v>
      </c>
      <c r="C1578" t="str">
        <f>"556-3-CH-VL-34"</f>
        <v>556-3-CH-VL-34</v>
      </c>
      <c r="D1578" t="s">
        <v>26</v>
      </c>
      <c r="F1578" t="s">
        <v>23</v>
      </c>
      <c r="G1578" t="s">
        <v>43</v>
      </c>
      <c r="H1578">
        <v>34</v>
      </c>
      <c r="J1578" s="1">
        <v>70.13</v>
      </c>
      <c r="K1578" s="1">
        <v>0</v>
      </c>
      <c r="M1578" s="1">
        <v>0</v>
      </c>
      <c r="N1578" s="1">
        <v>11.9</v>
      </c>
      <c r="O1578" s="1">
        <v>0</v>
      </c>
      <c r="Q1578" s="2">
        <v>82.03</v>
      </c>
    </row>
    <row r="1579" spans="1:17" x14ac:dyDescent="0.25">
      <c r="A1579" t="s">
        <v>31</v>
      </c>
      <c r="B1579" t="s">
        <v>40</v>
      </c>
      <c r="C1579" t="str">
        <f>"556-3-CH-VL-36"</f>
        <v>556-3-CH-VL-36</v>
      </c>
      <c r="D1579" t="s">
        <v>26</v>
      </c>
      <c r="F1579" t="s">
        <v>23</v>
      </c>
      <c r="G1579" t="s">
        <v>43</v>
      </c>
      <c r="H1579">
        <v>36</v>
      </c>
      <c r="J1579" s="1">
        <v>70.13</v>
      </c>
      <c r="K1579" s="1">
        <v>0</v>
      </c>
      <c r="M1579" s="1">
        <v>0</v>
      </c>
      <c r="N1579" s="1">
        <v>11.9</v>
      </c>
      <c r="O1579" s="1">
        <v>0</v>
      </c>
      <c r="Q1579" s="2">
        <v>82.03</v>
      </c>
    </row>
    <row r="1580" spans="1:17" x14ac:dyDescent="0.25">
      <c r="A1580" t="s">
        <v>31</v>
      </c>
      <c r="B1580" t="s">
        <v>40</v>
      </c>
      <c r="C1580" t="str">
        <f>"556-3-CH-VL-38"</f>
        <v>556-3-CH-VL-38</v>
      </c>
      <c r="D1580" t="s">
        <v>26</v>
      </c>
      <c r="F1580" t="s">
        <v>23</v>
      </c>
      <c r="G1580" t="s">
        <v>43</v>
      </c>
      <c r="H1580">
        <v>38</v>
      </c>
      <c r="J1580" s="1">
        <v>70.13</v>
      </c>
      <c r="K1580" s="1">
        <v>0</v>
      </c>
      <c r="M1580" s="1">
        <v>0</v>
      </c>
      <c r="N1580" s="1">
        <v>11.9</v>
      </c>
      <c r="O1580" s="1">
        <v>0</v>
      </c>
      <c r="Q1580" s="2">
        <v>82.03</v>
      </c>
    </row>
    <row r="1581" spans="1:17" x14ac:dyDescent="0.25">
      <c r="A1581" t="s">
        <v>31</v>
      </c>
      <c r="B1581" t="s">
        <v>40</v>
      </c>
      <c r="C1581" t="str">
        <f>"556-3-CH-VL-40"</f>
        <v>556-3-CH-VL-40</v>
      </c>
      <c r="D1581" t="s">
        <v>26</v>
      </c>
      <c r="F1581" t="s">
        <v>23</v>
      </c>
      <c r="G1581" t="s">
        <v>43</v>
      </c>
      <c r="H1581">
        <v>40</v>
      </c>
      <c r="J1581" s="1">
        <v>70.13</v>
      </c>
      <c r="K1581" s="1">
        <v>0</v>
      </c>
      <c r="M1581" s="1">
        <v>0</v>
      </c>
      <c r="N1581" s="1">
        <v>11.9</v>
      </c>
      <c r="O1581" s="1">
        <v>0</v>
      </c>
      <c r="Q1581" s="2">
        <v>82.03</v>
      </c>
    </row>
    <row r="1582" spans="1:17" x14ac:dyDescent="0.25">
      <c r="A1582" t="s">
        <v>31</v>
      </c>
      <c r="B1582" t="s">
        <v>40</v>
      </c>
      <c r="C1582" t="str">
        <f>"556-3-CH-VL-42"</f>
        <v>556-3-CH-VL-42</v>
      </c>
      <c r="D1582" t="s">
        <v>26</v>
      </c>
      <c r="F1582" t="s">
        <v>23</v>
      </c>
      <c r="G1582" t="s">
        <v>43</v>
      </c>
      <c r="H1582">
        <v>42</v>
      </c>
      <c r="J1582" s="1">
        <v>70.13</v>
      </c>
      <c r="K1582" s="1">
        <v>0</v>
      </c>
      <c r="M1582" s="1">
        <v>0</v>
      </c>
      <c r="N1582" s="1">
        <v>11.9</v>
      </c>
      <c r="O1582" s="1">
        <v>0</v>
      </c>
      <c r="Q1582" s="2">
        <v>82.03</v>
      </c>
    </row>
    <row r="1583" spans="1:17" x14ac:dyDescent="0.25">
      <c r="A1583" t="s">
        <v>31</v>
      </c>
      <c r="B1583" t="s">
        <v>40</v>
      </c>
      <c r="C1583" t="str">
        <f>"556-3-CH-VL-44"</f>
        <v>556-3-CH-VL-44</v>
      </c>
      <c r="D1583" t="s">
        <v>26</v>
      </c>
      <c r="F1583" t="s">
        <v>23</v>
      </c>
      <c r="G1583" t="s">
        <v>43</v>
      </c>
      <c r="H1583">
        <v>44</v>
      </c>
      <c r="J1583" s="1">
        <v>70.13</v>
      </c>
      <c r="K1583" s="1">
        <v>0</v>
      </c>
      <c r="M1583" s="1">
        <v>0</v>
      </c>
      <c r="N1583" s="1">
        <v>11.9</v>
      </c>
      <c r="O1583" s="1">
        <v>0</v>
      </c>
      <c r="Q1583" s="2">
        <v>82.03</v>
      </c>
    </row>
    <row r="1584" spans="1:17" x14ac:dyDescent="0.25">
      <c r="A1584" t="s">
        <v>31</v>
      </c>
      <c r="B1584" t="s">
        <v>40</v>
      </c>
      <c r="C1584" t="str">
        <f>"556-3-CH-VL-46"</f>
        <v>556-3-CH-VL-46</v>
      </c>
      <c r="D1584" t="s">
        <v>26</v>
      </c>
      <c r="F1584" t="s">
        <v>23</v>
      </c>
      <c r="G1584" t="s">
        <v>43</v>
      </c>
      <c r="H1584">
        <v>46</v>
      </c>
      <c r="J1584" s="1">
        <v>70.13</v>
      </c>
      <c r="K1584" s="1">
        <v>0</v>
      </c>
      <c r="M1584" s="1">
        <v>0</v>
      </c>
      <c r="N1584" s="1">
        <v>11.9</v>
      </c>
      <c r="O1584" s="1">
        <v>5.0999999999999996</v>
      </c>
      <c r="Q1584" s="2">
        <v>87.13</v>
      </c>
    </row>
    <row r="1585" spans="1:17" x14ac:dyDescent="0.25">
      <c r="A1585" t="s">
        <v>31</v>
      </c>
      <c r="B1585" t="s">
        <v>40</v>
      </c>
      <c r="C1585" t="str">
        <f>"556-3-CH-VL-48"</f>
        <v>556-3-CH-VL-48</v>
      </c>
      <c r="D1585" t="s">
        <v>26</v>
      </c>
      <c r="F1585" t="s">
        <v>23</v>
      </c>
      <c r="G1585" t="s">
        <v>43</v>
      </c>
      <c r="H1585">
        <v>48</v>
      </c>
      <c r="J1585" s="1">
        <v>70.13</v>
      </c>
      <c r="K1585" s="1">
        <v>0</v>
      </c>
      <c r="M1585" s="1">
        <v>0</v>
      </c>
      <c r="N1585" s="1">
        <v>11.9</v>
      </c>
      <c r="O1585" s="1">
        <v>6.8</v>
      </c>
      <c r="Q1585" s="2">
        <v>88.83</v>
      </c>
    </row>
    <row r="1586" spans="1:17" x14ac:dyDescent="0.25">
      <c r="A1586" t="s">
        <v>31</v>
      </c>
      <c r="B1586" t="s">
        <v>40</v>
      </c>
      <c r="C1586" t="str">
        <f>"556-3-CH-VL-50"</f>
        <v>556-3-CH-VL-50</v>
      </c>
      <c r="D1586" t="s">
        <v>26</v>
      </c>
      <c r="F1586" t="s">
        <v>23</v>
      </c>
      <c r="G1586" t="s">
        <v>43</v>
      </c>
      <c r="H1586">
        <v>50</v>
      </c>
      <c r="J1586" s="1">
        <v>70.13</v>
      </c>
      <c r="K1586" s="1">
        <v>0</v>
      </c>
      <c r="M1586" s="1">
        <v>0</v>
      </c>
      <c r="N1586" s="1">
        <v>11.9</v>
      </c>
      <c r="O1586" s="1">
        <v>8.5</v>
      </c>
      <c r="Q1586" s="2">
        <v>90.53</v>
      </c>
    </row>
    <row r="1587" spans="1:17" x14ac:dyDescent="0.25">
      <c r="A1587" t="s">
        <v>31</v>
      </c>
      <c r="B1587" t="s">
        <v>40</v>
      </c>
      <c r="C1587" t="str">
        <f>"556-3-CH-VL-52"</f>
        <v>556-3-CH-VL-52</v>
      </c>
      <c r="D1587" t="s">
        <v>26</v>
      </c>
      <c r="F1587" t="s">
        <v>23</v>
      </c>
      <c r="G1587" t="s">
        <v>43</v>
      </c>
      <c r="H1587">
        <v>52</v>
      </c>
      <c r="J1587" s="1">
        <v>70.13</v>
      </c>
      <c r="K1587" s="1">
        <v>0</v>
      </c>
      <c r="M1587" s="1">
        <v>0</v>
      </c>
      <c r="N1587" s="1">
        <v>11.9</v>
      </c>
      <c r="O1587" s="1">
        <v>10.199999999999999</v>
      </c>
      <c r="Q1587" s="2">
        <v>92.23</v>
      </c>
    </row>
    <row r="1588" spans="1:17" x14ac:dyDescent="0.25">
      <c r="A1588" t="s">
        <v>31</v>
      </c>
      <c r="B1588" t="s">
        <v>40</v>
      </c>
      <c r="C1588" t="str">
        <f>"556-3-CH-VL-54"</f>
        <v>556-3-CH-VL-54</v>
      </c>
      <c r="D1588" t="s">
        <v>26</v>
      </c>
      <c r="F1588" t="s">
        <v>23</v>
      </c>
      <c r="G1588" t="s">
        <v>43</v>
      </c>
      <c r="H1588">
        <v>54</v>
      </c>
      <c r="J1588" s="1">
        <v>70.13</v>
      </c>
      <c r="K1588" s="1">
        <v>0</v>
      </c>
      <c r="M1588" s="1">
        <v>0</v>
      </c>
      <c r="N1588" s="1">
        <v>11.9</v>
      </c>
      <c r="O1588" s="1">
        <v>11.9</v>
      </c>
      <c r="Q1588" s="2">
        <v>93.93</v>
      </c>
    </row>
    <row r="1589" spans="1:17" x14ac:dyDescent="0.25">
      <c r="A1589" t="s">
        <v>31</v>
      </c>
      <c r="B1589" t="s">
        <v>40</v>
      </c>
      <c r="C1589" t="str">
        <f>"556-3-CH-VL-56"</f>
        <v>556-3-CH-VL-56</v>
      </c>
      <c r="D1589" t="s">
        <v>26</v>
      </c>
      <c r="F1589" t="s">
        <v>23</v>
      </c>
      <c r="G1589" t="s">
        <v>43</v>
      </c>
      <c r="H1589">
        <v>56</v>
      </c>
      <c r="J1589" s="1">
        <v>70.13</v>
      </c>
      <c r="K1589" s="1">
        <v>0</v>
      </c>
      <c r="M1589" s="1">
        <v>0</v>
      </c>
      <c r="N1589" s="1">
        <v>11.9</v>
      </c>
      <c r="O1589" s="1">
        <v>13.6</v>
      </c>
      <c r="Q1589" s="2">
        <v>95.63</v>
      </c>
    </row>
    <row r="1590" spans="1:17" x14ac:dyDescent="0.25">
      <c r="A1590" t="s">
        <v>31</v>
      </c>
      <c r="B1590" t="s">
        <v>40</v>
      </c>
      <c r="C1590" t="str">
        <f>"556-3-CH-VL-58"</f>
        <v>556-3-CH-VL-58</v>
      </c>
      <c r="D1590" t="s">
        <v>26</v>
      </c>
      <c r="F1590" t="s">
        <v>23</v>
      </c>
      <c r="G1590" t="s">
        <v>43</v>
      </c>
      <c r="H1590">
        <v>58</v>
      </c>
      <c r="J1590" s="1">
        <v>70.13</v>
      </c>
      <c r="K1590" s="1">
        <v>0</v>
      </c>
      <c r="M1590" s="1">
        <v>0</v>
      </c>
      <c r="N1590" s="1">
        <v>11.9</v>
      </c>
      <c r="O1590" s="1">
        <v>15.3</v>
      </c>
      <c r="Q1590" s="2">
        <v>97.33</v>
      </c>
    </row>
    <row r="1591" spans="1:17" x14ac:dyDescent="0.25">
      <c r="A1591" t="s">
        <v>31</v>
      </c>
      <c r="B1591" t="s">
        <v>40</v>
      </c>
      <c r="C1591" t="str">
        <f>"556-3-CH-VL-60"</f>
        <v>556-3-CH-VL-60</v>
      </c>
      <c r="D1591" t="s">
        <v>26</v>
      </c>
      <c r="F1591" t="s">
        <v>23</v>
      </c>
      <c r="G1591" t="s">
        <v>43</v>
      </c>
      <c r="H1591">
        <v>60</v>
      </c>
      <c r="J1591" s="1">
        <v>70.13</v>
      </c>
      <c r="K1591" s="1">
        <v>0</v>
      </c>
      <c r="M1591" s="1">
        <v>0</v>
      </c>
      <c r="N1591" s="1">
        <v>11.9</v>
      </c>
      <c r="O1591" s="1">
        <v>17</v>
      </c>
      <c r="Q1591" s="2">
        <v>99.03</v>
      </c>
    </row>
    <row r="1592" spans="1:17" x14ac:dyDescent="0.25">
      <c r="A1592" t="s">
        <v>31</v>
      </c>
      <c r="B1592" t="s">
        <v>40</v>
      </c>
      <c r="C1592" t="str">
        <f>"556-3-CH-VL-62"</f>
        <v>556-3-CH-VL-62</v>
      </c>
      <c r="D1592" t="s">
        <v>26</v>
      </c>
      <c r="F1592" t="s">
        <v>23</v>
      </c>
      <c r="G1592" t="s">
        <v>43</v>
      </c>
      <c r="H1592">
        <v>62</v>
      </c>
      <c r="J1592" s="1">
        <v>70.13</v>
      </c>
      <c r="K1592" s="1">
        <v>0</v>
      </c>
      <c r="M1592" s="1">
        <v>0</v>
      </c>
      <c r="N1592" s="1">
        <v>11.9</v>
      </c>
      <c r="O1592" s="1">
        <v>18.7</v>
      </c>
      <c r="Q1592" s="2">
        <v>100.73</v>
      </c>
    </row>
    <row r="1593" spans="1:17" x14ac:dyDescent="0.25">
      <c r="A1593" t="s">
        <v>31</v>
      </c>
      <c r="B1593" t="s">
        <v>40</v>
      </c>
      <c r="C1593" t="str">
        <f>"556-3-CH-VL-64"</f>
        <v>556-3-CH-VL-64</v>
      </c>
      <c r="D1593" t="s">
        <v>26</v>
      </c>
      <c r="F1593" t="s">
        <v>23</v>
      </c>
      <c r="G1593" t="s">
        <v>43</v>
      </c>
      <c r="H1593">
        <v>64</v>
      </c>
      <c r="J1593" s="1">
        <v>70.13</v>
      </c>
      <c r="K1593" s="1">
        <v>0</v>
      </c>
      <c r="M1593" s="1">
        <v>0</v>
      </c>
      <c r="N1593" s="1">
        <v>11.9</v>
      </c>
      <c r="O1593" s="1">
        <v>18.7</v>
      </c>
      <c r="Q1593" s="2">
        <v>100.73</v>
      </c>
    </row>
    <row r="1594" spans="1:17" x14ac:dyDescent="0.25">
      <c r="A1594" t="s">
        <v>31</v>
      </c>
      <c r="B1594" t="s">
        <v>40</v>
      </c>
      <c r="C1594" t="str">
        <f>"556-3-CH-VL-66"</f>
        <v>556-3-CH-VL-66</v>
      </c>
      <c r="D1594" t="s">
        <v>26</v>
      </c>
      <c r="F1594" t="s">
        <v>23</v>
      </c>
      <c r="G1594" t="s">
        <v>43</v>
      </c>
      <c r="H1594">
        <v>66</v>
      </c>
      <c r="J1594" s="1">
        <v>70.13</v>
      </c>
      <c r="K1594" s="1">
        <v>0</v>
      </c>
      <c r="M1594" s="1">
        <v>0</v>
      </c>
      <c r="N1594" s="1">
        <v>11.9</v>
      </c>
      <c r="O1594" s="1">
        <v>18.7</v>
      </c>
      <c r="Q1594" s="2">
        <v>100.73</v>
      </c>
    </row>
    <row r="1595" spans="1:17" x14ac:dyDescent="0.25">
      <c r="A1595" t="s">
        <v>31</v>
      </c>
      <c r="B1595" t="s">
        <v>40</v>
      </c>
      <c r="C1595" t="str">
        <f>"556-3-CH-VL-68"</f>
        <v>556-3-CH-VL-68</v>
      </c>
      <c r="D1595" t="s">
        <v>26</v>
      </c>
      <c r="F1595" t="s">
        <v>23</v>
      </c>
      <c r="G1595" t="s">
        <v>43</v>
      </c>
      <c r="H1595">
        <v>68</v>
      </c>
      <c r="J1595" s="1">
        <v>70.13</v>
      </c>
      <c r="K1595" s="1">
        <v>0</v>
      </c>
      <c r="M1595" s="1">
        <v>0</v>
      </c>
      <c r="N1595" s="1">
        <v>11.9</v>
      </c>
      <c r="O1595" s="1">
        <v>20.399999999999999</v>
      </c>
      <c r="Q1595" s="2">
        <v>102.43</v>
      </c>
    </row>
    <row r="1596" spans="1:17" x14ac:dyDescent="0.25">
      <c r="A1596" t="s">
        <v>31</v>
      </c>
      <c r="B1596" t="s">
        <v>40</v>
      </c>
      <c r="C1596" t="str">
        <f>"556-3-CH-VL-70"</f>
        <v>556-3-CH-VL-70</v>
      </c>
      <c r="D1596" t="s">
        <v>26</v>
      </c>
      <c r="F1596" t="s">
        <v>23</v>
      </c>
      <c r="G1596" t="s">
        <v>43</v>
      </c>
      <c r="H1596">
        <v>70</v>
      </c>
      <c r="J1596" s="1">
        <v>70.13</v>
      </c>
      <c r="K1596" s="1">
        <v>0</v>
      </c>
      <c r="M1596" s="1">
        <v>0</v>
      </c>
      <c r="N1596" s="1">
        <v>11.9</v>
      </c>
      <c r="O1596" s="1">
        <v>22.1</v>
      </c>
      <c r="Q1596" s="2">
        <v>104.13</v>
      </c>
    </row>
    <row r="1597" spans="1:17" x14ac:dyDescent="0.25">
      <c r="A1597" t="s">
        <v>31</v>
      </c>
      <c r="B1597" t="s">
        <v>40</v>
      </c>
      <c r="C1597" t="str">
        <f>"556-3-CH-VL-72"</f>
        <v>556-3-CH-VL-72</v>
      </c>
      <c r="D1597" t="s">
        <v>26</v>
      </c>
      <c r="F1597" t="s">
        <v>23</v>
      </c>
      <c r="G1597" t="s">
        <v>43</v>
      </c>
      <c r="H1597">
        <v>72</v>
      </c>
      <c r="J1597" s="1">
        <v>70.13</v>
      </c>
      <c r="K1597" s="1">
        <v>0</v>
      </c>
      <c r="M1597" s="1">
        <v>0</v>
      </c>
      <c r="N1597" s="1">
        <v>11.9</v>
      </c>
      <c r="O1597" s="1">
        <v>23.8</v>
      </c>
      <c r="Q1597" s="2">
        <v>105.83</v>
      </c>
    </row>
    <row r="1598" spans="1:17" x14ac:dyDescent="0.25">
      <c r="A1598" t="s">
        <v>31</v>
      </c>
      <c r="B1598" t="s">
        <v>40</v>
      </c>
      <c r="C1598" t="str">
        <f>"556-3-CH-VL-74"</f>
        <v>556-3-CH-VL-74</v>
      </c>
      <c r="D1598" t="s">
        <v>26</v>
      </c>
      <c r="F1598" t="s">
        <v>23</v>
      </c>
      <c r="G1598" t="s">
        <v>43</v>
      </c>
      <c r="H1598">
        <v>74</v>
      </c>
      <c r="J1598" s="1">
        <v>70.13</v>
      </c>
      <c r="K1598" s="1">
        <v>0</v>
      </c>
      <c r="M1598" s="1">
        <v>0</v>
      </c>
      <c r="N1598" s="1">
        <v>11.9</v>
      </c>
      <c r="O1598" s="1">
        <v>25.5</v>
      </c>
      <c r="Q1598" s="2">
        <v>107.53</v>
      </c>
    </row>
    <row r="1599" spans="1:17" x14ac:dyDescent="0.25">
      <c r="A1599" t="s">
        <v>31</v>
      </c>
      <c r="B1599" t="s">
        <v>40</v>
      </c>
      <c r="C1599" t="str">
        <f>"556-3-CH-VL-76"</f>
        <v>556-3-CH-VL-76</v>
      </c>
      <c r="D1599" t="s">
        <v>26</v>
      </c>
      <c r="F1599" t="s">
        <v>23</v>
      </c>
      <c r="G1599" t="s">
        <v>43</v>
      </c>
      <c r="H1599">
        <v>76</v>
      </c>
      <c r="J1599" s="1">
        <v>70.13</v>
      </c>
      <c r="K1599" s="1">
        <v>0</v>
      </c>
      <c r="M1599" s="1">
        <v>0</v>
      </c>
      <c r="N1599" s="1">
        <v>11.9</v>
      </c>
      <c r="O1599" s="1">
        <v>27.2</v>
      </c>
      <c r="Q1599" s="2">
        <v>109.23</v>
      </c>
    </row>
    <row r="1600" spans="1:17" x14ac:dyDescent="0.25">
      <c r="A1600" t="s">
        <v>31</v>
      </c>
      <c r="B1600" t="s">
        <v>40</v>
      </c>
      <c r="C1600" t="str">
        <f>"556-3-CH-VL-78"</f>
        <v>556-3-CH-VL-78</v>
      </c>
      <c r="D1600" t="s">
        <v>26</v>
      </c>
      <c r="F1600" t="s">
        <v>23</v>
      </c>
      <c r="G1600" t="s">
        <v>43</v>
      </c>
      <c r="H1600">
        <v>78</v>
      </c>
      <c r="J1600" s="1">
        <v>70.13</v>
      </c>
      <c r="K1600" s="1">
        <v>0</v>
      </c>
      <c r="M1600" s="1">
        <v>0</v>
      </c>
      <c r="N1600" s="1">
        <v>11.9</v>
      </c>
      <c r="O1600" s="1">
        <v>28.9</v>
      </c>
      <c r="Q1600" s="2">
        <v>110.93</v>
      </c>
    </row>
    <row r="1601" spans="1:17" x14ac:dyDescent="0.25">
      <c r="A1601" t="s">
        <v>31</v>
      </c>
      <c r="B1601" t="s">
        <v>40</v>
      </c>
      <c r="C1601" t="str">
        <f>"556-3-CH-VL-80"</f>
        <v>556-3-CH-VL-80</v>
      </c>
      <c r="D1601" t="s">
        <v>26</v>
      </c>
      <c r="F1601" t="s">
        <v>23</v>
      </c>
      <c r="G1601" t="s">
        <v>43</v>
      </c>
      <c r="H1601">
        <v>80</v>
      </c>
      <c r="J1601" s="1">
        <v>70.13</v>
      </c>
      <c r="K1601" s="1">
        <v>0</v>
      </c>
      <c r="M1601" s="1">
        <v>0</v>
      </c>
      <c r="N1601" s="1">
        <v>11.9</v>
      </c>
      <c r="O1601" s="1">
        <v>30.6</v>
      </c>
      <c r="Q1601" s="2">
        <v>112.63</v>
      </c>
    </row>
    <row r="1602" spans="1:17" x14ac:dyDescent="0.25">
      <c r="A1602" t="s">
        <v>31</v>
      </c>
      <c r="B1602" t="s">
        <v>40</v>
      </c>
      <c r="C1602" t="str">
        <f>"556-5-BR-CO-22"</f>
        <v>556-5-BR-CO-22</v>
      </c>
      <c r="D1602" t="s">
        <v>27</v>
      </c>
      <c r="F1602" t="s">
        <v>22</v>
      </c>
      <c r="G1602" t="s">
        <v>41</v>
      </c>
      <c r="H1602">
        <v>22</v>
      </c>
      <c r="J1602" s="1">
        <v>70.13</v>
      </c>
      <c r="K1602" s="1">
        <v>0</v>
      </c>
      <c r="M1602" s="1">
        <v>0</v>
      </c>
      <c r="N1602" s="1">
        <v>14.37</v>
      </c>
      <c r="O1602" s="1">
        <v>0</v>
      </c>
      <c r="Q1602" s="2">
        <v>84.5</v>
      </c>
    </row>
    <row r="1603" spans="1:17" x14ac:dyDescent="0.25">
      <c r="A1603" t="s">
        <v>31</v>
      </c>
      <c r="B1603" t="s">
        <v>40</v>
      </c>
      <c r="C1603" t="str">
        <f>"556-5-BR-CO-24"</f>
        <v>556-5-BR-CO-24</v>
      </c>
      <c r="D1603" t="s">
        <v>27</v>
      </c>
      <c r="F1603" t="s">
        <v>22</v>
      </c>
      <c r="G1603" t="s">
        <v>41</v>
      </c>
      <c r="H1603">
        <v>24</v>
      </c>
      <c r="J1603" s="1">
        <v>70.13</v>
      </c>
      <c r="K1603" s="1">
        <v>0</v>
      </c>
      <c r="M1603" s="1">
        <v>0</v>
      </c>
      <c r="N1603" s="1">
        <v>14.37</v>
      </c>
      <c r="O1603" s="1">
        <v>0</v>
      </c>
      <c r="Q1603" s="2">
        <v>84.5</v>
      </c>
    </row>
    <row r="1604" spans="1:17" x14ac:dyDescent="0.25">
      <c r="A1604" t="s">
        <v>31</v>
      </c>
      <c r="B1604" t="s">
        <v>40</v>
      </c>
      <c r="C1604" t="str">
        <f>"556-5-BR-CO-26"</f>
        <v>556-5-BR-CO-26</v>
      </c>
      <c r="D1604" t="s">
        <v>27</v>
      </c>
      <c r="F1604" t="s">
        <v>22</v>
      </c>
      <c r="G1604" t="s">
        <v>41</v>
      </c>
      <c r="H1604">
        <v>26</v>
      </c>
      <c r="J1604" s="1">
        <v>70.13</v>
      </c>
      <c r="K1604" s="1">
        <v>0</v>
      </c>
      <c r="M1604" s="1">
        <v>0</v>
      </c>
      <c r="N1604" s="1">
        <v>14.37</v>
      </c>
      <c r="O1604" s="1">
        <v>0</v>
      </c>
      <c r="Q1604" s="2">
        <v>84.5</v>
      </c>
    </row>
    <row r="1605" spans="1:17" x14ac:dyDescent="0.25">
      <c r="A1605" t="s">
        <v>31</v>
      </c>
      <c r="B1605" t="s">
        <v>40</v>
      </c>
      <c r="C1605" t="str">
        <f>"556-5-BR-CO-28"</f>
        <v>556-5-BR-CO-28</v>
      </c>
      <c r="D1605" t="s">
        <v>27</v>
      </c>
      <c r="F1605" t="s">
        <v>22</v>
      </c>
      <c r="G1605" t="s">
        <v>41</v>
      </c>
      <c r="H1605">
        <v>28</v>
      </c>
      <c r="J1605" s="1">
        <v>70.13</v>
      </c>
      <c r="K1605" s="1">
        <v>0</v>
      </c>
      <c r="M1605" s="1">
        <v>0</v>
      </c>
      <c r="N1605" s="1">
        <v>14.37</v>
      </c>
      <c r="O1605" s="1">
        <v>0</v>
      </c>
      <c r="Q1605" s="2">
        <v>84.5</v>
      </c>
    </row>
    <row r="1606" spans="1:17" x14ac:dyDescent="0.25">
      <c r="A1606" t="s">
        <v>31</v>
      </c>
      <c r="B1606" t="s">
        <v>40</v>
      </c>
      <c r="C1606" t="str">
        <f>"556-5-BR-CO-30"</f>
        <v>556-5-BR-CO-30</v>
      </c>
      <c r="D1606" t="s">
        <v>27</v>
      </c>
      <c r="F1606" t="s">
        <v>22</v>
      </c>
      <c r="G1606" t="s">
        <v>41</v>
      </c>
      <c r="H1606">
        <v>30</v>
      </c>
      <c r="J1606" s="1">
        <v>70.13</v>
      </c>
      <c r="K1606" s="1">
        <v>0</v>
      </c>
      <c r="M1606" s="1">
        <v>0</v>
      </c>
      <c r="N1606" s="1">
        <v>14.37</v>
      </c>
      <c r="O1606" s="1">
        <v>0</v>
      </c>
      <c r="Q1606" s="2">
        <v>84.5</v>
      </c>
    </row>
    <row r="1607" spans="1:17" x14ac:dyDescent="0.25">
      <c r="A1607" t="s">
        <v>31</v>
      </c>
      <c r="B1607" t="s">
        <v>40</v>
      </c>
      <c r="C1607" t="str">
        <f>"556-5-BR-CO-32"</f>
        <v>556-5-BR-CO-32</v>
      </c>
      <c r="D1607" t="s">
        <v>27</v>
      </c>
      <c r="F1607" t="s">
        <v>22</v>
      </c>
      <c r="G1607" t="s">
        <v>41</v>
      </c>
      <c r="H1607">
        <v>32</v>
      </c>
      <c r="J1607" s="1">
        <v>70.13</v>
      </c>
      <c r="K1607" s="1">
        <v>0</v>
      </c>
      <c r="M1607" s="1">
        <v>0</v>
      </c>
      <c r="N1607" s="1">
        <v>14.37</v>
      </c>
      <c r="O1607" s="1">
        <v>0</v>
      </c>
      <c r="Q1607" s="2">
        <v>84.5</v>
      </c>
    </row>
    <row r="1608" spans="1:17" x14ac:dyDescent="0.25">
      <c r="A1608" t="s">
        <v>31</v>
      </c>
      <c r="B1608" t="s">
        <v>40</v>
      </c>
      <c r="C1608" t="str">
        <f>"556-5-BR-CO-34"</f>
        <v>556-5-BR-CO-34</v>
      </c>
      <c r="D1608" t="s">
        <v>27</v>
      </c>
      <c r="F1608" t="s">
        <v>22</v>
      </c>
      <c r="G1608" t="s">
        <v>41</v>
      </c>
      <c r="H1608">
        <v>34</v>
      </c>
      <c r="J1608" s="1">
        <v>70.13</v>
      </c>
      <c r="K1608" s="1">
        <v>0</v>
      </c>
      <c r="M1608" s="1">
        <v>0</v>
      </c>
      <c r="N1608" s="1">
        <v>14.37</v>
      </c>
      <c r="O1608" s="1">
        <v>0</v>
      </c>
      <c r="Q1608" s="2">
        <v>84.5</v>
      </c>
    </row>
    <row r="1609" spans="1:17" x14ac:dyDescent="0.25">
      <c r="A1609" t="s">
        <v>31</v>
      </c>
      <c r="B1609" t="s">
        <v>40</v>
      </c>
      <c r="C1609" t="str">
        <f>"556-5-BR-CO-36"</f>
        <v>556-5-BR-CO-36</v>
      </c>
      <c r="D1609" t="s">
        <v>27</v>
      </c>
      <c r="F1609" t="s">
        <v>22</v>
      </c>
      <c r="G1609" t="s">
        <v>41</v>
      </c>
      <c r="H1609">
        <v>36</v>
      </c>
      <c r="J1609" s="1">
        <v>70.13</v>
      </c>
      <c r="K1609" s="1">
        <v>0</v>
      </c>
      <c r="M1609" s="1">
        <v>0</v>
      </c>
      <c r="N1609" s="1">
        <v>14.37</v>
      </c>
      <c r="O1609" s="1">
        <v>0</v>
      </c>
      <c r="Q1609" s="2">
        <v>84.5</v>
      </c>
    </row>
    <row r="1610" spans="1:17" x14ac:dyDescent="0.25">
      <c r="A1610" t="s">
        <v>31</v>
      </c>
      <c r="B1610" t="s">
        <v>40</v>
      </c>
      <c r="C1610" t="str">
        <f>"556-5-BR-CO-38"</f>
        <v>556-5-BR-CO-38</v>
      </c>
      <c r="D1610" t="s">
        <v>27</v>
      </c>
      <c r="F1610" t="s">
        <v>22</v>
      </c>
      <c r="G1610" t="s">
        <v>41</v>
      </c>
      <c r="H1610">
        <v>38</v>
      </c>
      <c r="J1610" s="1">
        <v>70.13</v>
      </c>
      <c r="K1610" s="1">
        <v>0</v>
      </c>
      <c r="M1610" s="1">
        <v>0</v>
      </c>
      <c r="N1610" s="1">
        <v>14.37</v>
      </c>
      <c r="O1610" s="1">
        <v>0</v>
      </c>
      <c r="Q1610" s="2">
        <v>84.5</v>
      </c>
    </row>
    <row r="1611" spans="1:17" x14ac:dyDescent="0.25">
      <c r="A1611" t="s">
        <v>31</v>
      </c>
      <c r="B1611" t="s">
        <v>40</v>
      </c>
      <c r="C1611" t="str">
        <f>"556-5-BR-CO-40"</f>
        <v>556-5-BR-CO-40</v>
      </c>
      <c r="D1611" t="s">
        <v>27</v>
      </c>
      <c r="F1611" t="s">
        <v>22</v>
      </c>
      <c r="G1611" t="s">
        <v>41</v>
      </c>
      <c r="H1611">
        <v>40</v>
      </c>
      <c r="J1611" s="1">
        <v>70.13</v>
      </c>
      <c r="K1611" s="1">
        <v>0</v>
      </c>
      <c r="M1611" s="1">
        <v>0</v>
      </c>
      <c r="N1611" s="1">
        <v>14.37</v>
      </c>
      <c r="O1611" s="1">
        <v>0</v>
      </c>
      <c r="Q1611" s="2">
        <v>84.5</v>
      </c>
    </row>
    <row r="1612" spans="1:17" x14ac:dyDescent="0.25">
      <c r="A1612" t="s">
        <v>31</v>
      </c>
      <c r="B1612" t="s">
        <v>40</v>
      </c>
      <c r="C1612" t="str">
        <f>"556-5-BR-CO-42"</f>
        <v>556-5-BR-CO-42</v>
      </c>
      <c r="D1612" t="s">
        <v>27</v>
      </c>
      <c r="F1612" t="s">
        <v>22</v>
      </c>
      <c r="G1612" t="s">
        <v>41</v>
      </c>
      <c r="H1612">
        <v>42</v>
      </c>
      <c r="J1612" s="1">
        <v>70.13</v>
      </c>
      <c r="K1612" s="1">
        <v>0</v>
      </c>
      <c r="M1612" s="1">
        <v>0</v>
      </c>
      <c r="N1612" s="1">
        <v>14.37</v>
      </c>
      <c r="O1612" s="1">
        <v>0</v>
      </c>
      <c r="Q1612" s="2">
        <v>84.5</v>
      </c>
    </row>
    <row r="1613" spans="1:17" x14ac:dyDescent="0.25">
      <c r="A1613" t="s">
        <v>31</v>
      </c>
      <c r="B1613" t="s">
        <v>40</v>
      </c>
      <c r="C1613" t="str">
        <f>"556-5-BR-CO-44"</f>
        <v>556-5-BR-CO-44</v>
      </c>
      <c r="D1613" t="s">
        <v>27</v>
      </c>
      <c r="F1613" t="s">
        <v>22</v>
      </c>
      <c r="G1613" t="s">
        <v>41</v>
      </c>
      <c r="H1613">
        <v>44</v>
      </c>
      <c r="J1613" s="1">
        <v>70.13</v>
      </c>
      <c r="K1613" s="1">
        <v>0</v>
      </c>
      <c r="M1613" s="1">
        <v>0</v>
      </c>
      <c r="N1613" s="1">
        <v>14.37</v>
      </c>
      <c r="O1613" s="1">
        <v>0</v>
      </c>
      <c r="Q1613" s="2">
        <v>84.5</v>
      </c>
    </row>
    <row r="1614" spans="1:17" x14ac:dyDescent="0.25">
      <c r="A1614" t="s">
        <v>31</v>
      </c>
      <c r="B1614" t="s">
        <v>40</v>
      </c>
      <c r="C1614" t="str">
        <f>"556-5-BR-CO-46"</f>
        <v>556-5-BR-CO-46</v>
      </c>
      <c r="D1614" t="s">
        <v>27</v>
      </c>
      <c r="F1614" t="s">
        <v>22</v>
      </c>
      <c r="G1614" t="s">
        <v>41</v>
      </c>
      <c r="H1614">
        <v>46</v>
      </c>
      <c r="J1614" s="1">
        <v>70.13</v>
      </c>
      <c r="K1614" s="1">
        <v>0</v>
      </c>
      <c r="M1614" s="1">
        <v>0</v>
      </c>
      <c r="N1614" s="1">
        <v>14.37</v>
      </c>
      <c r="O1614" s="1">
        <v>2</v>
      </c>
      <c r="Q1614" s="2">
        <v>86.5</v>
      </c>
    </row>
    <row r="1615" spans="1:17" x14ac:dyDescent="0.25">
      <c r="A1615" t="s">
        <v>31</v>
      </c>
      <c r="B1615" t="s">
        <v>40</v>
      </c>
      <c r="C1615" t="str">
        <f>"556-5-BR-CO-48"</f>
        <v>556-5-BR-CO-48</v>
      </c>
      <c r="D1615" t="s">
        <v>27</v>
      </c>
      <c r="F1615" t="s">
        <v>22</v>
      </c>
      <c r="G1615" t="s">
        <v>41</v>
      </c>
      <c r="H1615">
        <v>48</v>
      </c>
      <c r="J1615" s="1">
        <v>70.13</v>
      </c>
      <c r="K1615" s="1">
        <v>0</v>
      </c>
      <c r="M1615" s="1">
        <v>0</v>
      </c>
      <c r="N1615" s="1">
        <v>14.37</v>
      </c>
      <c r="O1615" s="1">
        <v>4</v>
      </c>
      <c r="Q1615" s="2">
        <v>88.5</v>
      </c>
    </row>
    <row r="1616" spans="1:17" x14ac:dyDescent="0.25">
      <c r="A1616" t="s">
        <v>31</v>
      </c>
      <c r="B1616" t="s">
        <v>40</v>
      </c>
      <c r="C1616" t="str">
        <f>"556-5-BR-CO-50"</f>
        <v>556-5-BR-CO-50</v>
      </c>
      <c r="D1616" t="s">
        <v>27</v>
      </c>
      <c r="F1616" t="s">
        <v>22</v>
      </c>
      <c r="G1616" t="s">
        <v>41</v>
      </c>
      <c r="H1616">
        <v>50</v>
      </c>
      <c r="J1616" s="1">
        <v>70.13</v>
      </c>
      <c r="K1616" s="1">
        <v>0</v>
      </c>
      <c r="M1616" s="1">
        <v>0</v>
      </c>
      <c r="N1616" s="1">
        <v>14.37</v>
      </c>
      <c r="O1616" s="1">
        <v>6</v>
      </c>
      <c r="Q1616" s="2">
        <v>90.5</v>
      </c>
    </row>
    <row r="1617" spans="1:17" x14ac:dyDescent="0.25">
      <c r="A1617" t="s">
        <v>31</v>
      </c>
      <c r="B1617" t="s">
        <v>40</v>
      </c>
      <c r="C1617" t="str">
        <f>"556-5-BR-CO-52"</f>
        <v>556-5-BR-CO-52</v>
      </c>
      <c r="D1617" t="s">
        <v>27</v>
      </c>
      <c r="F1617" t="s">
        <v>22</v>
      </c>
      <c r="G1617" t="s">
        <v>41</v>
      </c>
      <c r="H1617">
        <v>52</v>
      </c>
      <c r="J1617" s="1">
        <v>70.13</v>
      </c>
      <c r="K1617" s="1">
        <v>0</v>
      </c>
      <c r="M1617" s="1">
        <v>0</v>
      </c>
      <c r="N1617" s="1">
        <v>14.37</v>
      </c>
      <c r="O1617" s="1">
        <v>8</v>
      </c>
      <c r="Q1617" s="2">
        <v>92.5</v>
      </c>
    </row>
    <row r="1618" spans="1:17" x14ac:dyDescent="0.25">
      <c r="A1618" t="s">
        <v>31</v>
      </c>
      <c r="B1618" t="s">
        <v>40</v>
      </c>
      <c r="C1618" t="str">
        <f>"556-5-BR-CO-54"</f>
        <v>556-5-BR-CO-54</v>
      </c>
      <c r="D1618" t="s">
        <v>27</v>
      </c>
      <c r="F1618" t="s">
        <v>22</v>
      </c>
      <c r="G1618" t="s">
        <v>41</v>
      </c>
      <c r="H1618">
        <v>54</v>
      </c>
      <c r="J1618" s="1">
        <v>70.13</v>
      </c>
      <c r="K1618" s="1">
        <v>0</v>
      </c>
      <c r="M1618" s="1">
        <v>0</v>
      </c>
      <c r="N1618" s="1">
        <v>14.37</v>
      </c>
      <c r="O1618" s="1">
        <v>10</v>
      </c>
      <c r="Q1618" s="2">
        <v>94.5</v>
      </c>
    </row>
    <row r="1619" spans="1:17" x14ac:dyDescent="0.25">
      <c r="A1619" t="s">
        <v>31</v>
      </c>
      <c r="B1619" t="s">
        <v>40</v>
      </c>
      <c r="C1619" t="str">
        <f>"556-5-BR-CO-56"</f>
        <v>556-5-BR-CO-56</v>
      </c>
      <c r="D1619" t="s">
        <v>27</v>
      </c>
      <c r="F1619" t="s">
        <v>22</v>
      </c>
      <c r="G1619" t="s">
        <v>41</v>
      </c>
      <c r="H1619">
        <v>56</v>
      </c>
      <c r="J1619" s="1">
        <v>70.13</v>
      </c>
      <c r="K1619" s="1">
        <v>0</v>
      </c>
      <c r="M1619" s="1">
        <v>0</v>
      </c>
      <c r="N1619" s="1">
        <v>14.37</v>
      </c>
      <c r="O1619" s="1">
        <v>12</v>
      </c>
      <c r="Q1619" s="2">
        <v>96.5</v>
      </c>
    </row>
    <row r="1620" spans="1:17" x14ac:dyDescent="0.25">
      <c r="A1620" t="s">
        <v>31</v>
      </c>
      <c r="B1620" t="s">
        <v>40</v>
      </c>
      <c r="C1620" t="str">
        <f>"556-5-BR-CO-58"</f>
        <v>556-5-BR-CO-58</v>
      </c>
      <c r="D1620" t="s">
        <v>27</v>
      </c>
      <c r="F1620" t="s">
        <v>22</v>
      </c>
      <c r="G1620" t="s">
        <v>41</v>
      </c>
      <c r="H1620">
        <v>58</v>
      </c>
      <c r="J1620" s="1">
        <v>70.13</v>
      </c>
      <c r="K1620" s="1">
        <v>0</v>
      </c>
      <c r="M1620" s="1">
        <v>0</v>
      </c>
      <c r="N1620" s="1">
        <v>14.37</v>
      </c>
      <c r="O1620" s="1">
        <v>14</v>
      </c>
      <c r="Q1620" s="2">
        <v>98.5</v>
      </c>
    </row>
    <row r="1621" spans="1:17" x14ac:dyDescent="0.25">
      <c r="A1621" t="s">
        <v>31</v>
      </c>
      <c r="B1621" t="s">
        <v>40</v>
      </c>
      <c r="C1621" t="str">
        <f>"556-5-BR-CO-60"</f>
        <v>556-5-BR-CO-60</v>
      </c>
      <c r="D1621" t="s">
        <v>27</v>
      </c>
      <c r="F1621" t="s">
        <v>22</v>
      </c>
      <c r="G1621" t="s">
        <v>41</v>
      </c>
      <c r="H1621">
        <v>60</v>
      </c>
      <c r="J1621" s="1">
        <v>70.13</v>
      </c>
      <c r="K1621" s="1">
        <v>0</v>
      </c>
      <c r="M1621" s="1">
        <v>0</v>
      </c>
      <c r="N1621" s="1">
        <v>14.37</v>
      </c>
      <c r="O1621" s="1">
        <v>16</v>
      </c>
      <c r="Q1621" s="2">
        <v>100.5</v>
      </c>
    </row>
    <row r="1622" spans="1:17" x14ac:dyDescent="0.25">
      <c r="A1622" t="s">
        <v>31</v>
      </c>
      <c r="B1622" t="s">
        <v>40</v>
      </c>
      <c r="C1622" t="str">
        <f>"556-5-BR-CO-62"</f>
        <v>556-5-BR-CO-62</v>
      </c>
      <c r="D1622" t="s">
        <v>27</v>
      </c>
      <c r="F1622" t="s">
        <v>22</v>
      </c>
      <c r="G1622" t="s">
        <v>41</v>
      </c>
      <c r="H1622">
        <v>62</v>
      </c>
      <c r="J1622" s="1">
        <v>70.13</v>
      </c>
      <c r="K1622" s="1">
        <v>0</v>
      </c>
      <c r="M1622" s="1">
        <v>0</v>
      </c>
      <c r="N1622" s="1">
        <v>14.37</v>
      </c>
      <c r="O1622" s="1">
        <v>18</v>
      </c>
      <c r="Q1622" s="2">
        <v>102.5</v>
      </c>
    </row>
    <row r="1623" spans="1:17" x14ac:dyDescent="0.25">
      <c r="A1623" t="s">
        <v>31</v>
      </c>
      <c r="B1623" t="s">
        <v>40</v>
      </c>
      <c r="C1623" t="str">
        <f>"556-5-BR-CO-64"</f>
        <v>556-5-BR-CO-64</v>
      </c>
      <c r="D1623" t="s">
        <v>27</v>
      </c>
      <c r="F1623" t="s">
        <v>22</v>
      </c>
      <c r="G1623" t="s">
        <v>41</v>
      </c>
      <c r="H1623">
        <v>64</v>
      </c>
      <c r="J1623" s="1">
        <v>70.13</v>
      </c>
      <c r="K1623" s="1">
        <v>0</v>
      </c>
      <c r="M1623" s="1">
        <v>0</v>
      </c>
      <c r="N1623" s="1">
        <v>14.37</v>
      </c>
      <c r="O1623" s="1">
        <v>20</v>
      </c>
      <c r="Q1623" s="2">
        <v>104.5</v>
      </c>
    </row>
    <row r="1624" spans="1:17" x14ac:dyDescent="0.25">
      <c r="A1624" t="s">
        <v>31</v>
      </c>
      <c r="B1624" t="s">
        <v>40</v>
      </c>
      <c r="C1624" t="str">
        <f>"556-5-BR-CO-66"</f>
        <v>556-5-BR-CO-66</v>
      </c>
      <c r="D1624" t="s">
        <v>27</v>
      </c>
      <c r="F1624" t="s">
        <v>22</v>
      </c>
      <c r="G1624" t="s">
        <v>41</v>
      </c>
      <c r="H1624">
        <v>66</v>
      </c>
      <c r="J1624" s="1">
        <v>70.13</v>
      </c>
      <c r="K1624" s="1">
        <v>0</v>
      </c>
      <c r="M1624" s="1">
        <v>0</v>
      </c>
      <c r="N1624" s="1">
        <v>14.37</v>
      </c>
      <c r="O1624" s="1">
        <v>22</v>
      </c>
      <c r="Q1624" s="2">
        <v>106.5</v>
      </c>
    </row>
    <row r="1625" spans="1:17" x14ac:dyDescent="0.25">
      <c r="A1625" t="s">
        <v>31</v>
      </c>
      <c r="B1625" t="s">
        <v>40</v>
      </c>
      <c r="C1625" t="str">
        <f>"556-5-BR-CO-68"</f>
        <v>556-5-BR-CO-68</v>
      </c>
      <c r="D1625" t="s">
        <v>27</v>
      </c>
      <c r="F1625" t="s">
        <v>22</v>
      </c>
      <c r="G1625" t="s">
        <v>41</v>
      </c>
      <c r="H1625">
        <v>68</v>
      </c>
      <c r="J1625" s="1">
        <v>70.13</v>
      </c>
      <c r="K1625" s="1">
        <v>0</v>
      </c>
      <c r="M1625" s="1">
        <v>0</v>
      </c>
      <c r="N1625" s="1">
        <v>14.37</v>
      </c>
      <c r="O1625" s="1">
        <v>24</v>
      </c>
      <c r="Q1625" s="2">
        <v>108.5</v>
      </c>
    </row>
    <row r="1626" spans="1:17" x14ac:dyDescent="0.25">
      <c r="A1626" t="s">
        <v>31</v>
      </c>
      <c r="B1626" t="s">
        <v>40</v>
      </c>
      <c r="C1626" t="str">
        <f>"556-5-BR-CO-70"</f>
        <v>556-5-BR-CO-70</v>
      </c>
      <c r="D1626" t="s">
        <v>27</v>
      </c>
      <c r="F1626" t="s">
        <v>22</v>
      </c>
      <c r="G1626" t="s">
        <v>41</v>
      </c>
      <c r="H1626">
        <v>70</v>
      </c>
      <c r="J1626" s="1">
        <v>70.13</v>
      </c>
      <c r="K1626" s="1">
        <v>0</v>
      </c>
      <c r="M1626" s="1">
        <v>0</v>
      </c>
      <c r="N1626" s="1">
        <v>14.37</v>
      </c>
      <c r="O1626" s="1">
        <v>26</v>
      </c>
      <c r="Q1626" s="2">
        <v>110.5</v>
      </c>
    </row>
    <row r="1627" spans="1:17" x14ac:dyDescent="0.25">
      <c r="A1627" t="s">
        <v>31</v>
      </c>
      <c r="B1627" t="s">
        <v>40</v>
      </c>
      <c r="C1627" t="str">
        <f>"556-5-BR-CO-72"</f>
        <v>556-5-BR-CO-72</v>
      </c>
      <c r="D1627" t="s">
        <v>27</v>
      </c>
      <c r="F1627" t="s">
        <v>22</v>
      </c>
      <c r="G1627" t="s">
        <v>41</v>
      </c>
      <c r="H1627">
        <v>72</v>
      </c>
      <c r="J1627" s="1">
        <v>70.13</v>
      </c>
      <c r="K1627" s="1">
        <v>0</v>
      </c>
      <c r="M1627" s="1">
        <v>0</v>
      </c>
      <c r="N1627" s="1">
        <v>14.37</v>
      </c>
      <c r="O1627" s="1">
        <v>28</v>
      </c>
      <c r="Q1627" s="2">
        <v>112.5</v>
      </c>
    </row>
    <row r="1628" spans="1:17" x14ac:dyDescent="0.25">
      <c r="A1628" t="s">
        <v>31</v>
      </c>
      <c r="B1628" t="s">
        <v>40</v>
      </c>
      <c r="C1628" t="str">
        <f>"556-5-BR-CO-74"</f>
        <v>556-5-BR-CO-74</v>
      </c>
      <c r="D1628" t="s">
        <v>27</v>
      </c>
      <c r="F1628" t="s">
        <v>22</v>
      </c>
      <c r="G1628" t="s">
        <v>41</v>
      </c>
      <c r="H1628">
        <v>74</v>
      </c>
      <c r="J1628" s="1">
        <v>70.13</v>
      </c>
      <c r="K1628" s="1">
        <v>0</v>
      </c>
      <c r="M1628" s="1">
        <v>0</v>
      </c>
      <c r="N1628" s="1">
        <v>14.37</v>
      </c>
      <c r="O1628" s="1">
        <v>30</v>
      </c>
      <c r="Q1628" s="2">
        <v>114.5</v>
      </c>
    </row>
    <row r="1629" spans="1:17" x14ac:dyDescent="0.25">
      <c r="A1629" t="s">
        <v>31</v>
      </c>
      <c r="B1629" t="s">
        <v>40</v>
      </c>
      <c r="C1629" t="str">
        <f>"556-5-BR-CO-76"</f>
        <v>556-5-BR-CO-76</v>
      </c>
      <c r="D1629" t="s">
        <v>27</v>
      </c>
      <c r="F1629" t="s">
        <v>22</v>
      </c>
      <c r="G1629" t="s">
        <v>41</v>
      </c>
      <c r="H1629">
        <v>76</v>
      </c>
      <c r="J1629" s="1">
        <v>70.13</v>
      </c>
      <c r="K1629" s="1">
        <v>0</v>
      </c>
      <c r="M1629" s="1">
        <v>0</v>
      </c>
      <c r="N1629" s="1">
        <v>14.37</v>
      </c>
      <c r="O1629" s="1">
        <v>32</v>
      </c>
      <c r="Q1629" s="2">
        <v>116.5</v>
      </c>
    </row>
    <row r="1630" spans="1:17" x14ac:dyDescent="0.25">
      <c r="A1630" t="s">
        <v>31</v>
      </c>
      <c r="B1630" t="s">
        <v>40</v>
      </c>
      <c r="C1630" t="str">
        <f>"556-5-BR-CO-78"</f>
        <v>556-5-BR-CO-78</v>
      </c>
      <c r="D1630" t="s">
        <v>27</v>
      </c>
      <c r="F1630" t="s">
        <v>22</v>
      </c>
      <c r="G1630" t="s">
        <v>41</v>
      </c>
      <c r="H1630">
        <v>78</v>
      </c>
      <c r="J1630" s="1">
        <v>70.13</v>
      </c>
      <c r="K1630" s="1">
        <v>0</v>
      </c>
      <c r="M1630" s="1">
        <v>0</v>
      </c>
      <c r="N1630" s="1">
        <v>14.37</v>
      </c>
      <c r="O1630" s="1">
        <v>34</v>
      </c>
      <c r="Q1630" s="2">
        <v>118.5</v>
      </c>
    </row>
    <row r="1631" spans="1:17" x14ac:dyDescent="0.25">
      <c r="A1631" t="s">
        <v>31</v>
      </c>
      <c r="B1631" t="s">
        <v>40</v>
      </c>
      <c r="C1631" t="str">
        <f>"556-5-BR-CO-80"</f>
        <v>556-5-BR-CO-80</v>
      </c>
      <c r="D1631" t="s">
        <v>27</v>
      </c>
      <c r="F1631" t="s">
        <v>22</v>
      </c>
      <c r="G1631" t="s">
        <v>41</v>
      </c>
      <c r="H1631">
        <v>80</v>
      </c>
      <c r="J1631" s="1">
        <v>70.13</v>
      </c>
      <c r="K1631" s="1">
        <v>0</v>
      </c>
      <c r="M1631" s="1">
        <v>0</v>
      </c>
      <c r="N1631" s="1">
        <v>14.37</v>
      </c>
      <c r="O1631" s="1">
        <v>36</v>
      </c>
      <c r="Q1631" s="2">
        <v>120.5</v>
      </c>
    </row>
    <row r="1632" spans="1:17" x14ac:dyDescent="0.25">
      <c r="A1632" t="s">
        <v>31</v>
      </c>
      <c r="B1632" t="s">
        <v>40</v>
      </c>
      <c r="C1632" t="str">
        <f>"556-5-BR-SU-22"</f>
        <v>556-5-BR-SU-22</v>
      </c>
      <c r="D1632" t="s">
        <v>27</v>
      </c>
      <c r="F1632" t="s">
        <v>22</v>
      </c>
      <c r="G1632" t="s">
        <v>42</v>
      </c>
      <c r="H1632">
        <v>22</v>
      </c>
      <c r="J1632" s="1">
        <v>70.13</v>
      </c>
      <c r="K1632" s="1">
        <v>0</v>
      </c>
      <c r="M1632" s="1">
        <v>0</v>
      </c>
      <c r="N1632" s="1">
        <v>0</v>
      </c>
      <c r="O1632" s="1">
        <v>0</v>
      </c>
      <c r="Q1632" s="2">
        <v>70.13</v>
      </c>
    </row>
    <row r="1633" spans="1:17" x14ac:dyDescent="0.25">
      <c r="A1633" t="s">
        <v>31</v>
      </c>
      <c r="B1633" t="s">
        <v>40</v>
      </c>
      <c r="C1633" t="str">
        <f>"556-5-BR-SU-24"</f>
        <v>556-5-BR-SU-24</v>
      </c>
      <c r="D1633" t="s">
        <v>27</v>
      </c>
      <c r="F1633" t="s">
        <v>22</v>
      </c>
      <c r="G1633" t="s">
        <v>42</v>
      </c>
      <c r="H1633">
        <v>24</v>
      </c>
      <c r="J1633" s="1">
        <v>70.13</v>
      </c>
      <c r="K1633" s="1">
        <v>0</v>
      </c>
      <c r="M1633" s="1">
        <v>0</v>
      </c>
      <c r="N1633" s="1">
        <v>0</v>
      </c>
      <c r="O1633" s="1">
        <v>0</v>
      </c>
      <c r="Q1633" s="2">
        <v>70.13</v>
      </c>
    </row>
    <row r="1634" spans="1:17" x14ac:dyDescent="0.25">
      <c r="A1634" t="s">
        <v>31</v>
      </c>
      <c r="B1634" t="s">
        <v>40</v>
      </c>
      <c r="C1634" t="str">
        <f>"556-5-BR-SU-26"</f>
        <v>556-5-BR-SU-26</v>
      </c>
      <c r="D1634" t="s">
        <v>27</v>
      </c>
      <c r="F1634" t="s">
        <v>22</v>
      </c>
      <c r="G1634" t="s">
        <v>42</v>
      </c>
      <c r="H1634">
        <v>26</v>
      </c>
      <c r="J1634" s="1">
        <v>70.13</v>
      </c>
      <c r="K1634" s="1">
        <v>0</v>
      </c>
      <c r="M1634" s="1">
        <v>0</v>
      </c>
      <c r="N1634" s="1">
        <v>0</v>
      </c>
      <c r="O1634" s="1">
        <v>0</v>
      </c>
      <c r="Q1634" s="2">
        <v>70.13</v>
      </c>
    </row>
    <row r="1635" spans="1:17" x14ac:dyDescent="0.25">
      <c r="A1635" t="s">
        <v>31</v>
      </c>
      <c r="B1635" t="s">
        <v>40</v>
      </c>
      <c r="C1635" t="str">
        <f>"556-5-BR-SU-28"</f>
        <v>556-5-BR-SU-28</v>
      </c>
      <c r="D1635" t="s">
        <v>27</v>
      </c>
      <c r="F1635" t="s">
        <v>22</v>
      </c>
      <c r="G1635" t="s">
        <v>42</v>
      </c>
      <c r="H1635">
        <v>28</v>
      </c>
      <c r="J1635" s="1">
        <v>70.13</v>
      </c>
      <c r="K1635" s="1">
        <v>0</v>
      </c>
      <c r="M1635" s="1">
        <v>0</v>
      </c>
      <c r="N1635" s="1">
        <v>0</v>
      </c>
      <c r="O1635" s="1">
        <v>0</v>
      </c>
      <c r="Q1635" s="2">
        <v>70.13</v>
      </c>
    </row>
    <row r="1636" spans="1:17" x14ac:dyDescent="0.25">
      <c r="A1636" t="s">
        <v>31</v>
      </c>
      <c r="B1636" t="s">
        <v>40</v>
      </c>
      <c r="C1636" t="str">
        <f>"556-5-BR-SU-30"</f>
        <v>556-5-BR-SU-30</v>
      </c>
      <c r="D1636" t="s">
        <v>27</v>
      </c>
      <c r="F1636" t="s">
        <v>22</v>
      </c>
      <c r="G1636" t="s">
        <v>42</v>
      </c>
      <c r="H1636">
        <v>30</v>
      </c>
      <c r="J1636" s="1">
        <v>70.13</v>
      </c>
      <c r="K1636" s="1">
        <v>0</v>
      </c>
      <c r="M1636" s="1">
        <v>0</v>
      </c>
      <c r="N1636" s="1">
        <v>0</v>
      </c>
      <c r="O1636" s="1">
        <v>0</v>
      </c>
      <c r="Q1636" s="2">
        <v>70.13</v>
      </c>
    </row>
    <row r="1637" spans="1:17" x14ac:dyDescent="0.25">
      <c r="A1637" t="s">
        <v>31</v>
      </c>
      <c r="B1637" t="s">
        <v>40</v>
      </c>
      <c r="C1637" t="str">
        <f>"556-5-BR-SU-32"</f>
        <v>556-5-BR-SU-32</v>
      </c>
      <c r="D1637" t="s">
        <v>27</v>
      </c>
      <c r="F1637" t="s">
        <v>22</v>
      </c>
      <c r="G1637" t="s">
        <v>42</v>
      </c>
      <c r="H1637">
        <v>32</v>
      </c>
      <c r="J1637" s="1">
        <v>70.13</v>
      </c>
      <c r="K1637" s="1">
        <v>0</v>
      </c>
      <c r="M1637" s="1">
        <v>0</v>
      </c>
      <c r="N1637" s="1">
        <v>0</v>
      </c>
      <c r="O1637" s="1">
        <v>0</v>
      </c>
      <c r="Q1637" s="2">
        <v>70.13</v>
      </c>
    </row>
    <row r="1638" spans="1:17" x14ac:dyDescent="0.25">
      <c r="A1638" t="s">
        <v>31</v>
      </c>
      <c r="B1638" t="s">
        <v>40</v>
      </c>
      <c r="C1638" t="str">
        <f>"556-5-BR-SU-34"</f>
        <v>556-5-BR-SU-34</v>
      </c>
      <c r="D1638" t="s">
        <v>27</v>
      </c>
      <c r="F1638" t="s">
        <v>22</v>
      </c>
      <c r="G1638" t="s">
        <v>42</v>
      </c>
      <c r="H1638">
        <v>34</v>
      </c>
      <c r="J1638" s="1">
        <v>70.13</v>
      </c>
      <c r="K1638" s="1">
        <v>0</v>
      </c>
      <c r="M1638" s="1">
        <v>0</v>
      </c>
      <c r="N1638" s="1">
        <v>0</v>
      </c>
      <c r="O1638" s="1">
        <v>0</v>
      </c>
      <c r="Q1638" s="2">
        <v>70.13</v>
      </c>
    </row>
    <row r="1639" spans="1:17" x14ac:dyDescent="0.25">
      <c r="A1639" t="s">
        <v>31</v>
      </c>
      <c r="B1639" t="s">
        <v>40</v>
      </c>
      <c r="C1639" t="str">
        <f>"556-5-BR-SU-36"</f>
        <v>556-5-BR-SU-36</v>
      </c>
      <c r="D1639" t="s">
        <v>27</v>
      </c>
      <c r="F1639" t="s">
        <v>22</v>
      </c>
      <c r="G1639" t="s">
        <v>42</v>
      </c>
      <c r="H1639">
        <v>36</v>
      </c>
      <c r="J1639" s="1">
        <v>70.13</v>
      </c>
      <c r="K1639" s="1">
        <v>0</v>
      </c>
      <c r="M1639" s="1">
        <v>0</v>
      </c>
      <c r="N1639" s="1">
        <v>0</v>
      </c>
      <c r="O1639" s="1">
        <v>0</v>
      </c>
      <c r="Q1639" s="2">
        <v>70.13</v>
      </c>
    </row>
    <row r="1640" spans="1:17" x14ac:dyDescent="0.25">
      <c r="A1640" t="s">
        <v>31</v>
      </c>
      <c r="B1640" t="s">
        <v>40</v>
      </c>
      <c r="C1640" t="str">
        <f>"556-5-BR-SU-38"</f>
        <v>556-5-BR-SU-38</v>
      </c>
      <c r="D1640" t="s">
        <v>27</v>
      </c>
      <c r="F1640" t="s">
        <v>22</v>
      </c>
      <c r="G1640" t="s">
        <v>42</v>
      </c>
      <c r="H1640">
        <v>38</v>
      </c>
      <c r="J1640" s="1">
        <v>70.13</v>
      </c>
      <c r="K1640" s="1">
        <v>0</v>
      </c>
      <c r="M1640" s="1">
        <v>0</v>
      </c>
      <c r="N1640" s="1">
        <v>0</v>
      </c>
      <c r="O1640" s="1">
        <v>0</v>
      </c>
      <c r="Q1640" s="2">
        <v>70.13</v>
      </c>
    </row>
    <row r="1641" spans="1:17" x14ac:dyDescent="0.25">
      <c r="A1641" t="s">
        <v>31</v>
      </c>
      <c r="B1641" t="s">
        <v>40</v>
      </c>
      <c r="C1641" t="str">
        <f>"556-5-BR-SU-40"</f>
        <v>556-5-BR-SU-40</v>
      </c>
      <c r="D1641" t="s">
        <v>27</v>
      </c>
      <c r="F1641" t="s">
        <v>22</v>
      </c>
      <c r="G1641" t="s">
        <v>42</v>
      </c>
      <c r="H1641">
        <v>40</v>
      </c>
      <c r="J1641" s="1">
        <v>70.13</v>
      </c>
      <c r="K1641" s="1">
        <v>0</v>
      </c>
      <c r="M1641" s="1">
        <v>0</v>
      </c>
      <c r="N1641" s="1">
        <v>0</v>
      </c>
      <c r="O1641" s="1">
        <v>0</v>
      </c>
      <c r="Q1641" s="2">
        <v>70.13</v>
      </c>
    </row>
    <row r="1642" spans="1:17" x14ac:dyDescent="0.25">
      <c r="A1642" t="s">
        <v>31</v>
      </c>
      <c r="B1642" t="s">
        <v>40</v>
      </c>
      <c r="C1642" t="str">
        <f>"556-5-BR-SU-42"</f>
        <v>556-5-BR-SU-42</v>
      </c>
      <c r="D1642" t="s">
        <v>27</v>
      </c>
      <c r="F1642" t="s">
        <v>22</v>
      </c>
      <c r="G1642" t="s">
        <v>42</v>
      </c>
      <c r="H1642">
        <v>42</v>
      </c>
      <c r="J1642" s="1">
        <v>70.13</v>
      </c>
      <c r="K1642" s="1">
        <v>0</v>
      </c>
      <c r="M1642" s="1">
        <v>0</v>
      </c>
      <c r="N1642" s="1">
        <v>0</v>
      </c>
      <c r="O1642" s="1">
        <v>0</v>
      </c>
      <c r="Q1642" s="2">
        <v>70.13</v>
      </c>
    </row>
    <row r="1643" spans="1:17" x14ac:dyDescent="0.25">
      <c r="A1643" t="s">
        <v>31</v>
      </c>
      <c r="B1643" t="s">
        <v>40</v>
      </c>
      <c r="C1643" t="str">
        <f>"556-5-BR-SU-44"</f>
        <v>556-5-BR-SU-44</v>
      </c>
      <c r="D1643" t="s">
        <v>27</v>
      </c>
      <c r="F1643" t="s">
        <v>22</v>
      </c>
      <c r="G1643" t="s">
        <v>42</v>
      </c>
      <c r="H1643">
        <v>44</v>
      </c>
      <c r="J1643" s="1">
        <v>70.13</v>
      </c>
      <c r="K1643" s="1">
        <v>0</v>
      </c>
      <c r="M1643" s="1">
        <v>0</v>
      </c>
      <c r="N1643" s="1">
        <v>0</v>
      </c>
      <c r="O1643" s="1">
        <v>0</v>
      </c>
      <c r="Q1643" s="2">
        <v>70.13</v>
      </c>
    </row>
    <row r="1644" spans="1:17" x14ac:dyDescent="0.25">
      <c r="A1644" t="s">
        <v>31</v>
      </c>
      <c r="B1644" t="s">
        <v>40</v>
      </c>
      <c r="C1644" t="str">
        <f>"556-5-BR-SU-46"</f>
        <v>556-5-BR-SU-46</v>
      </c>
      <c r="D1644" t="s">
        <v>27</v>
      </c>
      <c r="F1644" t="s">
        <v>22</v>
      </c>
      <c r="G1644" t="s">
        <v>42</v>
      </c>
      <c r="H1644">
        <v>46</v>
      </c>
      <c r="J1644" s="1">
        <v>70.13</v>
      </c>
      <c r="K1644" s="1">
        <v>0</v>
      </c>
      <c r="M1644" s="1">
        <v>0</v>
      </c>
      <c r="N1644" s="1">
        <v>0</v>
      </c>
      <c r="O1644" s="1">
        <v>5.0999999999999996</v>
      </c>
      <c r="Q1644" s="2">
        <v>75.23</v>
      </c>
    </row>
    <row r="1645" spans="1:17" x14ac:dyDescent="0.25">
      <c r="A1645" t="s">
        <v>31</v>
      </c>
      <c r="B1645" t="s">
        <v>40</v>
      </c>
      <c r="C1645" t="str">
        <f>"556-5-BR-SU-48"</f>
        <v>556-5-BR-SU-48</v>
      </c>
      <c r="D1645" t="s">
        <v>27</v>
      </c>
      <c r="F1645" t="s">
        <v>22</v>
      </c>
      <c r="G1645" t="s">
        <v>42</v>
      </c>
      <c r="H1645">
        <v>48</v>
      </c>
      <c r="J1645" s="1">
        <v>70.13</v>
      </c>
      <c r="K1645" s="1">
        <v>0</v>
      </c>
      <c r="M1645" s="1">
        <v>0</v>
      </c>
      <c r="N1645" s="1">
        <v>0</v>
      </c>
      <c r="O1645" s="1">
        <v>6.8</v>
      </c>
      <c r="Q1645" s="2">
        <v>76.930000000000007</v>
      </c>
    </row>
    <row r="1646" spans="1:17" x14ac:dyDescent="0.25">
      <c r="A1646" t="s">
        <v>31</v>
      </c>
      <c r="B1646" t="s">
        <v>40</v>
      </c>
      <c r="C1646" t="str">
        <f>"556-5-BR-SU-50"</f>
        <v>556-5-BR-SU-50</v>
      </c>
      <c r="D1646" t="s">
        <v>27</v>
      </c>
      <c r="F1646" t="s">
        <v>22</v>
      </c>
      <c r="G1646" t="s">
        <v>42</v>
      </c>
      <c r="H1646">
        <v>50</v>
      </c>
      <c r="J1646" s="1">
        <v>70.13</v>
      </c>
      <c r="K1646" s="1">
        <v>0</v>
      </c>
      <c r="M1646" s="1">
        <v>0</v>
      </c>
      <c r="N1646" s="1">
        <v>0</v>
      </c>
      <c r="O1646" s="1">
        <v>8.5</v>
      </c>
      <c r="Q1646" s="2">
        <v>78.63</v>
      </c>
    </row>
    <row r="1647" spans="1:17" x14ac:dyDescent="0.25">
      <c r="A1647" t="s">
        <v>31</v>
      </c>
      <c r="B1647" t="s">
        <v>40</v>
      </c>
      <c r="C1647" t="str">
        <f>"556-5-BR-SU-52"</f>
        <v>556-5-BR-SU-52</v>
      </c>
      <c r="D1647" t="s">
        <v>27</v>
      </c>
      <c r="F1647" t="s">
        <v>22</v>
      </c>
      <c r="G1647" t="s">
        <v>42</v>
      </c>
      <c r="H1647">
        <v>52</v>
      </c>
      <c r="J1647" s="1">
        <v>70.13</v>
      </c>
      <c r="K1647" s="1">
        <v>0</v>
      </c>
      <c r="M1647" s="1">
        <v>0</v>
      </c>
      <c r="N1647" s="1">
        <v>0</v>
      </c>
      <c r="O1647" s="1">
        <v>10.199999999999999</v>
      </c>
      <c r="Q1647" s="2">
        <v>80.33</v>
      </c>
    </row>
    <row r="1648" spans="1:17" x14ac:dyDescent="0.25">
      <c r="A1648" t="s">
        <v>31</v>
      </c>
      <c r="B1648" t="s">
        <v>40</v>
      </c>
      <c r="C1648" t="str">
        <f>"556-5-BR-SU-54"</f>
        <v>556-5-BR-SU-54</v>
      </c>
      <c r="D1648" t="s">
        <v>27</v>
      </c>
      <c r="F1648" t="s">
        <v>22</v>
      </c>
      <c r="G1648" t="s">
        <v>42</v>
      </c>
      <c r="H1648">
        <v>54</v>
      </c>
      <c r="J1648" s="1">
        <v>70.13</v>
      </c>
      <c r="K1648" s="1">
        <v>0</v>
      </c>
      <c r="M1648" s="1">
        <v>0</v>
      </c>
      <c r="N1648" s="1">
        <v>0</v>
      </c>
      <c r="O1648" s="1">
        <v>11.9</v>
      </c>
      <c r="Q1648" s="2">
        <v>82.03</v>
      </c>
    </row>
    <row r="1649" spans="1:17" x14ac:dyDescent="0.25">
      <c r="A1649" t="s">
        <v>31</v>
      </c>
      <c r="B1649" t="s">
        <v>40</v>
      </c>
      <c r="C1649" t="str">
        <f>"556-5-BR-SU-56"</f>
        <v>556-5-BR-SU-56</v>
      </c>
      <c r="D1649" t="s">
        <v>27</v>
      </c>
      <c r="F1649" t="s">
        <v>22</v>
      </c>
      <c r="G1649" t="s">
        <v>42</v>
      </c>
      <c r="H1649">
        <v>56</v>
      </c>
      <c r="J1649" s="1">
        <v>70.13</v>
      </c>
      <c r="K1649" s="1">
        <v>0</v>
      </c>
      <c r="M1649" s="1">
        <v>0</v>
      </c>
      <c r="N1649" s="1">
        <v>0</v>
      </c>
      <c r="O1649" s="1">
        <v>13.6</v>
      </c>
      <c r="Q1649" s="2">
        <v>83.73</v>
      </c>
    </row>
    <row r="1650" spans="1:17" x14ac:dyDescent="0.25">
      <c r="A1650" t="s">
        <v>31</v>
      </c>
      <c r="B1650" t="s">
        <v>40</v>
      </c>
      <c r="C1650" t="str">
        <f>"556-5-BR-SU-58"</f>
        <v>556-5-BR-SU-58</v>
      </c>
      <c r="D1650" t="s">
        <v>27</v>
      </c>
      <c r="F1650" t="s">
        <v>22</v>
      </c>
      <c r="G1650" t="s">
        <v>42</v>
      </c>
      <c r="H1650">
        <v>58</v>
      </c>
      <c r="J1650" s="1">
        <v>70.13</v>
      </c>
      <c r="K1650" s="1">
        <v>0</v>
      </c>
      <c r="M1650" s="1">
        <v>0</v>
      </c>
      <c r="N1650" s="1">
        <v>0</v>
      </c>
      <c r="O1650" s="1">
        <v>15.3</v>
      </c>
      <c r="Q1650" s="2">
        <v>85.43</v>
      </c>
    </row>
    <row r="1651" spans="1:17" x14ac:dyDescent="0.25">
      <c r="A1651" t="s">
        <v>31</v>
      </c>
      <c r="B1651" t="s">
        <v>40</v>
      </c>
      <c r="C1651" t="str">
        <f>"556-5-BR-SU-60"</f>
        <v>556-5-BR-SU-60</v>
      </c>
      <c r="D1651" t="s">
        <v>27</v>
      </c>
      <c r="F1651" t="s">
        <v>22</v>
      </c>
      <c r="G1651" t="s">
        <v>42</v>
      </c>
      <c r="H1651">
        <v>60</v>
      </c>
      <c r="J1651" s="1">
        <v>70.13</v>
      </c>
      <c r="K1651" s="1">
        <v>0</v>
      </c>
      <c r="M1651" s="1">
        <v>0</v>
      </c>
      <c r="N1651" s="1">
        <v>0</v>
      </c>
      <c r="O1651" s="1">
        <v>17</v>
      </c>
      <c r="Q1651" s="2">
        <v>87.13</v>
      </c>
    </row>
    <row r="1652" spans="1:17" x14ac:dyDescent="0.25">
      <c r="A1652" t="s">
        <v>31</v>
      </c>
      <c r="B1652" t="s">
        <v>40</v>
      </c>
      <c r="C1652" t="str">
        <f>"556-5-BR-SU-62"</f>
        <v>556-5-BR-SU-62</v>
      </c>
      <c r="D1652" t="s">
        <v>27</v>
      </c>
      <c r="F1652" t="s">
        <v>22</v>
      </c>
      <c r="G1652" t="s">
        <v>42</v>
      </c>
      <c r="H1652">
        <v>62</v>
      </c>
      <c r="J1652" s="1">
        <v>70.13</v>
      </c>
      <c r="K1652" s="1">
        <v>0</v>
      </c>
      <c r="M1652" s="1">
        <v>0</v>
      </c>
      <c r="N1652" s="1">
        <v>0</v>
      </c>
      <c r="O1652" s="1">
        <v>18.7</v>
      </c>
      <c r="Q1652" s="2">
        <v>88.83</v>
      </c>
    </row>
    <row r="1653" spans="1:17" x14ac:dyDescent="0.25">
      <c r="A1653" t="s">
        <v>31</v>
      </c>
      <c r="B1653" t="s">
        <v>40</v>
      </c>
      <c r="C1653" t="str">
        <f>"556-5-BR-SU-64"</f>
        <v>556-5-BR-SU-64</v>
      </c>
      <c r="D1653" t="s">
        <v>27</v>
      </c>
      <c r="F1653" t="s">
        <v>22</v>
      </c>
      <c r="G1653" t="s">
        <v>42</v>
      </c>
      <c r="H1653">
        <v>64</v>
      </c>
      <c r="J1653" s="1">
        <v>70.13</v>
      </c>
      <c r="K1653" s="1">
        <v>0</v>
      </c>
      <c r="M1653" s="1">
        <v>0</v>
      </c>
      <c r="N1653" s="1">
        <v>0</v>
      </c>
      <c r="O1653" s="1">
        <v>18.7</v>
      </c>
      <c r="Q1653" s="2">
        <v>88.83</v>
      </c>
    </row>
    <row r="1654" spans="1:17" x14ac:dyDescent="0.25">
      <c r="A1654" t="s">
        <v>31</v>
      </c>
      <c r="B1654" t="s">
        <v>40</v>
      </c>
      <c r="C1654" t="str">
        <f>"556-5-BR-SU-66"</f>
        <v>556-5-BR-SU-66</v>
      </c>
      <c r="D1654" t="s">
        <v>27</v>
      </c>
      <c r="F1654" t="s">
        <v>22</v>
      </c>
      <c r="G1654" t="s">
        <v>42</v>
      </c>
      <c r="H1654">
        <v>66</v>
      </c>
      <c r="J1654" s="1">
        <v>70.13</v>
      </c>
      <c r="K1654" s="1">
        <v>0</v>
      </c>
      <c r="M1654" s="1">
        <v>0</v>
      </c>
      <c r="N1654" s="1">
        <v>0</v>
      </c>
      <c r="O1654" s="1">
        <v>18.7</v>
      </c>
      <c r="Q1654" s="2">
        <v>88.83</v>
      </c>
    </row>
    <row r="1655" spans="1:17" x14ac:dyDescent="0.25">
      <c r="A1655" t="s">
        <v>31</v>
      </c>
      <c r="B1655" t="s">
        <v>40</v>
      </c>
      <c r="C1655" t="str">
        <f>"556-5-BR-SU-68"</f>
        <v>556-5-BR-SU-68</v>
      </c>
      <c r="D1655" t="s">
        <v>27</v>
      </c>
      <c r="F1655" t="s">
        <v>22</v>
      </c>
      <c r="G1655" t="s">
        <v>42</v>
      </c>
      <c r="H1655">
        <v>68</v>
      </c>
      <c r="J1655" s="1">
        <v>70.13</v>
      </c>
      <c r="K1655" s="1">
        <v>0</v>
      </c>
      <c r="M1655" s="1">
        <v>0</v>
      </c>
      <c r="N1655" s="1">
        <v>0</v>
      </c>
      <c r="O1655" s="1">
        <v>20.399999999999999</v>
      </c>
      <c r="Q1655" s="2">
        <v>90.53</v>
      </c>
    </row>
    <row r="1656" spans="1:17" x14ac:dyDescent="0.25">
      <c r="A1656" t="s">
        <v>31</v>
      </c>
      <c r="B1656" t="s">
        <v>40</v>
      </c>
      <c r="C1656" t="str">
        <f>"556-5-BR-SU-70"</f>
        <v>556-5-BR-SU-70</v>
      </c>
      <c r="D1656" t="s">
        <v>27</v>
      </c>
      <c r="F1656" t="s">
        <v>22</v>
      </c>
      <c r="G1656" t="s">
        <v>42</v>
      </c>
      <c r="H1656">
        <v>70</v>
      </c>
      <c r="J1656" s="1">
        <v>70.13</v>
      </c>
      <c r="K1656" s="1">
        <v>0</v>
      </c>
      <c r="M1656" s="1">
        <v>0</v>
      </c>
      <c r="N1656" s="1">
        <v>0</v>
      </c>
      <c r="O1656" s="1">
        <v>22.1</v>
      </c>
      <c r="Q1656" s="2">
        <v>92.23</v>
      </c>
    </row>
    <row r="1657" spans="1:17" x14ac:dyDescent="0.25">
      <c r="A1657" t="s">
        <v>31</v>
      </c>
      <c r="B1657" t="s">
        <v>40</v>
      </c>
      <c r="C1657" t="str">
        <f>"556-5-BR-SU-72"</f>
        <v>556-5-BR-SU-72</v>
      </c>
      <c r="D1657" t="s">
        <v>27</v>
      </c>
      <c r="F1657" t="s">
        <v>22</v>
      </c>
      <c r="G1657" t="s">
        <v>42</v>
      </c>
      <c r="H1657">
        <v>72</v>
      </c>
      <c r="J1657" s="1">
        <v>70.13</v>
      </c>
      <c r="K1657" s="1">
        <v>0</v>
      </c>
      <c r="M1657" s="1">
        <v>0</v>
      </c>
      <c r="N1657" s="1">
        <v>0</v>
      </c>
      <c r="O1657" s="1">
        <v>23.8</v>
      </c>
      <c r="Q1657" s="2">
        <v>93.93</v>
      </c>
    </row>
    <row r="1658" spans="1:17" x14ac:dyDescent="0.25">
      <c r="A1658" t="s">
        <v>31</v>
      </c>
      <c r="B1658" t="s">
        <v>40</v>
      </c>
      <c r="C1658" t="str">
        <f>"556-5-BR-SU-74"</f>
        <v>556-5-BR-SU-74</v>
      </c>
      <c r="D1658" t="s">
        <v>27</v>
      </c>
      <c r="F1658" t="s">
        <v>22</v>
      </c>
      <c r="G1658" t="s">
        <v>42</v>
      </c>
      <c r="H1658">
        <v>74</v>
      </c>
      <c r="J1658" s="1">
        <v>70.13</v>
      </c>
      <c r="K1658" s="1">
        <v>0</v>
      </c>
      <c r="M1658" s="1">
        <v>0</v>
      </c>
      <c r="N1658" s="1">
        <v>0</v>
      </c>
      <c r="O1658" s="1">
        <v>25.5</v>
      </c>
      <c r="Q1658" s="2">
        <v>95.63</v>
      </c>
    </row>
    <row r="1659" spans="1:17" x14ac:dyDescent="0.25">
      <c r="A1659" t="s">
        <v>31</v>
      </c>
      <c r="B1659" t="s">
        <v>40</v>
      </c>
      <c r="C1659" t="str">
        <f>"556-5-BR-SU-76"</f>
        <v>556-5-BR-SU-76</v>
      </c>
      <c r="D1659" t="s">
        <v>27</v>
      </c>
      <c r="F1659" t="s">
        <v>22</v>
      </c>
      <c r="G1659" t="s">
        <v>42</v>
      </c>
      <c r="H1659">
        <v>76</v>
      </c>
      <c r="J1659" s="1">
        <v>70.13</v>
      </c>
      <c r="K1659" s="1">
        <v>0</v>
      </c>
      <c r="M1659" s="1">
        <v>0</v>
      </c>
      <c r="N1659" s="1">
        <v>0</v>
      </c>
      <c r="O1659" s="1">
        <v>27.2</v>
      </c>
      <c r="Q1659" s="2">
        <v>97.33</v>
      </c>
    </row>
    <row r="1660" spans="1:17" x14ac:dyDescent="0.25">
      <c r="A1660" t="s">
        <v>31</v>
      </c>
      <c r="B1660" t="s">
        <v>40</v>
      </c>
      <c r="C1660" t="str">
        <f>"556-5-BR-SU-78"</f>
        <v>556-5-BR-SU-78</v>
      </c>
      <c r="D1660" t="s">
        <v>27</v>
      </c>
      <c r="F1660" t="s">
        <v>22</v>
      </c>
      <c r="G1660" t="s">
        <v>42</v>
      </c>
      <c r="H1660">
        <v>78</v>
      </c>
      <c r="J1660" s="1">
        <v>70.13</v>
      </c>
      <c r="K1660" s="1">
        <v>0</v>
      </c>
      <c r="M1660" s="1">
        <v>0</v>
      </c>
      <c r="N1660" s="1">
        <v>0</v>
      </c>
      <c r="O1660" s="1">
        <v>28.9</v>
      </c>
      <c r="Q1660" s="2">
        <v>99.03</v>
      </c>
    </row>
    <row r="1661" spans="1:17" x14ac:dyDescent="0.25">
      <c r="A1661" t="s">
        <v>31</v>
      </c>
      <c r="B1661" t="s">
        <v>40</v>
      </c>
      <c r="C1661" t="str">
        <f>"556-5-BR-SU-80"</f>
        <v>556-5-BR-SU-80</v>
      </c>
      <c r="D1661" t="s">
        <v>27</v>
      </c>
      <c r="F1661" t="s">
        <v>22</v>
      </c>
      <c r="G1661" t="s">
        <v>42</v>
      </c>
      <c r="H1661">
        <v>80</v>
      </c>
      <c r="J1661" s="1">
        <v>70.13</v>
      </c>
      <c r="K1661" s="1">
        <v>0</v>
      </c>
      <c r="M1661" s="1">
        <v>0</v>
      </c>
      <c r="N1661" s="1">
        <v>0</v>
      </c>
      <c r="O1661" s="1">
        <v>30.6</v>
      </c>
      <c r="Q1661" s="2">
        <v>100.73</v>
      </c>
    </row>
    <row r="1662" spans="1:17" x14ac:dyDescent="0.25">
      <c r="A1662" t="s">
        <v>31</v>
      </c>
      <c r="B1662" t="s">
        <v>40</v>
      </c>
      <c r="C1662" t="str">
        <f>"556-5-BR-VL-22"</f>
        <v>556-5-BR-VL-22</v>
      </c>
      <c r="D1662" t="s">
        <v>27</v>
      </c>
      <c r="F1662" t="s">
        <v>22</v>
      </c>
      <c r="G1662" t="s">
        <v>43</v>
      </c>
      <c r="H1662">
        <v>22</v>
      </c>
      <c r="J1662" s="1">
        <v>70.13</v>
      </c>
      <c r="K1662" s="1">
        <v>0</v>
      </c>
      <c r="M1662" s="1">
        <v>0</v>
      </c>
      <c r="N1662" s="1">
        <v>11.9</v>
      </c>
      <c r="O1662" s="1">
        <v>0</v>
      </c>
      <c r="Q1662" s="2">
        <v>82.03</v>
      </c>
    </row>
    <row r="1663" spans="1:17" x14ac:dyDescent="0.25">
      <c r="A1663" t="s">
        <v>31</v>
      </c>
      <c r="B1663" t="s">
        <v>40</v>
      </c>
      <c r="C1663" t="str">
        <f>"556-5-BR-VL-24"</f>
        <v>556-5-BR-VL-24</v>
      </c>
      <c r="D1663" t="s">
        <v>27</v>
      </c>
      <c r="F1663" t="s">
        <v>22</v>
      </c>
      <c r="G1663" t="s">
        <v>43</v>
      </c>
      <c r="H1663">
        <v>24</v>
      </c>
      <c r="J1663" s="1">
        <v>70.13</v>
      </c>
      <c r="K1663" s="1">
        <v>0</v>
      </c>
      <c r="M1663" s="1">
        <v>0</v>
      </c>
      <c r="N1663" s="1">
        <v>11.9</v>
      </c>
      <c r="O1663" s="1">
        <v>0</v>
      </c>
      <c r="Q1663" s="2">
        <v>82.03</v>
      </c>
    </row>
    <row r="1664" spans="1:17" x14ac:dyDescent="0.25">
      <c r="A1664" t="s">
        <v>31</v>
      </c>
      <c r="B1664" t="s">
        <v>40</v>
      </c>
      <c r="C1664" t="str">
        <f>"556-5-BR-VL-26"</f>
        <v>556-5-BR-VL-26</v>
      </c>
      <c r="D1664" t="s">
        <v>27</v>
      </c>
      <c r="F1664" t="s">
        <v>22</v>
      </c>
      <c r="G1664" t="s">
        <v>43</v>
      </c>
      <c r="H1664">
        <v>26</v>
      </c>
      <c r="J1664" s="1">
        <v>70.13</v>
      </c>
      <c r="K1664" s="1">
        <v>0</v>
      </c>
      <c r="M1664" s="1">
        <v>0</v>
      </c>
      <c r="N1664" s="1">
        <v>11.9</v>
      </c>
      <c r="O1664" s="1">
        <v>0</v>
      </c>
      <c r="Q1664" s="2">
        <v>82.03</v>
      </c>
    </row>
    <row r="1665" spans="1:17" x14ac:dyDescent="0.25">
      <c r="A1665" t="s">
        <v>31</v>
      </c>
      <c r="B1665" t="s">
        <v>40</v>
      </c>
      <c r="C1665" t="str">
        <f>"556-5-BR-VL-28"</f>
        <v>556-5-BR-VL-28</v>
      </c>
      <c r="D1665" t="s">
        <v>27</v>
      </c>
      <c r="F1665" t="s">
        <v>22</v>
      </c>
      <c r="G1665" t="s">
        <v>43</v>
      </c>
      <c r="H1665">
        <v>28</v>
      </c>
      <c r="J1665" s="1">
        <v>70.13</v>
      </c>
      <c r="K1665" s="1">
        <v>0</v>
      </c>
      <c r="M1665" s="1">
        <v>0</v>
      </c>
      <c r="N1665" s="1">
        <v>11.9</v>
      </c>
      <c r="O1665" s="1">
        <v>0</v>
      </c>
      <c r="Q1665" s="2">
        <v>82.03</v>
      </c>
    </row>
    <row r="1666" spans="1:17" x14ac:dyDescent="0.25">
      <c r="A1666" t="s">
        <v>31</v>
      </c>
      <c r="B1666" t="s">
        <v>40</v>
      </c>
      <c r="C1666" t="str">
        <f>"556-5-BR-VL-30"</f>
        <v>556-5-BR-VL-30</v>
      </c>
      <c r="D1666" t="s">
        <v>27</v>
      </c>
      <c r="F1666" t="s">
        <v>22</v>
      </c>
      <c r="G1666" t="s">
        <v>43</v>
      </c>
      <c r="H1666">
        <v>30</v>
      </c>
      <c r="J1666" s="1">
        <v>70.13</v>
      </c>
      <c r="K1666" s="1">
        <v>0</v>
      </c>
      <c r="M1666" s="1">
        <v>0</v>
      </c>
      <c r="N1666" s="1">
        <v>11.9</v>
      </c>
      <c r="O1666" s="1">
        <v>0</v>
      </c>
      <c r="Q1666" s="2">
        <v>82.03</v>
      </c>
    </row>
    <row r="1667" spans="1:17" x14ac:dyDescent="0.25">
      <c r="A1667" t="s">
        <v>31</v>
      </c>
      <c r="B1667" t="s">
        <v>40</v>
      </c>
      <c r="C1667" t="str">
        <f>"556-5-BR-VL-32"</f>
        <v>556-5-BR-VL-32</v>
      </c>
      <c r="D1667" t="s">
        <v>27</v>
      </c>
      <c r="F1667" t="s">
        <v>22</v>
      </c>
      <c r="G1667" t="s">
        <v>43</v>
      </c>
      <c r="H1667">
        <v>32</v>
      </c>
      <c r="J1667" s="1">
        <v>70.13</v>
      </c>
      <c r="K1667" s="1">
        <v>0</v>
      </c>
      <c r="M1667" s="1">
        <v>0</v>
      </c>
      <c r="N1667" s="1">
        <v>11.9</v>
      </c>
      <c r="O1667" s="1">
        <v>0</v>
      </c>
      <c r="Q1667" s="2">
        <v>82.03</v>
      </c>
    </row>
    <row r="1668" spans="1:17" x14ac:dyDescent="0.25">
      <c r="A1668" t="s">
        <v>31</v>
      </c>
      <c r="B1668" t="s">
        <v>40</v>
      </c>
      <c r="C1668" t="str">
        <f>"556-5-BR-VL-34"</f>
        <v>556-5-BR-VL-34</v>
      </c>
      <c r="D1668" t="s">
        <v>27</v>
      </c>
      <c r="F1668" t="s">
        <v>22</v>
      </c>
      <c r="G1668" t="s">
        <v>43</v>
      </c>
      <c r="H1668">
        <v>34</v>
      </c>
      <c r="J1668" s="1">
        <v>70.13</v>
      </c>
      <c r="K1668" s="1">
        <v>0</v>
      </c>
      <c r="M1668" s="1">
        <v>0</v>
      </c>
      <c r="N1668" s="1">
        <v>11.9</v>
      </c>
      <c r="O1668" s="1">
        <v>0</v>
      </c>
      <c r="Q1668" s="2">
        <v>82.03</v>
      </c>
    </row>
    <row r="1669" spans="1:17" x14ac:dyDescent="0.25">
      <c r="A1669" t="s">
        <v>31</v>
      </c>
      <c r="B1669" t="s">
        <v>40</v>
      </c>
      <c r="C1669" t="str">
        <f>"556-5-BR-VL-36"</f>
        <v>556-5-BR-VL-36</v>
      </c>
      <c r="D1669" t="s">
        <v>27</v>
      </c>
      <c r="F1669" t="s">
        <v>22</v>
      </c>
      <c r="G1669" t="s">
        <v>43</v>
      </c>
      <c r="H1669">
        <v>36</v>
      </c>
      <c r="J1669" s="1">
        <v>70.13</v>
      </c>
      <c r="K1669" s="1">
        <v>0</v>
      </c>
      <c r="M1669" s="1">
        <v>0</v>
      </c>
      <c r="N1669" s="1">
        <v>11.9</v>
      </c>
      <c r="O1669" s="1">
        <v>0</v>
      </c>
      <c r="Q1669" s="2">
        <v>82.03</v>
      </c>
    </row>
    <row r="1670" spans="1:17" x14ac:dyDescent="0.25">
      <c r="A1670" t="s">
        <v>31</v>
      </c>
      <c r="B1670" t="s">
        <v>40</v>
      </c>
      <c r="C1670" t="str">
        <f>"556-5-BR-VL-38"</f>
        <v>556-5-BR-VL-38</v>
      </c>
      <c r="D1670" t="s">
        <v>27</v>
      </c>
      <c r="F1670" t="s">
        <v>22</v>
      </c>
      <c r="G1670" t="s">
        <v>43</v>
      </c>
      <c r="H1670">
        <v>38</v>
      </c>
      <c r="J1670" s="1">
        <v>70.13</v>
      </c>
      <c r="K1670" s="1">
        <v>0</v>
      </c>
      <c r="M1670" s="1">
        <v>0</v>
      </c>
      <c r="N1670" s="1">
        <v>11.9</v>
      </c>
      <c r="O1670" s="1">
        <v>0</v>
      </c>
      <c r="Q1670" s="2">
        <v>82.03</v>
      </c>
    </row>
    <row r="1671" spans="1:17" x14ac:dyDescent="0.25">
      <c r="A1671" t="s">
        <v>31</v>
      </c>
      <c r="B1671" t="s">
        <v>40</v>
      </c>
      <c r="C1671" t="str">
        <f>"556-5-BR-VL-40"</f>
        <v>556-5-BR-VL-40</v>
      </c>
      <c r="D1671" t="s">
        <v>27</v>
      </c>
      <c r="F1671" t="s">
        <v>22</v>
      </c>
      <c r="G1671" t="s">
        <v>43</v>
      </c>
      <c r="H1671">
        <v>40</v>
      </c>
      <c r="J1671" s="1">
        <v>70.13</v>
      </c>
      <c r="K1671" s="1">
        <v>0</v>
      </c>
      <c r="M1671" s="1">
        <v>0</v>
      </c>
      <c r="N1671" s="1">
        <v>11.9</v>
      </c>
      <c r="O1671" s="1">
        <v>0</v>
      </c>
      <c r="Q1671" s="2">
        <v>82.03</v>
      </c>
    </row>
    <row r="1672" spans="1:17" x14ac:dyDescent="0.25">
      <c r="A1672" t="s">
        <v>31</v>
      </c>
      <c r="B1672" t="s">
        <v>40</v>
      </c>
      <c r="C1672" t="str">
        <f>"556-5-BR-VL-42"</f>
        <v>556-5-BR-VL-42</v>
      </c>
      <c r="D1672" t="s">
        <v>27</v>
      </c>
      <c r="F1672" t="s">
        <v>22</v>
      </c>
      <c r="G1672" t="s">
        <v>43</v>
      </c>
      <c r="H1672">
        <v>42</v>
      </c>
      <c r="J1672" s="1">
        <v>70.13</v>
      </c>
      <c r="K1672" s="1">
        <v>0</v>
      </c>
      <c r="M1672" s="1">
        <v>0</v>
      </c>
      <c r="N1672" s="1">
        <v>11.9</v>
      </c>
      <c r="O1672" s="1">
        <v>0</v>
      </c>
      <c r="Q1672" s="2">
        <v>82.03</v>
      </c>
    </row>
    <row r="1673" spans="1:17" x14ac:dyDescent="0.25">
      <c r="A1673" t="s">
        <v>31</v>
      </c>
      <c r="B1673" t="s">
        <v>40</v>
      </c>
      <c r="C1673" t="str">
        <f>"556-5-BR-VL-44"</f>
        <v>556-5-BR-VL-44</v>
      </c>
      <c r="D1673" t="s">
        <v>27</v>
      </c>
      <c r="F1673" t="s">
        <v>22</v>
      </c>
      <c r="G1673" t="s">
        <v>43</v>
      </c>
      <c r="H1673">
        <v>44</v>
      </c>
      <c r="J1673" s="1">
        <v>70.13</v>
      </c>
      <c r="K1673" s="1">
        <v>0</v>
      </c>
      <c r="M1673" s="1">
        <v>0</v>
      </c>
      <c r="N1673" s="1">
        <v>11.9</v>
      </c>
      <c r="O1673" s="1">
        <v>0</v>
      </c>
      <c r="Q1673" s="2">
        <v>82.03</v>
      </c>
    </row>
    <row r="1674" spans="1:17" x14ac:dyDescent="0.25">
      <c r="A1674" t="s">
        <v>31</v>
      </c>
      <c r="B1674" t="s">
        <v>40</v>
      </c>
      <c r="C1674" t="str">
        <f>"556-5-BR-VL-46"</f>
        <v>556-5-BR-VL-46</v>
      </c>
      <c r="D1674" t="s">
        <v>27</v>
      </c>
      <c r="F1674" t="s">
        <v>22</v>
      </c>
      <c r="G1674" t="s">
        <v>43</v>
      </c>
      <c r="H1674">
        <v>46</v>
      </c>
      <c r="J1674" s="1">
        <v>70.13</v>
      </c>
      <c r="K1674" s="1">
        <v>0</v>
      </c>
      <c r="M1674" s="1">
        <v>0</v>
      </c>
      <c r="N1674" s="1">
        <v>11.9</v>
      </c>
      <c r="O1674" s="1">
        <v>5.0999999999999996</v>
      </c>
      <c r="Q1674" s="2">
        <v>87.13</v>
      </c>
    </row>
    <row r="1675" spans="1:17" x14ac:dyDescent="0.25">
      <c r="A1675" t="s">
        <v>31</v>
      </c>
      <c r="B1675" t="s">
        <v>40</v>
      </c>
      <c r="C1675" t="str">
        <f>"556-5-BR-VL-48"</f>
        <v>556-5-BR-VL-48</v>
      </c>
      <c r="D1675" t="s">
        <v>27</v>
      </c>
      <c r="F1675" t="s">
        <v>22</v>
      </c>
      <c r="G1675" t="s">
        <v>43</v>
      </c>
      <c r="H1675">
        <v>48</v>
      </c>
      <c r="J1675" s="1">
        <v>70.13</v>
      </c>
      <c r="K1675" s="1">
        <v>0</v>
      </c>
      <c r="M1675" s="1">
        <v>0</v>
      </c>
      <c r="N1675" s="1">
        <v>11.9</v>
      </c>
      <c r="O1675" s="1">
        <v>6.8</v>
      </c>
      <c r="Q1675" s="2">
        <v>88.83</v>
      </c>
    </row>
    <row r="1676" spans="1:17" x14ac:dyDescent="0.25">
      <c r="A1676" t="s">
        <v>31</v>
      </c>
      <c r="B1676" t="s">
        <v>40</v>
      </c>
      <c r="C1676" t="str">
        <f>"556-5-BR-VL-50"</f>
        <v>556-5-BR-VL-50</v>
      </c>
      <c r="D1676" t="s">
        <v>27</v>
      </c>
      <c r="F1676" t="s">
        <v>22</v>
      </c>
      <c r="G1676" t="s">
        <v>43</v>
      </c>
      <c r="H1676">
        <v>50</v>
      </c>
      <c r="J1676" s="1">
        <v>70.13</v>
      </c>
      <c r="K1676" s="1">
        <v>0</v>
      </c>
      <c r="M1676" s="1">
        <v>0</v>
      </c>
      <c r="N1676" s="1">
        <v>11.9</v>
      </c>
      <c r="O1676" s="1">
        <v>8.5</v>
      </c>
      <c r="Q1676" s="2">
        <v>90.53</v>
      </c>
    </row>
    <row r="1677" spans="1:17" x14ac:dyDescent="0.25">
      <c r="A1677" t="s">
        <v>31</v>
      </c>
      <c r="B1677" t="s">
        <v>40</v>
      </c>
      <c r="C1677" t="str">
        <f>"556-5-BR-VL-52"</f>
        <v>556-5-BR-VL-52</v>
      </c>
      <c r="D1677" t="s">
        <v>27</v>
      </c>
      <c r="F1677" t="s">
        <v>22</v>
      </c>
      <c r="G1677" t="s">
        <v>43</v>
      </c>
      <c r="H1677">
        <v>52</v>
      </c>
      <c r="J1677" s="1">
        <v>70.13</v>
      </c>
      <c r="K1677" s="1">
        <v>0</v>
      </c>
      <c r="M1677" s="1">
        <v>0</v>
      </c>
      <c r="N1677" s="1">
        <v>11.9</v>
      </c>
      <c r="O1677" s="1">
        <v>10.199999999999999</v>
      </c>
      <c r="Q1677" s="2">
        <v>92.23</v>
      </c>
    </row>
    <row r="1678" spans="1:17" x14ac:dyDescent="0.25">
      <c r="A1678" t="s">
        <v>31</v>
      </c>
      <c r="B1678" t="s">
        <v>40</v>
      </c>
      <c r="C1678" t="str">
        <f>"556-5-BR-VL-54"</f>
        <v>556-5-BR-VL-54</v>
      </c>
      <c r="D1678" t="s">
        <v>27</v>
      </c>
      <c r="F1678" t="s">
        <v>22</v>
      </c>
      <c r="G1678" t="s">
        <v>43</v>
      </c>
      <c r="H1678">
        <v>54</v>
      </c>
      <c r="J1678" s="1">
        <v>70.13</v>
      </c>
      <c r="K1678" s="1">
        <v>0</v>
      </c>
      <c r="M1678" s="1">
        <v>0</v>
      </c>
      <c r="N1678" s="1">
        <v>11.9</v>
      </c>
      <c r="O1678" s="1">
        <v>11.9</v>
      </c>
      <c r="Q1678" s="2">
        <v>93.93</v>
      </c>
    </row>
    <row r="1679" spans="1:17" x14ac:dyDescent="0.25">
      <c r="A1679" t="s">
        <v>31</v>
      </c>
      <c r="B1679" t="s">
        <v>40</v>
      </c>
      <c r="C1679" t="str">
        <f>"556-5-BR-VL-56"</f>
        <v>556-5-BR-VL-56</v>
      </c>
      <c r="D1679" t="s">
        <v>27</v>
      </c>
      <c r="F1679" t="s">
        <v>22</v>
      </c>
      <c r="G1679" t="s">
        <v>43</v>
      </c>
      <c r="H1679">
        <v>56</v>
      </c>
      <c r="J1679" s="1">
        <v>70.13</v>
      </c>
      <c r="K1679" s="1">
        <v>0</v>
      </c>
      <c r="M1679" s="1">
        <v>0</v>
      </c>
      <c r="N1679" s="1">
        <v>11.9</v>
      </c>
      <c r="O1679" s="1">
        <v>13.6</v>
      </c>
      <c r="Q1679" s="2">
        <v>95.63</v>
      </c>
    </row>
    <row r="1680" spans="1:17" x14ac:dyDescent="0.25">
      <c r="A1680" t="s">
        <v>31</v>
      </c>
      <c r="B1680" t="s">
        <v>40</v>
      </c>
      <c r="C1680" t="str">
        <f>"556-5-BR-VL-58"</f>
        <v>556-5-BR-VL-58</v>
      </c>
      <c r="D1680" t="s">
        <v>27</v>
      </c>
      <c r="F1680" t="s">
        <v>22</v>
      </c>
      <c r="G1680" t="s">
        <v>43</v>
      </c>
      <c r="H1680">
        <v>58</v>
      </c>
      <c r="J1680" s="1">
        <v>70.13</v>
      </c>
      <c r="K1680" s="1">
        <v>0</v>
      </c>
      <c r="M1680" s="1">
        <v>0</v>
      </c>
      <c r="N1680" s="1">
        <v>11.9</v>
      </c>
      <c r="O1680" s="1">
        <v>15.3</v>
      </c>
      <c r="Q1680" s="2">
        <v>97.33</v>
      </c>
    </row>
    <row r="1681" spans="1:17" x14ac:dyDescent="0.25">
      <c r="A1681" t="s">
        <v>31</v>
      </c>
      <c r="B1681" t="s">
        <v>40</v>
      </c>
      <c r="C1681" t="str">
        <f>"556-5-BR-VL-60"</f>
        <v>556-5-BR-VL-60</v>
      </c>
      <c r="D1681" t="s">
        <v>27</v>
      </c>
      <c r="F1681" t="s">
        <v>22</v>
      </c>
      <c r="G1681" t="s">
        <v>43</v>
      </c>
      <c r="H1681">
        <v>60</v>
      </c>
      <c r="J1681" s="1">
        <v>70.13</v>
      </c>
      <c r="K1681" s="1">
        <v>0</v>
      </c>
      <c r="M1681" s="1">
        <v>0</v>
      </c>
      <c r="N1681" s="1">
        <v>11.9</v>
      </c>
      <c r="O1681" s="1">
        <v>17</v>
      </c>
      <c r="Q1681" s="2">
        <v>99.03</v>
      </c>
    </row>
    <row r="1682" spans="1:17" x14ac:dyDescent="0.25">
      <c r="A1682" t="s">
        <v>31</v>
      </c>
      <c r="B1682" t="s">
        <v>40</v>
      </c>
      <c r="C1682" t="str">
        <f>"556-5-BR-VL-62"</f>
        <v>556-5-BR-VL-62</v>
      </c>
      <c r="D1682" t="s">
        <v>27</v>
      </c>
      <c r="F1682" t="s">
        <v>22</v>
      </c>
      <c r="G1682" t="s">
        <v>43</v>
      </c>
      <c r="H1682">
        <v>62</v>
      </c>
      <c r="J1682" s="1">
        <v>70.13</v>
      </c>
      <c r="K1682" s="1">
        <v>0</v>
      </c>
      <c r="M1682" s="1">
        <v>0</v>
      </c>
      <c r="N1682" s="1">
        <v>11.9</v>
      </c>
      <c r="O1682" s="1">
        <v>18.7</v>
      </c>
      <c r="Q1682" s="2">
        <v>100.73</v>
      </c>
    </row>
    <row r="1683" spans="1:17" x14ac:dyDescent="0.25">
      <c r="A1683" t="s">
        <v>31</v>
      </c>
      <c r="B1683" t="s">
        <v>40</v>
      </c>
      <c r="C1683" t="str">
        <f>"556-5-BR-VL-64"</f>
        <v>556-5-BR-VL-64</v>
      </c>
      <c r="D1683" t="s">
        <v>27</v>
      </c>
      <c r="F1683" t="s">
        <v>22</v>
      </c>
      <c r="G1683" t="s">
        <v>43</v>
      </c>
      <c r="H1683">
        <v>64</v>
      </c>
      <c r="J1683" s="1">
        <v>70.13</v>
      </c>
      <c r="K1683" s="1">
        <v>0</v>
      </c>
      <c r="M1683" s="1">
        <v>0</v>
      </c>
      <c r="N1683" s="1">
        <v>11.9</v>
      </c>
      <c r="O1683" s="1">
        <v>18.7</v>
      </c>
      <c r="Q1683" s="2">
        <v>100.73</v>
      </c>
    </row>
    <row r="1684" spans="1:17" x14ac:dyDescent="0.25">
      <c r="A1684" t="s">
        <v>31</v>
      </c>
      <c r="B1684" t="s">
        <v>40</v>
      </c>
      <c r="C1684" t="str">
        <f>"556-5-BR-VL-66"</f>
        <v>556-5-BR-VL-66</v>
      </c>
      <c r="D1684" t="s">
        <v>27</v>
      </c>
      <c r="F1684" t="s">
        <v>22</v>
      </c>
      <c r="G1684" t="s">
        <v>43</v>
      </c>
      <c r="H1684">
        <v>66</v>
      </c>
      <c r="J1684" s="1">
        <v>70.13</v>
      </c>
      <c r="K1684" s="1">
        <v>0</v>
      </c>
      <c r="M1684" s="1">
        <v>0</v>
      </c>
      <c r="N1684" s="1">
        <v>11.9</v>
      </c>
      <c r="O1684" s="1">
        <v>18.7</v>
      </c>
      <c r="Q1684" s="2">
        <v>100.73</v>
      </c>
    </row>
    <row r="1685" spans="1:17" x14ac:dyDescent="0.25">
      <c r="A1685" t="s">
        <v>31</v>
      </c>
      <c r="B1685" t="s">
        <v>40</v>
      </c>
      <c r="C1685" t="str">
        <f>"556-5-BR-VL-68"</f>
        <v>556-5-BR-VL-68</v>
      </c>
      <c r="D1685" t="s">
        <v>27</v>
      </c>
      <c r="F1685" t="s">
        <v>22</v>
      </c>
      <c r="G1685" t="s">
        <v>43</v>
      </c>
      <c r="H1685">
        <v>68</v>
      </c>
      <c r="J1685" s="1">
        <v>70.13</v>
      </c>
      <c r="K1685" s="1">
        <v>0</v>
      </c>
      <c r="M1685" s="1">
        <v>0</v>
      </c>
      <c r="N1685" s="1">
        <v>11.9</v>
      </c>
      <c r="O1685" s="1">
        <v>20.399999999999999</v>
      </c>
      <c r="Q1685" s="2">
        <v>102.43</v>
      </c>
    </row>
    <row r="1686" spans="1:17" x14ac:dyDescent="0.25">
      <c r="A1686" t="s">
        <v>31</v>
      </c>
      <c r="B1686" t="s">
        <v>40</v>
      </c>
      <c r="C1686" t="str">
        <f>"556-5-BR-VL-70"</f>
        <v>556-5-BR-VL-70</v>
      </c>
      <c r="D1686" t="s">
        <v>27</v>
      </c>
      <c r="F1686" t="s">
        <v>22</v>
      </c>
      <c r="G1686" t="s">
        <v>43</v>
      </c>
      <c r="H1686">
        <v>70</v>
      </c>
      <c r="J1686" s="1">
        <v>70.13</v>
      </c>
      <c r="K1686" s="1">
        <v>0</v>
      </c>
      <c r="M1686" s="1">
        <v>0</v>
      </c>
      <c r="N1686" s="1">
        <v>11.9</v>
      </c>
      <c r="O1686" s="1">
        <v>22.1</v>
      </c>
      <c r="Q1686" s="2">
        <v>104.13</v>
      </c>
    </row>
    <row r="1687" spans="1:17" x14ac:dyDescent="0.25">
      <c r="A1687" t="s">
        <v>31</v>
      </c>
      <c r="B1687" t="s">
        <v>40</v>
      </c>
      <c r="C1687" t="str">
        <f>"556-5-BR-VL-72"</f>
        <v>556-5-BR-VL-72</v>
      </c>
      <c r="D1687" t="s">
        <v>27</v>
      </c>
      <c r="F1687" t="s">
        <v>22</v>
      </c>
      <c r="G1687" t="s">
        <v>43</v>
      </c>
      <c r="H1687">
        <v>72</v>
      </c>
      <c r="J1687" s="1">
        <v>70.13</v>
      </c>
      <c r="K1687" s="1">
        <v>0</v>
      </c>
      <c r="M1687" s="1">
        <v>0</v>
      </c>
      <c r="N1687" s="1">
        <v>11.9</v>
      </c>
      <c r="O1687" s="1">
        <v>23.8</v>
      </c>
      <c r="Q1687" s="2">
        <v>105.83</v>
      </c>
    </row>
    <row r="1688" spans="1:17" x14ac:dyDescent="0.25">
      <c r="A1688" t="s">
        <v>31</v>
      </c>
      <c r="B1688" t="s">
        <v>40</v>
      </c>
      <c r="C1688" t="str">
        <f>"556-5-BR-VL-74"</f>
        <v>556-5-BR-VL-74</v>
      </c>
      <c r="D1688" t="s">
        <v>27</v>
      </c>
      <c r="F1688" t="s">
        <v>22</v>
      </c>
      <c r="G1688" t="s">
        <v>43</v>
      </c>
      <c r="H1688">
        <v>74</v>
      </c>
      <c r="J1688" s="1">
        <v>70.13</v>
      </c>
      <c r="K1688" s="1">
        <v>0</v>
      </c>
      <c r="M1688" s="1">
        <v>0</v>
      </c>
      <c r="N1688" s="1">
        <v>11.9</v>
      </c>
      <c r="O1688" s="1">
        <v>25.5</v>
      </c>
      <c r="Q1688" s="2">
        <v>107.53</v>
      </c>
    </row>
    <row r="1689" spans="1:17" x14ac:dyDescent="0.25">
      <c r="A1689" t="s">
        <v>31</v>
      </c>
      <c r="B1689" t="s">
        <v>40</v>
      </c>
      <c r="C1689" t="str">
        <f>"556-5-BR-VL-76"</f>
        <v>556-5-BR-VL-76</v>
      </c>
      <c r="D1689" t="s">
        <v>27</v>
      </c>
      <c r="F1689" t="s">
        <v>22</v>
      </c>
      <c r="G1689" t="s">
        <v>43</v>
      </c>
      <c r="H1689">
        <v>76</v>
      </c>
      <c r="J1689" s="1">
        <v>70.13</v>
      </c>
      <c r="K1689" s="1">
        <v>0</v>
      </c>
      <c r="M1689" s="1">
        <v>0</v>
      </c>
      <c r="N1689" s="1">
        <v>11.9</v>
      </c>
      <c r="O1689" s="1">
        <v>27.2</v>
      </c>
      <c r="Q1689" s="2">
        <v>109.23</v>
      </c>
    </row>
    <row r="1690" spans="1:17" x14ac:dyDescent="0.25">
      <c r="A1690" t="s">
        <v>31</v>
      </c>
      <c r="B1690" t="s">
        <v>40</v>
      </c>
      <c r="C1690" t="str">
        <f>"556-5-BR-VL-78"</f>
        <v>556-5-BR-VL-78</v>
      </c>
      <c r="D1690" t="s">
        <v>27</v>
      </c>
      <c r="F1690" t="s">
        <v>22</v>
      </c>
      <c r="G1690" t="s">
        <v>43</v>
      </c>
      <c r="H1690">
        <v>78</v>
      </c>
      <c r="J1690" s="1">
        <v>70.13</v>
      </c>
      <c r="K1690" s="1">
        <v>0</v>
      </c>
      <c r="M1690" s="1">
        <v>0</v>
      </c>
      <c r="N1690" s="1">
        <v>11.9</v>
      </c>
      <c r="O1690" s="1">
        <v>28.9</v>
      </c>
      <c r="Q1690" s="2">
        <v>110.93</v>
      </c>
    </row>
    <row r="1691" spans="1:17" x14ac:dyDescent="0.25">
      <c r="A1691" t="s">
        <v>31</v>
      </c>
      <c r="B1691" t="s">
        <v>40</v>
      </c>
      <c r="C1691" t="str">
        <f>"556-5-BR-VL-80"</f>
        <v>556-5-BR-VL-80</v>
      </c>
      <c r="D1691" t="s">
        <v>27</v>
      </c>
      <c r="F1691" t="s">
        <v>22</v>
      </c>
      <c r="G1691" t="s">
        <v>43</v>
      </c>
      <c r="H1691">
        <v>80</v>
      </c>
      <c r="J1691" s="1">
        <v>70.13</v>
      </c>
      <c r="K1691" s="1">
        <v>0</v>
      </c>
      <c r="M1691" s="1">
        <v>0</v>
      </c>
      <c r="N1691" s="1">
        <v>11.9</v>
      </c>
      <c r="O1691" s="1">
        <v>30.6</v>
      </c>
      <c r="Q1691" s="2">
        <v>112.63</v>
      </c>
    </row>
    <row r="1692" spans="1:17" x14ac:dyDescent="0.25">
      <c r="A1692" t="s">
        <v>31</v>
      </c>
      <c r="B1692" t="s">
        <v>40</v>
      </c>
      <c r="C1692" t="str">
        <f>"556-5-CH-CO-22"</f>
        <v>556-5-CH-CO-22</v>
      </c>
      <c r="D1692" t="s">
        <v>27</v>
      </c>
      <c r="F1692" t="s">
        <v>23</v>
      </c>
      <c r="G1692" t="s">
        <v>41</v>
      </c>
      <c r="H1692">
        <v>22</v>
      </c>
      <c r="J1692" s="1">
        <v>70.13</v>
      </c>
      <c r="K1692" s="1">
        <v>0</v>
      </c>
      <c r="M1692" s="1">
        <v>0</v>
      </c>
      <c r="N1692" s="1">
        <v>14.37</v>
      </c>
      <c r="O1692" s="1">
        <v>0</v>
      </c>
      <c r="Q1692" s="2">
        <v>84.5</v>
      </c>
    </row>
    <row r="1693" spans="1:17" x14ac:dyDescent="0.25">
      <c r="A1693" t="s">
        <v>31</v>
      </c>
      <c r="B1693" t="s">
        <v>40</v>
      </c>
      <c r="C1693" t="str">
        <f>"556-5-CH-CO-24"</f>
        <v>556-5-CH-CO-24</v>
      </c>
      <c r="D1693" t="s">
        <v>27</v>
      </c>
      <c r="F1693" t="s">
        <v>23</v>
      </c>
      <c r="G1693" t="s">
        <v>41</v>
      </c>
      <c r="H1693">
        <v>24</v>
      </c>
      <c r="J1693" s="1">
        <v>70.13</v>
      </c>
      <c r="K1693" s="1">
        <v>0</v>
      </c>
      <c r="M1693" s="1">
        <v>0</v>
      </c>
      <c r="N1693" s="1">
        <v>14.37</v>
      </c>
      <c r="O1693" s="1">
        <v>0</v>
      </c>
      <c r="Q1693" s="2">
        <v>84.5</v>
      </c>
    </row>
    <row r="1694" spans="1:17" x14ac:dyDescent="0.25">
      <c r="A1694" t="s">
        <v>31</v>
      </c>
      <c r="B1694" t="s">
        <v>40</v>
      </c>
      <c r="C1694" t="str">
        <f>"556-5-CH-CO-26"</f>
        <v>556-5-CH-CO-26</v>
      </c>
      <c r="D1694" t="s">
        <v>27</v>
      </c>
      <c r="F1694" t="s">
        <v>23</v>
      </c>
      <c r="G1694" t="s">
        <v>41</v>
      </c>
      <c r="H1694">
        <v>26</v>
      </c>
      <c r="J1694" s="1">
        <v>70.13</v>
      </c>
      <c r="K1694" s="1">
        <v>0</v>
      </c>
      <c r="M1694" s="1">
        <v>0</v>
      </c>
      <c r="N1694" s="1">
        <v>14.37</v>
      </c>
      <c r="O1694" s="1">
        <v>0</v>
      </c>
      <c r="Q1694" s="2">
        <v>84.5</v>
      </c>
    </row>
    <row r="1695" spans="1:17" x14ac:dyDescent="0.25">
      <c r="A1695" t="s">
        <v>31</v>
      </c>
      <c r="B1695" t="s">
        <v>40</v>
      </c>
      <c r="C1695" t="str">
        <f>"556-5-CH-CO-28"</f>
        <v>556-5-CH-CO-28</v>
      </c>
      <c r="D1695" t="s">
        <v>27</v>
      </c>
      <c r="F1695" t="s">
        <v>23</v>
      </c>
      <c r="G1695" t="s">
        <v>41</v>
      </c>
      <c r="H1695">
        <v>28</v>
      </c>
      <c r="J1695" s="1">
        <v>70.13</v>
      </c>
      <c r="K1695" s="1">
        <v>0</v>
      </c>
      <c r="M1695" s="1">
        <v>0</v>
      </c>
      <c r="N1695" s="1">
        <v>14.37</v>
      </c>
      <c r="O1695" s="1">
        <v>0</v>
      </c>
      <c r="Q1695" s="2">
        <v>84.5</v>
      </c>
    </row>
    <row r="1696" spans="1:17" x14ac:dyDescent="0.25">
      <c r="A1696" t="s">
        <v>31</v>
      </c>
      <c r="B1696" t="s">
        <v>40</v>
      </c>
      <c r="C1696" t="str">
        <f>"556-5-CH-CO-30"</f>
        <v>556-5-CH-CO-30</v>
      </c>
      <c r="D1696" t="s">
        <v>27</v>
      </c>
      <c r="F1696" t="s">
        <v>23</v>
      </c>
      <c r="G1696" t="s">
        <v>41</v>
      </c>
      <c r="H1696">
        <v>30</v>
      </c>
      <c r="J1696" s="1">
        <v>70.13</v>
      </c>
      <c r="K1696" s="1">
        <v>0</v>
      </c>
      <c r="M1696" s="1">
        <v>0</v>
      </c>
      <c r="N1696" s="1">
        <v>14.37</v>
      </c>
      <c r="O1696" s="1">
        <v>0</v>
      </c>
      <c r="Q1696" s="2">
        <v>84.5</v>
      </c>
    </row>
    <row r="1697" spans="1:17" x14ac:dyDescent="0.25">
      <c r="A1697" t="s">
        <v>31</v>
      </c>
      <c r="B1697" t="s">
        <v>40</v>
      </c>
      <c r="C1697" t="str">
        <f>"556-5-CH-CO-32"</f>
        <v>556-5-CH-CO-32</v>
      </c>
      <c r="D1697" t="s">
        <v>27</v>
      </c>
      <c r="F1697" t="s">
        <v>23</v>
      </c>
      <c r="G1697" t="s">
        <v>41</v>
      </c>
      <c r="H1697">
        <v>32</v>
      </c>
      <c r="J1697" s="1">
        <v>70.13</v>
      </c>
      <c r="K1697" s="1">
        <v>0</v>
      </c>
      <c r="M1697" s="1">
        <v>0</v>
      </c>
      <c r="N1697" s="1">
        <v>14.37</v>
      </c>
      <c r="O1697" s="1">
        <v>0</v>
      </c>
      <c r="Q1697" s="2">
        <v>84.5</v>
      </c>
    </row>
    <row r="1698" spans="1:17" x14ac:dyDescent="0.25">
      <c r="A1698" t="s">
        <v>31</v>
      </c>
      <c r="B1698" t="s">
        <v>40</v>
      </c>
      <c r="C1698" t="str">
        <f>"556-5-CH-CO-34"</f>
        <v>556-5-CH-CO-34</v>
      </c>
      <c r="D1698" t="s">
        <v>27</v>
      </c>
      <c r="F1698" t="s">
        <v>23</v>
      </c>
      <c r="G1698" t="s">
        <v>41</v>
      </c>
      <c r="H1698">
        <v>34</v>
      </c>
      <c r="J1698" s="1">
        <v>70.13</v>
      </c>
      <c r="K1698" s="1">
        <v>0</v>
      </c>
      <c r="M1698" s="1">
        <v>0</v>
      </c>
      <c r="N1698" s="1">
        <v>14.37</v>
      </c>
      <c r="O1698" s="1">
        <v>0</v>
      </c>
      <c r="Q1698" s="2">
        <v>84.5</v>
      </c>
    </row>
    <row r="1699" spans="1:17" x14ac:dyDescent="0.25">
      <c r="A1699" t="s">
        <v>31</v>
      </c>
      <c r="B1699" t="s">
        <v>40</v>
      </c>
      <c r="C1699" t="str">
        <f>"556-5-CH-CO-36"</f>
        <v>556-5-CH-CO-36</v>
      </c>
      <c r="D1699" t="s">
        <v>27</v>
      </c>
      <c r="F1699" t="s">
        <v>23</v>
      </c>
      <c r="G1699" t="s">
        <v>41</v>
      </c>
      <c r="H1699">
        <v>36</v>
      </c>
      <c r="J1699" s="1">
        <v>70.13</v>
      </c>
      <c r="K1699" s="1">
        <v>0</v>
      </c>
      <c r="M1699" s="1">
        <v>0</v>
      </c>
      <c r="N1699" s="1">
        <v>14.37</v>
      </c>
      <c r="O1699" s="1">
        <v>0</v>
      </c>
      <c r="Q1699" s="2">
        <v>84.5</v>
      </c>
    </row>
    <row r="1700" spans="1:17" x14ac:dyDescent="0.25">
      <c r="A1700" t="s">
        <v>31</v>
      </c>
      <c r="B1700" t="s">
        <v>40</v>
      </c>
      <c r="C1700" t="str">
        <f>"556-5-CH-CO-38"</f>
        <v>556-5-CH-CO-38</v>
      </c>
      <c r="D1700" t="s">
        <v>27</v>
      </c>
      <c r="F1700" t="s">
        <v>23</v>
      </c>
      <c r="G1700" t="s">
        <v>41</v>
      </c>
      <c r="H1700">
        <v>38</v>
      </c>
      <c r="J1700" s="1">
        <v>70.13</v>
      </c>
      <c r="K1700" s="1">
        <v>0</v>
      </c>
      <c r="M1700" s="1">
        <v>0</v>
      </c>
      <c r="N1700" s="1">
        <v>14.37</v>
      </c>
      <c r="O1700" s="1">
        <v>0</v>
      </c>
      <c r="Q1700" s="2">
        <v>84.5</v>
      </c>
    </row>
    <row r="1701" spans="1:17" x14ac:dyDescent="0.25">
      <c r="A1701" t="s">
        <v>31</v>
      </c>
      <c r="B1701" t="s">
        <v>40</v>
      </c>
      <c r="C1701" t="str">
        <f>"556-5-CH-CO-40"</f>
        <v>556-5-CH-CO-40</v>
      </c>
      <c r="D1701" t="s">
        <v>27</v>
      </c>
      <c r="F1701" t="s">
        <v>23</v>
      </c>
      <c r="G1701" t="s">
        <v>41</v>
      </c>
      <c r="H1701">
        <v>40</v>
      </c>
      <c r="J1701" s="1">
        <v>70.13</v>
      </c>
      <c r="K1701" s="1">
        <v>0</v>
      </c>
      <c r="M1701" s="1">
        <v>0</v>
      </c>
      <c r="N1701" s="1">
        <v>14.37</v>
      </c>
      <c r="O1701" s="1">
        <v>0</v>
      </c>
      <c r="Q1701" s="2">
        <v>84.5</v>
      </c>
    </row>
    <row r="1702" spans="1:17" x14ac:dyDescent="0.25">
      <c r="A1702" t="s">
        <v>31</v>
      </c>
      <c r="B1702" t="s">
        <v>40</v>
      </c>
      <c r="C1702" t="str">
        <f>"556-5-CH-CO-42"</f>
        <v>556-5-CH-CO-42</v>
      </c>
      <c r="D1702" t="s">
        <v>27</v>
      </c>
      <c r="F1702" t="s">
        <v>23</v>
      </c>
      <c r="G1702" t="s">
        <v>41</v>
      </c>
      <c r="H1702">
        <v>42</v>
      </c>
      <c r="J1702" s="1">
        <v>70.13</v>
      </c>
      <c r="K1702" s="1">
        <v>0</v>
      </c>
      <c r="M1702" s="1">
        <v>0</v>
      </c>
      <c r="N1702" s="1">
        <v>14.37</v>
      </c>
      <c r="O1702" s="1">
        <v>0</v>
      </c>
      <c r="Q1702" s="2">
        <v>84.5</v>
      </c>
    </row>
    <row r="1703" spans="1:17" x14ac:dyDescent="0.25">
      <c r="A1703" t="s">
        <v>31</v>
      </c>
      <c r="B1703" t="s">
        <v>40</v>
      </c>
      <c r="C1703" t="str">
        <f>"556-5-CH-CO-44"</f>
        <v>556-5-CH-CO-44</v>
      </c>
      <c r="D1703" t="s">
        <v>27</v>
      </c>
      <c r="F1703" t="s">
        <v>23</v>
      </c>
      <c r="G1703" t="s">
        <v>41</v>
      </c>
      <c r="H1703">
        <v>44</v>
      </c>
      <c r="J1703" s="1">
        <v>70.13</v>
      </c>
      <c r="K1703" s="1">
        <v>0</v>
      </c>
      <c r="M1703" s="1">
        <v>0</v>
      </c>
      <c r="N1703" s="1">
        <v>14.37</v>
      </c>
      <c r="O1703" s="1">
        <v>0</v>
      </c>
      <c r="Q1703" s="2">
        <v>84.5</v>
      </c>
    </row>
    <row r="1704" spans="1:17" x14ac:dyDescent="0.25">
      <c r="A1704" t="s">
        <v>31</v>
      </c>
      <c r="B1704" t="s">
        <v>40</v>
      </c>
      <c r="C1704" t="str">
        <f>"556-5-CH-CO-46"</f>
        <v>556-5-CH-CO-46</v>
      </c>
      <c r="D1704" t="s">
        <v>27</v>
      </c>
      <c r="F1704" t="s">
        <v>23</v>
      </c>
      <c r="G1704" t="s">
        <v>41</v>
      </c>
      <c r="H1704">
        <v>46</v>
      </c>
      <c r="J1704" s="1">
        <v>70.13</v>
      </c>
      <c r="K1704" s="1">
        <v>0</v>
      </c>
      <c r="M1704" s="1">
        <v>0</v>
      </c>
      <c r="N1704" s="1">
        <v>14.37</v>
      </c>
      <c r="O1704" s="1">
        <v>2</v>
      </c>
      <c r="Q1704" s="2">
        <v>86.5</v>
      </c>
    </row>
    <row r="1705" spans="1:17" x14ac:dyDescent="0.25">
      <c r="A1705" t="s">
        <v>31</v>
      </c>
      <c r="B1705" t="s">
        <v>40</v>
      </c>
      <c r="C1705" t="str">
        <f>"556-5-CH-CO-48"</f>
        <v>556-5-CH-CO-48</v>
      </c>
      <c r="D1705" t="s">
        <v>27</v>
      </c>
      <c r="F1705" t="s">
        <v>23</v>
      </c>
      <c r="G1705" t="s">
        <v>41</v>
      </c>
      <c r="H1705">
        <v>48</v>
      </c>
      <c r="J1705" s="1">
        <v>70.13</v>
      </c>
      <c r="K1705" s="1">
        <v>0</v>
      </c>
      <c r="M1705" s="1">
        <v>0</v>
      </c>
      <c r="N1705" s="1">
        <v>14.37</v>
      </c>
      <c r="O1705" s="1">
        <v>4</v>
      </c>
      <c r="Q1705" s="2">
        <v>88.5</v>
      </c>
    </row>
    <row r="1706" spans="1:17" x14ac:dyDescent="0.25">
      <c r="A1706" t="s">
        <v>31</v>
      </c>
      <c r="B1706" t="s">
        <v>40</v>
      </c>
      <c r="C1706" t="str">
        <f>"556-5-CH-CO-50"</f>
        <v>556-5-CH-CO-50</v>
      </c>
      <c r="D1706" t="s">
        <v>27</v>
      </c>
      <c r="F1706" t="s">
        <v>23</v>
      </c>
      <c r="G1706" t="s">
        <v>41</v>
      </c>
      <c r="H1706">
        <v>50</v>
      </c>
      <c r="J1706" s="1">
        <v>70.13</v>
      </c>
      <c r="K1706" s="1">
        <v>0</v>
      </c>
      <c r="M1706" s="1">
        <v>0</v>
      </c>
      <c r="N1706" s="1">
        <v>14.37</v>
      </c>
      <c r="O1706" s="1">
        <v>6</v>
      </c>
      <c r="Q1706" s="2">
        <v>90.5</v>
      </c>
    </row>
    <row r="1707" spans="1:17" x14ac:dyDescent="0.25">
      <c r="A1707" t="s">
        <v>31</v>
      </c>
      <c r="B1707" t="s">
        <v>40</v>
      </c>
      <c r="C1707" t="str">
        <f>"556-5-CH-CO-52"</f>
        <v>556-5-CH-CO-52</v>
      </c>
      <c r="D1707" t="s">
        <v>27</v>
      </c>
      <c r="F1707" t="s">
        <v>23</v>
      </c>
      <c r="G1707" t="s">
        <v>41</v>
      </c>
      <c r="H1707">
        <v>52</v>
      </c>
      <c r="J1707" s="1">
        <v>70.13</v>
      </c>
      <c r="K1707" s="1">
        <v>0</v>
      </c>
      <c r="M1707" s="1">
        <v>0</v>
      </c>
      <c r="N1707" s="1">
        <v>14.37</v>
      </c>
      <c r="O1707" s="1">
        <v>8</v>
      </c>
      <c r="Q1707" s="2">
        <v>92.5</v>
      </c>
    </row>
    <row r="1708" spans="1:17" x14ac:dyDescent="0.25">
      <c r="A1708" t="s">
        <v>31</v>
      </c>
      <c r="B1708" t="s">
        <v>40</v>
      </c>
      <c r="C1708" t="str">
        <f>"556-5-CH-CO-54"</f>
        <v>556-5-CH-CO-54</v>
      </c>
      <c r="D1708" t="s">
        <v>27</v>
      </c>
      <c r="F1708" t="s">
        <v>23</v>
      </c>
      <c r="G1708" t="s">
        <v>41</v>
      </c>
      <c r="H1708">
        <v>54</v>
      </c>
      <c r="J1708" s="1">
        <v>70.13</v>
      </c>
      <c r="K1708" s="1">
        <v>0</v>
      </c>
      <c r="M1708" s="1">
        <v>0</v>
      </c>
      <c r="N1708" s="1">
        <v>14.37</v>
      </c>
      <c r="O1708" s="1">
        <v>10</v>
      </c>
      <c r="Q1708" s="2">
        <v>94.5</v>
      </c>
    </row>
    <row r="1709" spans="1:17" x14ac:dyDescent="0.25">
      <c r="A1709" t="s">
        <v>31</v>
      </c>
      <c r="B1709" t="s">
        <v>40</v>
      </c>
      <c r="C1709" t="str">
        <f>"556-5-CH-CO-56"</f>
        <v>556-5-CH-CO-56</v>
      </c>
      <c r="D1709" t="s">
        <v>27</v>
      </c>
      <c r="F1709" t="s">
        <v>23</v>
      </c>
      <c r="G1709" t="s">
        <v>41</v>
      </c>
      <c r="H1709">
        <v>56</v>
      </c>
      <c r="J1709" s="1">
        <v>70.13</v>
      </c>
      <c r="K1709" s="1">
        <v>0</v>
      </c>
      <c r="M1709" s="1">
        <v>0</v>
      </c>
      <c r="N1709" s="1">
        <v>14.37</v>
      </c>
      <c r="O1709" s="1">
        <v>12</v>
      </c>
      <c r="Q1709" s="2">
        <v>96.5</v>
      </c>
    </row>
    <row r="1710" spans="1:17" x14ac:dyDescent="0.25">
      <c r="A1710" t="s">
        <v>31</v>
      </c>
      <c r="B1710" t="s">
        <v>40</v>
      </c>
      <c r="C1710" t="str">
        <f>"556-5-CH-CO-58"</f>
        <v>556-5-CH-CO-58</v>
      </c>
      <c r="D1710" t="s">
        <v>27</v>
      </c>
      <c r="F1710" t="s">
        <v>23</v>
      </c>
      <c r="G1710" t="s">
        <v>41</v>
      </c>
      <c r="H1710">
        <v>58</v>
      </c>
      <c r="J1710" s="1">
        <v>70.13</v>
      </c>
      <c r="K1710" s="1">
        <v>0</v>
      </c>
      <c r="M1710" s="1">
        <v>0</v>
      </c>
      <c r="N1710" s="1">
        <v>14.37</v>
      </c>
      <c r="O1710" s="1">
        <v>14</v>
      </c>
      <c r="Q1710" s="2">
        <v>98.5</v>
      </c>
    </row>
    <row r="1711" spans="1:17" x14ac:dyDescent="0.25">
      <c r="A1711" t="s">
        <v>31</v>
      </c>
      <c r="B1711" t="s">
        <v>40</v>
      </c>
      <c r="C1711" t="str">
        <f>"556-5-CH-CO-60"</f>
        <v>556-5-CH-CO-60</v>
      </c>
      <c r="D1711" t="s">
        <v>27</v>
      </c>
      <c r="F1711" t="s">
        <v>23</v>
      </c>
      <c r="G1711" t="s">
        <v>41</v>
      </c>
      <c r="H1711">
        <v>60</v>
      </c>
      <c r="J1711" s="1">
        <v>70.13</v>
      </c>
      <c r="K1711" s="1">
        <v>0</v>
      </c>
      <c r="M1711" s="1">
        <v>0</v>
      </c>
      <c r="N1711" s="1">
        <v>14.37</v>
      </c>
      <c r="O1711" s="1">
        <v>16</v>
      </c>
      <c r="Q1711" s="2">
        <v>100.5</v>
      </c>
    </row>
    <row r="1712" spans="1:17" x14ac:dyDescent="0.25">
      <c r="A1712" t="s">
        <v>31</v>
      </c>
      <c r="B1712" t="s">
        <v>40</v>
      </c>
      <c r="C1712" t="str">
        <f>"556-5-CH-CO-62"</f>
        <v>556-5-CH-CO-62</v>
      </c>
      <c r="D1712" t="s">
        <v>27</v>
      </c>
      <c r="F1712" t="s">
        <v>23</v>
      </c>
      <c r="G1712" t="s">
        <v>41</v>
      </c>
      <c r="H1712">
        <v>62</v>
      </c>
      <c r="J1712" s="1">
        <v>70.13</v>
      </c>
      <c r="K1712" s="1">
        <v>0</v>
      </c>
      <c r="M1712" s="1">
        <v>0</v>
      </c>
      <c r="N1712" s="1">
        <v>14.37</v>
      </c>
      <c r="O1712" s="1">
        <v>18</v>
      </c>
      <c r="Q1712" s="2">
        <v>102.5</v>
      </c>
    </row>
    <row r="1713" spans="1:17" x14ac:dyDescent="0.25">
      <c r="A1713" t="s">
        <v>31</v>
      </c>
      <c r="B1713" t="s">
        <v>40</v>
      </c>
      <c r="C1713" t="str">
        <f>"556-5-CH-CO-64"</f>
        <v>556-5-CH-CO-64</v>
      </c>
      <c r="D1713" t="s">
        <v>27</v>
      </c>
      <c r="F1713" t="s">
        <v>23</v>
      </c>
      <c r="G1713" t="s">
        <v>41</v>
      </c>
      <c r="H1713">
        <v>64</v>
      </c>
      <c r="J1713" s="1">
        <v>70.13</v>
      </c>
      <c r="K1713" s="1">
        <v>0</v>
      </c>
      <c r="M1713" s="1">
        <v>0</v>
      </c>
      <c r="N1713" s="1">
        <v>14.37</v>
      </c>
      <c r="O1713" s="1">
        <v>20</v>
      </c>
      <c r="Q1713" s="2">
        <v>104.5</v>
      </c>
    </row>
    <row r="1714" spans="1:17" x14ac:dyDescent="0.25">
      <c r="A1714" t="s">
        <v>31</v>
      </c>
      <c r="B1714" t="s">
        <v>40</v>
      </c>
      <c r="C1714" t="str">
        <f>"556-5-CH-CO-66"</f>
        <v>556-5-CH-CO-66</v>
      </c>
      <c r="D1714" t="s">
        <v>27</v>
      </c>
      <c r="F1714" t="s">
        <v>23</v>
      </c>
      <c r="G1714" t="s">
        <v>41</v>
      </c>
      <c r="H1714">
        <v>66</v>
      </c>
      <c r="J1714" s="1">
        <v>70.13</v>
      </c>
      <c r="K1714" s="1">
        <v>0</v>
      </c>
      <c r="M1714" s="1">
        <v>0</v>
      </c>
      <c r="N1714" s="1">
        <v>14.37</v>
      </c>
      <c r="O1714" s="1">
        <v>22</v>
      </c>
      <c r="Q1714" s="2">
        <v>106.5</v>
      </c>
    </row>
    <row r="1715" spans="1:17" x14ac:dyDescent="0.25">
      <c r="A1715" t="s">
        <v>31</v>
      </c>
      <c r="B1715" t="s">
        <v>40</v>
      </c>
      <c r="C1715" t="str">
        <f>"556-5-CH-CO-68"</f>
        <v>556-5-CH-CO-68</v>
      </c>
      <c r="D1715" t="s">
        <v>27</v>
      </c>
      <c r="F1715" t="s">
        <v>23</v>
      </c>
      <c r="G1715" t="s">
        <v>41</v>
      </c>
      <c r="H1715">
        <v>68</v>
      </c>
      <c r="J1715" s="1">
        <v>70.13</v>
      </c>
      <c r="K1715" s="1">
        <v>0</v>
      </c>
      <c r="M1715" s="1">
        <v>0</v>
      </c>
      <c r="N1715" s="1">
        <v>14.37</v>
      </c>
      <c r="O1715" s="1">
        <v>24</v>
      </c>
      <c r="Q1715" s="2">
        <v>108.5</v>
      </c>
    </row>
    <row r="1716" spans="1:17" x14ac:dyDescent="0.25">
      <c r="A1716" t="s">
        <v>31</v>
      </c>
      <c r="B1716" t="s">
        <v>40</v>
      </c>
      <c r="C1716" t="str">
        <f>"556-5-CH-CO-70"</f>
        <v>556-5-CH-CO-70</v>
      </c>
      <c r="D1716" t="s">
        <v>27</v>
      </c>
      <c r="F1716" t="s">
        <v>23</v>
      </c>
      <c r="G1716" t="s">
        <v>41</v>
      </c>
      <c r="H1716">
        <v>70</v>
      </c>
      <c r="J1716" s="1">
        <v>70.13</v>
      </c>
      <c r="K1716" s="1">
        <v>0</v>
      </c>
      <c r="M1716" s="1">
        <v>0</v>
      </c>
      <c r="N1716" s="1">
        <v>14.37</v>
      </c>
      <c r="O1716" s="1">
        <v>26</v>
      </c>
      <c r="Q1716" s="2">
        <v>110.5</v>
      </c>
    </row>
    <row r="1717" spans="1:17" x14ac:dyDescent="0.25">
      <c r="A1717" t="s">
        <v>31</v>
      </c>
      <c r="B1717" t="s">
        <v>40</v>
      </c>
      <c r="C1717" t="str">
        <f>"556-5-CH-CO-72"</f>
        <v>556-5-CH-CO-72</v>
      </c>
      <c r="D1717" t="s">
        <v>27</v>
      </c>
      <c r="F1717" t="s">
        <v>23</v>
      </c>
      <c r="G1717" t="s">
        <v>41</v>
      </c>
      <c r="H1717">
        <v>72</v>
      </c>
      <c r="J1717" s="1">
        <v>70.13</v>
      </c>
      <c r="K1717" s="1">
        <v>0</v>
      </c>
      <c r="M1717" s="1">
        <v>0</v>
      </c>
      <c r="N1717" s="1">
        <v>14.37</v>
      </c>
      <c r="O1717" s="1">
        <v>28</v>
      </c>
      <c r="Q1717" s="2">
        <v>112.5</v>
      </c>
    </row>
    <row r="1718" spans="1:17" x14ac:dyDescent="0.25">
      <c r="A1718" t="s">
        <v>31</v>
      </c>
      <c r="B1718" t="s">
        <v>40</v>
      </c>
      <c r="C1718" t="str">
        <f>"556-5-CH-CO-74"</f>
        <v>556-5-CH-CO-74</v>
      </c>
      <c r="D1718" t="s">
        <v>27</v>
      </c>
      <c r="F1718" t="s">
        <v>23</v>
      </c>
      <c r="G1718" t="s">
        <v>41</v>
      </c>
      <c r="H1718">
        <v>74</v>
      </c>
      <c r="J1718" s="1">
        <v>70.13</v>
      </c>
      <c r="K1718" s="1">
        <v>0</v>
      </c>
      <c r="M1718" s="1">
        <v>0</v>
      </c>
      <c r="N1718" s="1">
        <v>14.37</v>
      </c>
      <c r="O1718" s="1">
        <v>30</v>
      </c>
      <c r="Q1718" s="2">
        <v>114.5</v>
      </c>
    </row>
    <row r="1719" spans="1:17" x14ac:dyDescent="0.25">
      <c r="A1719" t="s">
        <v>31</v>
      </c>
      <c r="B1719" t="s">
        <v>40</v>
      </c>
      <c r="C1719" t="str">
        <f>"556-5-CH-CO-76"</f>
        <v>556-5-CH-CO-76</v>
      </c>
      <c r="D1719" t="s">
        <v>27</v>
      </c>
      <c r="F1719" t="s">
        <v>23</v>
      </c>
      <c r="G1719" t="s">
        <v>41</v>
      </c>
      <c r="H1719">
        <v>76</v>
      </c>
      <c r="J1719" s="1">
        <v>70.13</v>
      </c>
      <c r="K1719" s="1">
        <v>0</v>
      </c>
      <c r="M1719" s="1">
        <v>0</v>
      </c>
      <c r="N1719" s="1">
        <v>14.37</v>
      </c>
      <c r="O1719" s="1">
        <v>32</v>
      </c>
      <c r="Q1719" s="2">
        <v>116.5</v>
      </c>
    </row>
    <row r="1720" spans="1:17" x14ac:dyDescent="0.25">
      <c r="A1720" t="s">
        <v>31</v>
      </c>
      <c r="B1720" t="s">
        <v>40</v>
      </c>
      <c r="C1720" t="str">
        <f>"556-5-CH-CO-78"</f>
        <v>556-5-CH-CO-78</v>
      </c>
      <c r="D1720" t="s">
        <v>27</v>
      </c>
      <c r="F1720" t="s">
        <v>23</v>
      </c>
      <c r="G1720" t="s">
        <v>41</v>
      </c>
      <c r="H1720">
        <v>78</v>
      </c>
      <c r="J1720" s="1">
        <v>70.13</v>
      </c>
      <c r="K1720" s="1">
        <v>0</v>
      </c>
      <c r="M1720" s="1">
        <v>0</v>
      </c>
      <c r="N1720" s="1">
        <v>14.37</v>
      </c>
      <c r="O1720" s="1">
        <v>34</v>
      </c>
      <c r="Q1720" s="2">
        <v>118.5</v>
      </c>
    </row>
    <row r="1721" spans="1:17" x14ac:dyDescent="0.25">
      <c r="A1721" t="s">
        <v>31</v>
      </c>
      <c r="B1721" t="s">
        <v>40</v>
      </c>
      <c r="C1721" t="str">
        <f>"556-5-CH-CO-80"</f>
        <v>556-5-CH-CO-80</v>
      </c>
      <c r="D1721" t="s">
        <v>27</v>
      </c>
      <c r="F1721" t="s">
        <v>23</v>
      </c>
      <c r="G1721" t="s">
        <v>41</v>
      </c>
      <c r="H1721">
        <v>80</v>
      </c>
      <c r="J1721" s="1">
        <v>70.13</v>
      </c>
      <c r="K1721" s="1">
        <v>0</v>
      </c>
      <c r="M1721" s="1">
        <v>0</v>
      </c>
      <c r="N1721" s="1">
        <v>14.37</v>
      </c>
      <c r="O1721" s="1">
        <v>36</v>
      </c>
      <c r="Q1721" s="2">
        <v>120.5</v>
      </c>
    </row>
    <row r="1722" spans="1:17" x14ac:dyDescent="0.25">
      <c r="A1722" t="s">
        <v>31</v>
      </c>
      <c r="B1722" t="s">
        <v>40</v>
      </c>
      <c r="C1722" t="str">
        <f>"556-5-CH-SU-22"</f>
        <v>556-5-CH-SU-22</v>
      </c>
      <c r="D1722" t="s">
        <v>27</v>
      </c>
      <c r="F1722" t="s">
        <v>23</v>
      </c>
      <c r="G1722" t="s">
        <v>42</v>
      </c>
      <c r="H1722">
        <v>22</v>
      </c>
      <c r="J1722" s="1">
        <v>70.13</v>
      </c>
      <c r="K1722" s="1">
        <v>0</v>
      </c>
      <c r="M1722" s="1">
        <v>0</v>
      </c>
      <c r="N1722" s="1">
        <v>0</v>
      </c>
      <c r="O1722" s="1">
        <v>0</v>
      </c>
      <c r="Q1722" s="2">
        <v>70.13</v>
      </c>
    </row>
    <row r="1723" spans="1:17" x14ac:dyDescent="0.25">
      <c r="A1723" t="s">
        <v>31</v>
      </c>
      <c r="B1723" t="s">
        <v>40</v>
      </c>
      <c r="C1723" t="str">
        <f>"556-5-CH-SU-24"</f>
        <v>556-5-CH-SU-24</v>
      </c>
      <c r="D1723" t="s">
        <v>27</v>
      </c>
      <c r="F1723" t="s">
        <v>23</v>
      </c>
      <c r="G1723" t="s">
        <v>42</v>
      </c>
      <c r="H1723">
        <v>24</v>
      </c>
      <c r="J1723" s="1">
        <v>70.13</v>
      </c>
      <c r="K1723" s="1">
        <v>0</v>
      </c>
      <c r="M1723" s="1">
        <v>0</v>
      </c>
      <c r="N1723" s="1">
        <v>0</v>
      </c>
      <c r="O1723" s="1">
        <v>0</v>
      </c>
      <c r="Q1723" s="2">
        <v>70.13</v>
      </c>
    </row>
    <row r="1724" spans="1:17" x14ac:dyDescent="0.25">
      <c r="A1724" t="s">
        <v>31</v>
      </c>
      <c r="B1724" t="s">
        <v>40</v>
      </c>
      <c r="C1724" t="str">
        <f>"556-5-CH-SU-26"</f>
        <v>556-5-CH-SU-26</v>
      </c>
      <c r="D1724" t="s">
        <v>27</v>
      </c>
      <c r="F1724" t="s">
        <v>23</v>
      </c>
      <c r="G1724" t="s">
        <v>42</v>
      </c>
      <c r="H1724">
        <v>26</v>
      </c>
      <c r="J1724" s="1">
        <v>70.13</v>
      </c>
      <c r="K1724" s="1">
        <v>0</v>
      </c>
      <c r="M1724" s="1">
        <v>0</v>
      </c>
      <c r="N1724" s="1">
        <v>0</v>
      </c>
      <c r="O1724" s="1">
        <v>0</v>
      </c>
      <c r="Q1724" s="2">
        <v>70.13</v>
      </c>
    </row>
    <row r="1725" spans="1:17" x14ac:dyDescent="0.25">
      <c r="A1725" t="s">
        <v>31</v>
      </c>
      <c r="B1725" t="s">
        <v>40</v>
      </c>
      <c r="C1725" t="str">
        <f>"556-5-CH-SU-28"</f>
        <v>556-5-CH-SU-28</v>
      </c>
      <c r="D1725" t="s">
        <v>27</v>
      </c>
      <c r="F1725" t="s">
        <v>23</v>
      </c>
      <c r="G1725" t="s">
        <v>42</v>
      </c>
      <c r="H1725">
        <v>28</v>
      </c>
      <c r="J1725" s="1">
        <v>70.13</v>
      </c>
      <c r="K1725" s="1">
        <v>0</v>
      </c>
      <c r="M1725" s="1">
        <v>0</v>
      </c>
      <c r="N1725" s="1">
        <v>0</v>
      </c>
      <c r="O1725" s="1">
        <v>0</v>
      </c>
      <c r="Q1725" s="2">
        <v>70.13</v>
      </c>
    </row>
    <row r="1726" spans="1:17" x14ac:dyDescent="0.25">
      <c r="A1726" t="s">
        <v>31</v>
      </c>
      <c r="B1726" t="s">
        <v>40</v>
      </c>
      <c r="C1726" t="str">
        <f>"556-5-CH-SU-30"</f>
        <v>556-5-CH-SU-30</v>
      </c>
      <c r="D1726" t="s">
        <v>27</v>
      </c>
      <c r="F1726" t="s">
        <v>23</v>
      </c>
      <c r="G1726" t="s">
        <v>42</v>
      </c>
      <c r="H1726">
        <v>30</v>
      </c>
      <c r="J1726" s="1">
        <v>70.13</v>
      </c>
      <c r="K1726" s="1">
        <v>0</v>
      </c>
      <c r="M1726" s="1">
        <v>0</v>
      </c>
      <c r="N1726" s="1">
        <v>0</v>
      </c>
      <c r="O1726" s="1">
        <v>0</v>
      </c>
      <c r="Q1726" s="2">
        <v>70.13</v>
      </c>
    </row>
    <row r="1727" spans="1:17" x14ac:dyDescent="0.25">
      <c r="A1727" t="s">
        <v>31</v>
      </c>
      <c r="B1727" t="s">
        <v>40</v>
      </c>
      <c r="C1727" t="str">
        <f>"556-5-CH-SU-32"</f>
        <v>556-5-CH-SU-32</v>
      </c>
      <c r="D1727" t="s">
        <v>27</v>
      </c>
      <c r="F1727" t="s">
        <v>23</v>
      </c>
      <c r="G1727" t="s">
        <v>42</v>
      </c>
      <c r="H1727">
        <v>32</v>
      </c>
      <c r="J1727" s="1">
        <v>70.13</v>
      </c>
      <c r="K1727" s="1">
        <v>0</v>
      </c>
      <c r="M1727" s="1">
        <v>0</v>
      </c>
      <c r="N1727" s="1">
        <v>0</v>
      </c>
      <c r="O1727" s="1">
        <v>0</v>
      </c>
      <c r="Q1727" s="2">
        <v>70.13</v>
      </c>
    </row>
    <row r="1728" spans="1:17" x14ac:dyDescent="0.25">
      <c r="A1728" t="s">
        <v>31</v>
      </c>
      <c r="B1728" t="s">
        <v>40</v>
      </c>
      <c r="C1728" t="str">
        <f>"556-5-CH-SU-34"</f>
        <v>556-5-CH-SU-34</v>
      </c>
      <c r="D1728" t="s">
        <v>27</v>
      </c>
      <c r="F1728" t="s">
        <v>23</v>
      </c>
      <c r="G1728" t="s">
        <v>42</v>
      </c>
      <c r="H1728">
        <v>34</v>
      </c>
      <c r="J1728" s="1">
        <v>70.13</v>
      </c>
      <c r="K1728" s="1">
        <v>0</v>
      </c>
      <c r="M1728" s="1">
        <v>0</v>
      </c>
      <c r="N1728" s="1">
        <v>0</v>
      </c>
      <c r="O1728" s="1">
        <v>0</v>
      </c>
      <c r="Q1728" s="2">
        <v>70.13</v>
      </c>
    </row>
    <row r="1729" spans="1:17" x14ac:dyDescent="0.25">
      <c r="A1729" t="s">
        <v>31</v>
      </c>
      <c r="B1729" t="s">
        <v>40</v>
      </c>
      <c r="C1729" t="str">
        <f>"556-5-CH-SU-36"</f>
        <v>556-5-CH-SU-36</v>
      </c>
      <c r="D1729" t="s">
        <v>27</v>
      </c>
      <c r="F1729" t="s">
        <v>23</v>
      </c>
      <c r="G1729" t="s">
        <v>42</v>
      </c>
      <c r="H1729">
        <v>36</v>
      </c>
      <c r="J1729" s="1">
        <v>70.13</v>
      </c>
      <c r="K1729" s="1">
        <v>0</v>
      </c>
      <c r="M1729" s="1">
        <v>0</v>
      </c>
      <c r="N1729" s="1">
        <v>0</v>
      </c>
      <c r="O1729" s="1">
        <v>0</v>
      </c>
      <c r="Q1729" s="2">
        <v>70.13</v>
      </c>
    </row>
    <row r="1730" spans="1:17" x14ac:dyDescent="0.25">
      <c r="A1730" t="s">
        <v>31</v>
      </c>
      <c r="B1730" t="s">
        <v>40</v>
      </c>
      <c r="C1730" t="str">
        <f>"556-5-CH-SU-38"</f>
        <v>556-5-CH-SU-38</v>
      </c>
      <c r="D1730" t="s">
        <v>27</v>
      </c>
      <c r="F1730" t="s">
        <v>23</v>
      </c>
      <c r="G1730" t="s">
        <v>42</v>
      </c>
      <c r="H1730">
        <v>38</v>
      </c>
      <c r="J1730" s="1">
        <v>70.13</v>
      </c>
      <c r="K1730" s="1">
        <v>0</v>
      </c>
      <c r="M1730" s="1">
        <v>0</v>
      </c>
      <c r="N1730" s="1">
        <v>0</v>
      </c>
      <c r="O1730" s="1">
        <v>0</v>
      </c>
      <c r="Q1730" s="2">
        <v>70.13</v>
      </c>
    </row>
    <row r="1731" spans="1:17" x14ac:dyDescent="0.25">
      <c r="A1731" t="s">
        <v>31</v>
      </c>
      <c r="B1731" t="s">
        <v>40</v>
      </c>
      <c r="C1731" t="str">
        <f>"556-5-CH-SU-40"</f>
        <v>556-5-CH-SU-40</v>
      </c>
      <c r="D1731" t="s">
        <v>27</v>
      </c>
      <c r="F1731" t="s">
        <v>23</v>
      </c>
      <c r="G1731" t="s">
        <v>42</v>
      </c>
      <c r="H1731">
        <v>40</v>
      </c>
      <c r="J1731" s="1">
        <v>70.13</v>
      </c>
      <c r="K1731" s="1">
        <v>0</v>
      </c>
      <c r="M1731" s="1">
        <v>0</v>
      </c>
      <c r="N1731" s="1">
        <v>0</v>
      </c>
      <c r="O1731" s="1">
        <v>0</v>
      </c>
      <c r="Q1731" s="2">
        <v>70.13</v>
      </c>
    </row>
    <row r="1732" spans="1:17" x14ac:dyDescent="0.25">
      <c r="A1732" t="s">
        <v>31</v>
      </c>
      <c r="B1732" t="s">
        <v>40</v>
      </c>
      <c r="C1732" t="str">
        <f>"556-5-CH-SU-42"</f>
        <v>556-5-CH-SU-42</v>
      </c>
      <c r="D1732" t="s">
        <v>27</v>
      </c>
      <c r="F1732" t="s">
        <v>23</v>
      </c>
      <c r="G1732" t="s">
        <v>42</v>
      </c>
      <c r="H1732">
        <v>42</v>
      </c>
      <c r="J1732" s="1">
        <v>70.13</v>
      </c>
      <c r="K1732" s="1">
        <v>0</v>
      </c>
      <c r="M1732" s="1">
        <v>0</v>
      </c>
      <c r="N1732" s="1">
        <v>0</v>
      </c>
      <c r="O1732" s="1">
        <v>0</v>
      </c>
      <c r="Q1732" s="2">
        <v>70.13</v>
      </c>
    </row>
    <row r="1733" spans="1:17" x14ac:dyDescent="0.25">
      <c r="A1733" t="s">
        <v>31</v>
      </c>
      <c r="B1733" t="s">
        <v>40</v>
      </c>
      <c r="C1733" t="str">
        <f>"556-5-CH-SU-44"</f>
        <v>556-5-CH-SU-44</v>
      </c>
      <c r="D1733" t="s">
        <v>27</v>
      </c>
      <c r="F1733" t="s">
        <v>23</v>
      </c>
      <c r="G1733" t="s">
        <v>42</v>
      </c>
      <c r="H1733">
        <v>44</v>
      </c>
      <c r="J1733" s="1">
        <v>70.13</v>
      </c>
      <c r="K1733" s="1">
        <v>0</v>
      </c>
      <c r="M1733" s="1">
        <v>0</v>
      </c>
      <c r="N1733" s="1">
        <v>0</v>
      </c>
      <c r="O1733" s="1">
        <v>0</v>
      </c>
      <c r="Q1733" s="2">
        <v>70.13</v>
      </c>
    </row>
    <row r="1734" spans="1:17" x14ac:dyDescent="0.25">
      <c r="A1734" t="s">
        <v>31</v>
      </c>
      <c r="B1734" t="s">
        <v>40</v>
      </c>
      <c r="C1734" t="str">
        <f>"556-5-CH-SU-46"</f>
        <v>556-5-CH-SU-46</v>
      </c>
      <c r="D1734" t="s">
        <v>27</v>
      </c>
      <c r="F1734" t="s">
        <v>23</v>
      </c>
      <c r="G1734" t="s">
        <v>42</v>
      </c>
      <c r="H1734">
        <v>46</v>
      </c>
      <c r="J1734" s="1">
        <v>70.13</v>
      </c>
      <c r="K1734" s="1">
        <v>0</v>
      </c>
      <c r="M1734" s="1">
        <v>0</v>
      </c>
      <c r="N1734" s="1">
        <v>0</v>
      </c>
      <c r="O1734" s="1">
        <v>5.0999999999999996</v>
      </c>
      <c r="Q1734" s="2">
        <v>75.23</v>
      </c>
    </row>
    <row r="1735" spans="1:17" x14ac:dyDescent="0.25">
      <c r="A1735" t="s">
        <v>31</v>
      </c>
      <c r="B1735" t="s">
        <v>40</v>
      </c>
      <c r="C1735" t="str">
        <f>"556-5-CH-SU-48"</f>
        <v>556-5-CH-SU-48</v>
      </c>
      <c r="D1735" t="s">
        <v>27</v>
      </c>
      <c r="F1735" t="s">
        <v>23</v>
      </c>
      <c r="G1735" t="s">
        <v>42</v>
      </c>
      <c r="H1735">
        <v>48</v>
      </c>
      <c r="J1735" s="1">
        <v>70.13</v>
      </c>
      <c r="K1735" s="1">
        <v>0</v>
      </c>
      <c r="M1735" s="1">
        <v>0</v>
      </c>
      <c r="N1735" s="1">
        <v>0</v>
      </c>
      <c r="O1735" s="1">
        <v>6.8</v>
      </c>
      <c r="Q1735" s="2">
        <v>76.930000000000007</v>
      </c>
    </row>
    <row r="1736" spans="1:17" x14ac:dyDescent="0.25">
      <c r="A1736" t="s">
        <v>31</v>
      </c>
      <c r="B1736" t="s">
        <v>40</v>
      </c>
      <c r="C1736" t="str">
        <f>"556-5-CH-SU-50"</f>
        <v>556-5-CH-SU-50</v>
      </c>
      <c r="D1736" t="s">
        <v>27</v>
      </c>
      <c r="F1736" t="s">
        <v>23</v>
      </c>
      <c r="G1736" t="s">
        <v>42</v>
      </c>
      <c r="H1736">
        <v>50</v>
      </c>
      <c r="J1736" s="1">
        <v>70.13</v>
      </c>
      <c r="K1736" s="1">
        <v>0</v>
      </c>
      <c r="M1736" s="1">
        <v>0</v>
      </c>
      <c r="N1736" s="1">
        <v>0</v>
      </c>
      <c r="O1736" s="1">
        <v>8.5</v>
      </c>
      <c r="Q1736" s="2">
        <v>78.63</v>
      </c>
    </row>
    <row r="1737" spans="1:17" x14ac:dyDescent="0.25">
      <c r="A1737" t="s">
        <v>31</v>
      </c>
      <c r="B1737" t="s">
        <v>40</v>
      </c>
      <c r="C1737" t="str">
        <f>"556-5-CH-SU-52"</f>
        <v>556-5-CH-SU-52</v>
      </c>
      <c r="D1737" t="s">
        <v>27</v>
      </c>
      <c r="F1737" t="s">
        <v>23</v>
      </c>
      <c r="G1737" t="s">
        <v>42</v>
      </c>
      <c r="H1737">
        <v>52</v>
      </c>
      <c r="J1737" s="1">
        <v>70.13</v>
      </c>
      <c r="K1737" s="1">
        <v>0</v>
      </c>
      <c r="M1737" s="1">
        <v>0</v>
      </c>
      <c r="N1737" s="1">
        <v>0</v>
      </c>
      <c r="O1737" s="1">
        <v>10.199999999999999</v>
      </c>
      <c r="Q1737" s="2">
        <v>80.33</v>
      </c>
    </row>
    <row r="1738" spans="1:17" x14ac:dyDescent="0.25">
      <c r="A1738" t="s">
        <v>31</v>
      </c>
      <c r="B1738" t="s">
        <v>40</v>
      </c>
      <c r="C1738" t="str">
        <f>"556-5-CH-SU-54"</f>
        <v>556-5-CH-SU-54</v>
      </c>
      <c r="D1738" t="s">
        <v>27</v>
      </c>
      <c r="F1738" t="s">
        <v>23</v>
      </c>
      <c r="G1738" t="s">
        <v>42</v>
      </c>
      <c r="H1738">
        <v>54</v>
      </c>
      <c r="J1738" s="1">
        <v>70.13</v>
      </c>
      <c r="K1738" s="1">
        <v>0</v>
      </c>
      <c r="M1738" s="1">
        <v>0</v>
      </c>
      <c r="N1738" s="1">
        <v>0</v>
      </c>
      <c r="O1738" s="1">
        <v>11.9</v>
      </c>
      <c r="Q1738" s="2">
        <v>82.03</v>
      </c>
    </row>
    <row r="1739" spans="1:17" x14ac:dyDescent="0.25">
      <c r="A1739" t="s">
        <v>31</v>
      </c>
      <c r="B1739" t="s">
        <v>40</v>
      </c>
      <c r="C1739" t="str">
        <f>"556-5-CH-SU-56"</f>
        <v>556-5-CH-SU-56</v>
      </c>
      <c r="D1739" t="s">
        <v>27</v>
      </c>
      <c r="F1739" t="s">
        <v>23</v>
      </c>
      <c r="G1739" t="s">
        <v>42</v>
      </c>
      <c r="H1739">
        <v>56</v>
      </c>
      <c r="J1739" s="1">
        <v>70.13</v>
      </c>
      <c r="K1739" s="1">
        <v>0</v>
      </c>
      <c r="M1739" s="1">
        <v>0</v>
      </c>
      <c r="N1739" s="1">
        <v>0</v>
      </c>
      <c r="O1739" s="1">
        <v>13.6</v>
      </c>
      <c r="Q1739" s="2">
        <v>83.73</v>
      </c>
    </row>
    <row r="1740" spans="1:17" x14ac:dyDescent="0.25">
      <c r="A1740" t="s">
        <v>31</v>
      </c>
      <c r="B1740" t="s">
        <v>40</v>
      </c>
      <c r="C1740" t="str">
        <f>"556-5-CH-SU-58"</f>
        <v>556-5-CH-SU-58</v>
      </c>
      <c r="D1740" t="s">
        <v>27</v>
      </c>
      <c r="F1740" t="s">
        <v>23</v>
      </c>
      <c r="G1740" t="s">
        <v>42</v>
      </c>
      <c r="H1740">
        <v>58</v>
      </c>
      <c r="J1740" s="1">
        <v>70.13</v>
      </c>
      <c r="K1740" s="1">
        <v>0</v>
      </c>
      <c r="M1740" s="1">
        <v>0</v>
      </c>
      <c r="N1740" s="1">
        <v>0</v>
      </c>
      <c r="O1740" s="1">
        <v>15.3</v>
      </c>
      <c r="Q1740" s="2">
        <v>85.43</v>
      </c>
    </row>
    <row r="1741" spans="1:17" x14ac:dyDescent="0.25">
      <c r="A1741" t="s">
        <v>31</v>
      </c>
      <c r="B1741" t="s">
        <v>40</v>
      </c>
      <c r="C1741" t="str">
        <f>"556-5-CH-SU-60"</f>
        <v>556-5-CH-SU-60</v>
      </c>
      <c r="D1741" t="s">
        <v>27</v>
      </c>
      <c r="F1741" t="s">
        <v>23</v>
      </c>
      <c r="G1741" t="s">
        <v>42</v>
      </c>
      <c r="H1741">
        <v>60</v>
      </c>
      <c r="J1741" s="1">
        <v>70.13</v>
      </c>
      <c r="K1741" s="1">
        <v>0</v>
      </c>
      <c r="M1741" s="1">
        <v>0</v>
      </c>
      <c r="N1741" s="1">
        <v>0</v>
      </c>
      <c r="O1741" s="1">
        <v>17</v>
      </c>
      <c r="Q1741" s="2">
        <v>87.13</v>
      </c>
    </row>
    <row r="1742" spans="1:17" x14ac:dyDescent="0.25">
      <c r="A1742" t="s">
        <v>31</v>
      </c>
      <c r="B1742" t="s">
        <v>40</v>
      </c>
      <c r="C1742" t="str">
        <f>"556-5-CH-SU-62"</f>
        <v>556-5-CH-SU-62</v>
      </c>
      <c r="D1742" t="s">
        <v>27</v>
      </c>
      <c r="F1742" t="s">
        <v>23</v>
      </c>
      <c r="G1742" t="s">
        <v>42</v>
      </c>
      <c r="H1742">
        <v>62</v>
      </c>
      <c r="J1742" s="1">
        <v>70.13</v>
      </c>
      <c r="K1742" s="1">
        <v>0</v>
      </c>
      <c r="M1742" s="1">
        <v>0</v>
      </c>
      <c r="N1742" s="1">
        <v>0</v>
      </c>
      <c r="O1742" s="1">
        <v>18.7</v>
      </c>
      <c r="Q1742" s="2">
        <v>88.83</v>
      </c>
    </row>
    <row r="1743" spans="1:17" x14ac:dyDescent="0.25">
      <c r="A1743" t="s">
        <v>31</v>
      </c>
      <c r="B1743" t="s">
        <v>40</v>
      </c>
      <c r="C1743" t="str">
        <f>"556-5-CH-SU-64"</f>
        <v>556-5-CH-SU-64</v>
      </c>
      <c r="D1743" t="s">
        <v>27</v>
      </c>
      <c r="F1743" t="s">
        <v>23</v>
      </c>
      <c r="G1743" t="s">
        <v>42</v>
      </c>
      <c r="H1743">
        <v>64</v>
      </c>
      <c r="J1743" s="1">
        <v>70.13</v>
      </c>
      <c r="K1743" s="1">
        <v>0</v>
      </c>
      <c r="M1743" s="1">
        <v>0</v>
      </c>
      <c r="N1743" s="1">
        <v>0</v>
      </c>
      <c r="O1743" s="1">
        <v>18.7</v>
      </c>
      <c r="Q1743" s="2">
        <v>88.83</v>
      </c>
    </row>
    <row r="1744" spans="1:17" x14ac:dyDescent="0.25">
      <c r="A1744" t="s">
        <v>31</v>
      </c>
      <c r="B1744" t="s">
        <v>40</v>
      </c>
      <c r="C1744" t="str">
        <f>"556-5-CH-SU-66"</f>
        <v>556-5-CH-SU-66</v>
      </c>
      <c r="D1744" t="s">
        <v>27</v>
      </c>
      <c r="F1744" t="s">
        <v>23</v>
      </c>
      <c r="G1744" t="s">
        <v>42</v>
      </c>
      <c r="H1744">
        <v>66</v>
      </c>
      <c r="J1744" s="1">
        <v>70.13</v>
      </c>
      <c r="K1744" s="1">
        <v>0</v>
      </c>
      <c r="M1744" s="1">
        <v>0</v>
      </c>
      <c r="N1744" s="1">
        <v>0</v>
      </c>
      <c r="O1744" s="1">
        <v>18.7</v>
      </c>
      <c r="Q1744" s="2">
        <v>88.83</v>
      </c>
    </row>
    <row r="1745" spans="1:17" x14ac:dyDescent="0.25">
      <c r="A1745" t="s">
        <v>31</v>
      </c>
      <c r="B1745" t="s">
        <v>40</v>
      </c>
      <c r="C1745" t="str">
        <f>"556-5-CH-SU-68"</f>
        <v>556-5-CH-SU-68</v>
      </c>
      <c r="D1745" t="s">
        <v>27</v>
      </c>
      <c r="F1745" t="s">
        <v>23</v>
      </c>
      <c r="G1745" t="s">
        <v>42</v>
      </c>
      <c r="H1745">
        <v>68</v>
      </c>
      <c r="J1745" s="1">
        <v>70.13</v>
      </c>
      <c r="K1745" s="1">
        <v>0</v>
      </c>
      <c r="M1745" s="1">
        <v>0</v>
      </c>
      <c r="N1745" s="1">
        <v>0</v>
      </c>
      <c r="O1745" s="1">
        <v>20.399999999999999</v>
      </c>
      <c r="Q1745" s="2">
        <v>90.53</v>
      </c>
    </row>
    <row r="1746" spans="1:17" x14ac:dyDescent="0.25">
      <c r="A1746" t="s">
        <v>31</v>
      </c>
      <c r="B1746" t="s">
        <v>40</v>
      </c>
      <c r="C1746" t="str">
        <f>"556-5-CH-SU-70"</f>
        <v>556-5-CH-SU-70</v>
      </c>
      <c r="D1746" t="s">
        <v>27</v>
      </c>
      <c r="F1746" t="s">
        <v>23</v>
      </c>
      <c r="G1746" t="s">
        <v>42</v>
      </c>
      <c r="H1746">
        <v>70</v>
      </c>
      <c r="J1746" s="1">
        <v>70.13</v>
      </c>
      <c r="K1746" s="1">
        <v>0</v>
      </c>
      <c r="M1746" s="1">
        <v>0</v>
      </c>
      <c r="N1746" s="1">
        <v>0</v>
      </c>
      <c r="O1746" s="1">
        <v>22.1</v>
      </c>
      <c r="Q1746" s="2">
        <v>92.23</v>
      </c>
    </row>
    <row r="1747" spans="1:17" x14ac:dyDescent="0.25">
      <c r="A1747" t="s">
        <v>31</v>
      </c>
      <c r="B1747" t="s">
        <v>40</v>
      </c>
      <c r="C1747" t="str">
        <f>"556-5-CH-SU-72"</f>
        <v>556-5-CH-SU-72</v>
      </c>
      <c r="D1747" t="s">
        <v>27</v>
      </c>
      <c r="F1747" t="s">
        <v>23</v>
      </c>
      <c r="G1747" t="s">
        <v>42</v>
      </c>
      <c r="H1747">
        <v>72</v>
      </c>
      <c r="J1747" s="1">
        <v>70.13</v>
      </c>
      <c r="K1747" s="1">
        <v>0</v>
      </c>
      <c r="M1747" s="1">
        <v>0</v>
      </c>
      <c r="N1747" s="1">
        <v>0</v>
      </c>
      <c r="O1747" s="1">
        <v>23.8</v>
      </c>
      <c r="Q1747" s="2">
        <v>93.93</v>
      </c>
    </row>
    <row r="1748" spans="1:17" x14ac:dyDescent="0.25">
      <c r="A1748" t="s">
        <v>31</v>
      </c>
      <c r="B1748" t="s">
        <v>40</v>
      </c>
      <c r="C1748" t="str">
        <f>"556-5-CH-SU-74"</f>
        <v>556-5-CH-SU-74</v>
      </c>
      <c r="D1748" t="s">
        <v>27</v>
      </c>
      <c r="F1748" t="s">
        <v>23</v>
      </c>
      <c r="G1748" t="s">
        <v>42</v>
      </c>
      <c r="H1748">
        <v>74</v>
      </c>
      <c r="J1748" s="1">
        <v>70.13</v>
      </c>
      <c r="K1748" s="1">
        <v>0</v>
      </c>
      <c r="M1748" s="1">
        <v>0</v>
      </c>
      <c r="N1748" s="1">
        <v>0</v>
      </c>
      <c r="O1748" s="1">
        <v>25.5</v>
      </c>
      <c r="Q1748" s="2">
        <v>95.63</v>
      </c>
    </row>
    <row r="1749" spans="1:17" x14ac:dyDescent="0.25">
      <c r="A1749" t="s">
        <v>31</v>
      </c>
      <c r="B1749" t="s">
        <v>40</v>
      </c>
      <c r="C1749" t="str">
        <f>"556-5-CH-SU-76"</f>
        <v>556-5-CH-SU-76</v>
      </c>
      <c r="D1749" t="s">
        <v>27</v>
      </c>
      <c r="F1749" t="s">
        <v>23</v>
      </c>
      <c r="G1749" t="s">
        <v>42</v>
      </c>
      <c r="H1749">
        <v>76</v>
      </c>
      <c r="J1749" s="1">
        <v>70.13</v>
      </c>
      <c r="K1749" s="1">
        <v>0</v>
      </c>
      <c r="M1749" s="1">
        <v>0</v>
      </c>
      <c r="N1749" s="1">
        <v>0</v>
      </c>
      <c r="O1749" s="1">
        <v>27.2</v>
      </c>
      <c r="Q1749" s="2">
        <v>97.33</v>
      </c>
    </row>
    <row r="1750" spans="1:17" x14ac:dyDescent="0.25">
      <c r="A1750" t="s">
        <v>31</v>
      </c>
      <c r="B1750" t="s">
        <v>40</v>
      </c>
      <c r="C1750" t="str">
        <f>"556-5-CH-SU-78"</f>
        <v>556-5-CH-SU-78</v>
      </c>
      <c r="D1750" t="s">
        <v>27</v>
      </c>
      <c r="F1750" t="s">
        <v>23</v>
      </c>
      <c r="G1750" t="s">
        <v>42</v>
      </c>
      <c r="H1750">
        <v>78</v>
      </c>
      <c r="J1750" s="1">
        <v>70.13</v>
      </c>
      <c r="K1750" s="1">
        <v>0</v>
      </c>
      <c r="M1750" s="1">
        <v>0</v>
      </c>
      <c r="N1750" s="1">
        <v>0</v>
      </c>
      <c r="O1750" s="1">
        <v>28.9</v>
      </c>
      <c r="Q1750" s="2">
        <v>99.03</v>
      </c>
    </row>
    <row r="1751" spans="1:17" x14ac:dyDescent="0.25">
      <c r="A1751" t="s">
        <v>31</v>
      </c>
      <c r="B1751" t="s">
        <v>40</v>
      </c>
      <c r="C1751" t="str">
        <f>"556-5-CH-SU-80"</f>
        <v>556-5-CH-SU-80</v>
      </c>
      <c r="D1751" t="s">
        <v>27</v>
      </c>
      <c r="F1751" t="s">
        <v>23</v>
      </c>
      <c r="G1751" t="s">
        <v>42</v>
      </c>
      <c r="H1751">
        <v>80</v>
      </c>
      <c r="J1751" s="1">
        <v>70.13</v>
      </c>
      <c r="K1751" s="1">
        <v>0</v>
      </c>
      <c r="M1751" s="1">
        <v>0</v>
      </c>
      <c r="N1751" s="1">
        <v>0</v>
      </c>
      <c r="O1751" s="1">
        <v>30.6</v>
      </c>
      <c r="Q1751" s="2">
        <v>100.73</v>
      </c>
    </row>
    <row r="1752" spans="1:17" x14ac:dyDescent="0.25">
      <c r="A1752" t="s">
        <v>31</v>
      </c>
      <c r="B1752" t="s">
        <v>40</v>
      </c>
      <c r="C1752" t="str">
        <f>"556-5-CH-VL-22"</f>
        <v>556-5-CH-VL-22</v>
      </c>
      <c r="D1752" t="s">
        <v>27</v>
      </c>
      <c r="F1752" t="s">
        <v>23</v>
      </c>
      <c r="G1752" t="s">
        <v>43</v>
      </c>
      <c r="H1752">
        <v>22</v>
      </c>
      <c r="J1752" s="1">
        <v>70.13</v>
      </c>
      <c r="K1752" s="1">
        <v>0</v>
      </c>
      <c r="M1752" s="1">
        <v>0</v>
      </c>
      <c r="N1752" s="1">
        <v>11.9</v>
      </c>
      <c r="O1752" s="1">
        <v>0</v>
      </c>
      <c r="Q1752" s="2">
        <v>82.03</v>
      </c>
    </row>
    <row r="1753" spans="1:17" x14ac:dyDescent="0.25">
      <c r="A1753" t="s">
        <v>31</v>
      </c>
      <c r="B1753" t="s">
        <v>40</v>
      </c>
      <c r="C1753" t="str">
        <f>"556-5-CH-VL-24"</f>
        <v>556-5-CH-VL-24</v>
      </c>
      <c r="D1753" t="s">
        <v>27</v>
      </c>
      <c r="F1753" t="s">
        <v>23</v>
      </c>
      <c r="G1753" t="s">
        <v>43</v>
      </c>
      <c r="H1753">
        <v>24</v>
      </c>
      <c r="J1753" s="1">
        <v>70.13</v>
      </c>
      <c r="K1753" s="1">
        <v>0</v>
      </c>
      <c r="M1753" s="1">
        <v>0</v>
      </c>
      <c r="N1753" s="1">
        <v>11.9</v>
      </c>
      <c r="O1753" s="1">
        <v>0</v>
      </c>
      <c r="Q1753" s="2">
        <v>82.03</v>
      </c>
    </row>
    <row r="1754" spans="1:17" x14ac:dyDescent="0.25">
      <c r="A1754" t="s">
        <v>31</v>
      </c>
      <c r="B1754" t="s">
        <v>40</v>
      </c>
      <c r="C1754" t="str">
        <f>"556-5-CH-VL-26"</f>
        <v>556-5-CH-VL-26</v>
      </c>
      <c r="D1754" t="s">
        <v>27</v>
      </c>
      <c r="F1754" t="s">
        <v>23</v>
      </c>
      <c r="G1754" t="s">
        <v>43</v>
      </c>
      <c r="H1754">
        <v>26</v>
      </c>
      <c r="J1754" s="1">
        <v>70.13</v>
      </c>
      <c r="K1754" s="1">
        <v>0</v>
      </c>
      <c r="M1754" s="1">
        <v>0</v>
      </c>
      <c r="N1754" s="1">
        <v>11.9</v>
      </c>
      <c r="O1754" s="1">
        <v>0</v>
      </c>
      <c r="Q1754" s="2">
        <v>82.03</v>
      </c>
    </row>
    <row r="1755" spans="1:17" x14ac:dyDescent="0.25">
      <c r="A1755" t="s">
        <v>31</v>
      </c>
      <c r="B1755" t="s">
        <v>40</v>
      </c>
      <c r="C1755" t="str">
        <f>"556-5-CH-VL-28"</f>
        <v>556-5-CH-VL-28</v>
      </c>
      <c r="D1755" t="s">
        <v>27</v>
      </c>
      <c r="F1755" t="s">
        <v>23</v>
      </c>
      <c r="G1755" t="s">
        <v>43</v>
      </c>
      <c r="H1755">
        <v>28</v>
      </c>
      <c r="J1755" s="1">
        <v>70.13</v>
      </c>
      <c r="K1755" s="1">
        <v>0</v>
      </c>
      <c r="M1755" s="1">
        <v>0</v>
      </c>
      <c r="N1755" s="1">
        <v>11.9</v>
      </c>
      <c r="O1755" s="1">
        <v>0</v>
      </c>
      <c r="Q1755" s="2">
        <v>82.03</v>
      </c>
    </row>
    <row r="1756" spans="1:17" x14ac:dyDescent="0.25">
      <c r="A1756" t="s">
        <v>31</v>
      </c>
      <c r="B1756" t="s">
        <v>40</v>
      </c>
      <c r="C1756" t="str">
        <f>"556-5-CH-VL-30"</f>
        <v>556-5-CH-VL-30</v>
      </c>
      <c r="D1756" t="s">
        <v>27</v>
      </c>
      <c r="F1756" t="s">
        <v>23</v>
      </c>
      <c r="G1756" t="s">
        <v>43</v>
      </c>
      <c r="H1756">
        <v>30</v>
      </c>
      <c r="J1756" s="1">
        <v>70.13</v>
      </c>
      <c r="K1756" s="1">
        <v>0</v>
      </c>
      <c r="M1756" s="1">
        <v>0</v>
      </c>
      <c r="N1756" s="1">
        <v>11.9</v>
      </c>
      <c r="O1756" s="1">
        <v>0</v>
      </c>
      <c r="Q1756" s="2">
        <v>82.03</v>
      </c>
    </row>
    <row r="1757" spans="1:17" x14ac:dyDescent="0.25">
      <c r="A1757" t="s">
        <v>31</v>
      </c>
      <c r="B1757" t="s">
        <v>40</v>
      </c>
      <c r="C1757" t="str">
        <f>"556-5-CH-VL-32"</f>
        <v>556-5-CH-VL-32</v>
      </c>
      <c r="D1757" t="s">
        <v>27</v>
      </c>
      <c r="F1757" t="s">
        <v>23</v>
      </c>
      <c r="G1757" t="s">
        <v>43</v>
      </c>
      <c r="H1757">
        <v>32</v>
      </c>
      <c r="J1757" s="1">
        <v>70.13</v>
      </c>
      <c r="K1757" s="1">
        <v>0</v>
      </c>
      <c r="M1757" s="1">
        <v>0</v>
      </c>
      <c r="N1757" s="1">
        <v>11.9</v>
      </c>
      <c r="O1757" s="1">
        <v>0</v>
      </c>
      <c r="Q1757" s="2">
        <v>82.03</v>
      </c>
    </row>
    <row r="1758" spans="1:17" x14ac:dyDescent="0.25">
      <c r="A1758" t="s">
        <v>31</v>
      </c>
      <c r="B1758" t="s">
        <v>40</v>
      </c>
      <c r="C1758" t="str">
        <f>"556-5-CH-VL-34"</f>
        <v>556-5-CH-VL-34</v>
      </c>
      <c r="D1758" t="s">
        <v>27</v>
      </c>
      <c r="F1758" t="s">
        <v>23</v>
      </c>
      <c r="G1758" t="s">
        <v>43</v>
      </c>
      <c r="H1758">
        <v>34</v>
      </c>
      <c r="J1758" s="1">
        <v>70.13</v>
      </c>
      <c r="K1758" s="1">
        <v>0</v>
      </c>
      <c r="M1758" s="1">
        <v>0</v>
      </c>
      <c r="N1758" s="1">
        <v>11.9</v>
      </c>
      <c r="O1758" s="1">
        <v>0</v>
      </c>
      <c r="Q1758" s="2">
        <v>82.03</v>
      </c>
    </row>
    <row r="1759" spans="1:17" x14ac:dyDescent="0.25">
      <c r="A1759" t="s">
        <v>31</v>
      </c>
      <c r="B1759" t="s">
        <v>40</v>
      </c>
      <c r="C1759" t="str">
        <f>"556-5-CH-VL-36"</f>
        <v>556-5-CH-VL-36</v>
      </c>
      <c r="D1759" t="s">
        <v>27</v>
      </c>
      <c r="F1759" t="s">
        <v>23</v>
      </c>
      <c r="G1759" t="s">
        <v>43</v>
      </c>
      <c r="H1759">
        <v>36</v>
      </c>
      <c r="J1759" s="1">
        <v>70.13</v>
      </c>
      <c r="K1759" s="1">
        <v>0</v>
      </c>
      <c r="M1759" s="1">
        <v>0</v>
      </c>
      <c r="N1759" s="1">
        <v>11.9</v>
      </c>
      <c r="O1759" s="1">
        <v>0</v>
      </c>
      <c r="Q1759" s="2">
        <v>82.03</v>
      </c>
    </row>
    <row r="1760" spans="1:17" x14ac:dyDescent="0.25">
      <c r="A1760" t="s">
        <v>31</v>
      </c>
      <c r="B1760" t="s">
        <v>40</v>
      </c>
      <c r="C1760" t="str">
        <f>"556-5-CH-VL-38"</f>
        <v>556-5-CH-VL-38</v>
      </c>
      <c r="D1760" t="s">
        <v>27</v>
      </c>
      <c r="F1760" t="s">
        <v>23</v>
      </c>
      <c r="G1760" t="s">
        <v>43</v>
      </c>
      <c r="H1760">
        <v>38</v>
      </c>
      <c r="J1760" s="1">
        <v>70.13</v>
      </c>
      <c r="K1760" s="1">
        <v>0</v>
      </c>
      <c r="M1760" s="1">
        <v>0</v>
      </c>
      <c r="N1760" s="1">
        <v>11.9</v>
      </c>
      <c r="O1760" s="1">
        <v>0</v>
      </c>
      <c r="Q1760" s="2">
        <v>82.03</v>
      </c>
    </row>
    <row r="1761" spans="1:17" x14ac:dyDescent="0.25">
      <c r="A1761" t="s">
        <v>31</v>
      </c>
      <c r="B1761" t="s">
        <v>40</v>
      </c>
      <c r="C1761" t="str">
        <f>"556-5-CH-VL-40"</f>
        <v>556-5-CH-VL-40</v>
      </c>
      <c r="D1761" t="s">
        <v>27</v>
      </c>
      <c r="F1761" t="s">
        <v>23</v>
      </c>
      <c r="G1761" t="s">
        <v>43</v>
      </c>
      <c r="H1761">
        <v>40</v>
      </c>
      <c r="J1761" s="1">
        <v>70.13</v>
      </c>
      <c r="K1761" s="1">
        <v>0</v>
      </c>
      <c r="M1761" s="1">
        <v>0</v>
      </c>
      <c r="N1761" s="1">
        <v>11.9</v>
      </c>
      <c r="O1761" s="1">
        <v>0</v>
      </c>
      <c r="Q1761" s="2">
        <v>82.03</v>
      </c>
    </row>
    <row r="1762" spans="1:17" x14ac:dyDescent="0.25">
      <c r="A1762" t="s">
        <v>31</v>
      </c>
      <c r="B1762" t="s">
        <v>40</v>
      </c>
      <c r="C1762" t="str">
        <f>"556-5-CH-VL-42"</f>
        <v>556-5-CH-VL-42</v>
      </c>
      <c r="D1762" t="s">
        <v>27</v>
      </c>
      <c r="F1762" t="s">
        <v>23</v>
      </c>
      <c r="G1762" t="s">
        <v>43</v>
      </c>
      <c r="H1762">
        <v>42</v>
      </c>
      <c r="J1762" s="1">
        <v>70.13</v>
      </c>
      <c r="K1762" s="1">
        <v>0</v>
      </c>
      <c r="M1762" s="1">
        <v>0</v>
      </c>
      <c r="N1762" s="1">
        <v>11.9</v>
      </c>
      <c r="O1762" s="1">
        <v>0</v>
      </c>
      <c r="Q1762" s="2">
        <v>82.03</v>
      </c>
    </row>
    <row r="1763" spans="1:17" x14ac:dyDescent="0.25">
      <c r="A1763" t="s">
        <v>31</v>
      </c>
      <c r="B1763" t="s">
        <v>40</v>
      </c>
      <c r="C1763" t="str">
        <f>"556-5-CH-VL-44"</f>
        <v>556-5-CH-VL-44</v>
      </c>
      <c r="D1763" t="s">
        <v>27</v>
      </c>
      <c r="F1763" t="s">
        <v>23</v>
      </c>
      <c r="G1763" t="s">
        <v>43</v>
      </c>
      <c r="H1763">
        <v>44</v>
      </c>
      <c r="J1763" s="1">
        <v>70.13</v>
      </c>
      <c r="K1763" s="1">
        <v>0</v>
      </c>
      <c r="M1763" s="1">
        <v>0</v>
      </c>
      <c r="N1763" s="1">
        <v>11.9</v>
      </c>
      <c r="O1763" s="1">
        <v>0</v>
      </c>
      <c r="Q1763" s="2">
        <v>82.03</v>
      </c>
    </row>
    <row r="1764" spans="1:17" x14ac:dyDescent="0.25">
      <c r="A1764" t="s">
        <v>31</v>
      </c>
      <c r="B1764" t="s">
        <v>40</v>
      </c>
      <c r="C1764" t="str">
        <f>"556-5-CH-VL-46"</f>
        <v>556-5-CH-VL-46</v>
      </c>
      <c r="D1764" t="s">
        <v>27</v>
      </c>
      <c r="F1764" t="s">
        <v>23</v>
      </c>
      <c r="G1764" t="s">
        <v>43</v>
      </c>
      <c r="H1764">
        <v>46</v>
      </c>
      <c r="J1764" s="1">
        <v>70.13</v>
      </c>
      <c r="K1764" s="1">
        <v>0</v>
      </c>
      <c r="M1764" s="1">
        <v>0</v>
      </c>
      <c r="N1764" s="1">
        <v>11.9</v>
      </c>
      <c r="O1764" s="1">
        <v>5.0999999999999996</v>
      </c>
      <c r="Q1764" s="2">
        <v>87.13</v>
      </c>
    </row>
    <row r="1765" spans="1:17" x14ac:dyDescent="0.25">
      <c r="A1765" t="s">
        <v>31</v>
      </c>
      <c r="B1765" t="s">
        <v>40</v>
      </c>
      <c r="C1765" t="str">
        <f>"556-5-CH-VL-48"</f>
        <v>556-5-CH-VL-48</v>
      </c>
      <c r="D1765" t="s">
        <v>27</v>
      </c>
      <c r="F1765" t="s">
        <v>23</v>
      </c>
      <c r="G1765" t="s">
        <v>43</v>
      </c>
      <c r="H1765">
        <v>48</v>
      </c>
      <c r="J1765" s="1">
        <v>70.13</v>
      </c>
      <c r="K1765" s="1">
        <v>0</v>
      </c>
      <c r="M1765" s="1">
        <v>0</v>
      </c>
      <c r="N1765" s="1">
        <v>11.9</v>
      </c>
      <c r="O1765" s="1">
        <v>6.8</v>
      </c>
      <c r="Q1765" s="2">
        <v>88.83</v>
      </c>
    </row>
    <row r="1766" spans="1:17" x14ac:dyDescent="0.25">
      <c r="A1766" t="s">
        <v>31</v>
      </c>
      <c r="B1766" t="s">
        <v>40</v>
      </c>
      <c r="C1766" t="str">
        <f>"556-5-CH-VL-50"</f>
        <v>556-5-CH-VL-50</v>
      </c>
      <c r="D1766" t="s">
        <v>27</v>
      </c>
      <c r="F1766" t="s">
        <v>23</v>
      </c>
      <c r="G1766" t="s">
        <v>43</v>
      </c>
      <c r="H1766">
        <v>50</v>
      </c>
      <c r="J1766" s="1">
        <v>70.13</v>
      </c>
      <c r="K1766" s="1">
        <v>0</v>
      </c>
      <c r="M1766" s="1">
        <v>0</v>
      </c>
      <c r="N1766" s="1">
        <v>11.9</v>
      </c>
      <c r="O1766" s="1">
        <v>8.5</v>
      </c>
      <c r="Q1766" s="2">
        <v>90.53</v>
      </c>
    </row>
    <row r="1767" spans="1:17" x14ac:dyDescent="0.25">
      <c r="A1767" t="s">
        <v>31</v>
      </c>
      <c r="B1767" t="s">
        <v>40</v>
      </c>
      <c r="C1767" t="str">
        <f>"556-5-CH-VL-52"</f>
        <v>556-5-CH-VL-52</v>
      </c>
      <c r="D1767" t="s">
        <v>27</v>
      </c>
      <c r="F1767" t="s">
        <v>23</v>
      </c>
      <c r="G1767" t="s">
        <v>43</v>
      </c>
      <c r="H1767">
        <v>52</v>
      </c>
      <c r="J1767" s="1">
        <v>70.13</v>
      </c>
      <c r="K1767" s="1">
        <v>0</v>
      </c>
      <c r="M1767" s="1">
        <v>0</v>
      </c>
      <c r="N1767" s="1">
        <v>11.9</v>
      </c>
      <c r="O1767" s="1">
        <v>10.199999999999999</v>
      </c>
      <c r="Q1767" s="2">
        <v>92.23</v>
      </c>
    </row>
    <row r="1768" spans="1:17" x14ac:dyDescent="0.25">
      <c r="A1768" t="s">
        <v>31</v>
      </c>
      <c r="B1768" t="s">
        <v>40</v>
      </c>
      <c r="C1768" t="str">
        <f>"556-5-CH-VL-54"</f>
        <v>556-5-CH-VL-54</v>
      </c>
      <c r="D1768" t="s">
        <v>27</v>
      </c>
      <c r="F1768" t="s">
        <v>23</v>
      </c>
      <c r="G1768" t="s">
        <v>43</v>
      </c>
      <c r="H1768">
        <v>54</v>
      </c>
      <c r="J1768" s="1">
        <v>70.13</v>
      </c>
      <c r="K1768" s="1">
        <v>0</v>
      </c>
      <c r="M1768" s="1">
        <v>0</v>
      </c>
      <c r="N1768" s="1">
        <v>11.9</v>
      </c>
      <c r="O1768" s="1">
        <v>11.9</v>
      </c>
      <c r="Q1768" s="2">
        <v>93.93</v>
      </c>
    </row>
    <row r="1769" spans="1:17" x14ac:dyDescent="0.25">
      <c r="A1769" t="s">
        <v>31</v>
      </c>
      <c r="B1769" t="s">
        <v>40</v>
      </c>
      <c r="C1769" t="str">
        <f>"556-5-CH-VL-56"</f>
        <v>556-5-CH-VL-56</v>
      </c>
      <c r="D1769" t="s">
        <v>27</v>
      </c>
      <c r="F1769" t="s">
        <v>23</v>
      </c>
      <c r="G1769" t="s">
        <v>43</v>
      </c>
      <c r="H1769">
        <v>56</v>
      </c>
      <c r="J1769" s="1">
        <v>70.13</v>
      </c>
      <c r="K1769" s="1">
        <v>0</v>
      </c>
      <c r="M1769" s="1">
        <v>0</v>
      </c>
      <c r="N1769" s="1">
        <v>11.9</v>
      </c>
      <c r="O1769" s="1">
        <v>13.6</v>
      </c>
      <c r="Q1769" s="2">
        <v>95.63</v>
      </c>
    </row>
    <row r="1770" spans="1:17" x14ac:dyDescent="0.25">
      <c r="A1770" t="s">
        <v>31</v>
      </c>
      <c r="B1770" t="s">
        <v>40</v>
      </c>
      <c r="C1770" t="str">
        <f>"556-5-CH-VL-58"</f>
        <v>556-5-CH-VL-58</v>
      </c>
      <c r="D1770" t="s">
        <v>27</v>
      </c>
      <c r="F1770" t="s">
        <v>23</v>
      </c>
      <c r="G1770" t="s">
        <v>43</v>
      </c>
      <c r="H1770">
        <v>58</v>
      </c>
      <c r="J1770" s="1">
        <v>70.13</v>
      </c>
      <c r="K1770" s="1">
        <v>0</v>
      </c>
      <c r="M1770" s="1">
        <v>0</v>
      </c>
      <c r="N1770" s="1">
        <v>11.9</v>
      </c>
      <c r="O1770" s="1">
        <v>15.3</v>
      </c>
      <c r="Q1770" s="2">
        <v>97.33</v>
      </c>
    </row>
    <row r="1771" spans="1:17" x14ac:dyDescent="0.25">
      <c r="A1771" t="s">
        <v>31</v>
      </c>
      <c r="B1771" t="s">
        <v>40</v>
      </c>
      <c r="C1771" t="str">
        <f>"556-5-CH-VL-60"</f>
        <v>556-5-CH-VL-60</v>
      </c>
      <c r="D1771" t="s">
        <v>27</v>
      </c>
      <c r="F1771" t="s">
        <v>23</v>
      </c>
      <c r="G1771" t="s">
        <v>43</v>
      </c>
      <c r="H1771">
        <v>60</v>
      </c>
      <c r="J1771" s="1">
        <v>70.13</v>
      </c>
      <c r="K1771" s="1">
        <v>0</v>
      </c>
      <c r="M1771" s="1">
        <v>0</v>
      </c>
      <c r="N1771" s="1">
        <v>11.9</v>
      </c>
      <c r="O1771" s="1">
        <v>17</v>
      </c>
      <c r="Q1771" s="2">
        <v>99.03</v>
      </c>
    </row>
    <row r="1772" spans="1:17" x14ac:dyDescent="0.25">
      <c r="A1772" t="s">
        <v>31</v>
      </c>
      <c r="B1772" t="s">
        <v>40</v>
      </c>
      <c r="C1772" t="str">
        <f>"556-5-CH-VL-62"</f>
        <v>556-5-CH-VL-62</v>
      </c>
      <c r="D1772" t="s">
        <v>27</v>
      </c>
      <c r="F1772" t="s">
        <v>23</v>
      </c>
      <c r="G1772" t="s">
        <v>43</v>
      </c>
      <c r="H1772">
        <v>62</v>
      </c>
      <c r="J1772" s="1">
        <v>70.13</v>
      </c>
      <c r="K1772" s="1">
        <v>0</v>
      </c>
      <c r="M1772" s="1">
        <v>0</v>
      </c>
      <c r="N1772" s="1">
        <v>11.9</v>
      </c>
      <c r="O1772" s="1">
        <v>18.7</v>
      </c>
      <c r="Q1772" s="2">
        <v>100.73</v>
      </c>
    </row>
    <row r="1773" spans="1:17" x14ac:dyDescent="0.25">
      <c r="A1773" t="s">
        <v>31</v>
      </c>
      <c r="B1773" t="s">
        <v>40</v>
      </c>
      <c r="C1773" t="str">
        <f>"556-5-CH-VL-64"</f>
        <v>556-5-CH-VL-64</v>
      </c>
      <c r="D1773" t="s">
        <v>27</v>
      </c>
      <c r="F1773" t="s">
        <v>23</v>
      </c>
      <c r="G1773" t="s">
        <v>43</v>
      </c>
      <c r="H1773">
        <v>64</v>
      </c>
      <c r="J1773" s="1">
        <v>70.13</v>
      </c>
      <c r="K1773" s="1">
        <v>0</v>
      </c>
      <c r="M1773" s="1">
        <v>0</v>
      </c>
      <c r="N1773" s="1">
        <v>11.9</v>
      </c>
      <c r="O1773" s="1">
        <v>18.7</v>
      </c>
      <c r="Q1773" s="2">
        <v>100.73</v>
      </c>
    </row>
    <row r="1774" spans="1:17" x14ac:dyDescent="0.25">
      <c r="A1774" t="s">
        <v>31</v>
      </c>
      <c r="B1774" t="s">
        <v>40</v>
      </c>
      <c r="C1774" t="str">
        <f>"556-5-CH-VL-66"</f>
        <v>556-5-CH-VL-66</v>
      </c>
      <c r="D1774" t="s">
        <v>27</v>
      </c>
      <c r="F1774" t="s">
        <v>23</v>
      </c>
      <c r="G1774" t="s">
        <v>43</v>
      </c>
      <c r="H1774">
        <v>66</v>
      </c>
      <c r="J1774" s="1">
        <v>70.13</v>
      </c>
      <c r="K1774" s="1">
        <v>0</v>
      </c>
      <c r="M1774" s="1">
        <v>0</v>
      </c>
      <c r="N1774" s="1">
        <v>11.9</v>
      </c>
      <c r="O1774" s="1">
        <v>18.7</v>
      </c>
      <c r="Q1774" s="2">
        <v>100.73</v>
      </c>
    </row>
    <row r="1775" spans="1:17" x14ac:dyDescent="0.25">
      <c r="A1775" t="s">
        <v>31</v>
      </c>
      <c r="B1775" t="s">
        <v>40</v>
      </c>
      <c r="C1775" t="str">
        <f>"556-5-CH-VL-68"</f>
        <v>556-5-CH-VL-68</v>
      </c>
      <c r="D1775" t="s">
        <v>27</v>
      </c>
      <c r="F1775" t="s">
        <v>23</v>
      </c>
      <c r="G1775" t="s">
        <v>43</v>
      </c>
      <c r="H1775">
        <v>68</v>
      </c>
      <c r="J1775" s="1">
        <v>70.13</v>
      </c>
      <c r="K1775" s="1">
        <v>0</v>
      </c>
      <c r="M1775" s="1">
        <v>0</v>
      </c>
      <c r="N1775" s="1">
        <v>11.9</v>
      </c>
      <c r="O1775" s="1">
        <v>20.399999999999999</v>
      </c>
      <c r="Q1775" s="2">
        <v>102.43</v>
      </c>
    </row>
    <row r="1776" spans="1:17" x14ac:dyDescent="0.25">
      <c r="A1776" t="s">
        <v>31</v>
      </c>
      <c r="B1776" t="s">
        <v>40</v>
      </c>
      <c r="C1776" t="str">
        <f>"556-5-CH-VL-70"</f>
        <v>556-5-CH-VL-70</v>
      </c>
      <c r="D1776" t="s">
        <v>27</v>
      </c>
      <c r="F1776" t="s">
        <v>23</v>
      </c>
      <c r="G1776" t="s">
        <v>43</v>
      </c>
      <c r="H1776">
        <v>70</v>
      </c>
      <c r="J1776" s="1">
        <v>70.13</v>
      </c>
      <c r="K1776" s="1">
        <v>0</v>
      </c>
      <c r="M1776" s="1">
        <v>0</v>
      </c>
      <c r="N1776" s="1">
        <v>11.9</v>
      </c>
      <c r="O1776" s="1">
        <v>22.1</v>
      </c>
      <c r="Q1776" s="2">
        <v>104.13</v>
      </c>
    </row>
    <row r="1777" spans="1:17" x14ac:dyDescent="0.25">
      <c r="A1777" t="s">
        <v>31</v>
      </c>
      <c r="B1777" t="s">
        <v>40</v>
      </c>
      <c r="C1777" t="str">
        <f>"556-5-CH-VL-72"</f>
        <v>556-5-CH-VL-72</v>
      </c>
      <c r="D1777" t="s">
        <v>27</v>
      </c>
      <c r="F1777" t="s">
        <v>23</v>
      </c>
      <c r="G1777" t="s">
        <v>43</v>
      </c>
      <c r="H1777">
        <v>72</v>
      </c>
      <c r="J1777" s="1">
        <v>70.13</v>
      </c>
      <c r="K1777" s="1">
        <v>0</v>
      </c>
      <c r="M1777" s="1">
        <v>0</v>
      </c>
      <c r="N1777" s="1">
        <v>11.9</v>
      </c>
      <c r="O1777" s="1">
        <v>23.8</v>
      </c>
      <c r="Q1777" s="2">
        <v>105.83</v>
      </c>
    </row>
    <row r="1778" spans="1:17" x14ac:dyDescent="0.25">
      <c r="A1778" t="s">
        <v>31</v>
      </c>
      <c r="B1778" t="s">
        <v>40</v>
      </c>
      <c r="C1778" t="str">
        <f>"556-5-CH-VL-74"</f>
        <v>556-5-CH-VL-74</v>
      </c>
      <c r="D1778" t="s">
        <v>27</v>
      </c>
      <c r="F1778" t="s">
        <v>23</v>
      </c>
      <c r="G1778" t="s">
        <v>43</v>
      </c>
      <c r="H1778">
        <v>74</v>
      </c>
      <c r="J1778" s="1">
        <v>70.13</v>
      </c>
      <c r="K1778" s="1">
        <v>0</v>
      </c>
      <c r="M1778" s="1">
        <v>0</v>
      </c>
      <c r="N1778" s="1">
        <v>11.9</v>
      </c>
      <c r="O1778" s="1">
        <v>25.5</v>
      </c>
      <c r="Q1778" s="2">
        <v>107.53</v>
      </c>
    </row>
    <row r="1779" spans="1:17" x14ac:dyDescent="0.25">
      <c r="A1779" t="s">
        <v>31</v>
      </c>
      <c r="B1779" t="s">
        <v>40</v>
      </c>
      <c r="C1779" t="str">
        <f>"556-5-CH-VL-76"</f>
        <v>556-5-CH-VL-76</v>
      </c>
      <c r="D1779" t="s">
        <v>27</v>
      </c>
      <c r="F1779" t="s">
        <v>23</v>
      </c>
      <c r="G1779" t="s">
        <v>43</v>
      </c>
      <c r="H1779">
        <v>76</v>
      </c>
      <c r="J1779" s="1">
        <v>70.13</v>
      </c>
      <c r="K1779" s="1">
        <v>0</v>
      </c>
      <c r="M1779" s="1">
        <v>0</v>
      </c>
      <c r="N1779" s="1">
        <v>11.9</v>
      </c>
      <c r="O1779" s="1">
        <v>27.2</v>
      </c>
      <c r="Q1779" s="2">
        <v>109.23</v>
      </c>
    </row>
    <row r="1780" spans="1:17" x14ac:dyDescent="0.25">
      <c r="A1780" t="s">
        <v>31</v>
      </c>
      <c r="B1780" t="s">
        <v>40</v>
      </c>
      <c r="C1780" t="str">
        <f>"556-5-CH-VL-78"</f>
        <v>556-5-CH-VL-78</v>
      </c>
      <c r="D1780" t="s">
        <v>27</v>
      </c>
      <c r="F1780" t="s">
        <v>23</v>
      </c>
      <c r="G1780" t="s">
        <v>43</v>
      </c>
      <c r="H1780">
        <v>78</v>
      </c>
      <c r="J1780" s="1">
        <v>70.13</v>
      </c>
      <c r="K1780" s="1">
        <v>0</v>
      </c>
      <c r="M1780" s="1">
        <v>0</v>
      </c>
      <c r="N1780" s="1">
        <v>11.9</v>
      </c>
      <c r="O1780" s="1">
        <v>28.9</v>
      </c>
      <c r="Q1780" s="2">
        <v>110.93</v>
      </c>
    </row>
    <row r="1781" spans="1:17" x14ac:dyDescent="0.25">
      <c r="A1781" t="s">
        <v>31</v>
      </c>
      <c r="B1781" t="s">
        <v>40</v>
      </c>
      <c r="C1781" t="str">
        <f>"556-5-CH-VL-80"</f>
        <v>556-5-CH-VL-80</v>
      </c>
      <c r="D1781" t="s">
        <v>27</v>
      </c>
      <c r="F1781" t="s">
        <v>23</v>
      </c>
      <c r="G1781" t="s">
        <v>43</v>
      </c>
      <c r="H1781">
        <v>80</v>
      </c>
      <c r="J1781" s="1">
        <v>70.13</v>
      </c>
      <c r="K1781" s="1">
        <v>0</v>
      </c>
      <c r="M1781" s="1">
        <v>0</v>
      </c>
      <c r="N1781" s="1">
        <v>11.9</v>
      </c>
      <c r="O1781" s="1">
        <v>30.6</v>
      </c>
      <c r="Q1781" s="2">
        <v>112.63</v>
      </c>
    </row>
    <row r="1782" spans="1:17" x14ac:dyDescent="0.25">
      <c r="A1782" t="s">
        <v>44</v>
      </c>
      <c r="B1782" t="s">
        <v>45</v>
      </c>
      <c r="C1782" t="str">
        <f>"88-1-BL-53"</f>
        <v>88-1-BL-53</v>
      </c>
      <c r="D1782" t="s">
        <v>19</v>
      </c>
      <c r="E1782" t="s">
        <v>20</v>
      </c>
      <c r="H1782" t="s">
        <v>46</v>
      </c>
      <c r="J1782" s="1">
        <v>39.25</v>
      </c>
      <c r="K1782" s="1">
        <v>0</v>
      </c>
      <c r="L1782" s="1">
        <v>0</v>
      </c>
      <c r="Q1782" s="2">
        <v>39.25</v>
      </c>
    </row>
    <row r="1783" spans="1:17" x14ac:dyDescent="0.25">
      <c r="A1783" t="s">
        <v>44</v>
      </c>
      <c r="B1783" t="s">
        <v>45</v>
      </c>
      <c r="C1783" t="str">
        <f>"88-1-BL-76"</f>
        <v>88-1-BL-76</v>
      </c>
      <c r="D1783" t="s">
        <v>19</v>
      </c>
      <c r="E1783" t="s">
        <v>20</v>
      </c>
      <c r="H1783" t="s">
        <v>47</v>
      </c>
      <c r="J1783" s="1">
        <v>39.25</v>
      </c>
      <c r="K1783" s="1">
        <v>0</v>
      </c>
      <c r="L1783" s="1">
        <v>0</v>
      </c>
      <c r="Q1783" s="2">
        <v>39.25</v>
      </c>
    </row>
    <row r="1784" spans="1:17" x14ac:dyDescent="0.25">
      <c r="A1784" t="s">
        <v>44</v>
      </c>
      <c r="B1784" t="s">
        <v>45</v>
      </c>
      <c r="C1784" t="str">
        <f>"88-1-BL-83"</f>
        <v>88-1-BL-83</v>
      </c>
      <c r="D1784" t="s">
        <v>19</v>
      </c>
      <c r="E1784" t="s">
        <v>20</v>
      </c>
      <c r="H1784" t="s">
        <v>48</v>
      </c>
      <c r="J1784" s="1">
        <v>39.25</v>
      </c>
      <c r="K1784" s="1">
        <v>0</v>
      </c>
      <c r="L1784" s="1">
        <v>0</v>
      </c>
      <c r="Q1784" s="2">
        <v>39.25</v>
      </c>
    </row>
    <row r="1785" spans="1:17" x14ac:dyDescent="0.25">
      <c r="A1785" t="s">
        <v>44</v>
      </c>
      <c r="B1785" t="s">
        <v>45</v>
      </c>
      <c r="C1785" t="str">
        <f>"88-1-BR-53"</f>
        <v>88-1-BR-53</v>
      </c>
      <c r="D1785" t="s">
        <v>19</v>
      </c>
      <c r="E1785" t="s">
        <v>22</v>
      </c>
      <c r="H1785" t="s">
        <v>46</v>
      </c>
      <c r="J1785" s="1">
        <v>39.25</v>
      </c>
      <c r="K1785" s="1">
        <v>0</v>
      </c>
      <c r="L1785" s="1">
        <v>0</v>
      </c>
      <c r="Q1785" s="2">
        <v>39.25</v>
      </c>
    </row>
    <row r="1786" spans="1:17" x14ac:dyDescent="0.25">
      <c r="A1786" t="s">
        <v>44</v>
      </c>
      <c r="B1786" t="s">
        <v>45</v>
      </c>
      <c r="C1786" t="str">
        <f>"88-1-BR-76"</f>
        <v>88-1-BR-76</v>
      </c>
      <c r="D1786" t="s">
        <v>19</v>
      </c>
      <c r="E1786" t="s">
        <v>22</v>
      </c>
      <c r="H1786" t="s">
        <v>47</v>
      </c>
      <c r="J1786" s="1">
        <v>39.25</v>
      </c>
      <c r="K1786" s="1">
        <v>0</v>
      </c>
      <c r="L1786" s="1">
        <v>0</v>
      </c>
      <c r="Q1786" s="2">
        <v>39.25</v>
      </c>
    </row>
    <row r="1787" spans="1:17" x14ac:dyDescent="0.25">
      <c r="A1787" t="s">
        <v>44</v>
      </c>
      <c r="B1787" t="s">
        <v>45</v>
      </c>
      <c r="C1787" t="str">
        <f>"88-1-BR-83"</f>
        <v>88-1-BR-83</v>
      </c>
      <c r="D1787" t="s">
        <v>19</v>
      </c>
      <c r="E1787" t="s">
        <v>22</v>
      </c>
      <c r="H1787" t="s">
        <v>48</v>
      </c>
      <c r="J1787" s="1">
        <v>39.25</v>
      </c>
      <c r="K1787" s="1">
        <v>0</v>
      </c>
      <c r="L1787" s="1">
        <v>0</v>
      </c>
      <c r="Q1787" s="2">
        <v>39.25</v>
      </c>
    </row>
    <row r="1788" spans="1:17" x14ac:dyDescent="0.25">
      <c r="A1788" t="s">
        <v>44</v>
      </c>
      <c r="B1788" t="s">
        <v>45</v>
      </c>
      <c r="C1788" t="str">
        <f>"88-1-CH-53"</f>
        <v>88-1-CH-53</v>
      </c>
      <c r="D1788" t="s">
        <v>19</v>
      </c>
      <c r="E1788" t="s">
        <v>23</v>
      </c>
      <c r="H1788" t="s">
        <v>46</v>
      </c>
      <c r="J1788" s="1">
        <v>39.25</v>
      </c>
      <c r="K1788" s="1">
        <v>0</v>
      </c>
      <c r="L1788" s="1">
        <v>0</v>
      </c>
      <c r="Q1788" s="2">
        <v>39.25</v>
      </c>
    </row>
    <row r="1789" spans="1:17" x14ac:dyDescent="0.25">
      <c r="A1789" t="s">
        <v>44</v>
      </c>
      <c r="B1789" t="s">
        <v>45</v>
      </c>
      <c r="C1789" t="str">
        <f>"88-1-CH-76"</f>
        <v>88-1-CH-76</v>
      </c>
      <c r="D1789" t="s">
        <v>19</v>
      </c>
      <c r="E1789" t="s">
        <v>23</v>
      </c>
      <c r="H1789" t="s">
        <v>47</v>
      </c>
      <c r="J1789" s="1">
        <v>39.25</v>
      </c>
      <c r="K1789" s="1">
        <v>0</v>
      </c>
      <c r="L1789" s="1">
        <v>0</v>
      </c>
      <c r="Q1789" s="2">
        <v>39.25</v>
      </c>
    </row>
    <row r="1790" spans="1:17" x14ac:dyDescent="0.25">
      <c r="A1790" t="s">
        <v>44</v>
      </c>
      <c r="B1790" t="s">
        <v>45</v>
      </c>
      <c r="C1790" t="str">
        <f>"88-1-CH-83"</f>
        <v>88-1-CH-83</v>
      </c>
      <c r="D1790" t="s">
        <v>19</v>
      </c>
      <c r="E1790" t="s">
        <v>23</v>
      </c>
      <c r="H1790" t="s">
        <v>48</v>
      </c>
      <c r="J1790" s="1">
        <v>39.25</v>
      </c>
      <c r="K1790" s="1">
        <v>0</v>
      </c>
      <c r="L1790" s="1">
        <v>0</v>
      </c>
      <c r="Q1790" s="2">
        <v>39.25</v>
      </c>
    </row>
    <row r="1791" spans="1:17" x14ac:dyDescent="0.25">
      <c r="A1791" t="s">
        <v>44</v>
      </c>
      <c r="B1791" t="s">
        <v>45</v>
      </c>
      <c r="C1791" t="str">
        <f>"88-1-HS-53"</f>
        <v>88-1-HS-53</v>
      </c>
      <c r="D1791" t="s">
        <v>19</v>
      </c>
      <c r="E1791" t="s">
        <v>24</v>
      </c>
      <c r="H1791" t="s">
        <v>46</v>
      </c>
      <c r="J1791" s="1">
        <v>39.25</v>
      </c>
      <c r="K1791" s="1">
        <v>0</v>
      </c>
      <c r="L1791" s="1">
        <v>4.25</v>
      </c>
      <c r="Q1791" s="2">
        <v>43.5</v>
      </c>
    </row>
    <row r="1792" spans="1:17" x14ac:dyDescent="0.25">
      <c r="A1792" t="s">
        <v>44</v>
      </c>
      <c r="B1792" t="s">
        <v>45</v>
      </c>
      <c r="C1792" t="str">
        <f>"88-1-HS-76"</f>
        <v>88-1-HS-76</v>
      </c>
      <c r="D1792" t="s">
        <v>19</v>
      </c>
      <c r="E1792" t="s">
        <v>24</v>
      </c>
      <c r="H1792" t="s">
        <v>47</v>
      </c>
      <c r="J1792" s="1">
        <v>39.25</v>
      </c>
      <c r="K1792" s="1">
        <v>0</v>
      </c>
      <c r="L1792" s="1">
        <v>4.25</v>
      </c>
      <c r="Q1792" s="2">
        <v>43.5</v>
      </c>
    </row>
    <row r="1793" spans="1:17" x14ac:dyDescent="0.25">
      <c r="A1793" t="s">
        <v>44</v>
      </c>
      <c r="B1793" t="s">
        <v>45</v>
      </c>
      <c r="C1793" t="str">
        <f>"88-1-HS-83"</f>
        <v>88-1-HS-83</v>
      </c>
      <c r="D1793" t="s">
        <v>19</v>
      </c>
      <c r="E1793" t="s">
        <v>24</v>
      </c>
      <c r="H1793" t="s">
        <v>48</v>
      </c>
      <c r="J1793" s="1">
        <v>39.25</v>
      </c>
      <c r="K1793" s="1">
        <v>0</v>
      </c>
      <c r="L1793" s="1">
        <v>4.25</v>
      </c>
      <c r="Q1793" s="2">
        <v>43.5</v>
      </c>
    </row>
    <row r="1794" spans="1:17" x14ac:dyDescent="0.25">
      <c r="A1794" t="s">
        <v>44</v>
      </c>
      <c r="B1794" t="s">
        <v>45</v>
      </c>
      <c r="C1794" t="str">
        <f>"88-2-BL-53"</f>
        <v>88-2-BL-53</v>
      </c>
      <c r="D1794" t="s">
        <v>25</v>
      </c>
      <c r="E1794" t="s">
        <v>20</v>
      </c>
      <c r="H1794" t="s">
        <v>46</v>
      </c>
      <c r="J1794" s="1">
        <v>39.25</v>
      </c>
      <c r="K1794" s="1">
        <v>0</v>
      </c>
      <c r="L1794" s="1">
        <v>0</v>
      </c>
      <c r="Q1794" s="2">
        <v>39.25</v>
      </c>
    </row>
    <row r="1795" spans="1:17" x14ac:dyDescent="0.25">
      <c r="A1795" t="s">
        <v>44</v>
      </c>
      <c r="B1795" t="s">
        <v>45</v>
      </c>
      <c r="C1795" t="str">
        <f>"88-2-BL-76"</f>
        <v>88-2-BL-76</v>
      </c>
      <c r="D1795" t="s">
        <v>25</v>
      </c>
      <c r="E1795" t="s">
        <v>20</v>
      </c>
      <c r="H1795" t="s">
        <v>47</v>
      </c>
      <c r="J1795" s="1">
        <v>39.25</v>
      </c>
      <c r="K1795" s="1">
        <v>0</v>
      </c>
      <c r="L1795" s="1">
        <v>0</v>
      </c>
      <c r="Q1795" s="2">
        <v>39.25</v>
      </c>
    </row>
    <row r="1796" spans="1:17" x14ac:dyDescent="0.25">
      <c r="A1796" t="s">
        <v>44</v>
      </c>
      <c r="B1796" t="s">
        <v>45</v>
      </c>
      <c r="C1796" t="str">
        <f>"88-2-BL-83"</f>
        <v>88-2-BL-83</v>
      </c>
      <c r="D1796" t="s">
        <v>25</v>
      </c>
      <c r="E1796" t="s">
        <v>20</v>
      </c>
      <c r="H1796" t="s">
        <v>48</v>
      </c>
      <c r="J1796" s="1">
        <v>39.25</v>
      </c>
      <c r="K1796" s="1">
        <v>0</v>
      </c>
      <c r="L1796" s="1">
        <v>0</v>
      </c>
      <c r="Q1796" s="2">
        <v>39.25</v>
      </c>
    </row>
    <row r="1797" spans="1:17" x14ac:dyDescent="0.25">
      <c r="A1797" t="s">
        <v>44</v>
      </c>
      <c r="B1797" t="s">
        <v>45</v>
      </c>
      <c r="C1797" t="str">
        <f>"88-2-BR-53"</f>
        <v>88-2-BR-53</v>
      </c>
      <c r="D1797" t="s">
        <v>25</v>
      </c>
      <c r="E1797" t="s">
        <v>22</v>
      </c>
      <c r="H1797" t="s">
        <v>46</v>
      </c>
      <c r="J1797" s="1">
        <v>39.25</v>
      </c>
      <c r="K1797" s="1">
        <v>0</v>
      </c>
      <c r="L1797" s="1">
        <v>0</v>
      </c>
      <c r="Q1797" s="2">
        <v>39.25</v>
      </c>
    </row>
    <row r="1798" spans="1:17" x14ac:dyDescent="0.25">
      <c r="A1798" t="s">
        <v>44</v>
      </c>
      <c r="B1798" t="s">
        <v>45</v>
      </c>
      <c r="C1798" t="str">
        <f>"88-2-BR-76"</f>
        <v>88-2-BR-76</v>
      </c>
      <c r="D1798" t="s">
        <v>25</v>
      </c>
      <c r="E1798" t="s">
        <v>22</v>
      </c>
      <c r="H1798" t="s">
        <v>47</v>
      </c>
      <c r="J1798" s="1">
        <v>39.25</v>
      </c>
      <c r="K1798" s="1">
        <v>0</v>
      </c>
      <c r="L1798" s="1">
        <v>0</v>
      </c>
      <c r="Q1798" s="2">
        <v>39.25</v>
      </c>
    </row>
    <row r="1799" spans="1:17" x14ac:dyDescent="0.25">
      <c r="A1799" t="s">
        <v>44</v>
      </c>
      <c r="B1799" t="s">
        <v>45</v>
      </c>
      <c r="C1799" t="str">
        <f>"88-2-BR-83"</f>
        <v>88-2-BR-83</v>
      </c>
      <c r="D1799" t="s">
        <v>25</v>
      </c>
      <c r="E1799" t="s">
        <v>22</v>
      </c>
      <c r="H1799" t="s">
        <v>48</v>
      </c>
      <c r="J1799" s="1">
        <v>39.25</v>
      </c>
      <c r="K1799" s="1">
        <v>0</v>
      </c>
      <c r="L1799" s="1">
        <v>0</v>
      </c>
      <c r="Q1799" s="2">
        <v>39.25</v>
      </c>
    </row>
    <row r="1800" spans="1:17" x14ac:dyDescent="0.25">
      <c r="A1800" t="s">
        <v>44</v>
      </c>
      <c r="B1800" t="s">
        <v>45</v>
      </c>
      <c r="C1800" t="str">
        <f>"88-2-CH-53"</f>
        <v>88-2-CH-53</v>
      </c>
      <c r="D1800" t="s">
        <v>25</v>
      </c>
      <c r="E1800" t="s">
        <v>23</v>
      </c>
      <c r="H1800" t="s">
        <v>46</v>
      </c>
      <c r="J1800" s="1">
        <v>39.25</v>
      </c>
      <c r="K1800" s="1">
        <v>0</v>
      </c>
      <c r="L1800" s="1">
        <v>0</v>
      </c>
      <c r="Q1800" s="2">
        <v>39.25</v>
      </c>
    </row>
    <row r="1801" spans="1:17" x14ac:dyDescent="0.25">
      <c r="A1801" t="s">
        <v>44</v>
      </c>
      <c r="B1801" t="s">
        <v>45</v>
      </c>
      <c r="C1801" t="str">
        <f>"88-2-CH-76"</f>
        <v>88-2-CH-76</v>
      </c>
      <c r="D1801" t="s">
        <v>25</v>
      </c>
      <c r="E1801" t="s">
        <v>23</v>
      </c>
      <c r="H1801" t="s">
        <v>47</v>
      </c>
      <c r="J1801" s="1">
        <v>39.25</v>
      </c>
      <c r="K1801" s="1">
        <v>0</v>
      </c>
      <c r="L1801" s="1">
        <v>0</v>
      </c>
      <c r="Q1801" s="2">
        <v>39.25</v>
      </c>
    </row>
    <row r="1802" spans="1:17" x14ac:dyDescent="0.25">
      <c r="A1802" t="s">
        <v>44</v>
      </c>
      <c r="B1802" t="s">
        <v>45</v>
      </c>
      <c r="C1802" t="str">
        <f>"88-2-CH-83"</f>
        <v>88-2-CH-83</v>
      </c>
      <c r="D1802" t="s">
        <v>25</v>
      </c>
      <c r="E1802" t="s">
        <v>23</v>
      </c>
      <c r="H1802" t="s">
        <v>48</v>
      </c>
      <c r="J1802" s="1">
        <v>39.25</v>
      </c>
      <c r="K1802" s="1">
        <v>0</v>
      </c>
      <c r="L1802" s="1">
        <v>0</v>
      </c>
      <c r="Q1802" s="2">
        <v>39.25</v>
      </c>
    </row>
    <row r="1803" spans="1:17" x14ac:dyDescent="0.25">
      <c r="A1803" t="s">
        <v>44</v>
      </c>
      <c r="B1803" t="s">
        <v>45</v>
      </c>
      <c r="C1803" t="str">
        <f>"88-2-HS-53"</f>
        <v>88-2-HS-53</v>
      </c>
      <c r="D1803" t="s">
        <v>25</v>
      </c>
      <c r="E1803" t="s">
        <v>24</v>
      </c>
      <c r="H1803" t="s">
        <v>46</v>
      </c>
      <c r="J1803" s="1">
        <v>39.25</v>
      </c>
      <c r="K1803" s="1">
        <v>0</v>
      </c>
      <c r="L1803" s="1">
        <v>4.25</v>
      </c>
      <c r="Q1803" s="2">
        <v>43.5</v>
      </c>
    </row>
    <row r="1804" spans="1:17" x14ac:dyDescent="0.25">
      <c r="A1804" t="s">
        <v>44</v>
      </c>
      <c r="B1804" t="s">
        <v>45</v>
      </c>
      <c r="C1804" t="str">
        <f>"88-2-HS-76"</f>
        <v>88-2-HS-76</v>
      </c>
      <c r="D1804" t="s">
        <v>25</v>
      </c>
      <c r="E1804" t="s">
        <v>24</v>
      </c>
      <c r="H1804" t="s">
        <v>47</v>
      </c>
      <c r="J1804" s="1">
        <v>39.25</v>
      </c>
      <c r="K1804" s="1">
        <v>0</v>
      </c>
      <c r="L1804" s="1">
        <v>4.25</v>
      </c>
      <c r="Q1804" s="2">
        <v>43.5</v>
      </c>
    </row>
    <row r="1805" spans="1:17" x14ac:dyDescent="0.25">
      <c r="A1805" t="s">
        <v>44</v>
      </c>
      <c r="B1805" t="s">
        <v>45</v>
      </c>
      <c r="C1805" t="str">
        <f>"88-2-HS-83"</f>
        <v>88-2-HS-83</v>
      </c>
      <c r="D1805" t="s">
        <v>25</v>
      </c>
      <c r="E1805" t="s">
        <v>24</v>
      </c>
      <c r="H1805" t="s">
        <v>48</v>
      </c>
      <c r="J1805" s="1">
        <v>39.25</v>
      </c>
      <c r="K1805" s="1">
        <v>0</v>
      </c>
      <c r="L1805" s="1">
        <v>4.25</v>
      </c>
      <c r="Q1805" s="2">
        <v>43.5</v>
      </c>
    </row>
    <row r="1806" spans="1:17" x14ac:dyDescent="0.25">
      <c r="A1806" t="s">
        <v>44</v>
      </c>
      <c r="B1806" t="s">
        <v>45</v>
      </c>
      <c r="C1806" t="str">
        <f>"88-3-BL-53"</f>
        <v>88-3-BL-53</v>
      </c>
      <c r="D1806" t="s">
        <v>26</v>
      </c>
      <c r="E1806" t="s">
        <v>20</v>
      </c>
      <c r="H1806" t="s">
        <v>46</v>
      </c>
      <c r="J1806" s="1">
        <v>39.25</v>
      </c>
      <c r="K1806" s="1">
        <v>10</v>
      </c>
      <c r="L1806" s="1">
        <v>0</v>
      </c>
      <c r="Q1806" s="2">
        <v>49.25</v>
      </c>
    </row>
    <row r="1807" spans="1:17" x14ac:dyDescent="0.25">
      <c r="A1807" t="s">
        <v>44</v>
      </c>
      <c r="B1807" t="s">
        <v>45</v>
      </c>
      <c r="C1807" t="str">
        <f>"88-3-BL-76"</f>
        <v>88-3-BL-76</v>
      </c>
      <c r="D1807" t="s">
        <v>26</v>
      </c>
      <c r="E1807" t="s">
        <v>20</v>
      </c>
      <c r="H1807" t="s">
        <v>47</v>
      </c>
      <c r="J1807" s="1">
        <v>39.25</v>
      </c>
      <c r="K1807" s="1">
        <v>10</v>
      </c>
      <c r="L1807" s="1">
        <v>0</v>
      </c>
      <c r="Q1807" s="2">
        <v>49.25</v>
      </c>
    </row>
    <row r="1808" spans="1:17" x14ac:dyDescent="0.25">
      <c r="A1808" t="s">
        <v>44</v>
      </c>
      <c r="B1808" t="s">
        <v>45</v>
      </c>
      <c r="C1808" t="str">
        <f>"88-3-BL-83"</f>
        <v>88-3-BL-83</v>
      </c>
      <c r="D1808" t="s">
        <v>26</v>
      </c>
      <c r="E1808" t="s">
        <v>20</v>
      </c>
      <c r="H1808" t="s">
        <v>48</v>
      </c>
      <c r="J1808" s="1">
        <v>39.25</v>
      </c>
      <c r="K1808" s="1">
        <v>10</v>
      </c>
      <c r="L1808" s="1">
        <v>0</v>
      </c>
      <c r="Q1808" s="2">
        <v>49.25</v>
      </c>
    </row>
    <row r="1809" spans="1:17" x14ac:dyDescent="0.25">
      <c r="A1809" t="s">
        <v>44</v>
      </c>
      <c r="B1809" t="s">
        <v>45</v>
      </c>
      <c r="C1809" t="str">
        <f>"88-3-BR-53"</f>
        <v>88-3-BR-53</v>
      </c>
      <c r="D1809" t="s">
        <v>26</v>
      </c>
      <c r="E1809" t="s">
        <v>22</v>
      </c>
      <c r="H1809" t="s">
        <v>46</v>
      </c>
      <c r="J1809" s="1">
        <v>39.25</v>
      </c>
      <c r="K1809" s="1">
        <v>10</v>
      </c>
      <c r="L1809" s="1">
        <v>0</v>
      </c>
      <c r="Q1809" s="2">
        <v>49.25</v>
      </c>
    </row>
    <row r="1810" spans="1:17" x14ac:dyDescent="0.25">
      <c r="A1810" t="s">
        <v>44</v>
      </c>
      <c r="B1810" t="s">
        <v>45</v>
      </c>
      <c r="C1810" t="str">
        <f>"88-3-BR-76"</f>
        <v>88-3-BR-76</v>
      </c>
      <c r="D1810" t="s">
        <v>26</v>
      </c>
      <c r="E1810" t="s">
        <v>22</v>
      </c>
      <c r="H1810" t="s">
        <v>47</v>
      </c>
      <c r="J1810" s="1">
        <v>39.25</v>
      </c>
      <c r="K1810" s="1">
        <v>10</v>
      </c>
      <c r="L1810" s="1">
        <v>0</v>
      </c>
      <c r="Q1810" s="2">
        <v>49.25</v>
      </c>
    </row>
    <row r="1811" spans="1:17" x14ac:dyDescent="0.25">
      <c r="A1811" t="s">
        <v>44</v>
      </c>
      <c r="B1811" t="s">
        <v>45</v>
      </c>
      <c r="C1811" t="str">
        <f>"88-3-BR-83"</f>
        <v>88-3-BR-83</v>
      </c>
      <c r="D1811" t="s">
        <v>26</v>
      </c>
      <c r="E1811" t="s">
        <v>22</v>
      </c>
      <c r="H1811" t="s">
        <v>48</v>
      </c>
      <c r="J1811" s="1">
        <v>39.25</v>
      </c>
      <c r="K1811" s="1">
        <v>10</v>
      </c>
      <c r="L1811" s="1">
        <v>0</v>
      </c>
      <c r="Q1811" s="2">
        <v>49.25</v>
      </c>
    </row>
    <row r="1812" spans="1:17" x14ac:dyDescent="0.25">
      <c r="A1812" t="s">
        <v>44</v>
      </c>
      <c r="B1812" t="s">
        <v>45</v>
      </c>
      <c r="C1812" t="str">
        <f>"88-3-CH-53"</f>
        <v>88-3-CH-53</v>
      </c>
      <c r="D1812" t="s">
        <v>26</v>
      </c>
      <c r="E1812" t="s">
        <v>23</v>
      </c>
      <c r="H1812" t="s">
        <v>46</v>
      </c>
      <c r="J1812" s="1">
        <v>39.25</v>
      </c>
      <c r="K1812" s="1">
        <v>10</v>
      </c>
      <c r="L1812" s="1">
        <v>0</v>
      </c>
      <c r="Q1812" s="2">
        <v>49.25</v>
      </c>
    </row>
    <row r="1813" spans="1:17" x14ac:dyDescent="0.25">
      <c r="A1813" t="s">
        <v>44</v>
      </c>
      <c r="B1813" t="s">
        <v>45</v>
      </c>
      <c r="C1813" t="str">
        <f>"88-3-CH-76"</f>
        <v>88-3-CH-76</v>
      </c>
      <c r="D1813" t="s">
        <v>26</v>
      </c>
      <c r="E1813" t="s">
        <v>23</v>
      </c>
      <c r="H1813" t="s">
        <v>47</v>
      </c>
      <c r="J1813" s="1">
        <v>39.25</v>
      </c>
      <c r="K1813" s="1">
        <v>10</v>
      </c>
      <c r="L1813" s="1">
        <v>0</v>
      </c>
      <c r="Q1813" s="2">
        <v>49.25</v>
      </c>
    </row>
    <row r="1814" spans="1:17" x14ac:dyDescent="0.25">
      <c r="A1814" t="s">
        <v>44</v>
      </c>
      <c r="B1814" t="s">
        <v>45</v>
      </c>
      <c r="C1814" t="str">
        <f>"88-3-CH-83"</f>
        <v>88-3-CH-83</v>
      </c>
      <c r="D1814" t="s">
        <v>26</v>
      </c>
      <c r="E1814" t="s">
        <v>23</v>
      </c>
      <c r="H1814" t="s">
        <v>48</v>
      </c>
      <c r="J1814" s="1">
        <v>39.25</v>
      </c>
      <c r="K1814" s="1">
        <v>10</v>
      </c>
      <c r="L1814" s="1">
        <v>0</v>
      </c>
      <c r="Q1814" s="2">
        <v>49.25</v>
      </c>
    </row>
    <row r="1815" spans="1:17" x14ac:dyDescent="0.25">
      <c r="A1815" t="s">
        <v>44</v>
      </c>
      <c r="B1815" t="s">
        <v>45</v>
      </c>
      <c r="C1815" t="str">
        <f>"88-3-HS-53"</f>
        <v>88-3-HS-53</v>
      </c>
      <c r="D1815" t="s">
        <v>26</v>
      </c>
      <c r="E1815" t="s">
        <v>24</v>
      </c>
      <c r="H1815" t="s">
        <v>46</v>
      </c>
      <c r="J1815" s="1">
        <v>39.25</v>
      </c>
      <c r="K1815" s="1">
        <v>10</v>
      </c>
      <c r="L1815" s="1">
        <v>4.25</v>
      </c>
      <c r="Q1815" s="2">
        <v>53.5</v>
      </c>
    </row>
    <row r="1816" spans="1:17" x14ac:dyDescent="0.25">
      <c r="A1816" t="s">
        <v>44</v>
      </c>
      <c r="B1816" t="s">
        <v>45</v>
      </c>
      <c r="C1816" t="str">
        <f>"88-3-HS-76"</f>
        <v>88-3-HS-76</v>
      </c>
      <c r="D1816" t="s">
        <v>26</v>
      </c>
      <c r="E1816" t="s">
        <v>24</v>
      </c>
      <c r="H1816" t="s">
        <v>47</v>
      </c>
      <c r="J1816" s="1">
        <v>39.25</v>
      </c>
      <c r="K1816" s="1">
        <v>10</v>
      </c>
      <c r="L1816" s="1">
        <v>4.25</v>
      </c>
      <c r="Q1816" s="2">
        <v>53.5</v>
      </c>
    </row>
    <row r="1817" spans="1:17" x14ac:dyDescent="0.25">
      <c r="A1817" t="s">
        <v>44</v>
      </c>
      <c r="B1817" t="s">
        <v>45</v>
      </c>
      <c r="C1817" t="str">
        <f>"88-3-HS-83"</f>
        <v>88-3-HS-83</v>
      </c>
      <c r="D1817" t="s">
        <v>26</v>
      </c>
      <c r="E1817" t="s">
        <v>24</v>
      </c>
      <c r="H1817" t="s">
        <v>48</v>
      </c>
      <c r="J1817" s="1">
        <v>39.25</v>
      </c>
      <c r="K1817" s="1">
        <v>10</v>
      </c>
      <c r="L1817" s="1">
        <v>4.25</v>
      </c>
      <c r="Q1817" s="2">
        <v>53.5</v>
      </c>
    </row>
    <row r="1818" spans="1:17" x14ac:dyDescent="0.25">
      <c r="A1818" t="s">
        <v>44</v>
      </c>
      <c r="B1818" t="s">
        <v>45</v>
      </c>
      <c r="C1818" t="str">
        <f>"88-4-BL-53"</f>
        <v>88-4-BL-53</v>
      </c>
      <c r="D1818" t="s">
        <v>49</v>
      </c>
      <c r="E1818" t="s">
        <v>20</v>
      </c>
      <c r="H1818" t="s">
        <v>46</v>
      </c>
      <c r="J1818" s="1">
        <v>39.25</v>
      </c>
      <c r="K1818" s="1">
        <v>0</v>
      </c>
      <c r="L1818" s="1">
        <v>0</v>
      </c>
      <c r="Q1818" s="2">
        <v>39.25</v>
      </c>
    </row>
    <row r="1819" spans="1:17" x14ac:dyDescent="0.25">
      <c r="A1819" t="s">
        <v>44</v>
      </c>
      <c r="B1819" t="s">
        <v>45</v>
      </c>
      <c r="C1819" t="str">
        <f>"88-4-BL-76"</f>
        <v>88-4-BL-76</v>
      </c>
      <c r="D1819" t="s">
        <v>49</v>
      </c>
      <c r="E1819" t="s">
        <v>20</v>
      </c>
      <c r="H1819" t="s">
        <v>47</v>
      </c>
      <c r="J1819" s="1">
        <v>39.25</v>
      </c>
      <c r="K1819" s="1">
        <v>0</v>
      </c>
      <c r="L1819" s="1">
        <v>0</v>
      </c>
      <c r="Q1819" s="2">
        <v>39.25</v>
      </c>
    </row>
    <row r="1820" spans="1:17" x14ac:dyDescent="0.25">
      <c r="A1820" t="s">
        <v>44</v>
      </c>
      <c r="B1820" t="s">
        <v>45</v>
      </c>
      <c r="C1820" t="str">
        <f>"88-4-BL-83"</f>
        <v>88-4-BL-83</v>
      </c>
      <c r="D1820" t="s">
        <v>49</v>
      </c>
      <c r="E1820" t="s">
        <v>20</v>
      </c>
      <c r="H1820" t="s">
        <v>48</v>
      </c>
      <c r="J1820" s="1">
        <v>39.25</v>
      </c>
      <c r="K1820" s="1">
        <v>0</v>
      </c>
      <c r="L1820" s="1">
        <v>0</v>
      </c>
      <c r="Q1820" s="2">
        <v>39.25</v>
      </c>
    </row>
    <row r="1821" spans="1:17" x14ac:dyDescent="0.25">
      <c r="A1821" t="s">
        <v>44</v>
      </c>
      <c r="B1821" t="s">
        <v>45</v>
      </c>
      <c r="C1821" t="str">
        <f>"88-4-BR-53"</f>
        <v>88-4-BR-53</v>
      </c>
      <c r="D1821" t="s">
        <v>49</v>
      </c>
      <c r="E1821" t="s">
        <v>22</v>
      </c>
      <c r="H1821" t="s">
        <v>46</v>
      </c>
      <c r="J1821" s="1">
        <v>39.25</v>
      </c>
      <c r="K1821" s="1">
        <v>0</v>
      </c>
      <c r="L1821" s="1">
        <v>0</v>
      </c>
      <c r="Q1821" s="2">
        <v>39.25</v>
      </c>
    </row>
    <row r="1822" spans="1:17" x14ac:dyDescent="0.25">
      <c r="A1822" t="s">
        <v>44</v>
      </c>
      <c r="B1822" t="s">
        <v>45</v>
      </c>
      <c r="C1822" t="str">
        <f>"88-4-BR-76"</f>
        <v>88-4-BR-76</v>
      </c>
      <c r="D1822" t="s">
        <v>49</v>
      </c>
      <c r="E1822" t="s">
        <v>22</v>
      </c>
      <c r="H1822" t="s">
        <v>47</v>
      </c>
      <c r="J1822" s="1">
        <v>39.25</v>
      </c>
      <c r="K1822" s="1">
        <v>0</v>
      </c>
      <c r="L1822" s="1">
        <v>0</v>
      </c>
      <c r="Q1822" s="2">
        <v>39.25</v>
      </c>
    </row>
    <row r="1823" spans="1:17" x14ac:dyDescent="0.25">
      <c r="A1823" t="s">
        <v>44</v>
      </c>
      <c r="B1823" t="s">
        <v>45</v>
      </c>
      <c r="C1823" t="str">
        <f>"88-4-BR-83"</f>
        <v>88-4-BR-83</v>
      </c>
      <c r="D1823" t="s">
        <v>49</v>
      </c>
      <c r="E1823" t="s">
        <v>22</v>
      </c>
      <c r="H1823" t="s">
        <v>48</v>
      </c>
      <c r="J1823" s="1">
        <v>39.25</v>
      </c>
      <c r="K1823" s="1">
        <v>0</v>
      </c>
      <c r="L1823" s="1">
        <v>0</v>
      </c>
      <c r="Q1823" s="2">
        <v>39.25</v>
      </c>
    </row>
    <row r="1824" spans="1:17" x14ac:dyDescent="0.25">
      <c r="A1824" t="s">
        <v>44</v>
      </c>
      <c r="B1824" t="s">
        <v>45</v>
      </c>
      <c r="C1824" t="str">
        <f>"88-4-CH-53"</f>
        <v>88-4-CH-53</v>
      </c>
      <c r="D1824" t="s">
        <v>49</v>
      </c>
      <c r="E1824" t="s">
        <v>23</v>
      </c>
      <c r="H1824" t="s">
        <v>46</v>
      </c>
      <c r="J1824" s="1">
        <v>39.25</v>
      </c>
      <c r="K1824" s="1">
        <v>0</v>
      </c>
      <c r="L1824" s="1">
        <v>0</v>
      </c>
      <c r="Q1824" s="2">
        <v>39.25</v>
      </c>
    </row>
    <row r="1825" spans="1:17" x14ac:dyDescent="0.25">
      <c r="A1825" t="s">
        <v>44</v>
      </c>
      <c r="B1825" t="s">
        <v>45</v>
      </c>
      <c r="C1825" t="str">
        <f>"88-4-CH-76"</f>
        <v>88-4-CH-76</v>
      </c>
      <c r="D1825" t="s">
        <v>49</v>
      </c>
      <c r="E1825" t="s">
        <v>23</v>
      </c>
      <c r="H1825" t="s">
        <v>47</v>
      </c>
      <c r="J1825" s="1">
        <v>39.25</v>
      </c>
      <c r="K1825" s="1">
        <v>0</v>
      </c>
      <c r="L1825" s="1">
        <v>0</v>
      </c>
      <c r="Q1825" s="2">
        <v>39.25</v>
      </c>
    </row>
    <row r="1826" spans="1:17" x14ac:dyDescent="0.25">
      <c r="A1826" t="s">
        <v>44</v>
      </c>
      <c r="B1826" t="s">
        <v>45</v>
      </c>
      <c r="C1826" t="str">
        <f>"88-4-CH-83"</f>
        <v>88-4-CH-83</v>
      </c>
      <c r="D1826" t="s">
        <v>49</v>
      </c>
      <c r="E1826" t="s">
        <v>23</v>
      </c>
      <c r="H1826" t="s">
        <v>48</v>
      </c>
      <c r="J1826" s="1">
        <v>39.25</v>
      </c>
      <c r="K1826" s="1">
        <v>0</v>
      </c>
      <c r="L1826" s="1">
        <v>0</v>
      </c>
      <c r="Q1826" s="2">
        <v>39.25</v>
      </c>
    </row>
    <row r="1827" spans="1:17" x14ac:dyDescent="0.25">
      <c r="A1827" t="s">
        <v>44</v>
      </c>
      <c r="B1827" t="s">
        <v>45</v>
      </c>
      <c r="C1827" t="str">
        <f>"88-4-HS-53"</f>
        <v>88-4-HS-53</v>
      </c>
      <c r="D1827" t="s">
        <v>49</v>
      </c>
      <c r="E1827" t="s">
        <v>24</v>
      </c>
      <c r="H1827" t="s">
        <v>46</v>
      </c>
      <c r="J1827" s="1">
        <v>39.25</v>
      </c>
      <c r="K1827" s="1">
        <v>0</v>
      </c>
      <c r="L1827" s="1">
        <v>4.25</v>
      </c>
      <c r="Q1827" s="2">
        <v>43.5</v>
      </c>
    </row>
    <row r="1828" spans="1:17" x14ac:dyDescent="0.25">
      <c r="A1828" t="s">
        <v>44</v>
      </c>
      <c r="B1828" t="s">
        <v>45</v>
      </c>
      <c r="C1828" t="str">
        <f>"88-4-HS-76"</f>
        <v>88-4-HS-76</v>
      </c>
      <c r="D1828" t="s">
        <v>49</v>
      </c>
      <c r="E1828" t="s">
        <v>24</v>
      </c>
      <c r="H1828" t="s">
        <v>47</v>
      </c>
      <c r="J1828" s="1">
        <v>39.25</v>
      </c>
      <c r="K1828" s="1">
        <v>0</v>
      </c>
      <c r="L1828" s="1">
        <v>4.25</v>
      </c>
      <c r="Q1828" s="2">
        <v>43.5</v>
      </c>
    </row>
    <row r="1829" spans="1:17" x14ac:dyDescent="0.25">
      <c r="A1829" t="s">
        <v>44</v>
      </c>
      <c r="B1829" t="s">
        <v>45</v>
      </c>
      <c r="C1829" t="str">
        <f>"88-4-HS-83"</f>
        <v>88-4-HS-83</v>
      </c>
      <c r="D1829" t="s">
        <v>49</v>
      </c>
      <c r="E1829" t="s">
        <v>24</v>
      </c>
      <c r="H1829" t="s">
        <v>48</v>
      </c>
      <c r="J1829" s="1">
        <v>39.25</v>
      </c>
      <c r="K1829" s="1">
        <v>0</v>
      </c>
      <c r="L1829" s="1">
        <v>4.25</v>
      </c>
      <c r="Q1829" s="2">
        <v>43.5</v>
      </c>
    </row>
    <row r="1830" spans="1:17" x14ac:dyDescent="0.25">
      <c r="A1830" t="s">
        <v>44</v>
      </c>
      <c r="B1830" t="s">
        <v>45</v>
      </c>
      <c r="C1830" t="str">
        <f>"88-5-BL-53"</f>
        <v>88-5-BL-53</v>
      </c>
      <c r="D1830" t="s">
        <v>27</v>
      </c>
      <c r="E1830" t="s">
        <v>20</v>
      </c>
      <c r="H1830" t="s">
        <v>46</v>
      </c>
      <c r="J1830" s="1">
        <v>39.25</v>
      </c>
      <c r="K1830" s="1">
        <v>0</v>
      </c>
      <c r="L1830" s="1">
        <v>0</v>
      </c>
      <c r="Q1830" s="2">
        <v>39.25</v>
      </c>
    </row>
    <row r="1831" spans="1:17" x14ac:dyDescent="0.25">
      <c r="A1831" t="s">
        <v>44</v>
      </c>
      <c r="B1831" t="s">
        <v>45</v>
      </c>
      <c r="C1831" t="str">
        <f>"88-5-BL-76"</f>
        <v>88-5-BL-76</v>
      </c>
      <c r="D1831" t="s">
        <v>27</v>
      </c>
      <c r="E1831" t="s">
        <v>20</v>
      </c>
      <c r="H1831" t="s">
        <v>47</v>
      </c>
      <c r="J1831" s="1">
        <v>39.25</v>
      </c>
      <c r="K1831" s="1">
        <v>0</v>
      </c>
      <c r="L1831" s="1">
        <v>0</v>
      </c>
      <c r="Q1831" s="2">
        <v>39.25</v>
      </c>
    </row>
    <row r="1832" spans="1:17" x14ac:dyDescent="0.25">
      <c r="A1832" t="s">
        <v>44</v>
      </c>
      <c r="B1832" t="s">
        <v>45</v>
      </c>
      <c r="C1832" t="str">
        <f>"88-5-BL-83"</f>
        <v>88-5-BL-83</v>
      </c>
      <c r="D1832" t="s">
        <v>27</v>
      </c>
      <c r="E1832" t="s">
        <v>20</v>
      </c>
      <c r="H1832" t="s">
        <v>48</v>
      </c>
      <c r="J1832" s="1">
        <v>39.25</v>
      </c>
      <c r="K1832" s="1">
        <v>0</v>
      </c>
      <c r="L1832" s="1">
        <v>0</v>
      </c>
      <c r="Q1832" s="2">
        <v>39.25</v>
      </c>
    </row>
    <row r="1833" spans="1:17" x14ac:dyDescent="0.25">
      <c r="A1833" t="s">
        <v>44</v>
      </c>
      <c r="B1833" t="s">
        <v>45</v>
      </c>
      <c r="C1833" t="str">
        <f>"88-5-BR-53"</f>
        <v>88-5-BR-53</v>
      </c>
      <c r="D1833" t="s">
        <v>27</v>
      </c>
      <c r="E1833" t="s">
        <v>22</v>
      </c>
      <c r="H1833" t="s">
        <v>46</v>
      </c>
      <c r="J1833" s="1">
        <v>39.25</v>
      </c>
      <c r="K1833" s="1">
        <v>0</v>
      </c>
      <c r="L1833" s="1">
        <v>0</v>
      </c>
      <c r="Q1833" s="2">
        <v>39.25</v>
      </c>
    </row>
    <row r="1834" spans="1:17" x14ac:dyDescent="0.25">
      <c r="A1834" t="s">
        <v>44</v>
      </c>
      <c r="B1834" t="s">
        <v>45</v>
      </c>
      <c r="C1834" t="str">
        <f>"88-5-BR-76"</f>
        <v>88-5-BR-76</v>
      </c>
      <c r="D1834" t="s">
        <v>27</v>
      </c>
      <c r="E1834" t="s">
        <v>22</v>
      </c>
      <c r="H1834" t="s">
        <v>47</v>
      </c>
      <c r="J1834" s="1">
        <v>39.25</v>
      </c>
      <c r="K1834" s="1">
        <v>0</v>
      </c>
      <c r="L1834" s="1">
        <v>0</v>
      </c>
      <c r="Q1834" s="2">
        <v>39.25</v>
      </c>
    </row>
    <row r="1835" spans="1:17" x14ac:dyDescent="0.25">
      <c r="A1835" t="s">
        <v>44</v>
      </c>
      <c r="B1835" t="s">
        <v>45</v>
      </c>
      <c r="C1835" t="str">
        <f>"88-5-BR-83"</f>
        <v>88-5-BR-83</v>
      </c>
      <c r="D1835" t="s">
        <v>27</v>
      </c>
      <c r="E1835" t="s">
        <v>22</v>
      </c>
      <c r="H1835" t="s">
        <v>48</v>
      </c>
      <c r="J1835" s="1">
        <v>39.25</v>
      </c>
      <c r="K1835" s="1">
        <v>0</v>
      </c>
      <c r="L1835" s="1">
        <v>0</v>
      </c>
      <c r="Q1835" s="2">
        <v>39.25</v>
      </c>
    </row>
    <row r="1836" spans="1:17" x14ac:dyDescent="0.25">
      <c r="A1836" t="s">
        <v>44</v>
      </c>
      <c r="B1836" t="s">
        <v>45</v>
      </c>
      <c r="C1836" t="str">
        <f>"88-5-CH-53"</f>
        <v>88-5-CH-53</v>
      </c>
      <c r="D1836" t="s">
        <v>27</v>
      </c>
      <c r="E1836" t="s">
        <v>23</v>
      </c>
      <c r="H1836" t="s">
        <v>46</v>
      </c>
      <c r="J1836" s="1">
        <v>39.25</v>
      </c>
      <c r="K1836" s="1">
        <v>0</v>
      </c>
      <c r="L1836" s="1">
        <v>0</v>
      </c>
      <c r="Q1836" s="2">
        <v>39.25</v>
      </c>
    </row>
    <row r="1837" spans="1:17" x14ac:dyDescent="0.25">
      <c r="A1837" t="s">
        <v>44</v>
      </c>
      <c r="B1837" t="s">
        <v>45</v>
      </c>
      <c r="C1837" t="str">
        <f>"88-5-CH-76"</f>
        <v>88-5-CH-76</v>
      </c>
      <c r="D1837" t="s">
        <v>27</v>
      </c>
      <c r="E1837" t="s">
        <v>23</v>
      </c>
      <c r="H1837" t="s">
        <v>47</v>
      </c>
      <c r="J1837" s="1">
        <v>39.25</v>
      </c>
      <c r="K1837" s="1">
        <v>0</v>
      </c>
      <c r="L1837" s="1">
        <v>0</v>
      </c>
      <c r="Q1837" s="2">
        <v>39.25</v>
      </c>
    </row>
    <row r="1838" spans="1:17" x14ac:dyDescent="0.25">
      <c r="A1838" t="s">
        <v>44</v>
      </c>
      <c r="B1838" t="s">
        <v>45</v>
      </c>
      <c r="C1838" t="str">
        <f>"88-5-CH-83"</f>
        <v>88-5-CH-83</v>
      </c>
      <c r="D1838" t="s">
        <v>27</v>
      </c>
      <c r="E1838" t="s">
        <v>23</v>
      </c>
      <c r="H1838" t="s">
        <v>48</v>
      </c>
      <c r="J1838" s="1">
        <v>39.25</v>
      </c>
      <c r="K1838" s="1">
        <v>0</v>
      </c>
      <c r="L1838" s="1">
        <v>0</v>
      </c>
      <c r="Q1838" s="2">
        <v>39.25</v>
      </c>
    </row>
    <row r="1839" spans="1:17" x14ac:dyDescent="0.25">
      <c r="A1839" t="s">
        <v>44</v>
      </c>
      <c r="B1839" t="s">
        <v>45</v>
      </c>
      <c r="C1839" t="str">
        <f>"88-5-HS-53"</f>
        <v>88-5-HS-53</v>
      </c>
      <c r="D1839" t="s">
        <v>27</v>
      </c>
      <c r="E1839" t="s">
        <v>24</v>
      </c>
      <c r="H1839" t="s">
        <v>46</v>
      </c>
      <c r="J1839" s="1">
        <v>39.25</v>
      </c>
      <c r="K1839" s="1">
        <v>0</v>
      </c>
      <c r="L1839" s="1">
        <v>4.25</v>
      </c>
      <c r="Q1839" s="2">
        <v>43.5</v>
      </c>
    </row>
    <row r="1840" spans="1:17" x14ac:dyDescent="0.25">
      <c r="A1840" t="s">
        <v>44</v>
      </c>
      <c r="B1840" t="s">
        <v>45</v>
      </c>
      <c r="C1840" t="str">
        <f>"88-5-HS-76"</f>
        <v>88-5-HS-76</v>
      </c>
      <c r="D1840" t="s">
        <v>27</v>
      </c>
      <c r="E1840" t="s">
        <v>24</v>
      </c>
      <c r="H1840" t="s">
        <v>47</v>
      </c>
      <c r="J1840" s="1">
        <v>39.25</v>
      </c>
      <c r="K1840" s="1">
        <v>0</v>
      </c>
      <c r="L1840" s="1">
        <v>4.25</v>
      </c>
      <c r="Q1840" s="2">
        <v>43.5</v>
      </c>
    </row>
    <row r="1841" spans="1:17" x14ac:dyDescent="0.25">
      <c r="A1841" t="s">
        <v>44</v>
      </c>
      <c r="B1841" t="s">
        <v>45</v>
      </c>
      <c r="C1841" t="str">
        <f>"88-5-HS-83"</f>
        <v>88-5-HS-83</v>
      </c>
      <c r="D1841" t="s">
        <v>27</v>
      </c>
      <c r="E1841" t="s">
        <v>24</v>
      </c>
      <c r="H1841" t="s">
        <v>48</v>
      </c>
      <c r="J1841" s="1">
        <v>39.25</v>
      </c>
      <c r="K1841" s="1">
        <v>0</v>
      </c>
      <c r="L1841" s="1">
        <v>4.25</v>
      </c>
      <c r="Q1841" s="2">
        <v>43.5</v>
      </c>
    </row>
    <row r="1842" spans="1:17" x14ac:dyDescent="0.25">
      <c r="A1842" t="s">
        <v>44</v>
      </c>
      <c r="B1842" t="s">
        <v>50</v>
      </c>
      <c r="C1842" t="str">
        <f>"22-1"</f>
        <v>22-1</v>
      </c>
      <c r="D1842" t="s">
        <v>19</v>
      </c>
      <c r="J1842" s="1">
        <v>18.489999999999998</v>
      </c>
      <c r="K1842" s="1">
        <v>0</v>
      </c>
      <c r="Q1842" s="2">
        <v>18.489999999999998</v>
      </c>
    </row>
    <row r="1843" spans="1:17" x14ac:dyDescent="0.25">
      <c r="A1843" t="s">
        <v>44</v>
      </c>
      <c r="B1843" t="s">
        <v>50</v>
      </c>
      <c r="C1843" t="str">
        <f>"22-2"</f>
        <v>22-2</v>
      </c>
      <c r="D1843" t="s">
        <v>25</v>
      </c>
      <c r="J1843" s="1">
        <v>18.489999999999998</v>
      </c>
      <c r="K1843" s="1">
        <v>0</v>
      </c>
      <c r="Q1843" s="2">
        <v>18.489999999999998</v>
      </c>
    </row>
    <row r="1844" spans="1:17" x14ac:dyDescent="0.25">
      <c r="A1844" t="s">
        <v>44</v>
      </c>
      <c r="B1844" t="s">
        <v>50</v>
      </c>
      <c r="C1844" t="str">
        <f>"22-3"</f>
        <v>22-3</v>
      </c>
      <c r="D1844" t="s">
        <v>26</v>
      </c>
      <c r="J1844" s="1">
        <v>18.489999999999998</v>
      </c>
      <c r="K1844" s="1">
        <v>0</v>
      </c>
      <c r="Q1844" s="2">
        <v>18.489999999999998</v>
      </c>
    </row>
    <row r="1845" spans="1:17" x14ac:dyDescent="0.25">
      <c r="A1845" t="s">
        <v>44</v>
      </c>
      <c r="B1845" t="s">
        <v>50</v>
      </c>
      <c r="C1845" t="str">
        <f>"22-5"</f>
        <v>22-5</v>
      </c>
      <c r="D1845" t="s">
        <v>27</v>
      </c>
      <c r="J1845" s="1">
        <v>18.489999999999998</v>
      </c>
      <c r="K1845" s="1">
        <v>0</v>
      </c>
      <c r="Q1845" s="2">
        <v>18.489999999999998</v>
      </c>
    </row>
    <row r="1846" spans="1:17" x14ac:dyDescent="0.25">
      <c r="A1846" t="s">
        <v>44</v>
      </c>
      <c r="B1846" t="s">
        <v>51</v>
      </c>
      <c r="C1846" t="str">
        <f>"180-1-BL"</f>
        <v>180-1-BL</v>
      </c>
      <c r="D1846" t="s">
        <v>19</v>
      </c>
      <c r="E1846" t="s">
        <v>20</v>
      </c>
      <c r="J1846" s="1">
        <v>31.45</v>
      </c>
      <c r="K1846" s="1">
        <v>0</v>
      </c>
      <c r="L1846" s="1">
        <v>0</v>
      </c>
      <c r="Q1846" s="2">
        <v>31.45</v>
      </c>
    </row>
    <row r="1847" spans="1:17" x14ac:dyDescent="0.25">
      <c r="A1847" t="s">
        <v>44</v>
      </c>
      <c r="B1847" t="s">
        <v>51</v>
      </c>
      <c r="C1847" t="str">
        <f>"180-1-BR"</f>
        <v>180-1-BR</v>
      </c>
      <c r="D1847" t="s">
        <v>19</v>
      </c>
      <c r="E1847" t="s">
        <v>22</v>
      </c>
      <c r="J1847" s="1">
        <v>31.45</v>
      </c>
      <c r="K1847" s="1">
        <v>0</v>
      </c>
      <c r="L1847" s="1">
        <v>0</v>
      </c>
      <c r="Q1847" s="2">
        <v>31.45</v>
      </c>
    </row>
    <row r="1848" spans="1:17" x14ac:dyDescent="0.25">
      <c r="A1848" t="s">
        <v>44</v>
      </c>
      <c r="B1848" t="s">
        <v>51</v>
      </c>
      <c r="C1848" t="str">
        <f>"180-1-CH"</f>
        <v>180-1-CH</v>
      </c>
      <c r="D1848" t="s">
        <v>19</v>
      </c>
      <c r="E1848" t="s">
        <v>23</v>
      </c>
      <c r="J1848" s="1">
        <v>31.45</v>
      </c>
      <c r="K1848" s="1">
        <v>0</v>
      </c>
      <c r="L1848" s="1">
        <v>0</v>
      </c>
      <c r="Q1848" s="2">
        <v>31.45</v>
      </c>
    </row>
    <row r="1849" spans="1:17" x14ac:dyDescent="0.25">
      <c r="A1849" t="s">
        <v>44</v>
      </c>
      <c r="B1849" t="s">
        <v>51</v>
      </c>
      <c r="C1849" t="str">
        <f>"180-1-HS"</f>
        <v>180-1-HS</v>
      </c>
      <c r="D1849" t="s">
        <v>19</v>
      </c>
      <c r="E1849" t="s">
        <v>24</v>
      </c>
      <c r="J1849" s="1">
        <v>31.45</v>
      </c>
      <c r="K1849" s="1">
        <v>0</v>
      </c>
      <c r="L1849" s="1">
        <v>4.25</v>
      </c>
      <c r="Q1849" s="2">
        <v>35.700000000000003</v>
      </c>
    </row>
    <row r="1850" spans="1:17" x14ac:dyDescent="0.25">
      <c r="A1850" t="s">
        <v>44</v>
      </c>
      <c r="B1850" t="s">
        <v>51</v>
      </c>
      <c r="C1850" t="str">
        <f>"180-2-BL"</f>
        <v>180-2-BL</v>
      </c>
      <c r="D1850" t="s">
        <v>25</v>
      </c>
      <c r="E1850" t="s">
        <v>20</v>
      </c>
      <c r="J1850" s="1">
        <v>31.45</v>
      </c>
      <c r="K1850" s="1">
        <v>0</v>
      </c>
      <c r="L1850" s="1">
        <v>0</v>
      </c>
      <c r="Q1850" s="2">
        <v>31.45</v>
      </c>
    </row>
    <row r="1851" spans="1:17" x14ac:dyDescent="0.25">
      <c r="A1851" t="s">
        <v>44</v>
      </c>
      <c r="B1851" t="s">
        <v>51</v>
      </c>
      <c r="C1851" t="str">
        <f>"180-2-BR"</f>
        <v>180-2-BR</v>
      </c>
      <c r="D1851" t="s">
        <v>25</v>
      </c>
      <c r="E1851" t="s">
        <v>22</v>
      </c>
      <c r="J1851" s="1">
        <v>31.45</v>
      </c>
      <c r="K1851" s="1">
        <v>0</v>
      </c>
      <c r="L1851" s="1">
        <v>0</v>
      </c>
      <c r="Q1851" s="2">
        <v>31.45</v>
      </c>
    </row>
    <row r="1852" spans="1:17" x14ac:dyDescent="0.25">
      <c r="A1852" t="s">
        <v>44</v>
      </c>
      <c r="B1852" t="s">
        <v>51</v>
      </c>
      <c r="C1852" t="str">
        <f>"180-2-CH"</f>
        <v>180-2-CH</v>
      </c>
      <c r="D1852" t="s">
        <v>25</v>
      </c>
      <c r="E1852" t="s">
        <v>23</v>
      </c>
      <c r="J1852" s="1">
        <v>31.45</v>
      </c>
      <c r="K1852" s="1">
        <v>0</v>
      </c>
      <c r="L1852" s="1">
        <v>0</v>
      </c>
      <c r="Q1852" s="2">
        <v>31.45</v>
      </c>
    </row>
    <row r="1853" spans="1:17" x14ac:dyDescent="0.25">
      <c r="A1853" t="s">
        <v>44</v>
      </c>
      <c r="B1853" t="s">
        <v>51</v>
      </c>
      <c r="C1853" t="str">
        <f>"180-2-HS"</f>
        <v>180-2-HS</v>
      </c>
      <c r="D1853" t="s">
        <v>25</v>
      </c>
      <c r="E1853" t="s">
        <v>24</v>
      </c>
      <c r="J1853" s="1">
        <v>31.45</v>
      </c>
      <c r="K1853" s="1">
        <v>0</v>
      </c>
      <c r="L1853" s="1">
        <v>4.25</v>
      </c>
      <c r="Q1853" s="2">
        <v>35.700000000000003</v>
      </c>
    </row>
    <row r="1854" spans="1:17" x14ac:dyDescent="0.25">
      <c r="A1854" t="s">
        <v>44</v>
      </c>
      <c r="B1854" t="s">
        <v>51</v>
      </c>
      <c r="C1854" t="str">
        <f>"180-3-BL"</f>
        <v>180-3-BL</v>
      </c>
      <c r="D1854" t="s">
        <v>26</v>
      </c>
      <c r="E1854" t="s">
        <v>20</v>
      </c>
      <c r="J1854" s="1">
        <v>31.45</v>
      </c>
      <c r="K1854" s="1">
        <v>0</v>
      </c>
      <c r="L1854" s="1">
        <v>0</v>
      </c>
      <c r="Q1854" s="2">
        <v>31.45</v>
      </c>
    </row>
    <row r="1855" spans="1:17" x14ac:dyDescent="0.25">
      <c r="A1855" t="s">
        <v>44</v>
      </c>
      <c r="B1855" t="s">
        <v>51</v>
      </c>
      <c r="C1855" t="str">
        <f>"180-3-BR"</f>
        <v>180-3-BR</v>
      </c>
      <c r="D1855" t="s">
        <v>26</v>
      </c>
      <c r="E1855" t="s">
        <v>22</v>
      </c>
      <c r="J1855" s="1">
        <v>31.45</v>
      </c>
      <c r="K1855" s="1">
        <v>0</v>
      </c>
      <c r="L1855" s="1">
        <v>0</v>
      </c>
      <c r="Q1855" s="2">
        <v>31.45</v>
      </c>
    </row>
    <row r="1856" spans="1:17" x14ac:dyDescent="0.25">
      <c r="A1856" t="s">
        <v>44</v>
      </c>
      <c r="B1856" t="s">
        <v>51</v>
      </c>
      <c r="C1856" t="str">
        <f>"180-3-CH"</f>
        <v>180-3-CH</v>
      </c>
      <c r="D1856" t="s">
        <v>26</v>
      </c>
      <c r="E1856" t="s">
        <v>23</v>
      </c>
      <c r="J1856" s="1">
        <v>31.45</v>
      </c>
      <c r="K1856" s="1">
        <v>0</v>
      </c>
      <c r="L1856" s="1">
        <v>0</v>
      </c>
      <c r="Q1856" s="2">
        <v>31.45</v>
      </c>
    </row>
    <row r="1857" spans="1:17" x14ac:dyDescent="0.25">
      <c r="A1857" t="s">
        <v>44</v>
      </c>
      <c r="B1857" t="s">
        <v>51</v>
      </c>
      <c r="C1857" t="str">
        <f>"180-3-HS"</f>
        <v>180-3-HS</v>
      </c>
      <c r="D1857" t="s">
        <v>26</v>
      </c>
      <c r="E1857" t="s">
        <v>24</v>
      </c>
      <c r="J1857" s="1">
        <v>31.45</v>
      </c>
      <c r="K1857" s="1">
        <v>0</v>
      </c>
      <c r="L1857" s="1">
        <v>4.25</v>
      </c>
      <c r="Q1857" s="2">
        <v>35.700000000000003</v>
      </c>
    </row>
    <row r="1858" spans="1:17" x14ac:dyDescent="0.25">
      <c r="A1858" t="s">
        <v>44</v>
      </c>
      <c r="B1858" t="s">
        <v>51</v>
      </c>
      <c r="C1858" t="str">
        <f>"180-4-BL"</f>
        <v>180-4-BL</v>
      </c>
      <c r="D1858" t="s">
        <v>49</v>
      </c>
      <c r="E1858" t="s">
        <v>20</v>
      </c>
      <c r="J1858" s="1">
        <v>31.45</v>
      </c>
      <c r="K1858" s="1">
        <v>0</v>
      </c>
      <c r="L1858" s="1">
        <v>0</v>
      </c>
      <c r="Q1858" s="2">
        <v>31.45</v>
      </c>
    </row>
    <row r="1859" spans="1:17" x14ac:dyDescent="0.25">
      <c r="A1859" t="s">
        <v>44</v>
      </c>
      <c r="B1859" t="s">
        <v>51</v>
      </c>
      <c r="C1859" t="str">
        <f>"180-4-BR"</f>
        <v>180-4-BR</v>
      </c>
      <c r="D1859" t="s">
        <v>49</v>
      </c>
      <c r="E1859" t="s">
        <v>22</v>
      </c>
      <c r="J1859" s="1">
        <v>31.45</v>
      </c>
      <c r="K1859" s="1">
        <v>0</v>
      </c>
      <c r="L1859" s="1">
        <v>0</v>
      </c>
      <c r="Q1859" s="2">
        <v>31.45</v>
      </c>
    </row>
    <row r="1860" spans="1:17" x14ac:dyDescent="0.25">
      <c r="A1860" t="s">
        <v>44</v>
      </c>
      <c r="B1860" t="s">
        <v>51</v>
      </c>
      <c r="C1860" t="str">
        <f>"180-4-CH"</f>
        <v>180-4-CH</v>
      </c>
      <c r="D1860" t="s">
        <v>49</v>
      </c>
      <c r="E1860" t="s">
        <v>23</v>
      </c>
      <c r="J1860" s="1">
        <v>31.45</v>
      </c>
      <c r="K1860" s="1">
        <v>0</v>
      </c>
      <c r="L1860" s="1">
        <v>0</v>
      </c>
      <c r="Q1860" s="2">
        <v>31.45</v>
      </c>
    </row>
    <row r="1861" spans="1:17" x14ac:dyDescent="0.25">
      <c r="A1861" t="s">
        <v>44</v>
      </c>
      <c r="B1861" t="s">
        <v>51</v>
      </c>
      <c r="C1861" t="str">
        <f>"180-4-HS"</f>
        <v>180-4-HS</v>
      </c>
      <c r="D1861" t="s">
        <v>49</v>
      </c>
      <c r="E1861" t="s">
        <v>24</v>
      </c>
      <c r="J1861" s="1">
        <v>31.45</v>
      </c>
      <c r="K1861" s="1">
        <v>0</v>
      </c>
      <c r="L1861" s="1">
        <v>4.25</v>
      </c>
      <c r="Q1861" s="2">
        <v>35.700000000000003</v>
      </c>
    </row>
    <row r="1862" spans="1:17" x14ac:dyDescent="0.25">
      <c r="A1862" t="s">
        <v>44</v>
      </c>
      <c r="B1862" t="s">
        <v>51</v>
      </c>
      <c r="C1862" t="str">
        <f>"180-5-BL"</f>
        <v>180-5-BL</v>
      </c>
      <c r="D1862" t="s">
        <v>27</v>
      </c>
      <c r="E1862" t="s">
        <v>20</v>
      </c>
      <c r="J1862" s="1">
        <v>31.45</v>
      </c>
      <c r="K1862" s="1">
        <v>0</v>
      </c>
      <c r="L1862" s="1">
        <v>0</v>
      </c>
      <c r="Q1862" s="2">
        <v>31.45</v>
      </c>
    </row>
    <row r="1863" spans="1:17" x14ac:dyDescent="0.25">
      <c r="A1863" t="s">
        <v>44</v>
      </c>
      <c r="B1863" t="s">
        <v>51</v>
      </c>
      <c r="C1863" t="str">
        <f>"180-5-BR"</f>
        <v>180-5-BR</v>
      </c>
      <c r="D1863" t="s">
        <v>27</v>
      </c>
      <c r="E1863" t="s">
        <v>22</v>
      </c>
      <c r="J1863" s="1">
        <v>31.45</v>
      </c>
      <c r="K1863" s="1">
        <v>0</v>
      </c>
      <c r="L1863" s="1">
        <v>0</v>
      </c>
      <c r="Q1863" s="2">
        <v>31.45</v>
      </c>
    </row>
    <row r="1864" spans="1:17" x14ac:dyDescent="0.25">
      <c r="A1864" t="s">
        <v>44</v>
      </c>
      <c r="B1864" t="s">
        <v>51</v>
      </c>
      <c r="C1864" t="str">
        <f>"180-5-CH"</f>
        <v>180-5-CH</v>
      </c>
      <c r="D1864" t="s">
        <v>27</v>
      </c>
      <c r="E1864" t="s">
        <v>23</v>
      </c>
      <c r="J1864" s="1">
        <v>31.45</v>
      </c>
      <c r="K1864" s="1">
        <v>0</v>
      </c>
      <c r="L1864" s="1">
        <v>0</v>
      </c>
      <c r="Q1864" s="2">
        <v>31.45</v>
      </c>
    </row>
    <row r="1865" spans="1:17" x14ac:dyDescent="0.25">
      <c r="A1865" t="s">
        <v>44</v>
      </c>
      <c r="B1865" t="s">
        <v>51</v>
      </c>
      <c r="C1865" t="str">
        <f>"180-5-HS"</f>
        <v>180-5-HS</v>
      </c>
      <c r="D1865" t="s">
        <v>27</v>
      </c>
      <c r="E1865" t="s">
        <v>24</v>
      </c>
      <c r="J1865" s="1">
        <v>31.45</v>
      </c>
      <c r="K1865" s="1">
        <v>0</v>
      </c>
      <c r="L1865" s="1">
        <v>4.25</v>
      </c>
      <c r="Q1865" s="2">
        <v>35.700000000000003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product_prices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Garcia</dc:creator>
  <cp:lastModifiedBy>%username%</cp:lastModifiedBy>
  <dcterms:created xsi:type="dcterms:W3CDTF">2016-09-27T21:19:45Z</dcterms:created>
  <dcterms:modified xsi:type="dcterms:W3CDTF">2016-09-27T21:19:45Z</dcterms:modified>
</cp:coreProperties>
</file>