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ouni\Documents\Excel\VBA\Cours\"/>
    </mc:Choice>
  </mc:AlternateContent>
  <bookViews>
    <workbookView xWindow="360" yWindow="360" windowWidth="15015" windowHeight="7650" activeTab="1"/>
  </bookViews>
  <sheets>
    <sheet name="Paie " sheetId="1" r:id="rId1"/>
    <sheet name="Paie  Données" sheetId="8" r:id="rId2"/>
    <sheet name="AmortFinancier_Formules" sheetId="2" r:id="rId3"/>
    <sheet name="AmortFinancier_FoncFin" sheetId="6" r:id="rId4"/>
    <sheet name="AmortImmobLin_Formules" sheetId="3" r:id="rId5"/>
    <sheet name="AmortImmob Dégf" sheetId="4" r:id="rId6"/>
  </sheets>
  <externalReferences>
    <externalReference r:id="rId7"/>
  </externalReferences>
  <definedNames>
    <definedName name="Capital">AmortFinancier_Formules!$D$7</definedName>
    <definedName name="Durée">AmortFinancier_Formules!$D$8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credit">[1]BMCE!$D$32</definedName>
    <definedName name="mdébit">[1]BMCE!$B$32</definedName>
    <definedName name="solcredit">[1]BMCE!$I$20</definedName>
    <definedName name="Soldebit">[1]BMCE!$H$20</definedName>
    <definedName name="Taux_Int_Ht">AmortFinancier_Formules!$D$9</definedName>
    <definedName name="Taux_Int_Ttc">AmortFinancier_Formules!$D$11</definedName>
    <definedName name="Taux_Tva">AmortFinancier_Formules!$D$10</definedName>
  </definedNames>
  <calcPr calcId="152511"/>
</workbook>
</file>

<file path=xl/calcChain.xml><?xml version="1.0" encoding="utf-8"?>
<calcChain xmlns="http://schemas.openxmlformats.org/spreadsheetml/2006/main">
  <c r="E38" i="4" l="1"/>
  <c r="B39" i="4" s="1"/>
  <c r="F39" i="4"/>
  <c r="F40" i="4" s="1"/>
  <c r="G44" i="4"/>
  <c r="G43" i="4"/>
  <c r="G42" i="4"/>
  <c r="G41" i="4"/>
  <c r="G40" i="4"/>
  <c r="G39" i="4"/>
  <c r="H39" i="4" s="1"/>
  <c r="B18" i="4"/>
  <c r="E17" i="4"/>
  <c r="H22" i="4"/>
  <c r="I22" i="4" s="1"/>
  <c r="C13" i="4"/>
  <c r="H18" i="4"/>
  <c r="I18" i="4" s="1"/>
  <c r="G22" i="4"/>
  <c r="G21" i="4"/>
  <c r="H21" i="4" s="1"/>
  <c r="I21" i="4" s="1"/>
  <c r="G20" i="4"/>
  <c r="G19" i="4"/>
  <c r="H19" i="4" s="1"/>
  <c r="I19" i="4" s="1"/>
  <c r="G18" i="4"/>
  <c r="F22" i="4"/>
  <c r="F21" i="4"/>
  <c r="F20" i="4"/>
  <c r="H20" i="4" s="1"/>
  <c r="I20" i="4" s="1"/>
  <c r="F19" i="4"/>
  <c r="F18" i="4"/>
  <c r="C18" i="4" l="1"/>
  <c r="D18" i="4" s="1"/>
  <c r="F41" i="4"/>
  <c r="F42" i="4" s="1"/>
  <c r="F43" i="4" s="1"/>
  <c r="F44" i="4" s="1"/>
  <c r="H44" i="4" s="1"/>
  <c r="H40" i="4"/>
  <c r="H41" i="4" l="1"/>
  <c r="H42" i="4"/>
  <c r="E18" i="4"/>
  <c r="C19" i="4" s="1"/>
  <c r="H43" i="4"/>
  <c r="B19" i="4"/>
  <c r="E19" i="4" l="1"/>
  <c r="D19" i="4"/>
  <c r="B20" i="4" l="1"/>
  <c r="C20" i="4"/>
  <c r="D20" i="4" s="1"/>
  <c r="E20" i="4" l="1"/>
  <c r="B21" i="4" l="1"/>
  <c r="C21" i="4"/>
  <c r="D21" i="4" s="1"/>
  <c r="E21" i="4" l="1"/>
  <c r="B22" i="4" l="1"/>
  <c r="C22" i="4"/>
  <c r="D22" i="4" s="1"/>
  <c r="E22" i="4" l="1"/>
  <c r="F39" i="3"/>
  <c r="F38" i="3"/>
  <c r="C38" i="3" s="1"/>
  <c r="F37" i="3"/>
  <c r="C37" i="3" s="1"/>
  <c r="F36" i="3"/>
  <c r="F35" i="3"/>
  <c r="F34" i="3"/>
  <c r="B39" i="3"/>
  <c r="B38" i="3"/>
  <c r="B37" i="3"/>
  <c r="B36" i="3"/>
  <c r="B35" i="3"/>
  <c r="B34" i="3"/>
  <c r="C30" i="3"/>
  <c r="C36" i="3" s="1"/>
  <c r="B20" i="3"/>
  <c r="B19" i="3"/>
  <c r="B18" i="3"/>
  <c r="B17" i="3"/>
  <c r="B16" i="3"/>
  <c r="C16" i="3" s="1"/>
  <c r="D16" i="3" s="1"/>
  <c r="E16" i="3" s="1"/>
  <c r="C12" i="3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J19" i="6"/>
  <c r="B20" i="6" s="1"/>
  <c r="J20" i="6" s="1"/>
  <c r="B21" i="6" s="1"/>
  <c r="J21" i="6" s="1"/>
  <c r="B22" i="6" s="1"/>
  <c r="J22" i="6" s="1"/>
  <c r="B23" i="6" s="1"/>
  <c r="J23" i="6" s="1"/>
  <c r="B24" i="6" s="1"/>
  <c r="J24" i="6" s="1"/>
  <c r="B25" i="6" s="1"/>
  <c r="J25" i="6" s="1"/>
  <c r="B26" i="6" s="1"/>
  <c r="J26" i="6" s="1"/>
  <c r="B27" i="6" s="1"/>
  <c r="J27" i="6" s="1"/>
  <c r="B28" i="6" s="1"/>
  <c r="J28" i="6" s="1"/>
  <c r="I19" i="6"/>
  <c r="H19" i="6"/>
  <c r="E28" i="6"/>
  <c r="E24" i="6"/>
  <c r="E20" i="6"/>
  <c r="C20" i="6"/>
  <c r="D20" i="6"/>
  <c r="C21" i="6"/>
  <c r="E21" i="6" s="1"/>
  <c r="D21" i="6"/>
  <c r="C22" i="6"/>
  <c r="E22" i="6" s="1"/>
  <c r="D22" i="6"/>
  <c r="C23" i="6"/>
  <c r="E23" i="6" s="1"/>
  <c r="D23" i="6"/>
  <c r="C24" i="6"/>
  <c r="D24" i="6"/>
  <c r="C25" i="6"/>
  <c r="E25" i="6" s="1"/>
  <c r="D25" i="6"/>
  <c r="C26" i="6"/>
  <c r="E26" i="6" s="1"/>
  <c r="D26" i="6"/>
  <c r="C27" i="6"/>
  <c r="E27" i="6" s="1"/>
  <c r="D27" i="6"/>
  <c r="C28" i="6"/>
  <c r="D28" i="6"/>
  <c r="D19" i="6"/>
  <c r="C19" i="6"/>
  <c r="E19" i="6" s="1"/>
  <c r="B19" i="6"/>
  <c r="C35" i="3" l="1"/>
  <c r="D35" i="3" s="1"/>
  <c r="D36" i="3" s="1"/>
  <c r="C39" i="3"/>
  <c r="C34" i="3"/>
  <c r="D34" i="3" s="1"/>
  <c r="E34" i="3" s="1"/>
  <c r="E35" i="3"/>
  <c r="C17" i="3"/>
  <c r="D17" i="3" s="1"/>
  <c r="E17" i="3" s="1"/>
  <c r="C18" i="3"/>
  <c r="D18" i="3" s="1"/>
  <c r="E18" i="3" s="1"/>
  <c r="C19" i="3"/>
  <c r="C20" i="3"/>
  <c r="B35" i="2"/>
  <c r="C35" i="2" s="1"/>
  <c r="D35" i="2" s="1"/>
  <c r="G31" i="2"/>
  <c r="E41" i="2" s="1"/>
  <c r="B19" i="2"/>
  <c r="C19" i="2"/>
  <c r="D11" i="2"/>
  <c r="G15" i="2" s="1"/>
  <c r="D11" i="6"/>
  <c r="G15" i="6" s="1"/>
  <c r="G50" i="6"/>
  <c r="C34" i="4"/>
  <c r="G49" i="2"/>
  <c r="E36" i="3" l="1"/>
  <c r="D37" i="3"/>
  <c r="F25" i="2"/>
  <c r="F21" i="2"/>
  <c r="F28" i="2"/>
  <c r="F24" i="2"/>
  <c r="F20" i="2"/>
  <c r="F27" i="2"/>
  <c r="F23" i="2"/>
  <c r="F19" i="2"/>
  <c r="F26" i="2"/>
  <c r="F22" i="2"/>
  <c r="E19" i="2"/>
  <c r="G19" i="2" s="1"/>
  <c r="H19" i="2" s="1"/>
  <c r="B20" i="2" s="1"/>
  <c r="C20" i="2" s="1"/>
  <c r="D20" i="2" s="1"/>
  <c r="E20" i="2" s="1"/>
  <c r="G20" i="2" s="1"/>
  <c r="D19" i="2"/>
  <c r="E38" i="2"/>
  <c r="E42" i="2"/>
  <c r="G20" i="6"/>
  <c r="F21" i="6"/>
  <c r="F22" i="6"/>
  <c r="F23" i="6"/>
  <c r="F24" i="6"/>
  <c r="F25" i="6"/>
  <c r="F26" i="6"/>
  <c r="F27" i="6"/>
  <c r="F28" i="6"/>
  <c r="F19" i="6"/>
  <c r="G21" i="6"/>
  <c r="G22" i="6"/>
  <c r="G23" i="6"/>
  <c r="G24" i="6"/>
  <c r="G25" i="6"/>
  <c r="G26" i="6"/>
  <c r="G27" i="6"/>
  <c r="G28" i="6"/>
  <c r="G19" i="6"/>
  <c r="F20" i="6"/>
  <c r="E39" i="2"/>
  <c r="E43" i="2"/>
  <c r="E36" i="2"/>
  <c r="E40" i="2"/>
  <c r="E44" i="2"/>
  <c r="E35" i="2"/>
  <c r="I39" i="4"/>
  <c r="C39" i="4" s="1"/>
  <c r="I44" i="4"/>
  <c r="I40" i="4"/>
  <c r="I42" i="4"/>
  <c r="I43" i="4"/>
  <c r="I41" i="4"/>
  <c r="E37" i="2"/>
  <c r="D38" i="3"/>
  <c r="E37" i="3"/>
  <c r="D19" i="3"/>
  <c r="E19" i="3" s="1"/>
  <c r="D20" i="3"/>
  <c r="E20" i="3" s="1"/>
  <c r="H20" i="2" l="1"/>
  <c r="B21" i="2" s="1"/>
  <c r="C21" i="2" s="1"/>
  <c r="D21" i="2" s="1"/>
  <c r="E21" i="2" s="1"/>
  <c r="G21" i="2" s="1"/>
  <c r="H21" i="2" s="1"/>
  <c r="B22" i="2" s="1"/>
  <c r="C22" i="2" s="1"/>
  <c r="D22" i="2" s="1"/>
  <c r="E22" i="2" s="1"/>
  <c r="G22" i="2" s="1"/>
  <c r="H22" i="2" s="1"/>
  <c r="B23" i="2" s="1"/>
  <c r="C23" i="2" s="1"/>
  <c r="D23" i="2" s="1"/>
  <c r="E23" i="2" s="1"/>
  <c r="G23" i="2" s="1"/>
  <c r="H23" i="2" s="1"/>
  <c r="B24" i="2" s="1"/>
  <c r="D39" i="4"/>
  <c r="E39" i="4"/>
  <c r="G35" i="2"/>
  <c r="H35" i="2" s="1"/>
  <c r="B36" i="2" s="1"/>
  <c r="F35" i="2"/>
  <c r="E38" i="3"/>
  <c r="D39" i="3"/>
  <c r="E39" i="3" s="1"/>
  <c r="B40" i="4" l="1"/>
  <c r="C40" i="4"/>
  <c r="D40" i="4" s="1"/>
  <c r="C36" i="2"/>
  <c r="C24" i="2"/>
  <c r="D24" i="2" s="1"/>
  <c r="E24" i="2" s="1"/>
  <c r="G24" i="2" s="1"/>
  <c r="H24" i="2"/>
  <c r="B25" i="2" s="1"/>
  <c r="C25" i="2" s="1"/>
  <c r="D25" i="2" s="1"/>
  <c r="E25" i="2" s="1"/>
  <c r="G25" i="2" s="1"/>
  <c r="H25" i="2" s="1"/>
  <c r="B26" i="2" s="1"/>
  <c r="D36" i="2" l="1"/>
  <c r="F36" i="2" s="1"/>
  <c r="G36" i="2"/>
  <c r="H36" i="2" s="1"/>
  <c r="B37" i="2" s="1"/>
  <c r="C37" i="2" s="1"/>
  <c r="E40" i="4"/>
  <c r="C26" i="2"/>
  <c r="D26" i="2" s="1"/>
  <c r="E26" i="2" s="1"/>
  <c r="G26" i="2" s="1"/>
  <c r="H26" i="2" s="1"/>
  <c r="B27" i="2" s="1"/>
  <c r="C27" i="2" s="1"/>
  <c r="D27" i="2" s="1"/>
  <c r="E27" i="2" s="1"/>
  <c r="G27" i="2" s="1"/>
  <c r="H27" i="2" s="1"/>
  <c r="B28" i="2" s="1"/>
  <c r="B41" i="4" l="1"/>
  <c r="C41" i="4"/>
  <c r="D41" i="4" s="1"/>
  <c r="D37" i="2"/>
  <c r="F37" i="2" s="1"/>
  <c r="G37" i="2"/>
  <c r="H37" i="2" s="1"/>
  <c r="B38" i="2" s="1"/>
  <c r="C38" i="2" s="1"/>
  <c r="D38" i="2" s="1"/>
  <c r="F38" i="2" s="1"/>
  <c r="C28" i="2"/>
  <c r="D28" i="2" s="1"/>
  <c r="E28" i="2" s="1"/>
  <c r="G28" i="2" s="1"/>
  <c r="H28" i="2"/>
  <c r="G38" i="2" l="1"/>
  <c r="H38" i="2" s="1"/>
  <c r="B39" i="2" s="1"/>
  <c r="C39" i="2" s="1"/>
  <c r="E41" i="4"/>
  <c r="B42" i="4" l="1"/>
  <c r="C42" i="4"/>
  <c r="D42" i="4" s="1"/>
  <c r="D39" i="2"/>
  <c r="F39" i="2" s="1"/>
  <c r="G39" i="2"/>
  <c r="H39" i="2" s="1"/>
  <c r="B40" i="2" s="1"/>
  <c r="E42" i="4" l="1"/>
  <c r="C40" i="2"/>
  <c r="B43" i="4" l="1"/>
  <c r="C43" i="4"/>
  <c r="D43" i="4" s="1"/>
  <c r="E43" i="4"/>
  <c r="D40" i="2"/>
  <c r="F40" i="2" s="1"/>
  <c r="G40" i="2"/>
  <c r="H40" i="2" s="1"/>
  <c r="B41" i="2" s="1"/>
  <c r="B44" i="4" l="1"/>
  <c r="C44" i="4"/>
  <c r="D44" i="4" s="1"/>
  <c r="C41" i="2"/>
  <c r="E44" i="4" l="1"/>
  <c r="D41" i="2"/>
  <c r="F41" i="2" s="1"/>
  <c r="G41" i="2"/>
  <c r="H41" i="2" s="1"/>
  <c r="B42" i="2" s="1"/>
  <c r="C42" i="2" l="1"/>
  <c r="D42" i="2" l="1"/>
  <c r="F42" i="2" s="1"/>
  <c r="G42" i="2"/>
  <c r="H42" i="2" s="1"/>
  <c r="B43" i="2" s="1"/>
  <c r="C43" i="2" l="1"/>
  <c r="D43" i="2" l="1"/>
  <c r="F43" i="2" s="1"/>
  <c r="G43" i="2"/>
  <c r="H43" i="2" s="1"/>
  <c r="B44" i="2" s="1"/>
  <c r="C44" i="2" l="1"/>
  <c r="D44" i="2" l="1"/>
  <c r="F44" i="2" s="1"/>
  <c r="G44" i="2"/>
  <c r="H44" i="2" s="1"/>
</calcChain>
</file>

<file path=xl/sharedStrings.xml><?xml version="1.0" encoding="utf-8"?>
<sst xmlns="http://schemas.openxmlformats.org/spreadsheetml/2006/main" count="540" uniqueCount="130">
  <si>
    <t>Travaux de paie</t>
  </si>
  <si>
    <t>Employés</t>
  </si>
  <si>
    <t>Code Employé</t>
  </si>
  <si>
    <t>Nom</t>
  </si>
  <si>
    <t>Prénom</t>
  </si>
  <si>
    <t>Date Naissance</t>
  </si>
  <si>
    <t>Date Embauche</t>
  </si>
  <si>
    <t>Situation Familiale</t>
  </si>
  <si>
    <t>Nbre Enfants</t>
  </si>
  <si>
    <t>Salaire De Base</t>
  </si>
  <si>
    <t>Heures Supp.</t>
  </si>
  <si>
    <t>ONQ001</t>
  </si>
  <si>
    <t>MOHA</t>
  </si>
  <si>
    <t>Ali</t>
  </si>
  <si>
    <t>Marié</t>
  </si>
  <si>
    <t>CF</t>
  </si>
  <si>
    <t>ONQ002</t>
  </si>
  <si>
    <t>HOUZAM</t>
  </si>
  <si>
    <t>Brahim</t>
  </si>
  <si>
    <t>Veuf</t>
  </si>
  <si>
    <t>Célibataire ou Mariée</t>
  </si>
  <si>
    <t>EMP001</t>
  </si>
  <si>
    <t>HADI</t>
  </si>
  <si>
    <t>Driss</t>
  </si>
  <si>
    <t>MIN(NbEnf +1; 6)*15</t>
  </si>
  <si>
    <t>EMP002</t>
  </si>
  <si>
    <t>HAJI</t>
  </si>
  <si>
    <t>Ghizlane</t>
  </si>
  <si>
    <t>Célibataire</t>
  </si>
  <si>
    <t>Veuf ou Divorcé ou Veuve ou Divorcée</t>
  </si>
  <si>
    <t>MIN(NbEnf ; 6)*15</t>
  </si>
  <si>
    <t>CAD001</t>
  </si>
  <si>
    <t>BOUNIT</t>
  </si>
  <si>
    <t>Adil</t>
  </si>
  <si>
    <t>Veuve</t>
  </si>
  <si>
    <t>CAD002</t>
  </si>
  <si>
    <t>AHMADI</t>
  </si>
  <si>
    <t>Bouchra</t>
  </si>
  <si>
    <t>Divorcé</t>
  </si>
  <si>
    <t>PDI001</t>
  </si>
  <si>
    <t>NEJJARI</t>
  </si>
  <si>
    <t>PDI002</t>
  </si>
  <si>
    <t>NASSIR</t>
  </si>
  <si>
    <t>Nezha</t>
  </si>
  <si>
    <t>Mariéé</t>
  </si>
  <si>
    <t>Remplir le tableau ci-dessous:</t>
  </si>
  <si>
    <t>Charges de Famille: Déductions IGR</t>
  </si>
  <si>
    <t>Allocations Familiale</t>
  </si>
  <si>
    <t>Prime d'ancienneté</t>
  </si>
  <si>
    <t>Salaire Brut Global</t>
  </si>
  <si>
    <t>Salaire Brut Imposable</t>
  </si>
  <si>
    <t>Frais Professionnels</t>
  </si>
  <si>
    <t>CNSS</t>
  </si>
  <si>
    <t>CIMR</t>
  </si>
  <si>
    <t>Salaire Net Imposable</t>
  </si>
  <si>
    <t>IGR</t>
  </si>
  <si>
    <t>Salaire Net A Payer</t>
  </si>
  <si>
    <t>Barême de prime d'ancienneté</t>
  </si>
  <si>
    <t>Ancienneté</t>
  </si>
  <si>
    <t>Taux</t>
  </si>
  <si>
    <t xml:space="preserve"> 0&lt;= Ancienneté &lt; 2</t>
  </si>
  <si>
    <t xml:space="preserve"> 2&lt;= Ancienneté &lt; 5</t>
  </si>
  <si>
    <t>5 &lt;= Ancienneté &lt; 10</t>
  </si>
  <si>
    <t>10 &lt;= Ancienneté &lt; 15</t>
  </si>
  <si>
    <t xml:space="preserve">15 &lt;= Ancienneté </t>
  </si>
  <si>
    <t>Base d'imposition mensuelle</t>
  </si>
  <si>
    <t>Somme A Déduire</t>
  </si>
  <si>
    <t>0      - 1500</t>
  </si>
  <si>
    <t>1501 - 2000</t>
  </si>
  <si>
    <t>2001 - 3000</t>
  </si>
  <si>
    <t>3001 - 5000</t>
  </si>
  <si>
    <t xml:space="preserve">5001 - </t>
  </si>
  <si>
    <t xml:space="preserve">Capital </t>
  </si>
  <si>
    <t>Durée</t>
  </si>
  <si>
    <t>ans</t>
  </si>
  <si>
    <t>Taux_Int_Ht</t>
  </si>
  <si>
    <t>Taux_Tva</t>
  </si>
  <si>
    <t>Taux_Int_Ttc</t>
  </si>
  <si>
    <t>A/ Mode de remboursement : Annuités TTC Constantes:</t>
  </si>
  <si>
    <t>Annuité TTC</t>
  </si>
  <si>
    <t>Période</t>
  </si>
  <si>
    <t>Capital Début Période</t>
  </si>
  <si>
    <t>Intérêts</t>
  </si>
  <si>
    <t>Tva Sur Intérêts</t>
  </si>
  <si>
    <t>Annuité</t>
  </si>
  <si>
    <t>Principal</t>
  </si>
  <si>
    <t>Capital Fin Période</t>
  </si>
  <si>
    <t>HT</t>
  </si>
  <si>
    <t>TTC</t>
  </si>
  <si>
    <t>B/ Mode de remboursement : Annuités HT Constantes:</t>
  </si>
  <si>
    <t>Annuité HT</t>
  </si>
  <si>
    <t>C/ Mode de remboursement : Principal Constant</t>
  </si>
  <si>
    <t>Amortissement d'une immobilisation Corporelle</t>
  </si>
  <si>
    <t>Mode : Linéaire</t>
  </si>
  <si>
    <t>A- Sans prorata</t>
  </si>
  <si>
    <t>Valeur d'acquisition</t>
  </si>
  <si>
    <t>Date d'acquisition</t>
  </si>
  <si>
    <t>Durée d'amort.</t>
  </si>
  <si>
    <t>Taux Linéaire</t>
  </si>
  <si>
    <t>Exercice</t>
  </si>
  <si>
    <t>Base d'amortissement</t>
  </si>
  <si>
    <t>Dotation de l'exercice</t>
  </si>
  <si>
    <t>Cumul d'amortissement</t>
  </si>
  <si>
    <t>Valeur Nette Comptable</t>
  </si>
  <si>
    <t>B- Avec prorata</t>
  </si>
  <si>
    <t>Durée à amortir (en mois)</t>
  </si>
  <si>
    <t>Mode : Dégressif</t>
  </si>
  <si>
    <t>Coefficient</t>
  </si>
  <si>
    <t>Taux Degressif</t>
  </si>
  <si>
    <t>Durée restante (en année)</t>
  </si>
  <si>
    <t>Durée à amortir (en année)</t>
  </si>
  <si>
    <t>Taux réel</t>
  </si>
  <si>
    <t>Taux Dégressif</t>
  </si>
  <si>
    <t>Durée restante (en mois)</t>
  </si>
  <si>
    <t>?</t>
  </si>
  <si>
    <t>Capital*Taux_Int_TTC/(1-(1+Taux-Int_TTC)^-Durée)</t>
  </si>
  <si>
    <t>INTPER</t>
  </si>
  <si>
    <t>PRINCPER</t>
  </si>
  <si>
    <t>VPM</t>
  </si>
  <si>
    <t>Cumul
Intérêts</t>
  </si>
  <si>
    <t>CUMUL.
PRINCPER</t>
  </si>
  <si>
    <t>CUMUL.
INTER</t>
  </si>
  <si>
    <t>Barême IR</t>
  </si>
  <si>
    <t>Charges de Famille</t>
  </si>
  <si>
    <t>Allocations Familiales</t>
  </si>
  <si>
    <t>Nombre Enfant</t>
  </si>
  <si>
    <t>AF</t>
  </si>
  <si>
    <t>&lt;=3</t>
  </si>
  <si>
    <t>NbEnfant * 200</t>
  </si>
  <si>
    <t>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</si>
</sst>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DH&quot;"/>
    <numFmt numFmtId="165" formatCode="00.00%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b/>
      <i/>
      <sz val="10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4" fontId="0" fillId="0" borderId="6" xfId="0" applyNumberFormat="1" applyBorder="1"/>
    <xf numFmtId="1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14" fontId="0" fillId="0" borderId="12" xfId="0" applyNumberFormat="1" applyBorder="1"/>
    <xf numFmtId="14" fontId="0" fillId="0" borderId="12" xfId="0" applyNumberFormat="1" applyBorder="1" applyAlignment="1">
      <alignment horizontal="center"/>
    </xf>
    <xf numFmtId="14" fontId="1" fillId="0" borderId="12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12" xfId="0" applyFont="1" applyBorder="1"/>
    <xf numFmtId="0" fontId="0" fillId="0" borderId="15" xfId="0" applyBorder="1" applyAlignment="1">
      <alignment horizontal="center" vertical="center"/>
    </xf>
    <xf numFmtId="0" fontId="0" fillId="0" borderId="17" xfId="0" applyBorder="1"/>
    <xf numFmtId="14" fontId="0" fillId="0" borderId="17" xfId="0" applyNumberFormat="1" applyBorder="1"/>
    <xf numFmtId="14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0" xfId="0" applyFont="1"/>
    <xf numFmtId="0" fontId="0" fillId="0" borderId="23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9" fontId="0" fillId="0" borderId="12" xfId="0" applyNumberFormat="1" applyBorder="1"/>
    <xf numFmtId="9" fontId="0" fillId="0" borderId="17" xfId="0" applyNumberFormat="1" applyBorder="1"/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38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10" fontId="0" fillId="0" borderId="0" xfId="3" applyNumberFormat="1" applyFont="1"/>
    <xf numFmtId="0" fontId="6" fillId="0" borderId="0" xfId="0" applyFont="1"/>
    <xf numFmtId="0" fontId="3" fillId="0" borderId="39" xfId="0" applyFont="1" applyBorder="1" applyAlignment="1">
      <alignment horizontal="left"/>
    </xf>
    <xf numFmtId="0" fontId="0" fillId="0" borderId="43" xfId="0" applyBorder="1" applyAlignment="1">
      <alignment horizontal="center" vertical="center" wrapText="1"/>
    </xf>
    <xf numFmtId="0" fontId="0" fillId="0" borderId="11" xfId="0" applyBorder="1"/>
    <xf numFmtId="2" fontId="7" fillId="0" borderId="12" xfId="0" applyNumberFormat="1" applyFont="1" applyBorder="1"/>
    <xf numFmtId="2" fontId="7" fillId="0" borderId="14" xfId="0" applyNumberFormat="1" applyFont="1" applyBorder="1"/>
    <xf numFmtId="0" fontId="0" fillId="0" borderId="15" xfId="0" applyBorder="1"/>
    <xf numFmtId="2" fontId="7" fillId="0" borderId="17" xfId="0" applyNumberFormat="1" applyFont="1" applyBorder="1"/>
    <xf numFmtId="2" fontId="7" fillId="0" borderId="16" xfId="0" applyNumberFormat="1" applyFont="1" applyBorder="1"/>
    <xf numFmtId="0" fontId="3" fillId="0" borderId="39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14" fontId="9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10" fontId="10" fillId="0" borderId="16" xfId="3" applyNumberFormat="1" applyFont="1" applyBorder="1"/>
    <xf numFmtId="0" fontId="9" fillId="0" borderId="0" xfId="0" applyFont="1" applyBorder="1"/>
    <xf numFmtId="10" fontId="9" fillId="0" borderId="0" xfId="3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0" fillId="0" borderId="11" xfId="0" applyNumberFormat="1" applyBorder="1"/>
    <xf numFmtId="14" fontId="0" fillId="0" borderId="15" xfId="0" applyNumberFormat="1" applyBorder="1"/>
    <xf numFmtId="0" fontId="3" fillId="0" borderId="0" xfId="0" applyFont="1"/>
    <xf numFmtId="0" fontId="9" fillId="0" borderId="45" xfId="0" applyFont="1" applyBorder="1"/>
    <xf numFmtId="0" fontId="9" fillId="0" borderId="46" xfId="0" applyFont="1" applyBorder="1"/>
    <xf numFmtId="10" fontId="9" fillId="0" borderId="16" xfId="3" applyNumberFormat="1" applyFont="1" applyBorder="1"/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2" fontId="7" fillId="0" borderId="47" xfId="0" applyNumberFormat="1" applyFont="1" applyFill="1" applyBorder="1"/>
    <xf numFmtId="2" fontId="7" fillId="0" borderId="13" xfId="0" applyNumberFormat="1" applyFont="1" applyBorder="1"/>
    <xf numFmtId="2" fontId="0" fillId="0" borderId="0" xfId="0" applyNumberFormat="1"/>
    <xf numFmtId="2" fontId="7" fillId="0" borderId="0" xfId="0" applyNumberFormat="1" applyFont="1" applyFill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0" fontId="10" fillId="0" borderId="16" xfId="3" applyNumberFormat="1" applyFont="1" applyBorder="1" applyAlignment="1">
      <alignment horizontal="center" vertical="center"/>
    </xf>
    <xf numFmtId="10" fontId="11" fillId="0" borderId="1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7" fillId="0" borderId="12" xfId="3" applyNumberFormat="1" applyFont="1" applyBorder="1" applyAlignment="1">
      <alignment horizontal="center"/>
    </xf>
    <xf numFmtId="10" fontId="7" fillId="0" borderId="14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0" fontId="7" fillId="0" borderId="17" xfId="3" applyNumberFormat="1" applyFont="1" applyBorder="1" applyAlignment="1">
      <alignment horizontal="center"/>
    </xf>
    <xf numFmtId="10" fontId="7" fillId="0" borderId="16" xfId="0" applyNumberFormat="1" applyFont="1" applyBorder="1" applyAlignment="1">
      <alignment horizontal="center"/>
    </xf>
    <xf numFmtId="164" fontId="3" fillId="0" borderId="48" xfId="0" applyNumberFormat="1" applyFont="1" applyBorder="1" applyAlignment="1">
      <alignment vertical="center"/>
    </xf>
    <xf numFmtId="164" fontId="3" fillId="0" borderId="49" xfId="0" applyNumberFormat="1" applyFont="1" applyBorder="1" applyAlignment="1">
      <alignment vertical="center"/>
    </xf>
    <xf numFmtId="10" fontId="3" fillId="0" borderId="13" xfId="0" applyNumberFormat="1" applyFont="1" applyBorder="1" applyAlignment="1">
      <alignment vertical="center"/>
    </xf>
    <xf numFmtId="10" fontId="3" fillId="0" borderId="38" xfId="0" applyNumberFormat="1" applyFon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3" fillId="0" borderId="38" xfId="0" applyNumberFormat="1" applyFont="1" applyBorder="1" applyAlignment="1">
      <alignment vertical="center"/>
    </xf>
    <xf numFmtId="10" fontId="5" fillId="0" borderId="18" xfId="3" applyNumberFormat="1" applyFont="1" applyBorder="1" applyAlignment="1">
      <alignment vertical="center"/>
    </xf>
    <xf numFmtId="10" fontId="5" fillId="0" borderId="50" xfId="3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0" fontId="3" fillId="0" borderId="0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10" fontId="5" fillId="0" borderId="0" xfId="3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4" xfId="0" applyFont="1" applyBorder="1" applyAlignment="1">
      <alignment horizontal="right" vertical="center"/>
    </xf>
    <xf numFmtId="10" fontId="3" fillId="0" borderId="14" xfId="0" applyNumberFormat="1" applyFont="1" applyBorder="1" applyAlignment="1">
      <alignment vertical="center"/>
    </xf>
    <xf numFmtId="165" fontId="3" fillId="0" borderId="14" xfId="0" applyNumberFormat="1" applyFont="1" applyBorder="1" applyAlignment="1">
      <alignment vertical="center"/>
    </xf>
    <xf numFmtId="10" fontId="5" fillId="0" borderId="16" xfId="3" applyNumberFormat="1" applyFont="1" applyBorder="1" applyAlignment="1">
      <alignment vertical="center"/>
    </xf>
    <xf numFmtId="0" fontId="0" fillId="0" borderId="21" xfId="0" applyBorder="1"/>
    <xf numFmtId="0" fontId="0" fillId="0" borderId="23" xfId="0" applyBorder="1"/>
    <xf numFmtId="0" fontId="0" fillId="0" borderId="51" xfId="0" applyBorder="1" applyAlignment="1">
      <alignment horizontal="center" vertical="center" wrapText="1"/>
    </xf>
    <xf numFmtId="2" fontId="7" fillId="0" borderId="9" xfId="0" applyNumberFormat="1" applyFont="1" applyBorder="1"/>
    <xf numFmtId="2" fontId="7" fillId="0" borderId="22" xfId="0" applyNumberFormat="1" applyFont="1" applyBorder="1"/>
    <xf numFmtId="2" fontId="7" fillId="0" borderId="48" xfId="0" applyNumberFormat="1" applyFont="1" applyBorder="1"/>
    <xf numFmtId="2" fontId="7" fillId="0" borderId="10" xfId="0" applyNumberFormat="1" applyFont="1" applyBorder="1"/>
    <xf numFmtId="2" fontId="7" fillId="0" borderId="11" xfId="0" applyNumberFormat="1" applyFont="1" applyBorder="1"/>
    <xf numFmtId="2" fontId="7" fillId="0" borderId="15" xfId="0" applyNumberFormat="1" applyFont="1" applyBorder="1"/>
    <xf numFmtId="2" fontId="7" fillId="0" borderId="18" xfId="0" applyNumberFormat="1" applyFont="1" applyBorder="1"/>
    <xf numFmtId="0" fontId="3" fillId="0" borderId="52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64" fontId="3" fillId="0" borderId="40" xfId="0" applyNumberFormat="1" applyFont="1" applyBorder="1" applyAlignment="1">
      <alignment horizontal="center"/>
    </xf>
    <xf numFmtId="164" fontId="3" fillId="0" borderId="41" xfId="0" applyNumberFormat="1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3" xfId="0" applyBorder="1" applyAlignment="1"/>
    <xf numFmtId="0" fontId="0" fillId="0" borderId="10" xfId="0" applyBorder="1" applyAlignment="1">
      <alignment horizontal="center" vertical="center" wrapText="1"/>
    </xf>
    <xf numFmtId="0" fontId="0" fillId="0" borderId="44" xfId="0" applyBorder="1" applyAlignment="1"/>
    <xf numFmtId="0" fontId="0" fillId="0" borderId="9" xfId="0" applyBorder="1" applyAlignment="1">
      <alignment horizontal="center" vertical="center" wrapText="1"/>
    </xf>
    <xf numFmtId="0" fontId="0" fillId="0" borderId="42" xfId="0" applyBorder="1" applyAlignment="1"/>
    <xf numFmtId="0" fontId="0" fillId="0" borderId="22" xfId="0" applyBorder="1" applyAlignment="1">
      <alignment horizontal="center"/>
    </xf>
    <xf numFmtId="0" fontId="0" fillId="0" borderId="46" xfId="0" applyBorder="1" applyAlignment="1"/>
    <xf numFmtId="0" fontId="0" fillId="0" borderId="51" xfId="0" applyBorder="1" applyAlignment="1"/>
    <xf numFmtId="0" fontId="0" fillId="0" borderId="37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19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ourcentage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0</xdr:rowOff>
    </xdr:from>
    <xdr:to>
      <xdr:col>6</xdr:col>
      <xdr:colOff>323850</xdr:colOff>
      <xdr:row>2</xdr:row>
      <xdr:rowOff>152400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619125" y="161925"/>
          <a:ext cx="4076700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1800" i="1" kern="10" spc="0" normalizeH="1">
              <a:ln w="1587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AMORTISSEMENT  FINANCIER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0</xdr:rowOff>
    </xdr:from>
    <xdr:to>
      <xdr:col>6</xdr:col>
      <xdr:colOff>323850</xdr:colOff>
      <xdr:row>2</xdr:row>
      <xdr:rowOff>152400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619125" y="161925"/>
          <a:ext cx="4076700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1800" i="1" kern="10" spc="0" normalizeH="1">
              <a:ln w="1587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AMORTISSEMENT  FINANCIER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Recherch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CE"/>
      <sheetName val="FCG"/>
      <sheetName val="FCG (2)"/>
      <sheetName val="FCGSeptembre"/>
      <sheetName val="DS42A2000 (3)"/>
      <sheetName val="DS42A2000 G1"/>
      <sheetName val="DS42A2000 G2"/>
      <sheetName val="DS42A2000G2"/>
      <sheetName val="DS43A2000"/>
      <sheetName val="DS13A2000-2001-3"/>
      <sheetName val="Synthèse de scénarios"/>
      <sheetName val="DS13A2000-2001-1"/>
      <sheetName val="DS13A2000-2001-2"/>
      <sheetName val="Feuil4"/>
      <sheetName val="Employés"/>
      <sheetName val="DSCYSPE1"/>
      <sheetName val="Barême IGR"/>
      <sheetName val="Barême ancienneté"/>
      <sheetName val="Feuil2"/>
      <sheetName val="Feuil3"/>
    </sheetNames>
    <sheetDataSet>
      <sheetData sheetId="0">
        <row r="20">
          <cell r="I20">
            <v>12500</v>
          </cell>
        </row>
        <row r="32">
          <cell r="B32">
            <v>11500</v>
          </cell>
          <cell r="D32">
            <v>16600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workbookViewId="0">
      <selection activeCell="D25" sqref="D25"/>
    </sheetView>
  </sheetViews>
  <sheetFormatPr baseColWidth="10" defaultRowHeight="12.75" x14ac:dyDescent="0.2"/>
  <cols>
    <col min="1" max="1" width="19.42578125" customWidth="1"/>
    <col min="2" max="2" width="10.42578125" customWidth="1"/>
    <col min="3" max="3" width="9.85546875" customWidth="1"/>
    <col min="4" max="4" width="12" customWidth="1"/>
    <col min="5" max="5" width="10.7109375" customWidth="1"/>
    <col min="6" max="6" width="9.5703125" customWidth="1"/>
    <col min="7" max="7" width="7.28515625" customWidth="1"/>
    <col min="8" max="8" width="10" customWidth="1"/>
    <col min="9" max="10" width="9.42578125" customWidth="1"/>
    <col min="11" max="11" width="9.140625" customWidth="1"/>
    <col min="13" max="13" width="22.5703125" customWidth="1"/>
    <col min="14" max="14" width="20.140625" style="3" customWidth="1"/>
  </cols>
  <sheetData>
    <row r="1" spans="1:15" ht="14.1" customHeight="1" x14ac:dyDescent="0.25">
      <c r="A1" s="1" t="s">
        <v>0</v>
      </c>
      <c r="C1" s="2"/>
      <c r="D1" s="2"/>
      <c r="E1" s="2"/>
      <c r="F1" s="2"/>
      <c r="G1" s="2"/>
      <c r="H1" s="2"/>
    </row>
    <row r="2" spans="1:15" ht="14.1" customHeight="1" x14ac:dyDescent="0.25">
      <c r="A2" s="1"/>
      <c r="C2" s="2"/>
      <c r="D2" s="2"/>
      <c r="E2" s="2"/>
      <c r="F2" s="2"/>
      <c r="G2" s="2"/>
      <c r="H2" s="2"/>
    </row>
    <row r="3" spans="1:15" x14ac:dyDescent="0.2">
      <c r="C3" s="23"/>
      <c r="D3" s="23"/>
      <c r="E3" s="32"/>
      <c r="F3" s="32"/>
      <c r="G3" s="23"/>
      <c r="H3" s="23"/>
      <c r="I3" s="23"/>
      <c r="J3" s="23"/>
    </row>
    <row r="4" spans="1:15" ht="16.5" thickBot="1" x14ac:dyDescent="0.25">
      <c r="A4" s="170" t="s">
        <v>45</v>
      </c>
      <c r="B4" s="170"/>
      <c r="C4" s="170"/>
      <c r="D4" s="34"/>
      <c r="E4" s="34"/>
      <c r="F4" s="32"/>
      <c r="G4" s="23"/>
      <c r="H4" s="23"/>
      <c r="I4" s="23"/>
      <c r="J4" s="23"/>
    </row>
    <row r="5" spans="1:15" ht="51.75" thickBot="1" x14ac:dyDescent="0.25">
      <c r="A5" s="6" t="s">
        <v>2</v>
      </c>
      <c r="B5" s="7" t="s">
        <v>46</v>
      </c>
      <c r="C5" s="7" t="s">
        <v>47</v>
      </c>
      <c r="D5" s="7" t="s">
        <v>48</v>
      </c>
      <c r="E5" s="7" t="s">
        <v>49</v>
      </c>
      <c r="F5" s="35" t="s">
        <v>50</v>
      </c>
      <c r="G5" s="7" t="s">
        <v>51</v>
      </c>
      <c r="H5" s="7" t="s">
        <v>52</v>
      </c>
      <c r="I5" s="7" t="s">
        <v>53</v>
      </c>
      <c r="J5" s="7" t="s">
        <v>54</v>
      </c>
      <c r="K5" s="7" t="s">
        <v>55</v>
      </c>
      <c r="L5" s="9" t="s">
        <v>56</v>
      </c>
      <c r="N5"/>
      <c r="O5" s="3"/>
    </row>
    <row r="6" spans="1:15" ht="14.25" thickTop="1" thickBot="1" x14ac:dyDescent="0.25">
      <c r="A6" s="36" t="s">
        <v>11</v>
      </c>
      <c r="B6" s="100" t="s">
        <v>114</v>
      </c>
      <c r="C6" s="100" t="s">
        <v>114</v>
      </c>
      <c r="D6" s="101" t="s">
        <v>114</v>
      </c>
      <c r="E6" s="102" t="s">
        <v>114</v>
      </c>
      <c r="F6" s="102" t="s">
        <v>114</v>
      </c>
      <c r="G6" s="102" t="s">
        <v>114</v>
      </c>
      <c r="H6" s="101" t="s">
        <v>114</v>
      </c>
      <c r="I6" s="101" t="s">
        <v>114</v>
      </c>
      <c r="J6" s="101" t="s">
        <v>114</v>
      </c>
      <c r="K6" s="100" t="s">
        <v>114</v>
      </c>
      <c r="L6" s="103" t="s">
        <v>114</v>
      </c>
      <c r="N6"/>
      <c r="O6" s="3"/>
    </row>
    <row r="7" spans="1:15" ht="13.5" thickBot="1" x14ac:dyDescent="0.25">
      <c r="A7" s="38" t="s">
        <v>16</v>
      </c>
      <c r="B7" s="104" t="s">
        <v>114</v>
      </c>
      <c r="C7" s="104" t="s">
        <v>114</v>
      </c>
      <c r="D7" s="105" t="s">
        <v>114</v>
      </c>
      <c r="E7" s="106" t="s">
        <v>114</v>
      </c>
      <c r="F7" s="106" t="s">
        <v>114</v>
      </c>
      <c r="G7" s="106" t="s">
        <v>114</v>
      </c>
      <c r="H7" s="105" t="s">
        <v>114</v>
      </c>
      <c r="I7" s="105" t="s">
        <v>114</v>
      </c>
      <c r="J7" s="105" t="s">
        <v>114</v>
      </c>
      <c r="K7" s="107" t="s">
        <v>114</v>
      </c>
      <c r="L7" s="108" t="s">
        <v>114</v>
      </c>
      <c r="N7"/>
      <c r="O7" s="3"/>
    </row>
    <row r="8" spans="1:15" ht="13.5" thickBot="1" x14ac:dyDescent="0.25">
      <c r="A8" s="38" t="s">
        <v>21</v>
      </c>
      <c r="B8" s="104" t="s">
        <v>114</v>
      </c>
      <c r="C8" s="104" t="s">
        <v>114</v>
      </c>
      <c r="D8" s="105" t="s">
        <v>114</v>
      </c>
      <c r="E8" s="106" t="s">
        <v>114</v>
      </c>
      <c r="F8" s="106" t="s">
        <v>114</v>
      </c>
      <c r="G8" s="106" t="s">
        <v>114</v>
      </c>
      <c r="H8" s="105" t="s">
        <v>114</v>
      </c>
      <c r="I8" s="105" t="s">
        <v>114</v>
      </c>
      <c r="J8" s="105" t="s">
        <v>114</v>
      </c>
      <c r="K8" s="107" t="s">
        <v>114</v>
      </c>
      <c r="L8" s="108" t="s">
        <v>114</v>
      </c>
      <c r="N8"/>
      <c r="O8" s="3"/>
    </row>
    <row r="9" spans="1:15" ht="13.5" thickBot="1" x14ac:dyDescent="0.25">
      <c r="A9" s="38" t="s">
        <v>25</v>
      </c>
      <c r="B9" s="104" t="s">
        <v>114</v>
      </c>
      <c r="C9" s="104" t="s">
        <v>114</v>
      </c>
      <c r="D9" s="105" t="s">
        <v>114</v>
      </c>
      <c r="E9" s="106" t="s">
        <v>114</v>
      </c>
      <c r="F9" s="106" t="s">
        <v>114</v>
      </c>
      <c r="G9" s="106" t="s">
        <v>114</v>
      </c>
      <c r="H9" s="105" t="s">
        <v>114</v>
      </c>
      <c r="I9" s="105" t="s">
        <v>114</v>
      </c>
      <c r="J9" s="105" t="s">
        <v>114</v>
      </c>
      <c r="K9" s="107" t="s">
        <v>114</v>
      </c>
      <c r="L9" s="108" t="s">
        <v>114</v>
      </c>
      <c r="N9"/>
      <c r="O9" s="3"/>
    </row>
    <row r="10" spans="1:15" ht="13.5" thickBot="1" x14ac:dyDescent="0.25">
      <c r="A10" s="38" t="s">
        <v>31</v>
      </c>
      <c r="B10" s="104" t="s">
        <v>114</v>
      </c>
      <c r="C10" s="104" t="s">
        <v>114</v>
      </c>
      <c r="D10" s="105" t="s">
        <v>114</v>
      </c>
      <c r="E10" s="106" t="s">
        <v>114</v>
      </c>
      <c r="F10" s="106" t="s">
        <v>114</v>
      </c>
      <c r="G10" s="106" t="s">
        <v>114</v>
      </c>
      <c r="H10" s="105" t="s">
        <v>114</v>
      </c>
      <c r="I10" s="105" t="s">
        <v>114</v>
      </c>
      <c r="J10" s="105" t="s">
        <v>114</v>
      </c>
      <c r="K10" s="107" t="s">
        <v>114</v>
      </c>
      <c r="L10" s="108" t="s">
        <v>114</v>
      </c>
      <c r="M10" s="39"/>
      <c r="N10" s="39"/>
      <c r="O10" s="3"/>
    </row>
    <row r="11" spans="1:15" ht="13.5" thickBot="1" x14ac:dyDescent="0.25">
      <c r="A11" s="38" t="s">
        <v>35</v>
      </c>
      <c r="B11" s="104" t="s">
        <v>114</v>
      </c>
      <c r="C11" s="104" t="s">
        <v>114</v>
      </c>
      <c r="D11" s="105" t="s">
        <v>114</v>
      </c>
      <c r="E11" s="106" t="s">
        <v>114</v>
      </c>
      <c r="F11" s="106" t="s">
        <v>114</v>
      </c>
      <c r="G11" s="106" t="s">
        <v>114</v>
      </c>
      <c r="H11" s="105" t="s">
        <v>114</v>
      </c>
      <c r="I11" s="105" t="s">
        <v>114</v>
      </c>
      <c r="J11" s="105" t="s">
        <v>114</v>
      </c>
      <c r="K11" s="107" t="s">
        <v>114</v>
      </c>
      <c r="L11" s="108" t="s">
        <v>114</v>
      </c>
      <c r="N11"/>
      <c r="O11" s="3"/>
    </row>
    <row r="12" spans="1:15" ht="13.5" thickBot="1" x14ac:dyDescent="0.25">
      <c r="A12" s="38" t="s">
        <v>39</v>
      </c>
      <c r="B12" s="104" t="s">
        <v>114</v>
      </c>
      <c r="C12" s="104" t="s">
        <v>114</v>
      </c>
      <c r="D12" s="105" t="s">
        <v>114</v>
      </c>
      <c r="E12" s="106" t="s">
        <v>114</v>
      </c>
      <c r="F12" s="106" t="s">
        <v>114</v>
      </c>
      <c r="G12" s="106" t="s">
        <v>114</v>
      </c>
      <c r="H12" s="105" t="s">
        <v>114</v>
      </c>
      <c r="I12" s="105" t="s">
        <v>114</v>
      </c>
      <c r="J12" s="105" t="s">
        <v>114</v>
      </c>
      <c r="K12" s="107" t="s">
        <v>114</v>
      </c>
      <c r="L12" s="108" t="s">
        <v>114</v>
      </c>
      <c r="N12"/>
      <c r="O12" s="3"/>
    </row>
    <row r="13" spans="1:15" ht="13.5" thickBot="1" x14ac:dyDescent="0.25">
      <c r="A13" s="40" t="s">
        <v>41</v>
      </c>
      <c r="B13" s="109" t="s">
        <v>114</v>
      </c>
      <c r="C13" s="109" t="s">
        <v>114</v>
      </c>
      <c r="D13" s="110" t="s">
        <v>114</v>
      </c>
      <c r="E13" s="111" t="s">
        <v>114</v>
      </c>
      <c r="F13" s="111" t="s">
        <v>114</v>
      </c>
      <c r="G13" s="111" t="s">
        <v>114</v>
      </c>
      <c r="H13" s="110" t="s">
        <v>114</v>
      </c>
      <c r="I13" s="110" t="s">
        <v>114</v>
      </c>
      <c r="J13" s="110" t="s">
        <v>114</v>
      </c>
      <c r="K13" s="112" t="s">
        <v>114</v>
      </c>
      <c r="L13" s="113" t="s">
        <v>114</v>
      </c>
      <c r="N13"/>
      <c r="O13" s="3"/>
    </row>
    <row r="14" spans="1:15" x14ac:dyDescent="0.2">
      <c r="A14" s="31"/>
      <c r="B14" s="41"/>
      <c r="C14" s="41"/>
      <c r="D14" s="42"/>
      <c r="E14" s="33"/>
      <c r="F14" s="32"/>
      <c r="G14" s="23"/>
      <c r="H14" s="23"/>
      <c r="I14" s="23"/>
      <c r="J14" s="23"/>
    </row>
  </sheetData>
  <mergeCells count="1">
    <mergeCell ref="A4:C4"/>
  </mergeCells>
  <printOptions horizontalCentered="1"/>
  <pageMargins left="0.39370078740157483" right="0.39370078740157483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topLeftCell="A22" workbookViewId="0">
      <selection activeCell="J44" sqref="J44"/>
    </sheetView>
  </sheetViews>
  <sheetFormatPr baseColWidth="10" defaultRowHeight="12.75" x14ac:dyDescent="0.2"/>
  <cols>
    <col min="1" max="1" width="19.42578125" customWidth="1"/>
    <col min="2" max="2" width="14.140625" customWidth="1"/>
    <col min="3" max="3" width="9.85546875" customWidth="1"/>
    <col min="4" max="4" width="12" customWidth="1"/>
    <col min="5" max="5" width="10.7109375" customWidth="1"/>
    <col min="6" max="6" width="9.5703125" customWidth="1"/>
    <col min="7" max="7" width="7.28515625" customWidth="1"/>
    <col min="8" max="8" width="10" customWidth="1"/>
    <col min="9" max="10" width="9.42578125" customWidth="1"/>
    <col min="11" max="11" width="9.140625" customWidth="1"/>
    <col min="13" max="13" width="22.5703125" customWidth="1"/>
    <col min="14" max="14" width="20.140625" style="3" customWidth="1"/>
  </cols>
  <sheetData>
    <row r="1" spans="1:11" ht="14.1" customHeight="1" x14ac:dyDescent="0.25">
      <c r="A1" s="1" t="s">
        <v>0</v>
      </c>
      <c r="C1" s="2"/>
      <c r="D1" s="2"/>
      <c r="E1" s="2"/>
      <c r="F1" s="2"/>
      <c r="G1" s="2"/>
      <c r="H1" s="2"/>
    </row>
    <row r="2" spans="1:11" ht="14.1" customHeight="1" x14ac:dyDescent="0.25">
      <c r="A2" s="1"/>
      <c r="C2" s="2"/>
      <c r="D2" s="2"/>
      <c r="E2" s="2"/>
      <c r="F2" s="2"/>
      <c r="G2" s="2"/>
      <c r="H2" s="2"/>
    </row>
    <row r="3" spans="1:11" ht="18.75" customHeight="1" thickBot="1" x14ac:dyDescent="0.3">
      <c r="A3" s="4" t="s">
        <v>1</v>
      </c>
      <c r="B3" s="5"/>
      <c r="C3" s="5"/>
      <c r="D3" s="5"/>
      <c r="E3" s="5"/>
      <c r="F3" s="5"/>
      <c r="H3" s="2"/>
    </row>
    <row r="4" spans="1:11" ht="27" customHeight="1" thickBo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  <c r="I4" s="9" t="s">
        <v>10</v>
      </c>
    </row>
    <row r="5" spans="1:11" ht="14.1" customHeight="1" thickTop="1" x14ac:dyDescent="0.2">
      <c r="A5" s="10" t="s">
        <v>11</v>
      </c>
      <c r="B5" s="11" t="s">
        <v>12</v>
      </c>
      <c r="C5" s="11" t="s">
        <v>13</v>
      </c>
      <c r="D5" s="12">
        <v>20221</v>
      </c>
      <c r="E5" s="13">
        <v>31959</v>
      </c>
      <c r="F5" s="12" t="s">
        <v>14</v>
      </c>
      <c r="G5" s="11">
        <v>4</v>
      </c>
      <c r="H5" s="14">
        <v>2500</v>
      </c>
      <c r="I5" s="15">
        <v>500</v>
      </c>
    </row>
    <row r="6" spans="1:11" ht="14.1" customHeight="1" x14ac:dyDescent="0.2">
      <c r="A6" s="16" t="s">
        <v>16</v>
      </c>
      <c r="B6" s="17" t="s">
        <v>17</v>
      </c>
      <c r="C6" s="17" t="s">
        <v>18</v>
      </c>
      <c r="D6" s="18">
        <v>19428</v>
      </c>
      <c r="E6" s="19">
        <v>33025</v>
      </c>
      <c r="F6" s="20" t="s">
        <v>19</v>
      </c>
      <c r="G6" s="17">
        <v>3</v>
      </c>
      <c r="H6" s="21">
        <v>2200</v>
      </c>
      <c r="I6" s="15">
        <v>600</v>
      </c>
    </row>
    <row r="7" spans="1:11" ht="12" customHeight="1" x14ac:dyDescent="0.2">
      <c r="A7" s="16" t="s">
        <v>21</v>
      </c>
      <c r="B7" s="17" t="s">
        <v>22</v>
      </c>
      <c r="C7" s="17" t="s">
        <v>23</v>
      </c>
      <c r="D7" s="18">
        <v>21956</v>
      </c>
      <c r="E7" s="19">
        <v>33055</v>
      </c>
      <c r="F7" s="18" t="s">
        <v>14</v>
      </c>
      <c r="G7" s="17">
        <v>6</v>
      </c>
      <c r="H7" s="21">
        <v>4500</v>
      </c>
      <c r="I7" s="22">
        <v>400</v>
      </c>
      <c r="J7" s="23"/>
    </row>
    <row r="8" spans="1:11" x14ac:dyDescent="0.2">
      <c r="A8" s="16" t="s">
        <v>25</v>
      </c>
      <c r="B8" s="17" t="s">
        <v>26</v>
      </c>
      <c r="C8" s="17" t="s">
        <v>27</v>
      </c>
      <c r="D8" s="18">
        <v>22462</v>
      </c>
      <c r="E8" s="19">
        <v>33756</v>
      </c>
      <c r="F8" s="17" t="s">
        <v>28</v>
      </c>
      <c r="G8" s="17">
        <v>0</v>
      </c>
      <c r="H8" s="21">
        <v>4200</v>
      </c>
      <c r="I8" s="22">
        <v>800</v>
      </c>
      <c r="J8" s="23"/>
    </row>
    <row r="9" spans="1:11" ht="14.25" customHeight="1" x14ac:dyDescent="0.2">
      <c r="A9" s="16" t="s">
        <v>31</v>
      </c>
      <c r="B9" s="17" t="s">
        <v>32</v>
      </c>
      <c r="C9" s="17" t="s">
        <v>33</v>
      </c>
      <c r="D9" s="18">
        <v>23933</v>
      </c>
      <c r="E9" s="19">
        <v>34578</v>
      </c>
      <c r="F9" s="24" t="s">
        <v>34</v>
      </c>
      <c r="G9" s="17">
        <v>0</v>
      </c>
      <c r="H9" s="21">
        <v>6500</v>
      </c>
      <c r="I9" s="22">
        <v>600</v>
      </c>
    </row>
    <row r="10" spans="1:11" x14ac:dyDescent="0.2">
      <c r="A10" s="16" t="s">
        <v>35</v>
      </c>
      <c r="B10" s="17" t="s">
        <v>36</v>
      </c>
      <c r="C10" s="17" t="s">
        <v>37</v>
      </c>
      <c r="D10" s="18">
        <v>19218</v>
      </c>
      <c r="E10" s="19">
        <v>29312</v>
      </c>
      <c r="F10" s="24" t="s">
        <v>38</v>
      </c>
      <c r="G10" s="17">
        <v>2</v>
      </c>
      <c r="H10" s="21">
        <v>6300</v>
      </c>
      <c r="I10" s="22">
        <v>200</v>
      </c>
    </row>
    <row r="11" spans="1:11" x14ac:dyDescent="0.2">
      <c r="A11" s="16" t="s">
        <v>39</v>
      </c>
      <c r="B11" s="17" t="s">
        <v>40</v>
      </c>
      <c r="C11" s="17" t="s">
        <v>13</v>
      </c>
      <c r="D11" s="18">
        <v>12825</v>
      </c>
      <c r="E11" s="19">
        <v>22647</v>
      </c>
      <c r="F11" s="17" t="s">
        <v>14</v>
      </c>
      <c r="G11" s="17">
        <v>8</v>
      </c>
      <c r="H11" s="21">
        <v>8500</v>
      </c>
      <c r="I11" s="22">
        <v>100</v>
      </c>
    </row>
    <row r="12" spans="1:11" ht="13.5" thickBot="1" x14ac:dyDescent="0.25">
      <c r="A12" s="25" t="s">
        <v>41</v>
      </c>
      <c r="B12" s="26" t="s">
        <v>42</v>
      </c>
      <c r="C12" s="26" t="s">
        <v>43</v>
      </c>
      <c r="D12" s="27">
        <v>13831</v>
      </c>
      <c r="E12" s="28">
        <v>24807</v>
      </c>
      <c r="F12" s="26" t="s">
        <v>44</v>
      </c>
      <c r="G12" s="26">
        <v>7</v>
      </c>
      <c r="H12" s="29">
        <v>8200</v>
      </c>
      <c r="I12" s="30">
        <v>0</v>
      </c>
    </row>
    <row r="13" spans="1:11" ht="15.75" customHeight="1" x14ac:dyDescent="0.2">
      <c r="A13" s="31"/>
      <c r="B13" s="23"/>
      <c r="C13" s="23"/>
      <c r="D13" s="32"/>
      <c r="E13" s="33"/>
      <c r="F13" s="23"/>
      <c r="G13" s="23"/>
      <c r="H13" s="23"/>
      <c r="J13" s="23"/>
    </row>
    <row r="14" spans="1:11" x14ac:dyDescent="0.2">
      <c r="A14" s="31"/>
      <c r="B14" s="41"/>
      <c r="C14" s="41"/>
      <c r="D14" s="42"/>
      <c r="E14" s="33"/>
      <c r="F14" s="32"/>
      <c r="G14" s="23"/>
      <c r="H14" s="23"/>
      <c r="I14" s="23"/>
      <c r="J14" s="23"/>
    </row>
    <row r="15" spans="1:11" x14ac:dyDescent="0.2">
      <c r="I15" s="23"/>
      <c r="J15" s="23"/>
    </row>
    <row r="16" spans="1:11" ht="13.5" thickBot="1" x14ac:dyDescent="0.25">
      <c r="A16" s="171" t="s">
        <v>57</v>
      </c>
      <c r="B16" s="171"/>
      <c r="C16" s="23"/>
      <c r="I16" s="39"/>
      <c r="J16" s="39"/>
      <c r="K16" s="39"/>
    </row>
    <row r="17" spans="1:15" ht="16.5" thickBot="1" x14ac:dyDescent="0.25">
      <c r="A17" s="43" t="s">
        <v>58</v>
      </c>
      <c r="B17" s="44"/>
      <c r="C17" s="45" t="s">
        <v>59</v>
      </c>
      <c r="D17" s="23"/>
      <c r="N17"/>
      <c r="O17" s="3"/>
    </row>
    <row r="18" spans="1:15" ht="13.5" thickTop="1" x14ac:dyDescent="0.2">
      <c r="A18" s="46" t="s">
        <v>60</v>
      </c>
      <c r="B18" s="37">
        <v>0</v>
      </c>
      <c r="C18" s="47">
        <v>0</v>
      </c>
      <c r="D18" s="23"/>
      <c r="N18"/>
      <c r="O18" s="3"/>
    </row>
    <row r="19" spans="1:15" x14ac:dyDescent="0.2">
      <c r="A19" s="48" t="s">
        <v>61</v>
      </c>
      <c r="B19" s="49">
        <v>2</v>
      </c>
      <c r="C19" s="50">
        <v>0.05</v>
      </c>
      <c r="N19"/>
      <c r="O19" s="3"/>
    </row>
    <row r="20" spans="1:15" x14ac:dyDescent="0.2">
      <c r="A20" s="16" t="s">
        <v>62</v>
      </c>
      <c r="B20" s="51">
        <v>5</v>
      </c>
      <c r="C20" s="52">
        <v>0.1</v>
      </c>
      <c r="N20"/>
      <c r="O20" s="3"/>
    </row>
    <row r="21" spans="1:15" x14ac:dyDescent="0.2">
      <c r="A21" s="16" t="s">
        <v>63</v>
      </c>
      <c r="B21" s="51">
        <v>10</v>
      </c>
      <c r="C21" s="52">
        <v>0.15</v>
      </c>
      <c r="N21"/>
      <c r="O21" s="3"/>
    </row>
    <row r="22" spans="1:15" ht="13.5" thickBot="1" x14ac:dyDescent="0.25">
      <c r="A22" s="25" t="s">
        <v>64</v>
      </c>
      <c r="B22" s="53">
        <v>15</v>
      </c>
      <c r="C22" s="54">
        <v>0.2</v>
      </c>
      <c r="N22"/>
      <c r="O22" s="3"/>
    </row>
    <row r="26" spans="1:15" ht="13.5" thickBot="1" x14ac:dyDescent="0.25">
      <c r="A26" s="171" t="s">
        <v>122</v>
      </c>
      <c r="B26" s="171"/>
      <c r="C26" s="171"/>
      <c r="D26" s="171"/>
    </row>
    <row r="27" spans="1:15" ht="26.25" thickBot="1" x14ac:dyDescent="0.25">
      <c r="A27" s="172" t="s">
        <v>65</v>
      </c>
      <c r="B27" s="173"/>
      <c r="C27" s="116"/>
      <c r="D27" s="55" t="s">
        <v>59</v>
      </c>
      <c r="E27" s="56" t="s">
        <v>66</v>
      </c>
      <c r="N27"/>
      <c r="O27" s="3"/>
    </row>
    <row r="28" spans="1:15" x14ac:dyDescent="0.2">
      <c r="A28" s="183" t="s">
        <v>67</v>
      </c>
      <c r="B28" s="184"/>
      <c r="C28" s="57">
        <v>0</v>
      </c>
      <c r="D28" s="58">
        <v>0</v>
      </c>
      <c r="E28" s="22">
        <v>0</v>
      </c>
      <c r="N28"/>
      <c r="O28" s="3"/>
    </row>
    <row r="29" spans="1:15" x14ac:dyDescent="0.2">
      <c r="A29" s="185" t="s">
        <v>68</v>
      </c>
      <c r="B29" s="186"/>
      <c r="C29" s="114">
        <v>1500</v>
      </c>
      <c r="D29" s="58">
        <v>0.13</v>
      </c>
      <c r="E29" s="22">
        <v>195</v>
      </c>
      <c r="N29"/>
      <c r="O29" s="3"/>
    </row>
    <row r="30" spans="1:15" x14ac:dyDescent="0.2">
      <c r="A30" s="185" t="s">
        <v>69</v>
      </c>
      <c r="B30" s="186"/>
      <c r="C30" s="114">
        <v>2000</v>
      </c>
      <c r="D30" s="58">
        <v>0.21</v>
      </c>
      <c r="E30" s="22">
        <v>355</v>
      </c>
      <c r="N30"/>
      <c r="O30" s="3"/>
    </row>
    <row r="31" spans="1:15" x14ac:dyDescent="0.2">
      <c r="A31" s="185" t="s">
        <v>70</v>
      </c>
      <c r="B31" s="186"/>
      <c r="C31" s="114">
        <v>3000</v>
      </c>
      <c r="D31" s="58">
        <v>0.35</v>
      </c>
      <c r="E31" s="22">
        <v>775</v>
      </c>
      <c r="N31"/>
      <c r="O31" s="3"/>
    </row>
    <row r="32" spans="1:15" ht="13.5" thickBot="1" x14ac:dyDescent="0.25">
      <c r="A32" s="187" t="s">
        <v>71</v>
      </c>
      <c r="B32" s="188"/>
      <c r="C32" s="115">
        <v>5000</v>
      </c>
      <c r="D32" s="59">
        <v>0.44</v>
      </c>
      <c r="E32" s="30">
        <v>1225</v>
      </c>
      <c r="N32"/>
      <c r="O32" s="3"/>
    </row>
    <row r="35" spans="1:15" ht="15.75" thickBot="1" x14ac:dyDescent="0.3">
      <c r="A35" s="208" t="s">
        <v>123</v>
      </c>
      <c r="B35" s="208"/>
      <c r="C35" s="208"/>
      <c r="D35" s="208"/>
    </row>
    <row r="36" spans="1:15" x14ac:dyDescent="0.2">
      <c r="A36" s="176" t="s">
        <v>7</v>
      </c>
      <c r="B36" s="189"/>
      <c r="C36" s="176" t="s">
        <v>15</v>
      </c>
      <c r="D36" s="177"/>
      <c r="N36"/>
      <c r="O36" s="3"/>
    </row>
    <row r="37" spans="1:15" x14ac:dyDescent="0.2">
      <c r="A37" s="174" t="s">
        <v>20</v>
      </c>
      <c r="B37" s="175"/>
      <c r="C37" s="174">
        <v>0</v>
      </c>
      <c r="D37" s="178"/>
      <c r="N37"/>
      <c r="O37" s="3"/>
    </row>
    <row r="38" spans="1:15" x14ac:dyDescent="0.2">
      <c r="A38" s="174" t="s">
        <v>14</v>
      </c>
      <c r="B38" s="175"/>
      <c r="C38" s="174" t="s">
        <v>24</v>
      </c>
      <c r="D38" s="178"/>
      <c r="N38"/>
      <c r="O38" s="3"/>
    </row>
    <row r="39" spans="1:15" ht="12.75" customHeight="1" x14ac:dyDescent="0.2">
      <c r="A39" s="190" t="s">
        <v>29</v>
      </c>
      <c r="B39" s="191"/>
      <c r="C39" s="179" t="s">
        <v>30</v>
      </c>
      <c r="D39" s="180"/>
      <c r="N39"/>
      <c r="O39" s="3"/>
    </row>
    <row r="40" spans="1:15" x14ac:dyDescent="0.2">
      <c r="A40" s="190"/>
      <c r="B40" s="191"/>
      <c r="C40" s="179"/>
      <c r="D40" s="180"/>
      <c r="N40"/>
      <c r="O40" s="3"/>
    </row>
    <row r="41" spans="1:15" ht="13.5" thickBot="1" x14ac:dyDescent="0.25">
      <c r="A41" s="192"/>
      <c r="B41" s="193"/>
      <c r="C41" s="181"/>
      <c r="D41" s="182"/>
      <c r="N41"/>
      <c r="O41" s="3"/>
    </row>
    <row r="44" spans="1:15" ht="15.75" thickBot="1" x14ac:dyDescent="0.3">
      <c r="A44" s="208" t="s">
        <v>124</v>
      </c>
      <c r="B44" s="208"/>
      <c r="C44" s="208"/>
      <c r="D44" s="208"/>
    </row>
    <row r="45" spans="1:15" x14ac:dyDescent="0.2">
      <c r="A45" s="176" t="s">
        <v>125</v>
      </c>
      <c r="B45" s="189"/>
      <c r="C45" s="176" t="s">
        <v>126</v>
      </c>
      <c r="D45" s="177"/>
    </row>
    <row r="46" spans="1:15" x14ac:dyDescent="0.2">
      <c r="A46" s="174" t="s">
        <v>127</v>
      </c>
      <c r="B46" s="175"/>
      <c r="C46" s="174" t="s">
        <v>128</v>
      </c>
      <c r="D46" s="178"/>
    </row>
    <row r="47" spans="1:15" ht="13.5" thickBot="1" x14ac:dyDescent="0.25">
      <c r="A47" s="192" t="s">
        <v>129</v>
      </c>
      <c r="B47" s="193"/>
      <c r="C47" s="181">
        <v>600</v>
      </c>
      <c r="D47" s="182"/>
    </row>
  </sheetData>
  <mergeCells count="24">
    <mergeCell ref="A47:B47"/>
    <mergeCell ref="C47:D47"/>
    <mergeCell ref="A44:D44"/>
    <mergeCell ref="A45:B45"/>
    <mergeCell ref="C45:D45"/>
    <mergeCell ref="A46:B46"/>
    <mergeCell ref="C46:D46"/>
    <mergeCell ref="C39:D41"/>
    <mergeCell ref="A28:B28"/>
    <mergeCell ref="A29:B29"/>
    <mergeCell ref="A30:B30"/>
    <mergeCell ref="A31:B31"/>
    <mergeCell ref="A32:B32"/>
    <mergeCell ref="A36:B36"/>
    <mergeCell ref="A39:B41"/>
    <mergeCell ref="A35:D35"/>
    <mergeCell ref="A16:B16"/>
    <mergeCell ref="A26:D26"/>
    <mergeCell ref="A27:B27"/>
    <mergeCell ref="A37:B37"/>
    <mergeCell ref="A38:B38"/>
    <mergeCell ref="C36:D36"/>
    <mergeCell ref="C37:D37"/>
    <mergeCell ref="C38:D38"/>
  </mergeCells>
  <printOptions horizontalCentered="1"/>
  <pageMargins left="0.39370078740157483" right="0.39370078740157483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62"/>
  <sheetViews>
    <sheetView topLeftCell="A22" workbookViewId="0">
      <selection activeCell="E63" sqref="E63"/>
    </sheetView>
  </sheetViews>
  <sheetFormatPr baseColWidth="10" defaultRowHeight="12.75" x14ac:dyDescent="0.2"/>
  <cols>
    <col min="1" max="1" width="7.28515625" bestFit="1" customWidth="1"/>
    <col min="2" max="2" width="12.140625" bestFit="1" customWidth="1"/>
    <col min="3" max="3" width="12.140625" customWidth="1"/>
    <col min="4" max="4" width="13.28515625" customWidth="1"/>
    <col min="5" max="5" width="12.28515625" bestFit="1" customWidth="1"/>
    <col min="6" max="6" width="12.28515625" customWidth="1"/>
    <col min="7" max="7" width="9.85546875" bestFit="1" customWidth="1"/>
    <col min="8" max="8" width="13.28515625" bestFit="1" customWidth="1"/>
  </cols>
  <sheetData>
    <row r="6" spans="1:9" ht="13.5" thickBot="1" x14ac:dyDescent="0.25"/>
    <row r="7" spans="1:9" s="60" customFormat="1" ht="20.100000000000001" customHeight="1" x14ac:dyDescent="0.2">
      <c r="C7" s="61" t="s">
        <v>72</v>
      </c>
      <c r="D7" s="152">
        <v>250000</v>
      </c>
      <c r="E7" s="147"/>
    </row>
    <row r="8" spans="1:9" s="60" customFormat="1" ht="20.100000000000001" customHeight="1" x14ac:dyDescent="0.2">
      <c r="C8" s="62" t="s">
        <v>73</v>
      </c>
      <c r="D8" s="153">
        <v>10</v>
      </c>
      <c r="E8" s="148" t="s">
        <v>74</v>
      </c>
    </row>
    <row r="9" spans="1:9" s="60" customFormat="1" ht="20.100000000000001" customHeight="1" x14ac:dyDescent="0.2">
      <c r="C9" s="121" t="s">
        <v>75</v>
      </c>
      <c r="D9" s="154">
        <v>0.11</v>
      </c>
      <c r="E9" s="149"/>
    </row>
    <row r="10" spans="1:9" s="60" customFormat="1" ht="20.100000000000001" customHeight="1" x14ac:dyDescent="0.2">
      <c r="C10" s="121" t="s">
        <v>76</v>
      </c>
      <c r="D10" s="155">
        <v>0.1</v>
      </c>
      <c r="E10" s="150"/>
    </row>
    <row r="11" spans="1:9" s="60" customFormat="1" ht="20.100000000000001" customHeight="1" thickBot="1" x14ac:dyDescent="0.25">
      <c r="C11" s="122" t="s">
        <v>77</v>
      </c>
      <c r="D11" s="156">
        <f>D9*(1+D10)</f>
        <v>0.12100000000000001</v>
      </c>
      <c r="E11" s="151"/>
    </row>
    <row r="12" spans="1:9" s="60" customFormat="1" ht="20.100000000000001" customHeight="1" x14ac:dyDescent="0.2">
      <c r="C12" s="67"/>
      <c r="D12" s="68"/>
      <c r="E12" s="68"/>
    </row>
    <row r="13" spans="1:9" x14ac:dyDescent="0.2">
      <c r="D13" s="69"/>
    </row>
    <row r="14" spans="1:9" ht="13.5" thickBot="1" x14ac:dyDescent="0.25">
      <c r="D14" s="69"/>
    </row>
    <row r="15" spans="1:9" ht="14.25" thickTop="1" thickBot="1" x14ac:dyDescent="0.25">
      <c r="A15" s="70" t="s">
        <v>78</v>
      </c>
      <c r="D15" s="69"/>
      <c r="F15" s="71" t="s">
        <v>79</v>
      </c>
      <c r="G15" s="194">
        <f>D7*D11/(1-(1+D11)^-D8)</f>
        <v>44427.312711789302</v>
      </c>
      <c r="H15" s="195"/>
      <c r="I15" t="s">
        <v>115</v>
      </c>
    </row>
    <row r="16" spans="1:9" ht="14.25" thickTop="1" thickBot="1" x14ac:dyDescent="0.25"/>
    <row r="17" spans="1:8" x14ac:dyDescent="0.2">
      <c r="A17" s="200" t="s">
        <v>80</v>
      </c>
      <c r="B17" s="196" t="s">
        <v>81</v>
      </c>
      <c r="C17" s="196" t="s">
        <v>82</v>
      </c>
      <c r="D17" s="196" t="s">
        <v>83</v>
      </c>
      <c r="E17" s="202" t="s">
        <v>84</v>
      </c>
      <c r="F17" s="202"/>
      <c r="G17" s="196" t="s">
        <v>85</v>
      </c>
      <c r="H17" s="198" t="s">
        <v>86</v>
      </c>
    </row>
    <row r="18" spans="1:8" ht="13.5" thickBot="1" x14ac:dyDescent="0.25">
      <c r="A18" s="201"/>
      <c r="B18" s="197"/>
      <c r="C18" s="197"/>
      <c r="D18" s="197"/>
      <c r="E18" s="72" t="s">
        <v>87</v>
      </c>
      <c r="F18" s="72" t="s">
        <v>88</v>
      </c>
      <c r="G18" s="197"/>
      <c r="H18" s="199"/>
    </row>
    <row r="19" spans="1:8" ht="13.5" thickTop="1" x14ac:dyDescent="0.2">
      <c r="A19" s="73">
        <v>1</v>
      </c>
      <c r="B19" s="74">
        <f>IF($A19=1,$D$7,$H18)</f>
        <v>250000</v>
      </c>
      <c r="C19" s="74">
        <f>$B19*$D$9</f>
        <v>27500</v>
      </c>
      <c r="D19" s="74">
        <f>$C19*$D$10</f>
        <v>2750</v>
      </c>
      <c r="E19" s="74">
        <f>$G$15-$D19</f>
        <v>41677.312711789302</v>
      </c>
      <c r="F19" s="74">
        <f>$G$15</f>
        <v>44427.312711789302</v>
      </c>
      <c r="G19" s="74">
        <f>$E19-$C19</f>
        <v>14177.312711789302</v>
      </c>
      <c r="H19" s="75">
        <f>$B19-$G19</f>
        <v>235822.6872882107</v>
      </c>
    </row>
    <row r="20" spans="1:8" x14ac:dyDescent="0.2">
      <c r="A20" s="73">
        <v>2</v>
      </c>
      <c r="B20" s="74">
        <f t="shared" ref="B20:B28" si="0">IF($A20=1,$D$7,$H19)</f>
        <v>235822.6872882107</v>
      </c>
      <c r="C20" s="74">
        <f t="shared" ref="C20:C28" si="1">$B20*$D$9</f>
        <v>25940.495601703176</v>
      </c>
      <c r="D20" s="74">
        <f t="shared" ref="D20:D28" si="2">C20*$D$10</f>
        <v>2594.0495601703178</v>
      </c>
      <c r="E20" s="74">
        <f t="shared" ref="E20:E28" si="3">$G$15-$D20</f>
        <v>41833.263151618987</v>
      </c>
      <c r="F20" s="74">
        <f t="shared" ref="F20:F28" si="4">$G$15</f>
        <v>44427.312711789302</v>
      </c>
      <c r="G20" s="74">
        <f t="shared" ref="G20:G28" si="5">$E20-$C20</f>
        <v>15892.76754991581</v>
      </c>
      <c r="H20" s="75">
        <f t="shared" ref="H20:H28" si="6">$B20-$G20</f>
        <v>219929.91973829488</v>
      </c>
    </row>
    <row r="21" spans="1:8" x14ac:dyDescent="0.2">
      <c r="A21" s="73">
        <v>3</v>
      </c>
      <c r="B21" s="74">
        <f t="shared" si="0"/>
        <v>219929.91973829488</v>
      </c>
      <c r="C21" s="74">
        <f t="shared" si="1"/>
        <v>24192.291171212437</v>
      </c>
      <c r="D21" s="74">
        <f t="shared" si="2"/>
        <v>2419.2291171212437</v>
      </c>
      <c r="E21" s="74">
        <f t="shared" si="3"/>
        <v>42008.08359466806</v>
      </c>
      <c r="F21" s="74">
        <f t="shared" si="4"/>
        <v>44427.312711789302</v>
      </c>
      <c r="G21" s="74">
        <f t="shared" si="5"/>
        <v>17815.792423455623</v>
      </c>
      <c r="H21" s="75">
        <f t="shared" si="6"/>
        <v>202114.12731483925</v>
      </c>
    </row>
    <row r="22" spans="1:8" x14ac:dyDescent="0.2">
      <c r="A22" s="73">
        <v>4</v>
      </c>
      <c r="B22" s="74">
        <f t="shared" si="0"/>
        <v>202114.12731483925</v>
      </c>
      <c r="C22" s="74">
        <f t="shared" si="1"/>
        <v>22232.554004632319</v>
      </c>
      <c r="D22" s="74">
        <f t="shared" si="2"/>
        <v>2223.255400463232</v>
      </c>
      <c r="E22" s="74">
        <f t="shared" si="3"/>
        <v>42204.057311326069</v>
      </c>
      <c r="F22" s="74">
        <f t="shared" si="4"/>
        <v>44427.312711789302</v>
      </c>
      <c r="G22" s="74">
        <f t="shared" si="5"/>
        <v>19971.50330669375</v>
      </c>
      <c r="H22" s="75">
        <f t="shared" si="6"/>
        <v>182142.6240081455</v>
      </c>
    </row>
    <row r="23" spans="1:8" x14ac:dyDescent="0.2">
      <c r="A23" s="73">
        <v>5</v>
      </c>
      <c r="B23" s="74">
        <f t="shared" si="0"/>
        <v>182142.6240081455</v>
      </c>
      <c r="C23" s="74">
        <f t="shared" si="1"/>
        <v>20035.688640896005</v>
      </c>
      <c r="D23" s="74">
        <f t="shared" si="2"/>
        <v>2003.5688640896005</v>
      </c>
      <c r="E23" s="74">
        <f t="shared" si="3"/>
        <v>42423.743847699705</v>
      </c>
      <c r="F23" s="74">
        <f t="shared" si="4"/>
        <v>44427.312711789302</v>
      </c>
      <c r="G23" s="74">
        <f t="shared" si="5"/>
        <v>22388.0552068037</v>
      </c>
      <c r="H23" s="75">
        <f t="shared" si="6"/>
        <v>159754.56880134181</v>
      </c>
    </row>
    <row r="24" spans="1:8" x14ac:dyDescent="0.2">
      <c r="A24" s="73">
        <v>6</v>
      </c>
      <c r="B24" s="74">
        <f t="shared" si="0"/>
        <v>159754.56880134181</v>
      </c>
      <c r="C24" s="74">
        <f t="shared" si="1"/>
        <v>17573.0025681476</v>
      </c>
      <c r="D24" s="74">
        <f t="shared" si="2"/>
        <v>1757.3002568147601</v>
      </c>
      <c r="E24" s="74">
        <f t="shared" si="3"/>
        <v>42670.012454974545</v>
      </c>
      <c r="F24" s="74">
        <f t="shared" si="4"/>
        <v>44427.312711789302</v>
      </c>
      <c r="G24" s="74">
        <f t="shared" si="5"/>
        <v>25097.009886826945</v>
      </c>
      <c r="H24" s="75">
        <f t="shared" si="6"/>
        <v>134657.55891451487</v>
      </c>
    </row>
    <row r="25" spans="1:8" x14ac:dyDescent="0.2">
      <c r="A25" s="73">
        <v>7</v>
      </c>
      <c r="B25" s="74">
        <f t="shared" si="0"/>
        <v>134657.55891451487</v>
      </c>
      <c r="C25" s="74">
        <f t="shared" si="1"/>
        <v>14812.331480596637</v>
      </c>
      <c r="D25" s="74">
        <f t="shared" si="2"/>
        <v>1481.2331480596638</v>
      </c>
      <c r="E25" s="74">
        <f t="shared" si="3"/>
        <v>42946.07956372964</v>
      </c>
      <c r="F25" s="74">
        <f t="shared" si="4"/>
        <v>44427.312711789302</v>
      </c>
      <c r="G25" s="74">
        <f t="shared" si="5"/>
        <v>28133.748083133003</v>
      </c>
      <c r="H25" s="75">
        <f t="shared" si="6"/>
        <v>106523.81083138187</v>
      </c>
    </row>
    <row r="26" spans="1:8" x14ac:dyDescent="0.2">
      <c r="A26" s="73">
        <v>8</v>
      </c>
      <c r="B26" s="74">
        <f t="shared" si="0"/>
        <v>106523.81083138187</v>
      </c>
      <c r="C26" s="74">
        <f t="shared" si="1"/>
        <v>11717.619191452006</v>
      </c>
      <c r="D26" s="74">
        <f t="shared" si="2"/>
        <v>1171.7619191452006</v>
      </c>
      <c r="E26" s="74">
        <f t="shared" si="3"/>
        <v>43255.550792644099</v>
      </c>
      <c r="F26" s="74">
        <f t="shared" si="4"/>
        <v>44427.312711789302</v>
      </c>
      <c r="G26" s="74">
        <f t="shared" si="5"/>
        <v>31537.931601192093</v>
      </c>
      <c r="H26" s="75">
        <f t="shared" si="6"/>
        <v>74985.879230189777</v>
      </c>
    </row>
    <row r="27" spans="1:8" x14ac:dyDescent="0.2">
      <c r="A27" s="73">
        <v>9</v>
      </c>
      <c r="B27" s="74">
        <f t="shared" si="0"/>
        <v>74985.879230189777</v>
      </c>
      <c r="C27" s="74">
        <f t="shared" si="1"/>
        <v>8248.4467153208752</v>
      </c>
      <c r="D27" s="74">
        <f t="shared" si="2"/>
        <v>824.84467153208755</v>
      </c>
      <c r="E27" s="74">
        <f t="shared" si="3"/>
        <v>43602.468040257212</v>
      </c>
      <c r="F27" s="74">
        <f t="shared" si="4"/>
        <v>44427.312711789302</v>
      </c>
      <c r="G27" s="74">
        <f t="shared" si="5"/>
        <v>35354.021324936337</v>
      </c>
      <c r="H27" s="75">
        <f t="shared" si="6"/>
        <v>39631.857905253441</v>
      </c>
    </row>
    <row r="28" spans="1:8" ht="13.5" thickBot="1" x14ac:dyDescent="0.25">
      <c r="A28" s="76">
        <v>10</v>
      </c>
      <c r="B28" s="77">
        <f t="shared" si="0"/>
        <v>39631.857905253441</v>
      </c>
      <c r="C28" s="77">
        <f t="shared" si="1"/>
        <v>4359.5043695778786</v>
      </c>
      <c r="D28" s="77">
        <f t="shared" si="2"/>
        <v>435.95043695778787</v>
      </c>
      <c r="E28" s="77">
        <f t="shared" si="3"/>
        <v>43991.362274831517</v>
      </c>
      <c r="F28" s="77">
        <f t="shared" si="4"/>
        <v>44427.312711789302</v>
      </c>
      <c r="G28" s="77">
        <f t="shared" si="5"/>
        <v>39631.857905253637</v>
      </c>
      <c r="H28" s="78">
        <f t="shared" si="6"/>
        <v>-1.964508555829525E-10</v>
      </c>
    </row>
    <row r="30" spans="1:8" ht="13.5" thickBot="1" x14ac:dyDescent="0.25"/>
    <row r="31" spans="1:8" ht="14.25" thickTop="1" thickBot="1" x14ac:dyDescent="0.25">
      <c r="A31" s="70" t="s">
        <v>89</v>
      </c>
      <c r="D31" s="69"/>
      <c r="F31" s="79" t="s">
        <v>90</v>
      </c>
      <c r="G31" s="194">
        <f>Capital*Taux_Int_Ht/(1-(1+Taux_Int_Ht)^-Durée)</f>
        <v>42450.356774372558</v>
      </c>
      <c r="H31" s="195"/>
    </row>
    <row r="32" spans="1:8" ht="14.25" thickTop="1" thickBot="1" x14ac:dyDescent="0.25"/>
    <row r="33" spans="1:8" x14ac:dyDescent="0.2">
      <c r="A33" s="200" t="s">
        <v>80</v>
      </c>
      <c r="B33" s="196" t="s">
        <v>81</v>
      </c>
      <c r="C33" s="196" t="s">
        <v>82</v>
      </c>
      <c r="D33" s="196" t="s">
        <v>83</v>
      </c>
      <c r="E33" s="202" t="s">
        <v>84</v>
      </c>
      <c r="F33" s="202"/>
      <c r="G33" s="196" t="s">
        <v>85</v>
      </c>
      <c r="H33" s="198" t="s">
        <v>86</v>
      </c>
    </row>
    <row r="34" spans="1:8" ht="13.5" thickBot="1" x14ac:dyDescent="0.25">
      <c r="A34" s="201"/>
      <c r="B34" s="197"/>
      <c r="C34" s="197"/>
      <c r="D34" s="197"/>
      <c r="E34" s="72" t="s">
        <v>87</v>
      </c>
      <c r="F34" s="72" t="s">
        <v>88</v>
      </c>
      <c r="G34" s="197"/>
      <c r="H34" s="199"/>
    </row>
    <row r="35" spans="1:8" ht="13.5" thickTop="1" x14ac:dyDescent="0.2">
      <c r="A35" s="73">
        <v>1</v>
      </c>
      <c r="B35" s="74">
        <f t="shared" ref="B35:B44" si="7">IF($A35=1,Capital,$H34)</f>
        <v>250000</v>
      </c>
      <c r="C35" s="74">
        <f t="shared" ref="C35:C44" si="8">B35*Taux_Int_Ht</f>
        <v>27500</v>
      </c>
      <c r="D35" s="74">
        <f t="shared" ref="D35:D44" si="9">C35*Taux_Tva</f>
        <v>2750</v>
      </c>
      <c r="E35" s="74">
        <f>$G$31</f>
        <v>42450.356774372558</v>
      </c>
      <c r="F35" s="74">
        <f>E35+D35</f>
        <v>45200.356774372558</v>
      </c>
      <c r="G35" s="74">
        <f>E35-C35</f>
        <v>14950.356774372558</v>
      </c>
      <c r="H35" s="75">
        <f>B35-G35</f>
        <v>235049.64322562743</v>
      </c>
    </row>
    <row r="36" spans="1:8" x14ac:dyDescent="0.2">
      <c r="A36" s="73">
        <v>2</v>
      </c>
      <c r="B36" s="74">
        <f t="shared" si="7"/>
        <v>235049.64322562743</v>
      </c>
      <c r="C36" s="74">
        <f t="shared" si="8"/>
        <v>25855.460754819018</v>
      </c>
      <c r="D36" s="74">
        <f t="shared" si="9"/>
        <v>2585.5460754819019</v>
      </c>
      <c r="E36" s="74">
        <f t="shared" ref="E36:E44" si="10">$G$31</f>
        <v>42450.356774372558</v>
      </c>
      <c r="F36" s="74">
        <f t="shared" ref="F36:F44" si="11">E36+D36</f>
        <v>45035.902849854458</v>
      </c>
      <c r="G36" s="74">
        <f t="shared" ref="G36:G44" si="12">E36-C36</f>
        <v>16594.89601955354</v>
      </c>
      <c r="H36" s="75">
        <f t="shared" ref="H36:H44" si="13">B36-G36</f>
        <v>218454.74720607389</v>
      </c>
    </row>
    <row r="37" spans="1:8" x14ac:dyDescent="0.2">
      <c r="A37" s="73">
        <v>3</v>
      </c>
      <c r="B37" s="74">
        <f t="shared" si="7"/>
        <v>218454.74720607389</v>
      </c>
      <c r="C37" s="74">
        <f t="shared" si="8"/>
        <v>24030.02219266813</v>
      </c>
      <c r="D37" s="74">
        <f t="shared" si="9"/>
        <v>2403.002219266813</v>
      </c>
      <c r="E37" s="74">
        <f t="shared" si="10"/>
        <v>42450.356774372558</v>
      </c>
      <c r="F37" s="74">
        <f t="shared" si="11"/>
        <v>44853.358993639369</v>
      </c>
      <c r="G37" s="74">
        <f t="shared" si="12"/>
        <v>18420.334581704428</v>
      </c>
      <c r="H37" s="75">
        <f t="shared" si="13"/>
        <v>200034.41262436946</v>
      </c>
    </row>
    <row r="38" spans="1:8" x14ac:dyDescent="0.2">
      <c r="A38" s="73">
        <v>4</v>
      </c>
      <c r="B38" s="74">
        <f t="shared" si="7"/>
        <v>200034.41262436946</v>
      </c>
      <c r="C38" s="74">
        <f t="shared" si="8"/>
        <v>22003.785388680641</v>
      </c>
      <c r="D38" s="74">
        <f t="shared" si="9"/>
        <v>2200.378538868064</v>
      </c>
      <c r="E38" s="74">
        <f t="shared" si="10"/>
        <v>42450.356774372558</v>
      </c>
      <c r="F38" s="74">
        <f t="shared" si="11"/>
        <v>44650.735313240621</v>
      </c>
      <c r="G38" s="74">
        <f t="shared" si="12"/>
        <v>20446.571385691917</v>
      </c>
      <c r="H38" s="75">
        <f t="shared" si="13"/>
        <v>179587.84123867756</v>
      </c>
    </row>
    <row r="39" spans="1:8" x14ac:dyDescent="0.2">
      <c r="A39" s="73">
        <v>5</v>
      </c>
      <c r="B39" s="74">
        <f t="shared" si="7"/>
        <v>179587.84123867756</v>
      </c>
      <c r="C39" s="74">
        <f t="shared" si="8"/>
        <v>19754.662536254531</v>
      </c>
      <c r="D39" s="74">
        <f t="shared" si="9"/>
        <v>1975.4662536254532</v>
      </c>
      <c r="E39" s="74">
        <f t="shared" si="10"/>
        <v>42450.356774372558</v>
      </c>
      <c r="F39" s="74">
        <f t="shared" si="11"/>
        <v>44425.823027998013</v>
      </c>
      <c r="G39" s="74">
        <f t="shared" si="12"/>
        <v>22695.694238118027</v>
      </c>
      <c r="H39" s="75">
        <f t="shared" si="13"/>
        <v>156892.14700055955</v>
      </c>
    </row>
    <row r="40" spans="1:8" x14ac:dyDescent="0.2">
      <c r="A40" s="73">
        <v>6</v>
      </c>
      <c r="B40" s="74">
        <f t="shared" si="7"/>
        <v>156892.14700055955</v>
      </c>
      <c r="C40" s="74">
        <f t="shared" si="8"/>
        <v>17258.136170061549</v>
      </c>
      <c r="D40" s="74">
        <f t="shared" si="9"/>
        <v>1725.813617006155</v>
      </c>
      <c r="E40" s="74">
        <f t="shared" si="10"/>
        <v>42450.356774372558</v>
      </c>
      <c r="F40" s="74">
        <f t="shared" si="11"/>
        <v>44176.170391378713</v>
      </c>
      <c r="G40" s="74">
        <f t="shared" si="12"/>
        <v>25192.220604311009</v>
      </c>
      <c r="H40" s="75">
        <f t="shared" si="13"/>
        <v>131699.92639624854</v>
      </c>
    </row>
    <row r="41" spans="1:8" x14ac:dyDescent="0.2">
      <c r="A41" s="73">
        <v>7</v>
      </c>
      <c r="B41" s="74">
        <f t="shared" si="7"/>
        <v>131699.92639624854</v>
      </c>
      <c r="C41" s="74">
        <f t="shared" si="8"/>
        <v>14486.991903587339</v>
      </c>
      <c r="D41" s="74">
        <f t="shared" si="9"/>
        <v>1448.6991903587341</v>
      </c>
      <c r="E41" s="74">
        <f t="shared" si="10"/>
        <v>42450.356774372558</v>
      </c>
      <c r="F41" s="74">
        <f t="shared" si="11"/>
        <v>43899.055964731291</v>
      </c>
      <c r="G41" s="74">
        <f t="shared" si="12"/>
        <v>27963.364870785219</v>
      </c>
      <c r="H41" s="75">
        <f t="shared" si="13"/>
        <v>103736.56152546333</v>
      </c>
    </row>
    <row r="42" spans="1:8" x14ac:dyDescent="0.2">
      <c r="A42" s="73">
        <v>8</v>
      </c>
      <c r="B42" s="74">
        <f t="shared" si="7"/>
        <v>103736.56152546333</v>
      </c>
      <c r="C42" s="74">
        <f t="shared" si="8"/>
        <v>11411.021767800967</v>
      </c>
      <c r="D42" s="74">
        <f t="shared" si="9"/>
        <v>1141.1021767800967</v>
      </c>
      <c r="E42" s="74">
        <f t="shared" si="10"/>
        <v>42450.356774372558</v>
      </c>
      <c r="F42" s="74">
        <f t="shared" si="11"/>
        <v>43591.458951152657</v>
      </c>
      <c r="G42" s="74">
        <f t="shared" si="12"/>
        <v>31039.335006571593</v>
      </c>
      <c r="H42" s="75">
        <f t="shared" si="13"/>
        <v>72697.226518891737</v>
      </c>
    </row>
    <row r="43" spans="1:8" x14ac:dyDescent="0.2">
      <c r="A43" s="73">
        <v>9</v>
      </c>
      <c r="B43" s="74">
        <f t="shared" si="7"/>
        <v>72697.226518891737</v>
      </c>
      <c r="C43" s="74">
        <f t="shared" si="8"/>
        <v>7996.6949170780908</v>
      </c>
      <c r="D43" s="74">
        <f t="shared" si="9"/>
        <v>799.66949170780913</v>
      </c>
      <c r="E43" s="74">
        <f t="shared" si="10"/>
        <v>42450.356774372558</v>
      </c>
      <c r="F43" s="74">
        <f t="shared" si="11"/>
        <v>43250.026266080364</v>
      </c>
      <c r="G43" s="74">
        <f t="shared" si="12"/>
        <v>34453.661857294464</v>
      </c>
      <c r="H43" s="75">
        <f t="shared" si="13"/>
        <v>38243.564661597273</v>
      </c>
    </row>
    <row r="44" spans="1:8" ht="13.5" thickBot="1" x14ac:dyDescent="0.25">
      <c r="A44" s="76">
        <v>10</v>
      </c>
      <c r="B44" s="77">
        <f t="shared" si="7"/>
        <v>38243.564661597273</v>
      </c>
      <c r="C44" s="77">
        <f t="shared" si="8"/>
        <v>4206.7921127756999</v>
      </c>
      <c r="D44" s="77">
        <f t="shared" si="9"/>
        <v>420.67921127757</v>
      </c>
      <c r="E44" s="77">
        <f t="shared" si="10"/>
        <v>42450.356774372558</v>
      </c>
      <c r="F44" s="77">
        <f t="shared" si="11"/>
        <v>42871.035985650131</v>
      </c>
      <c r="G44" s="77">
        <f t="shared" si="12"/>
        <v>38243.564661596858</v>
      </c>
      <c r="H44" s="78">
        <f t="shared" si="13"/>
        <v>4.1472958400845528E-10</v>
      </c>
    </row>
    <row r="48" spans="1:8" ht="13.5" thickBot="1" x14ac:dyDescent="0.25"/>
    <row r="49" spans="1:8" ht="14.25" thickTop="1" thickBot="1" x14ac:dyDescent="0.25">
      <c r="A49" s="70" t="s">
        <v>91</v>
      </c>
      <c r="F49" s="79" t="s">
        <v>85</v>
      </c>
      <c r="G49" s="194">
        <f>$D$7/$D$8</f>
        <v>25000</v>
      </c>
      <c r="H49" s="195"/>
    </row>
    <row r="50" spans="1:8" ht="14.25" thickTop="1" thickBot="1" x14ac:dyDescent="0.25"/>
    <row r="51" spans="1:8" x14ac:dyDescent="0.2">
      <c r="A51" s="200" t="s">
        <v>80</v>
      </c>
      <c r="B51" s="196" t="s">
        <v>81</v>
      </c>
      <c r="C51" s="196" t="s">
        <v>82</v>
      </c>
      <c r="D51" s="196" t="s">
        <v>83</v>
      </c>
      <c r="E51" s="202" t="s">
        <v>84</v>
      </c>
      <c r="F51" s="202"/>
      <c r="G51" s="196" t="s">
        <v>85</v>
      </c>
      <c r="H51" s="198" t="s">
        <v>86</v>
      </c>
    </row>
    <row r="52" spans="1:8" ht="13.5" thickBot="1" x14ac:dyDescent="0.25">
      <c r="A52" s="201"/>
      <c r="B52" s="197"/>
      <c r="C52" s="197"/>
      <c r="D52" s="197"/>
      <c r="E52" s="72" t="s">
        <v>87</v>
      </c>
      <c r="F52" s="72" t="s">
        <v>88</v>
      </c>
      <c r="G52" s="197"/>
      <c r="H52" s="199"/>
    </row>
    <row r="53" spans="1:8" ht="13.5" thickTop="1" x14ac:dyDescent="0.2">
      <c r="A53" s="73">
        <v>1</v>
      </c>
      <c r="B53" s="74" t="s">
        <v>114</v>
      </c>
      <c r="C53" s="74" t="s">
        <v>114</v>
      </c>
      <c r="D53" s="74" t="s">
        <v>114</v>
      </c>
      <c r="E53" s="74" t="s">
        <v>114</v>
      </c>
      <c r="F53" s="74" t="s">
        <v>114</v>
      </c>
      <c r="G53" s="74" t="s">
        <v>114</v>
      </c>
      <c r="H53" s="75" t="s">
        <v>114</v>
      </c>
    </row>
    <row r="54" spans="1:8" x14ac:dyDescent="0.2">
      <c r="A54" s="73">
        <v>2</v>
      </c>
      <c r="B54" s="74" t="s">
        <v>114</v>
      </c>
      <c r="C54" s="74" t="s">
        <v>114</v>
      </c>
      <c r="D54" s="74" t="s">
        <v>114</v>
      </c>
      <c r="E54" s="74" t="s">
        <v>114</v>
      </c>
      <c r="F54" s="74" t="s">
        <v>114</v>
      </c>
      <c r="G54" s="74" t="s">
        <v>114</v>
      </c>
      <c r="H54" s="75" t="s">
        <v>114</v>
      </c>
    </row>
    <row r="55" spans="1:8" x14ac:dyDescent="0.2">
      <c r="A55" s="73">
        <v>3</v>
      </c>
      <c r="B55" s="74" t="s">
        <v>114</v>
      </c>
      <c r="C55" s="74" t="s">
        <v>114</v>
      </c>
      <c r="D55" s="74" t="s">
        <v>114</v>
      </c>
      <c r="E55" s="74" t="s">
        <v>114</v>
      </c>
      <c r="F55" s="74" t="s">
        <v>114</v>
      </c>
      <c r="G55" s="74" t="s">
        <v>114</v>
      </c>
      <c r="H55" s="75" t="s">
        <v>114</v>
      </c>
    </row>
    <row r="56" spans="1:8" x14ac:dyDescent="0.2">
      <c r="A56" s="73">
        <v>4</v>
      </c>
      <c r="B56" s="74" t="s">
        <v>114</v>
      </c>
      <c r="C56" s="74" t="s">
        <v>114</v>
      </c>
      <c r="D56" s="74" t="s">
        <v>114</v>
      </c>
      <c r="E56" s="74" t="s">
        <v>114</v>
      </c>
      <c r="F56" s="74" t="s">
        <v>114</v>
      </c>
      <c r="G56" s="74" t="s">
        <v>114</v>
      </c>
      <c r="H56" s="75" t="s">
        <v>114</v>
      </c>
    </row>
    <row r="57" spans="1:8" x14ac:dyDescent="0.2">
      <c r="A57" s="73">
        <v>5</v>
      </c>
      <c r="B57" s="74" t="s">
        <v>114</v>
      </c>
      <c r="C57" s="74" t="s">
        <v>114</v>
      </c>
      <c r="D57" s="74" t="s">
        <v>114</v>
      </c>
      <c r="E57" s="74" t="s">
        <v>114</v>
      </c>
      <c r="F57" s="74" t="s">
        <v>114</v>
      </c>
      <c r="G57" s="74" t="s">
        <v>114</v>
      </c>
      <c r="H57" s="75" t="s">
        <v>114</v>
      </c>
    </row>
    <row r="58" spans="1:8" x14ac:dyDescent="0.2">
      <c r="A58" s="73">
        <v>6</v>
      </c>
      <c r="B58" s="74" t="s">
        <v>114</v>
      </c>
      <c r="C58" s="74" t="s">
        <v>114</v>
      </c>
      <c r="D58" s="74" t="s">
        <v>114</v>
      </c>
      <c r="E58" s="74" t="s">
        <v>114</v>
      </c>
      <c r="F58" s="74" t="s">
        <v>114</v>
      </c>
      <c r="G58" s="74" t="s">
        <v>114</v>
      </c>
      <c r="H58" s="75" t="s">
        <v>114</v>
      </c>
    </row>
    <row r="59" spans="1:8" x14ac:dyDescent="0.2">
      <c r="A59" s="73">
        <v>7</v>
      </c>
      <c r="B59" s="74" t="s">
        <v>114</v>
      </c>
      <c r="C59" s="74" t="s">
        <v>114</v>
      </c>
      <c r="D59" s="74" t="s">
        <v>114</v>
      </c>
      <c r="E59" s="74" t="s">
        <v>114</v>
      </c>
      <c r="F59" s="74" t="s">
        <v>114</v>
      </c>
      <c r="G59" s="74" t="s">
        <v>114</v>
      </c>
      <c r="H59" s="75" t="s">
        <v>114</v>
      </c>
    </row>
    <row r="60" spans="1:8" x14ac:dyDescent="0.2">
      <c r="A60" s="73">
        <v>8</v>
      </c>
      <c r="B60" s="74" t="s">
        <v>114</v>
      </c>
      <c r="C60" s="74" t="s">
        <v>114</v>
      </c>
      <c r="D60" s="74" t="s">
        <v>114</v>
      </c>
      <c r="E60" s="74" t="s">
        <v>114</v>
      </c>
      <c r="F60" s="74" t="s">
        <v>114</v>
      </c>
      <c r="G60" s="74" t="s">
        <v>114</v>
      </c>
      <c r="H60" s="75" t="s">
        <v>114</v>
      </c>
    </row>
    <row r="61" spans="1:8" x14ac:dyDescent="0.2">
      <c r="A61" s="73">
        <v>9</v>
      </c>
      <c r="B61" s="74" t="s">
        <v>114</v>
      </c>
      <c r="C61" s="74" t="s">
        <v>114</v>
      </c>
      <c r="D61" s="74" t="s">
        <v>114</v>
      </c>
      <c r="E61" s="74" t="s">
        <v>114</v>
      </c>
      <c r="F61" s="74" t="s">
        <v>114</v>
      </c>
      <c r="G61" s="74" t="s">
        <v>114</v>
      </c>
      <c r="H61" s="75" t="s">
        <v>114</v>
      </c>
    </row>
    <row r="62" spans="1:8" ht="13.5" thickBot="1" x14ac:dyDescent="0.25">
      <c r="A62" s="76">
        <v>10</v>
      </c>
      <c r="B62" s="77" t="s">
        <v>114</v>
      </c>
      <c r="C62" s="77" t="s">
        <v>114</v>
      </c>
      <c r="D62" s="77" t="s">
        <v>114</v>
      </c>
      <c r="E62" s="77" t="s">
        <v>114</v>
      </c>
      <c r="F62" s="77" t="s">
        <v>114</v>
      </c>
      <c r="G62" s="77" t="s">
        <v>114</v>
      </c>
      <c r="H62" s="78" t="s">
        <v>114</v>
      </c>
    </row>
  </sheetData>
  <mergeCells count="24">
    <mergeCell ref="G49:H49"/>
    <mergeCell ref="A51:A52"/>
    <mergeCell ref="B51:B52"/>
    <mergeCell ref="C51:C52"/>
    <mergeCell ref="D51:D52"/>
    <mergeCell ref="E51:F51"/>
    <mergeCell ref="G51:G52"/>
    <mergeCell ref="H51:H52"/>
    <mergeCell ref="G15:H15"/>
    <mergeCell ref="G17:G18"/>
    <mergeCell ref="H17:H18"/>
    <mergeCell ref="G31:H31"/>
    <mergeCell ref="A33:A34"/>
    <mergeCell ref="B33:B34"/>
    <mergeCell ref="C33:C34"/>
    <mergeCell ref="D33:D34"/>
    <mergeCell ref="E33:F33"/>
    <mergeCell ref="G33:G34"/>
    <mergeCell ref="H33:H34"/>
    <mergeCell ref="A17:A18"/>
    <mergeCell ref="B17:B18"/>
    <mergeCell ref="C17:C18"/>
    <mergeCell ref="D17:D18"/>
    <mergeCell ref="E17:F17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&amp;L&amp;8Microsoft Excel 97&amp;R&amp;8Amortissement Financier</oddHeader>
    <oddFooter>&amp;L&amp;8L.HASSOUNI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63"/>
  <sheetViews>
    <sheetView topLeftCell="A16" workbookViewId="0">
      <selection activeCell="E30" sqref="E30"/>
    </sheetView>
  </sheetViews>
  <sheetFormatPr baseColWidth="10" defaultRowHeight="12.75" x14ac:dyDescent="0.2"/>
  <cols>
    <col min="1" max="1" width="7.28515625" bestFit="1" customWidth="1"/>
    <col min="2" max="2" width="12.140625" bestFit="1" customWidth="1"/>
    <col min="3" max="3" width="12.85546875" customWidth="1"/>
    <col min="4" max="4" width="13.7109375" customWidth="1"/>
    <col min="5" max="5" width="12.28515625" bestFit="1" customWidth="1"/>
    <col min="6" max="6" width="12.28515625" customWidth="1"/>
    <col min="7" max="7" width="10" customWidth="1"/>
    <col min="8" max="8" width="13.28515625" bestFit="1" customWidth="1"/>
    <col min="9" max="9" width="11" customWidth="1"/>
    <col min="10" max="10" width="13.85546875" customWidth="1"/>
  </cols>
  <sheetData>
    <row r="6" spans="1:9" ht="13.5" thickBot="1" x14ac:dyDescent="0.25"/>
    <row r="7" spans="1:9" s="60" customFormat="1" ht="20.100000000000001" customHeight="1" x14ac:dyDescent="0.2">
      <c r="C7" s="61" t="s">
        <v>72</v>
      </c>
      <c r="D7" s="139">
        <v>250000</v>
      </c>
      <c r="E7" s="140"/>
    </row>
    <row r="8" spans="1:9" s="60" customFormat="1" ht="20.100000000000001" customHeight="1" x14ac:dyDescent="0.2">
      <c r="C8" s="62" t="s">
        <v>73</v>
      </c>
      <c r="D8" s="63">
        <v>10</v>
      </c>
      <c r="E8" s="64" t="s">
        <v>74</v>
      </c>
    </row>
    <row r="9" spans="1:9" s="60" customFormat="1" ht="20.100000000000001" customHeight="1" x14ac:dyDescent="0.2">
      <c r="C9" s="65" t="s">
        <v>75</v>
      </c>
      <c r="D9" s="141">
        <v>0.11</v>
      </c>
      <c r="E9" s="142"/>
    </row>
    <row r="10" spans="1:9" s="60" customFormat="1" ht="20.100000000000001" customHeight="1" x14ac:dyDescent="0.2">
      <c r="C10" s="65" t="s">
        <v>76</v>
      </c>
      <c r="D10" s="143">
        <v>0.1</v>
      </c>
      <c r="E10" s="144"/>
    </row>
    <row r="11" spans="1:9" s="60" customFormat="1" ht="20.100000000000001" customHeight="1" thickBot="1" x14ac:dyDescent="0.25">
      <c r="C11" s="66" t="s">
        <v>77</v>
      </c>
      <c r="D11" s="145">
        <f>D9*(1+D10)</f>
        <v>0.12100000000000001</v>
      </c>
      <c r="E11" s="146"/>
    </row>
    <row r="12" spans="1:9" s="60" customFormat="1" ht="20.100000000000001" customHeight="1" x14ac:dyDescent="0.2">
      <c r="C12" s="67"/>
      <c r="D12" s="68"/>
      <c r="E12" s="68"/>
    </row>
    <row r="13" spans="1:9" x14ac:dyDescent="0.2">
      <c r="D13" s="69"/>
    </row>
    <row r="14" spans="1:9" ht="13.5" thickBot="1" x14ac:dyDescent="0.25">
      <c r="D14" s="69"/>
    </row>
    <row r="15" spans="1:9" ht="14.25" thickTop="1" thickBot="1" x14ac:dyDescent="0.25">
      <c r="A15" s="70" t="s">
        <v>78</v>
      </c>
      <c r="D15" s="69"/>
      <c r="F15" s="71" t="s">
        <v>79</v>
      </c>
      <c r="G15" s="194">
        <f>-PMT($D$11,$D$8,$D$7)</f>
        <v>44427.312711789295</v>
      </c>
      <c r="H15" s="195"/>
      <c r="I15" t="s">
        <v>118</v>
      </c>
    </row>
    <row r="16" spans="1:9" ht="14.25" thickTop="1" thickBot="1" x14ac:dyDescent="0.25"/>
    <row r="17" spans="1:10" x14ac:dyDescent="0.2">
      <c r="A17" s="200" t="s">
        <v>80</v>
      </c>
      <c r="B17" s="196" t="s">
        <v>81</v>
      </c>
      <c r="C17" s="196" t="s">
        <v>82</v>
      </c>
      <c r="D17" s="205" t="s">
        <v>119</v>
      </c>
      <c r="E17" s="196" t="s">
        <v>83</v>
      </c>
      <c r="F17" s="202" t="s">
        <v>84</v>
      </c>
      <c r="G17" s="202"/>
      <c r="H17" s="196" t="s">
        <v>85</v>
      </c>
      <c r="I17" s="205" t="s">
        <v>120</v>
      </c>
      <c r="J17" s="198" t="s">
        <v>86</v>
      </c>
    </row>
    <row r="18" spans="1:10" ht="13.5" thickBot="1" x14ac:dyDescent="0.25">
      <c r="A18" s="201"/>
      <c r="B18" s="204"/>
      <c r="C18" s="204"/>
      <c r="D18" s="206"/>
      <c r="E18" s="204"/>
      <c r="F18" s="159" t="s">
        <v>87</v>
      </c>
      <c r="G18" s="159" t="s">
        <v>88</v>
      </c>
      <c r="H18" s="204"/>
      <c r="I18" s="206"/>
      <c r="J18" s="203"/>
    </row>
    <row r="19" spans="1:10" ht="13.5" thickTop="1" x14ac:dyDescent="0.2">
      <c r="A19" s="157">
        <v>1</v>
      </c>
      <c r="B19" s="160">
        <f>IF($A19=1,$D$7,$J18)</f>
        <v>250000</v>
      </c>
      <c r="C19" s="161">
        <f>-IPMT($D$9,$A19,$D$8,$D$7)</f>
        <v>27500</v>
      </c>
      <c r="D19" s="161">
        <f>-CUMIPMT($D$9,$D$8,$D$7,$A$19,$A19,0)</f>
        <v>27500</v>
      </c>
      <c r="E19" s="161">
        <f>$C19*$D$10</f>
        <v>2750</v>
      </c>
      <c r="F19" s="161">
        <f>$G$15-E19</f>
        <v>41677.312711789295</v>
      </c>
      <c r="G19" s="161">
        <f>$G$15</f>
        <v>44427.312711789295</v>
      </c>
      <c r="H19" s="161">
        <f>-PPMT($D$9,$A19,$D$8,$D$7)</f>
        <v>14950.35677437258</v>
      </c>
      <c r="I19" s="162">
        <f>-CUMPRINC($D$9,$D$8,$D$7,$A$19,$A19,0)</f>
        <v>14950.356774372582</v>
      </c>
      <c r="J19" s="163">
        <f>B19-H19</f>
        <v>235049.64322562743</v>
      </c>
    </row>
    <row r="20" spans="1:10" x14ac:dyDescent="0.2">
      <c r="A20" s="157">
        <v>2</v>
      </c>
      <c r="B20" s="164">
        <f t="shared" ref="B20:B28" si="0">IF($A20=1,$D$7,$J19)</f>
        <v>235049.64322562743</v>
      </c>
      <c r="C20" s="74">
        <f t="shared" ref="C20:C28" si="1">-IPMT($D$9,$A20,$D$8,$D$7)</f>
        <v>25855.460754819018</v>
      </c>
      <c r="D20" s="74">
        <f t="shared" ref="D20:D28" si="2">-CUMIPMT($D$9,$D$8,$D$7,$A$19,$A20,0)</f>
        <v>53355.460754819011</v>
      </c>
      <c r="E20" s="74">
        <f t="shared" ref="E20:E28" si="3">$C20*$D$10</f>
        <v>2585.5460754819019</v>
      </c>
      <c r="F20" s="74">
        <f t="shared" ref="F20:F28" si="4">$G$15-E20</f>
        <v>41841.766636307395</v>
      </c>
      <c r="G20" s="74">
        <f t="shared" ref="G20:G28" si="5">$G$15</f>
        <v>44427.312711789295</v>
      </c>
      <c r="H20" s="74">
        <f t="shared" ref="H20:H28" si="6">-PPMT($D$9,$A20,$D$8,$D$7)</f>
        <v>16594.896019553566</v>
      </c>
      <c r="I20" s="118">
        <f t="shared" ref="I20:I28" si="7">-CUMPRINC($D$9,$D$8,$D$7,$A$19,$A20,0)</f>
        <v>31545.252793926149</v>
      </c>
      <c r="J20" s="75">
        <f t="shared" ref="J20:J28" si="8">B20-H20</f>
        <v>218454.74720607387</v>
      </c>
    </row>
    <row r="21" spans="1:10" x14ac:dyDescent="0.2">
      <c r="A21" s="157">
        <v>3</v>
      </c>
      <c r="B21" s="164">
        <f t="shared" si="0"/>
        <v>218454.74720607387</v>
      </c>
      <c r="C21" s="74">
        <f t="shared" si="1"/>
        <v>24030.022192668126</v>
      </c>
      <c r="D21" s="74">
        <f t="shared" si="2"/>
        <v>77385.482947487151</v>
      </c>
      <c r="E21" s="74">
        <f t="shared" si="3"/>
        <v>2403.0022192668125</v>
      </c>
      <c r="F21" s="74">
        <f t="shared" si="4"/>
        <v>42024.310492522483</v>
      </c>
      <c r="G21" s="74">
        <f t="shared" si="5"/>
        <v>44427.312711789295</v>
      </c>
      <c r="H21" s="74">
        <f t="shared" si="6"/>
        <v>18420.334581704457</v>
      </c>
      <c r="I21" s="118">
        <f t="shared" si="7"/>
        <v>49965.587375630603</v>
      </c>
      <c r="J21" s="75">
        <f t="shared" si="8"/>
        <v>200034.4126243694</v>
      </c>
    </row>
    <row r="22" spans="1:10" x14ac:dyDescent="0.2">
      <c r="A22" s="157">
        <v>4</v>
      </c>
      <c r="B22" s="164">
        <f t="shared" si="0"/>
        <v>200034.4126243694</v>
      </c>
      <c r="C22" s="74">
        <f t="shared" si="1"/>
        <v>22003.785388680637</v>
      </c>
      <c r="D22" s="74">
        <f t="shared" si="2"/>
        <v>99389.268336167777</v>
      </c>
      <c r="E22" s="74">
        <f t="shared" si="3"/>
        <v>2200.378538868064</v>
      </c>
      <c r="F22" s="74">
        <f t="shared" si="4"/>
        <v>42226.934172921232</v>
      </c>
      <c r="G22" s="74">
        <f t="shared" si="5"/>
        <v>44427.312711789295</v>
      </c>
      <c r="H22" s="74">
        <f t="shared" si="6"/>
        <v>20446.571385691946</v>
      </c>
      <c r="I22" s="118">
        <f t="shared" si="7"/>
        <v>70412.158761322542</v>
      </c>
      <c r="J22" s="75">
        <f t="shared" si="8"/>
        <v>179587.84123867744</v>
      </c>
    </row>
    <row r="23" spans="1:10" x14ac:dyDescent="0.2">
      <c r="A23" s="157">
        <v>5</v>
      </c>
      <c r="B23" s="164">
        <f t="shared" si="0"/>
        <v>179587.84123867744</v>
      </c>
      <c r="C23" s="74">
        <f t="shared" si="1"/>
        <v>19754.662536254524</v>
      </c>
      <c r="D23" s="74">
        <f t="shared" si="2"/>
        <v>119143.93087242228</v>
      </c>
      <c r="E23" s="74">
        <f t="shared" si="3"/>
        <v>1975.4662536254525</v>
      </c>
      <c r="F23" s="74">
        <f t="shared" si="4"/>
        <v>42451.84645816384</v>
      </c>
      <c r="G23" s="74">
        <f t="shared" si="5"/>
        <v>44427.312711789295</v>
      </c>
      <c r="H23" s="74">
        <f t="shared" si="6"/>
        <v>22695.694238118063</v>
      </c>
      <c r="I23" s="118">
        <f t="shared" si="7"/>
        <v>93107.852999440613</v>
      </c>
      <c r="J23" s="75">
        <f t="shared" si="8"/>
        <v>156892.14700055937</v>
      </c>
    </row>
    <row r="24" spans="1:10" x14ac:dyDescent="0.2">
      <c r="A24" s="157">
        <v>6</v>
      </c>
      <c r="B24" s="164">
        <f t="shared" si="0"/>
        <v>156892.14700055937</v>
      </c>
      <c r="C24" s="74">
        <f t="shared" si="1"/>
        <v>17258.136170061534</v>
      </c>
      <c r="D24" s="74">
        <f t="shared" si="2"/>
        <v>136402.06704248383</v>
      </c>
      <c r="E24" s="74">
        <f t="shared" si="3"/>
        <v>1725.8136170061534</v>
      </c>
      <c r="F24" s="74">
        <f t="shared" si="4"/>
        <v>42701.499094783139</v>
      </c>
      <c r="G24" s="74">
        <f t="shared" si="5"/>
        <v>44427.312711789295</v>
      </c>
      <c r="H24" s="74">
        <f t="shared" si="6"/>
        <v>25192.220604311049</v>
      </c>
      <c r="I24" s="118">
        <f t="shared" si="7"/>
        <v>118300.07360375168</v>
      </c>
      <c r="J24" s="75">
        <f t="shared" si="8"/>
        <v>131699.92639624834</v>
      </c>
    </row>
    <row r="25" spans="1:10" x14ac:dyDescent="0.2">
      <c r="A25" s="157">
        <v>7</v>
      </c>
      <c r="B25" s="164">
        <f t="shared" si="0"/>
        <v>131699.92639624834</v>
      </c>
      <c r="C25" s="74">
        <f t="shared" si="1"/>
        <v>14486.991903587317</v>
      </c>
      <c r="D25" s="74">
        <f t="shared" si="2"/>
        <v>150889.05894607113</v>
      </c>
      <c r="E25" s="74">
        <f t="shared" si="3"/>
        <v>1448.6991903587318</v>
      </c>
      <c r="F25" s="74">
        <f t="shared" si="4"/>
        <v>42978.613521430561</v>
      </c>
      <c r="G25" s="74">
        <f t="shared" si="5"/>
        <v>44427.312711789295</v>
      </c>
      <c r="H25" s="74">
        <f t="shared" si="6"/>
        <v>27963.364870785263</v>
      </c>
      <c r="I25" s="118">
        <f t="shared" si="7"/>
        <v>146263.43847453693</v>
      </c>
      <c r="J25" s="75">
        <f t="shared" si="8"/>
        <v>103736.56152546307</v>
      </c>
    </row>
    <row r="26" spans="1:10" x14ac:dyDescent="0.2">
      <c r="A26" s="157">
        <v>8</v>
      </c>
      <c r="B26" s="164">
        <f t="shared" si="0"/>
        <v>103736.56152546307</v>
      </c>
      <c r="C26" s="74">
        <f t="shared" si="1"/>
        <v>11411.021767800939</v>
      </c>
      <c r="D26" s="74">
        <f t="shared" si="2"/>
        <v>162300.08071387204</v>
      </c>
      <c r="E26" s="74">
        <f t="shared" si="3"/>
        <v>1141.1021767800939</v>
      </c>
      <c r="F26" s="74">
        <f t="shared" si="4"/>
        <v>43286.210535009202</v>
      </c>
      <c r="G26" s="74">
        <f t="shared" si="5"/>
        <v>44427.312711789295</v>
      </c>
      <c r="H26" s="74">
        <f t="shared" si="6"/>
        <v>31039.33500657164</v>
      </c>
      <c r="I26" s="118">
        <f t="shared" si="7"/>
        <v>177302.7734811086</v>
      </c>
      <c r="J26" s="75">
        <f t="shared" si="8"/>
        <v>72697.226518891432</v>
      </c>
    </row>
    <row r="27" spans="1:10" x14ac:dyDescent="0.2">
      <c r="A27" s="157">
        <v>9</v>
      </c>
      <c r="B27" s="164">
        <f t="shared" si="0"/>
        <v>72697.226518891432</v>
      </c>
      <c r="C27" s="74">
        <f t="shared" si="1"/>
        <v>7996.694917078059</v>
      </c>
      <c r="D27" s="74">
        <f t="shared" si="2"/>
        <v>170296.77563095014</v>
      </c>
      <c r="E27" s="74">
        <f t="shared" si="3"/>
        <v>799.66949170780595</v>
      </c>
      <c r="F27" s="74">
        <f t="shared" si="4"/>
        <v>43627.643220081489</v>
      </c>
      <c r="G27" s="74">
        <f t="shared" si="5"/>
        <v>44427.312711789295</v>
      </c>
      <c r="H27" s="74">
        <f t="shared" si="6"/>
        <v>34453.661857294523</v>
      </c>
      <c r="I27" s="118">
        <f t="shared" si="7"/>
        <v>211756.43533840307</v>
      </c>
      <c r="J27" s="75">
        <f t="shared" si="8"/>
        <v>38243.564661596909</v>
      </c>
    </row>
    <row r="28" spans="1:10" ht="13.5" thickBot="1" x14ac:dyDescent="0.25">
      <c r="A28" s="158">
        <v>10</v>
      </c>
      <c r="B28" s="165">
        <f t="shared" si="0"/>
        <v>38243.564661596909</v>
      </c>
      <c r="C28" s="77">
        <f t="shared" si="1"/>
        <v>4206.7921127756608</v>
      </c>
      <c r="D28" s="77">
        <f t="shared" si="2"/>
        <v>174503.56774372578</v>
      </c>
      <c r="E28" s="77">
        <f t="shared" si="3"/>
        <v>420.67921127756608</v>
      </c>
      <c r="F28" s="77">
        <f t="shared" si="4"/>
        <v>44006.633500511729</v>
      </c>
      <c r="G28" s="77">
        <f t="shared" si="5"/>
        <v>44427.312711789295</v>
      </c>
      <c r="H28" s="77">
        <f t="shared" si="6"/>
        <v>38243.564661596924</v>
      </c>
      <c r="I28" s="166">
        <f t="shared" si="7"/>
        <v>250000</v>
      </c>
      <c r="J28" s="78">
        <f t="shared" si="8"/>
        <v>0</v>
      </c>
    </row>
    <row r="29" spans="1:10" ht="25.5" x14ac:dyDescent="0.2">
      <c r="C29" s="117" t="s">
        <v>116</v>
      </c>
      <c r="D29" s="120" t="s">
        <v>121</v>
      </c>
      <c r="H29" s="117" t="s">
        <v>117</v>
      </c>
      <c r="I29" s="120" t="s">
        <v>120</v>
      </c>
    </row>
    <row r="30" spans="1:10" x14ac:dyDescent="0.2">
      <c r="C30" s="119"/>
    </row>
    <row r="31" spans="1:10" ht="13.5" thickBot="1" x14ac:dyDescent="0.25"/>
    <row r="32" spans="1:10" ht="14.25" thickTop="1" thickBot="1" x14ac:dyDescent="0.25">
      <c r="A32" s="70" t="s">
        <v>89</v>
      </c>
      <c r="D32" s="69"/>
      <c r="F32" s="79" t="s">
        <v>90</v>
      </c>
      <c r="G32" s="194" t="s">
        <v>114</v>
      </c>
      <c r="H32" s="195"/>
    </row>
    <row r="33" spans="1:8" ht="14.25" thickTop="1" thickBot="1" x14ac:dyDescent="0.25"/>
    <row r="34" spans="1:8" x14ac:dyDescent="0.2">
      <c r="A34" s="200" t="s">
        <v>80</v>
      </c>
      <c r="B34" s="196" t="s">
        <v>81</v>
      </c>
      <c r="C34" s="196" t="s">
        <v>82</v>
      </c>
      <c r="D34" s="196" t="s">
        <v>83</v>
      </c>
      <c r="E34" s="202" t="s">
        <v>84</v>
      </c>
      <c r="F34" s="202"/>
      <c r="G34" s="196" t="s">
        <v>85</v>
      </c>
      <c r="H34" s="198" t="s">
        <v>86</v>
      </c>
    </row>
    <row r="35" spans="1:8" ht="13.5" thickBot="1" x14ac:dyDescent="0.25">
      <c r="A35" s="201"/>
      <c r="B35" s="197"/>
      <c r="C35" s="197"/>
      <c r="D35" s="197"/>
      <c r="E35" s="72" t="s">
        <v>87</v>
      </c>
      <c r="F35" s="72" t="s">
        <v>88</v>
      </c>
      <c r="G35" s="197"/>
      <c r="H35" s="199"/>
    </row>
    <row r="36" spans="1:8" ht="13.5" thickTop="1" x14ac:dyDescent="0.2">
      <c r="A36" s="73">
        <v>1</v>
      </c>
      <c r="B36" s="74" t="s">
        <v>114</v>
      </c>
      <c r="C36" s="74" t="s">
        <v>114</v>
      </c>
      <c r="D36" s="74" t="s">
        <v>114</v>
      </c>
      <c r="E36" s="74" t="s">
        <v>114</v>
      </c>
      <c r="F36" s="74" t="s">
        <v>114</v>
      </c>
      <c r="G36" s="74" t="s">
        <v>114</v>
      </c>
      <c r="H36" s="75" t="s">
        <v>114</v>
      </c>
    </row>
    <row r="37" spans="1:8" x14ac:dyDescent="0.2">
      <c r="A37" s="73">
        <v>2</v>
      </c>
      <c r="B37" s="74" t="s">
        <v>114</v>
      </c>
      <c r="C37" s="74" t="s">
        <v>114</v>
      </c>
      <c r="D37" s="74" t="s">
        <v>114</v>
      </c>
      <c r="E37" s="74" t="s">
        <v>114</v>
      </c>
      <c r="F37" s="74" t="s">
        <v>114</v>
      </c>
      <c r="G37" s="74" t="s">
        <v>114</v>
      </c>
      <c r="H37" s="75" t="s">
        <v>114</v>
      </c>
    </row>
    <row r="38" spans="1:8" x14ac:dyDescent="0.2">
      <c r="A38" s="73">
        <v>3</v>
      </c>
      <c r="B38" s="74" t="s">
        <v>114</v>
      </c>
      <c r="C38" s="74" t="s">
        <v>114</v>
      </c>
      <c r="D38" s="74" t="s">
        <v>114</v>
      </c>
      <c r="E38" s="74" t="s">
        <v>114</v>
      </c>
      <c r="F38" s="74" t="s">
        <v>114</v>
      </c>
      <c r="G38" s="74" t="s">
        <v>114</v>
      </c>
      <c r="H38" s="75" t="s">
        <v>114</v>
      </c>
    </row>
    <row r="39" spans="1:8" x14ac:dyDescent="0.2">
      <c r="A39" s="73">
        <v>4</v>
      </c>
      <c r="B39" s="74" t="s">
        <v>114</v>
      </c>
      <c r="C39" s="74" t="s">
        <v>114</v>
      </c>
      <c r="D39" s="74" t="s">
        <v>114</v>
      </c>
      <c r="E39" s="74" t="s">
        <v>114</v>
      </c>
      <c r="F39" s="74" t="s">
        <v>114</v>
      </c>
      <c r="G39" s="74" t="s">
        <v>114</v>
      </c>
      <c r="H39" s="75" t="s">
        <v>114</v>
      </c>
    </row>
    <row r="40" spans="1:8" x14ac:dyDescent="0.2">
      <c r="A40" s="73">
        <v>5</v>
      </c>
      <c r="B40" s="74" t="s">
        <v>114</v>
      </c>
      <c r="C40" s="74" t="s">
        <v>114</v>
      </c>
      <c r="D40" s="74" t="s">
        <v>114</v>
      </c>
      <c r="E40" s="74" t="s">
        <v>114</v>
      </c>
      <c r="F40" s="74" t="s">
        <v>114</v>
      </c>
      <c r="G40" s="74" t="s">
        <v>114</v>
      </c>
      <c r="H40" s="75" t="s">
        <v>114</v>
      </c>
    </row>
    <row r="41" spans="1:8" x14ac:dyDescent="0.2">
      <c r="A41" s="73">
        <v>6</v>
      </c>
      <c r="B41" s="74" t="s">
        <v>114</v>
      </c>
      <c r="C41" s="74" t="s">
        <v>114</v>
      </c>
      <c r="D41" s="74" t="s">
        <v>114</v>
      </c>
      <c r="E41" s="74" t="s">
        <v>114</v>
      </c>
      <c r="F41" s="74" t="s">
        <v>114</v>
      </c>
      <c r="G41" s="74" t="s">
        <v>114</v>
      </c>
      <c r="H41" s="75" t="s">
        <v>114</v>
      </c>
    </row>
    <row r="42" spans="1:8" x14ac:dyDescent="0.2">
      <c r="A42" s="73">
        <v>7</v>
      </c>
      <c r="B42" s="74" t="s">
        <v>114</v>
      </c>
      <c r="C42" s="74" t="s">
        <v>114</v>
      </c>
      <c r="D42" s="74" t="s">
        <v>114</v>
      </c>
      <c r="E42" s="74" t="s">
        <v>114</v>
      </c>
      <c r="F42" s="74" t="s">
        <v>114</v>
      </c>
      <c r="G42" s="74" t="s">
        <v>114</v>
      </c>
      <c r="H42" s="75" t="s">
        <v>114</v>
      </c>
    </row>
    <row r="43" spans="1:8" x14ac:dyDescent="0.2">
      <c r="A43" s="73">
        <v>8</v>
      </c>
      <c r="B43" s="74" t="s">
        <v>114</v>
      </c>
      <c r="C43" s="74" t="s">
        <v>114</v>
      </c>
      <c r="D43" s="74" t="s">
        <v>114</v>
      </c>
      <c r="E43" s="74" t="s">
        <v>114</v>
      </c>
      <c r="F43" s="74" t="s">
        <v>114</v>
      </c>
      <c r="G43" s="74" t="s">
        <v>114</v>
      </c>
      <c r="H43" s="75" t="s">
        <v>114</v>
      </c>
    </row>
    <row r="44" spans="1:8" x14ac:dyDescent="0.2">
      <c r="A44" s="73">
        <v>9</v>
      </c>
      <c r="B44" s="74" t="s">
        <v>114</v>
      </c>
      <c r="C44" s="74" t="s">
        <v>114</v>
      </c>
      <c r="D44" s="74" t="s">
        <v>114</v>
      </c>
      <c r="E44" s="74" t="s">
        <v>114</v>
      </c>
      <c r="F44" s="74" t="s">
        <v>114</v>
      </c>
      <c r="G44" s="74" t="s">
        <v>114</v>
      </c>
      <c r="H44" s="75" t="s">
        <v>114</v>
      </c>
    </row>
    <row r="45" spans="1:8" ht="13.5" thickBot="1" x14ac:dyDescent="0.25">
      <c r="A45" s="76">
        <v>10</v>
      </c>
      <c r="B45" s="77" t="s">
        <v>114</v>
      </c>
      <c r="C45" s="77" t="s">
        <v>114</v>
      </c>
      <c r="D45" s="77" t="s">
        <v>114</v>
      </c>
      <c r="E45" s="77" t="s">
        <v>114</v>
      </c>
      <c r="F45" s="77" t="s">
        <v>114</v>
      </c>
      <c r="G45" s="77" t="s">
        <v>114</v>
      </c>
      <c r="H45" s="78" t="s">
        <v>114</v>
      </c>
    </row>
    <row r="49" spans="1:8" ht="13.5" thickBot="1" x14ac:dyDescent="0.25"/>
    <row r="50" spans="1:8" ht="14.25" thickTop="1" thickBot="1" x14ac:dyDescent="0.25">
      <c r="A50" s="70" t="s">
        <v>91</v>
      </c>
      <c r="F50" s="79" t="s">
        <v>85</v>
      </c>
      <c r="G50" s="194">
        <f>$D$7/$D$8</f>
        <v>25000</v>
      </c>
      <c r="H50" s="195"/>
    </row>
    <row r="51" spans="1:8" ht="14.25" thickTop="1" thickBot="1" x14ac:dyDescent="0.25"/>
    <row r="52" spans="1:8" x14ac:dyDescent="0.2">
      <c r="A52" s="200" t="s">
        <v>80</v>
      </c>
      <c r="B52" s="196" t="s">
        <v>81</v>
      </c>
      <c r="C52" s="196" t="s">
        <v>82</v>
      </c>
      <c r="D52" s="196" t="s">
        <v>83</v>
      </c>
      <c r="E52" s="202" t="s">
        <v>84</v>
      </c>
      <c r="F52" s="202"/>
      <c r="G52" s="196" t="s">
        <v>85</v>
      </c>
      <c r="H52" s="198" t="s">
        <v>86</v>
      </c>
    </row>
    <row r="53" spans="1:8" ht="13.5" thickBot="1" x14ac:dyDescent="0.25">
      <c r="A53" s="201"/>
      <c r="B53" s="197"/>
      <c r="C53" s="197"/>
      <c r="D53" s="197"/>
      <c r="E53" s="72" t="s">
        <v>87</v>
      </c>
      <c r="F53" s="72" t="s">
        <v>88</v>
      </c>
      <c r="G53" s="197"/>
      <c r="H53" s="199"/>
    </row>
    <row r="54" spans="1:8" ht="13.5" thickTop="1" x14ac:dyDescent="0.2">
      <c r="A54" s="73">
        <v>1</v>
      </c>
      <c r="B54" s="74" t="s">
        <v>114</v>
      </c>
      <c r="C54" s="74" t="s">
        <v>114</v>
      </c>
      <c r="D54" s="74" t="s">
        <v>114</v>
      </c>
      <c r="E54" s="74" t="s">
        <v>114</v>
      </c>
      <c r="F54" s="74" t="s">
        <v>114</v>
      </c>
      <c r="G54" s="74" t="s">
        <v>114</v>
      </c>
      <c r="H54" s="75" t="s">
        <v>114</v>
      </c>
    </row>
    <row r="55" spans="1:8" x14ac:dyDescent="0.2">
      <c r="A55" s="73">
        <v>2</v>
      </c>
      <c r="B55" s="74" t="s">
        <v>114</v>
      </c>
      <c r="C55" s="74" t="s">
        <v>114</v>
      </c>
      <c r="D55" s="74" t="s">
        <v>114</v>
      </c>
      <c r="E55" s="74" t="s">
        <v>114</v>
      </c>
      <c r="F55" s="74" t="s">
        <v>114</v>
      </c>
      <c r="G55" s="74" t="s">
        <v>114</v>
      </c>
      <c r="H55" s="75" t="s">
        <v>114</v>
      </c>
    </row>
    <row r="56" spans="1:8" x14ac:dyDescent="0.2">
      <c r="A56" s="73">
        <v>3</v>
      </c>
      <c r="B56" s="74" t="s">
        <v>114</v>
      </c>
      <c r="C56" s="74" t="s">
        <v>114</v>
      </c>
      <c r="D56" s="74" t="s">
        <v>114</v>
      </c>
      <c r="E56" s="74" t="s">
        <v>114</v>
      </c>
      <c r="F56" s="74" t="s">
        <v>114</v>
      </c>
      <c r="G56" s="74" t="s">
        <v>114</v>
      </c>
      <c r="H56" s="75" t="s">
        <v>114</v>
      </c>
    </row>
    <row r="57" spans="1:8" x14ac:dyDescent="0.2">
      <c r="A57" s="73">
        <v>4</v>
      </c>
      <c r="B57" s="74" t="s">
        <v>114</v>
      </c>
      <c r="C57" s="74" t="s">
        <v>114</v>
      </c>
      <c r="D57" s="74" t="s">
        <v>114</v>
      </c>
      <c r="E57" s="74" t="s">
        <v>114</v>
      </c>
      <c r="F57" s="74" t="s">
        <v>114</v>
      </c>
      <c r="G57" s="74" t="s">
        <v>114</v>
      </c>
      <c r="H57" s="75" t="s">
        <v>114</v>
      </c>
    </row>
    <row r="58" spans="1:8" x14ac:dyDescent="0.2">
      <c r="A58" s="73">
        <v>5</v>
      </c>
      <c r="B58" s="74" t="s">
        <v>114</v>
      </c>
      <c r="C58" s="74" t="s">
        <v>114</v>
      </c>
      <c r="D58" s="74" t="s">
        <v>114</v>
      </c>
      <c r="E58" s="74" t="s">
        <v>114</v>
      </c>
      <c r="F58" s="74" t="s">
        <v>114</v>
      </c>
      <c r="G58" s="74" t="s">
        <v>114</v>
      </c>
      <c r="H58" s="75" t="s">
        <v>114</v>
      </c>
    </row>
    <row r="59" spans="1:8" x14ac:dyDescent="0.2">
      <c r="A59" s="73">
        <v>6</v>
      </c>
      <c r="B59" s="74" t="s">
        <v>114</v>
      </c>
      <c r="C59" s="74" t="s">
        <v>114</v>
      </c>
      <c r="D59" s="74" t="s">
        <v>114</v>
      </c>
      <c r="E59" s="74" t="s">
        <v>114</v>
      </c>
      <c r="F59" s="74" t="s">
        <v>114</v>
      </c>
      <c r="G59" s="74" t="s">
        <v>114</v>
      </c>
      <c r="H59" s="75" t="s">
        <v>114</v>
      </c>
    </row>
    <row r="60" spans="1:8" x14ac:dyDescent="0.2">
      <c r="A60" s="73">
        <v>7</v>
      </c>
      <c r="B60" s="74" t="s">
        <v>114</v>
      </c>
      <c r="C60" s="74" t="s">
        <v>114</v>
      </c>
      <c r="D60" s="74" t="s">
        <v>114</v>
      </c>
      <c r="E60" s="74" t="s">
        <v>114</v>
      </c>
      <c r="F60" s="74" t="s">
        <v>114</v>
      </c>
      <c r="G60" s="74" t="s">
        <v>114</v>
      </c>
      <c r="H60" s="75" t="s">
        <v>114</v>
      </c>
    </row>
    <row r="61" spans="1:8" x14ac:dyDescent="0.2">
      <c r="A61" s="73">
        <v>8</v>
      </c>
      <c r="B61" s="74" t="s">
        <v>114</v>
      </c>
      <c r="C61" s="74" t="s">
        <v>114</v>
      </c>
      <c r="D61" s="74" t="s">
        <v>114</v>
      </c>
      <c r="E61" s="74" t="s">
        <v>114</v>
      </c>
      <c r="F61" s="74" t="s">
        <v>114</v>
      </c>
      <c r="G61" s="74" t="s">
        <v>114</v>
      </c>
      <c r="H61" s="75" t="s">
        <v>114</v>
      </c>
    </row>
    <row r="62" spans="1:8" x14ac:dyDescent="0.2">
      <c r="A62" s="73">
        <v>9</v>
      </c>
      <c r="B62" s="74" t="s">
        <v>114</v>
      </c>
      <c r="C62" s="74" t="s">
        <v>114</v>
      </c>
      <c r="D62" s="74" t="s">
        <v>114</v>
      </c>
      <c r="E62" s="74" t="s">
        <v>114</v>
      </c>
      <c r="F62" s="74" t="s">
        <v>114</v>
      </c>
      <c r="G62" s="74" t="s">
        <v>114</v>
      </c>
      <c r="H62" s="75" t="s">
        <v>114</v>
      </c>
    </row>
    <row r="63" spans="1:8" ht="13.5" thickBot="1" x14ac:dyDescent="0.25">
      <c r="A63" s="76">
        <v>10</v>
      </c>
      <c r="B63" s="77" t="s">
        <v>114</v>
      </c>
      <c r="C63" s="77" t="s">
        <v>114</v>
      </c>
      <c r="D63" s="77" t="s">
        <v>114</v>
      </c>
      <c r="E63" s="77" t="s">
        <v>114</v>
      </c>
      <c r="F63" s="77" t="s">
        <v>114</v>
      </c>
      <c r="G63" s="77" t="s">
        <v>114</v>
      </c>
      <c r="H63" s="78" t="s">
        <v>114</v>
      </c>
    </row>
  </sheetData>
  <mergeCells count="26">
    <mergeCell ref="I17:I18"/>
    <mergeCell ref="H17:H18"/>
    <mergeCell ref="G50:H50"/>
    <mergeCell ref="A52:A53"/>
    <mergeCell ref="B52:B53"/>
    <mergeCell ref="C52:C53"/>
    <mergeCell ref="D52:D53"/>
    <mergeCell ref="E52:F52"/>
    <mergeCell ref="G52:G53"/>
    <mergeCell ref="H52:H53"/>
    <mergeCell ref="G15:H15"/>
    <mergeCell ref="J17:J18"/>
    <mergeCell ref="G32:H32"/>
    <mergeCell ref="A34:A35"/>
    <mergeCell ref="B34:B35"/>
    <mergeCell ref="C34:C35"/>
    <mergeCell ref="D34:D35"/>
    <mergeCell ref="E34:F34"/>
    <mergeCell ref="G34:G35"/>
    <mergeCell ref="H34:H35"/>
    <mergeCell ref="A17:A18"/>
    <mergeCell ref="B17:B18"/>
    <mergeCell ref="C17:C18"/>
    <mergeCell ref="E17:E18"/>
    <mergeCell ref="F17:G17"/>
    <mergeCell ref="D17:D18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&amp;L&amp;8Microsoft Excel 97&amp;R&amp;8Amortissement Financier</oddHeader>
    <oddFooter>&amp;L&amp;8L.HASSOUNI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G30" sqref="G30"/>
    </sheetView>
  </sheetViews>
  <sheetFormatPr baseColWidth="10" defaultRowHeight="12.75" x14ac:dyDescent="0.2"/>
  <cols>
    <col min="2" max="2" width="18.140625" customWidth="1"/>
    <col min="4" max="4" width="16.140625" customWidth="1"/>
    <col min="5" max="5" width="12.7109375" customWidth="1"/>
    <col min="6" max="6" width="9.5703125" customWidth="1"/>
  </cols>
  <sheetData>
    <row r="1" spans="1:5" ht="18" x14ac:dyDescent="0.25">
      <c r="A1" s="207" t="s">
        <v>92</v>
      </c>
      <c r="B1" s="207"/>
      <c r="C1" s="207"/>
      <c r="D1" s="207"/>
      <c r="E1" s="207"/>
    </row>
    <row r="2" spans="1:5" ht="18" x14ac:dyDescent="0.25">
      <c r="A2" s="207" t="s">
        <v>93</v>
      </c>
      <c r="B2" s="207"/>
      <c r="C2" s="207"/>
      <c r="D2" s="207"/>
      <c r="E2" s="207"/>
    </row>
    <row r="3" spans="1:5" ht="18" x14ac:dyDescent="0.25">
      <c r="A3" s="80"/>
      <c r="B3" s="80"/>
      <c r="C3" s="80"/>
      <c r="D3" s="80"/>
      <c r="E3" s="80"/>
    </row>
    <row r="4" spans="1:5" ht="18" x14ac:dyDescent="0.25">
      <c r="A4" s="80"/>
      <c r="B4" s="80"/>
      <c r="C4" s="80"/>
      <c r="D4" s="80"/>
      <c r="E4" s="80"/>
    </row>
    <row r="6" spans="1:5" ht="18" x14ac:dyDescent="0.25">
      <c r="A6" s="81" t="s">
        <v>94</v>
      </c>
    </row>
    <row r="7" spans="1:5" ht="18" x14ac:dyDescent="0.25">
      <c r="A7" s="81"/>
    </row>
    <row r="8" spans="1:5" ht="13.5" thickBot="1" x14ac:dyDescent="0.25"/>
    <row r="9" spans="1:5" x14ac:dyDescent="0.2">
      <c r="B9" s="82" t="s">
        <v>95</v>
      </c>
      <c r="C9" s="83">
        <v>200000</v>
      </c>
    </row>
    <row r="10" spans="1:5" x14ac:dyDescent="0.2">
      <c r="B10" s="84" t="s">
        <v>96</v>
      </c>
      <c r="C10" s="85">
        <v>34335</v>
      </c>
    </row>
    <row r="11" spans="1:5" x14ac:dyDescent="0.2">
      <c r="B11" s="84" t="s">
        <v>97</v>
      </c>
      <c r="C11" s="86">
        <v>5</v>
      </c>
      <c r="D11" t="s">
        <v>74</v>
      </c>
    </row>
    <row r="12" spans="1:5" ht="13.5" thickBot="1" x14ac:dyDescent="0.25">
      <c r="B12" s="87" t="s">
        <v>98</v>
      </c>
      <c r="C12" s="88">
        <f>1/C11</f>
        <v>0.2</v>
      </c>
    </row>
    <row r="13" spans="1:5" x14ac:dyDescent="0.2">
      <c r="B13" s="89"/>
      <c r="C13" s="90"/>
    </row>
    <row r="14" spans="1:5" ht="13.5" thickBot="1" x14ac:dyDescent="0.25"/>
    <row r="15" spans="1:5" ht="37.5" customHeight="1" thickBot="1" x14ac:dyDescent="0.25">
      <c r="A15" s="91" t="s">
        <v>99</v>
      </c>
      <c r="B15" s="92" t="s">
        <v>100</v>
      </c>
      <c r="C15" s="92" t="s">
        <v>101</v>
      </c>
      <c r="D15" s="92" t="s">
        <v>102</v>
      </c>
      <c r="E15" s="93" t="s">
        <v>103</v>
      </c>
    </row>
    <row r="16" spans="1:5" ht="13.5" thickTop="1" x14ac:dyDescent="0.2">
      <c r="A16" s="94">
        <v>34699</v>
      </c>
      <c r="B16" s="125">
        <f>$C$9</f>
        <v>200000</v>
      </c>
      <c r="C16" s="125">
        <f>B16*$C$12</f>
        <v>40000</v>
      </c>
      <c r="D16" s="125">
        <f>IF(YEAR($A16)=YEAR($C$10),$C16,C16+D15)</f>
        <v>40000</v>
      </c>
      <c r="E16" s="126">
        <f>B16-D16</f>
        <v>160000</v>
      </c>
    </row>
    <row r="17" spans="1:5" x14ac:dyDescent="0.2">
      <c r="A17" s="94">
        <v>35064</v>
      </c>
      <c r="B17" s="125">
        <f t="shared" ref="B17:B20" si="0">$C$9</f>
        <v>200000</v>
      </c>
      <c r="C17" s="125">
        <f t="shared" ref="C17:C20" si="1">B17*$C$12</f>
        <v>40000</v>
      </c>
      <c r="D17" s="125">
        <f t="shared" ref="D17:D20" si="2">IF(YEAR($A17)=YEAR($C$10),$C17,C17+D16)</f>
        <v>80000</v>
      </c>
      <c r="E17" s="126">
        <f t="shared" ref="E17:E20" si="3">B17-D17</f>
        <v>120000</v>
      </c>
    </row>
    <row r="18" spans="1:5" x14ac:dyDescent="0.2">
      <c r="A18" s="94">
        <v>35430</v>
      </c>
      <c r="B18" s="125">
        <f t="shared" si="0"/>
        <v>200000</v>
      </c>
      <c r="C18" s="125">
        <f t="shared" si="1"/>
        <v>40000</v>
      </c>
      <c r="D18" s="125">
        <f t="shared" si="2"/>
        <v>120000</v>
      </c>
      <c r="E18" s="126">
        <f t="shared" si="3"/>
        <v>80000</v>
      </c>
    </row>
    <row r="19" spans="1:5" x14ac:dyDescent="0.2">
      <c r="A19" s="94">
        <v>35795</v>
      </c>
      <c r="B19" s="125">
        <f t="shared" si="0"/>
        <v>200000</v>
      </c>
      <c r="C19" s="125">
        <f t="shared" si="1"/>
        <v>40000</v>
      </c>
      <c r="D19" s="125">
        <f t="shared" si="2"/>
        <v>160000</v>
      </c>
      <c r="E19" s="126">
        <f t="shared" si="3"/>
        <v>40000</v>
      </c>
    </row>
    <row r="20" spans="1:5" ht="13.5" thickBot="1" x14ac:dyDescent="0.25">
      <c r="A20" s="95">
        <v>36160</v>
      </c>
      <c r="B20" s="127">
        <f t="shared" si="0"/>
        <v>200000</v>
      </c>
      <c r="C20" s="127">
        <f t="shared" si="1"/>
        <v>40000</v>
      </c>
      <c r="D20" s="127">
        <f t="shared" si="2"/>
        <v>200000</v>
      </c>
      <c r="E20" s="128">
        <f t="shared" si="3"/>
        <v>0</v>
      </c>
    </row>
    <row r="24" spans="1:5" ht="18" x14ac:dyDescent="0.25">
      <c r="A24" s="81" t="s">
        <v>104</v>
      </c>
    </row>
    <row r="25" spans="1:5" ht="18" x14ac:dyDescent="0.25">
      <c r="A25" s="81"/>
    </row>
    <row r="26" spans="1:5" ht="13.5" thickBot="1" x14ac:dyDescent="0.25"/>
    <row r="27" spans="1:5" x14ac:dyDescent="0.2">
      <c r="B27" s="82" t="s">
        <v>95</v>
      </c>
      <c r="C27" s="83">
        <v>200000</v>
      </c>
    </row>
    <row r="28" spans="1:5" x14ac:dyDescent="0.2">
      <c r="B28" s="84" t="s">
        <v>96</v>
      </c>
      <c r="C28" s="85">
        <v>34455</v>
      </c>
    </row>
    <row r="29" spans="1:5" x14ac:dyDescent="0.2">
      <c r="B29" s="84" t="s">
        <v>97</v>
      </c>
      <c r="C29" s="86">
        <v>5</v>
      </c>
      <c r="D29" s="96" t="s">
        <v>74</v>
      </c>
    </row>
    <row r="30" spans="1:5" ht="13.5" thickBot="1" x14ac:dyDescent="0.25">
      <c r="B30" s="87" t="s">
        <v>98</v>
      </c>
      <c r="C30" s="131">
        <f>1/C29</f>
        <v>0.2</v>
      </c>
    </row>
    <row r="31" spans="1:5" x14ac:dyDescent="0.2">
      <c r="B31" s="89"/>
      <c r="C31" s="90"/>
    </row>
    <row r="32" spans="1:5" ht="13.5" thickBot="1" x14ac:dyDescent="0.25"/>
    <row r="33" spans="1:6" ht="39" thickBot="1" x14ac:dyDescent="0.25">
      <c r="A33" s="91" t="s">
        <v>99</v>
      </c>
      <c r="B33" s="92" t="s">
        <v>100</v>
      </c>
      <c r="C33" s="92" t="s">
        <v>101</v>
      </c>
      <c r="D33" s="92" t="s">
        <v>102</v>
      </c>
      <c r="E33" s="92" t="s">
        <v>103</v>
      </c>
      <c r="F33" s="93" t="s">
        <v>105</v>
      </c>
    </row>
    <row r="34" spans="1:6" ht="13.5" thickTop="1" x14ac:dyDescent="0.2">
      <c r="A34" s="94">
        <v>34699</v>
      </c>
      <c r="B34" s="123">
        <f>$C$27</f>
        <v>200000</v>
      </c>
      <c r="C34" s="123">
        <f>$C$27*$C$30*F34/12</f>
        <v>26666.666666666668</v>
      </c>
      <c r="D34" s="123">
        <f>IF(YEAR(A34)=YEAR($C$28),C34,C34+D33)</f>
        <v>26666.666666666668</v>
      </c>
      <c r="E34" s="123">
        <f>$C$27-D34</f>
        <v>173333.33333333334</v>
      </c>
      <c r="F34" s="129">
        <f>IF(YEAR(A34)=YEAR($C$28),13-MONTH($C$28),IF(YEAR(A34)=YEAR($C$28)+$C$29,MONTH($C$28)-1,12))</f>
        <v>8</v>
      </c>
    </row>
    <row r="35" spans="1:6" x14ac:dyDescent="0.2">
      <c r="A35" s="94">
        <v>35064</v>
      </c>
      <c r="B35" s="123">
        <f t="shared" ref="B35:B39" si="4">$C$27</f>
        <v>200000</v>
      </c>
      <c r="C35" s="123">
        <f t="shared" ref="C35:C39" si="5">$C$27*$C$30*F35/12</f>
        <v>40000</v>
      </c>
      <c r="D35" s="123">
        <f t="shared" ref="D35:D39" si="6">IF(YEAR(A35)=YEAR($C$28),C35,C35+D34)</f>
        <v>66666.666666666672</v>
      </c>
      <c r="E35" s="123">
        <f t="shared" ref="E35:E39" si="7">$C$27-D35</f>
        <v>133333.33333333331</v>
      </c>
      <c r="F35" s="129">
        <f t="shared" ref="F35:F39" si="8">IF(YEAR(A35)=YEAR($C$28),13-MONTH($C$28),IF(YEAR(A35)=YEAR($C$28)+$C$29,MONTH($C$28)-1,12))</f>
        <v>12</v>
      </c>
    </row>
    <row r="36" spans="1:6" x14ac:dyDescent="0.2">
      <c r="A36" s="94">
        <v>35430</v>
      </c>
      <c r="B36" s="123">
        <f t="shared" si="4"/>
        <v>200000</v>
      </c>
      <c r="C36" s="123">
        <f t="shared" si="5"/>
        <v>40000</v>
      </c>
      <c r="D36" s="123">
        <f t="shared" si="6"/>
        <v>106666.66666666667</v>
      </c>
      <c r="E36" s="123">
        <f t="shared" si="7"/>
        <v>93333.333333333328</v>
      </c>
      <c r="F36" s="129">
        <f t="shared" si="8"/>
        <v>12</v>
      </c>
    </row>
    <row r="37" spans="1:6" x14ac:dyDescent="0.2">
      <c r="A37" s="94">
        <v>35795</v>
      </c>
      <c r="B37" s="123">
        <f t="shared" si="4"/>
        <v>200000</v>
      </c>
      <c r="C37" s="123">
        <f t="shared" si="5"/>
        <v>40000</v>
      </c>
      <c r="D37" s="123">
        <f t="shared" si="6"/>
        <v>146666.66666666669</v>
      </c>
      <c r="E37" s="123">
        <f t="shared" si="7"/>
        <v>53333.333333333314</v>
      </c>
      <c r="F37" s="129">
        <f t="shared" si="8"/>
        <v>12</v>
      </c>
    </row>
    <row r="38" spans="1:6" x14ac:dyDescent="0.2">
      <c r="A38" s="94">
        <v>36160</v>
      </c>
      <c r="B38" s="123">
        <f t="shared" si="4"/>
        <v>200000</v>
      </c>
      <c r="C38" s="123">
        <f t="shared" si="5"/>
        <v>40000</v>
      </c>
      <c r="D38" s="123">
        <f t="shared" si="6"/>
        <v>186666.66666666669</v>
      </c>
      <c r="E38" s="123">
        <f t="shared" si="7"/>
        <v>13333.333333333314</v>
      </c>
      <c r="F38" s="129">
        <f t="shared" si="8"/>
        <v>12</v>
      </c>
    </row>
    <row r="39" spans="1:6" ht="13.5" thickBot="1" x14ac:dyDescent="0.25">
      <c r="A39" s="95">
        <v>36525</v>
      </c>
      <c r="B39" s="124">
        <f t="shared" si="4"/>
        <v>200000</v>
      </c>
      <c r="C39" s="124">
        <f t="shared" si="5"/>
        <v>13333.333333333334</v>
      </c>
      <c r="D39" s="124">
        <f t="shared" si="6"/>
        <v>200000.00000000003</v>
      </c>
      <c r="E39" s="124">
        <f t="shared" si="7"/>
        <v>0</v>
      </c>
      <c r="F39" s="130">
        <f t="shared" si="8"/>
        <v>4</v>
      </c>
    </row>
  </sheetData>
  <mergeCells count="2">
    <mergeCell ref="A1:E1"/>
    <mergeCell ref="A2:E2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&amp;L&amp;"Times New Roman,Normal"&amp;8Microsoft Excel 97</oddHeader>
    <oddFooter>&amp;L&amp;"Times New Roman,Normal"&amp;8L. HASSOUNI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19" workbookViewId="0">
      <selection activeCell="E29" sqref="E29"/>
    </sheetView>
  </sheetViews>
  <sheetFormatPr baseColWidth="10" defaultRowHeight="12.75" x14ac:dyDescent="0.2"/>
  <cols>
    <col min="2" max="2" width="18.140625" customWidth="1"/>
    <col min="4" max="4" width="16" customWidth="1"/>
    <col min="5" max="5" width="12.7109375" customWidth="1"/>
    <col min="6" max="7" width="10.42578125" customWidth="1"/>
    <col min="8" max="9" width="9" customWidth="1"/>
  </cols>
  <sheetData>
    <row r="1" spans="1:9" ht="18" x14ac:dyDescent="0.25">
      <c r="A1" s="207" t="s">
        <v>92</v>
      </c>
      <c r="B1" s="207"/>
      <c r="C1" s="207"/>
      <c r="D1" s="207"/>
      <c r="E1" s="207"/>
    </row>
    <row r="2" spans="1:9" ht="18" x14ac:dyDescent="0.25">
      <c r="A2" s="207" t="s">
        <v>106</v>
      </c>
      <c r="B2" s="207"/>
      <c r="C2" s="207"/>
      <c r="D2" s="207"/>
      <c r="E2" s="207"/>
    </row>
    <row r="3" spans="1:9" ht="18" x14ac:dyDescent="0.25">
      <c r="A3" s="80"/>
      <c r="B3" s="80"/>
      <c r="C3" s="80"/>
      <c r="D3" s="80"/>
      <c r="E3" s="80"/>
    </row>
    <row r="4" spans="1:9" ht="18" x14ac:dyDescent="0.25">
      <c r="A4" s="80"/>
      <c r="B4" s="80"/>
      <c r="C4" s="80"/>
      <c r="D4" s="80"/>
      <c r="E4" s="80"/>
    </row>
    <row r="6" spans="1:9" ht="18" x14ac:dyDescent="0.25">
      <c r="A6" s="81" t="s">
        <v>94</v>
      </c>
    </row>
    <row r="7" spans="1:9" ht="18" x14ac:dyDescent="0.25">
      <c r="A7" s="81"/>
    </row>
    <row r="8" spans="1:9" ht="13.5" thickBot="1" x14ac:dyDescent="0.25"/>
    <row r="9" spans="1:9" x14ac:dyDescent="0.2">
      <c r="B9" s="82" t="s">
        <v>95</v>
      </c>
      <c r="C9" s="83">
        <v>200000</v>
      </c>
    </row>
    <row r="10" spans="1:9" x14ac:dyDescent="0.2">
      <c r="B10" s="84" t="s">
        <v>96</v>
      </c>
      <c r="C10" s="85">
        <v>34335</v>
      </c>
    </row>
    <row r="11" spans="1:9" x14ac:dyDescent="0.2">
      <c r="B11" s="84" t="s">
        <v>97</v>
      </c>
      <c r="C11" s="86">
        <v>5</v>
      </c>
      <c r="D11" t="s">
        <v>74</v>
      </c>
    </row>
    <row r="12" spans="1:9" x14ac:dyDescent="0.2">
      <c r="B12" s="97" t="s">
        <v>107</v>
      </c>
      <c r="C12" s="98">
        <v>2</v>
      </c>
    </row>
    <row r="13" spans="1:9" ht="13.5" thickBot="1" x14ac:dyDescent="0.25">
      <c r="B13" s="87" t="s">
        <v>108</v>
      </c>
      <c r="C13" s="132">
        <f>C12/C11</f>
        <v>0.4</v>
      </c>
    </row>
    <row r="14" spans="1:9" x14ac:dyDescent="0.2">
      <c r="B14" s="89"/>
      <c r="C14" s="90"/>
    </row>
    <row r="15" spans="1:9" ht="13.5" thickBot="1" x14ac:dyDescent="0.25"/>
    <row r="16" spans="1:9" ht="37.5" customHeight="1" thickBot="1" x14ac:dyDescent="0.25">
      <c r="A16" s="91" t="s">
        <v>99</v>
      </c>
      <c r="B16" s="92" t="s">
        <v>100</v>
      </c>
      <c r="C16" s="92" t="s">
        <v>101</v>
      </c>
      <c r="D16" s="92" t="s">
        <v>102</v>
      </c>
      <c r="E16" s="92" t="s">
        <v>103</v>
      </c>
      <c r="F16" s="92" t="s">
        <v>109</v>
      </c>
      <c r="G16" s="92" t="s">
        <v>110</v>
      </c>
      <c r="H16" s="92" t="s">
        <v>98</v>
      </c>
      <c r="I16" s="93" t="s">
        <v>111</v>
      </c>
    </row>
    <row r="17" spans="1:9" ht="21.75" customHeight="1" thickTop="1" x14ac:dyDescent="0.2">
      <c r="A17" s="167"/>
      <c r="B17" s="168"/>
      <c r="C17" s="168"/>
      <c r="D17" s="168"/>
      <c r="E17" s="168">
        <f>$C$9</f>
        <v>200000</v>
      </c>
      <c r="F17" s="168"/>
      <c r="G17" s="168"/>
      <c r="H17" s="168"/>
      <c r="I17" s="169"/>
    </row>
    <row r="18" spans="1:9" x14ac:dyDescent="0.2">
      <c r="A18" s="94">
        <v>34699</v>
      </c>
      <c r="B18" s="123">
        <f>E17</f>
        <v>200000</v>
      </c>
      <c r="C18" s="123">
        <f>E17*I18</f>
        <v>80000</v>
      </c>
      <c r="D18" s="123">
        <f>C18+D17</f>
        <v>80000</v>
      </c>
      <c r="E18" s="123">
        <f>E17-C18</f>
        <v>120000</v>
      </c>
      <c r="F18" s="133">
        <f>$C$11-(YEAR($A18)-YEAR($C$10))</f>
        <v>5</v>
      </c>
      <c r="G18" s="133">
        <f>1</f>
        <v>1</v>
      </c>
      <c r="H18" s="134">
        <f>G18/F18</f>
        <v>0.2</v>
      </c>
      <c r="I18" s="135">
        <f>MAX(H18,$C$13)</f>
        <v>0.4</v>
      </c>
    </row>
    <row r="19" spans="1:9" x14ac:dyDescent="0.2">
      <c r="A19" s="94">
        <v>35064</v>
      </c>
      <c r="B19" s="123">
        <f t="shared" ref="B19:B22" si="0">E18</f>
        <v>120000</v>
      </c>
      <c r="C19" s="123">
        <f t="shared" ref="C19:C22" si="1">E18*I19</f>
        <v>48000</v>
      </c>
      <c r="D19" s="123">
        <f t="shared" ref="D19:D22" si="2">C19+D18</f>
        <v>128000</v>
      </c>
      <c r="E19" s="123">
        <f t="shared" ref="E19:E22" si="3">E18-C19</f>
        <v>72000</v>
      </c>
      <c r="F19" s="133">
        <f t="shared" ref="F19:F22" si="4">$C$11-(YEAR($A19)-YEAR($C$10))</f>
        <v>4</v>
      </c>
      <c r="G19" s="133">
        <f>1</f>
        <v>1</v>
      </c>
      <c r="H19" s="134">
        <f t="shared" ref="H19:H22" si="5">G19/F19</f>
        <v>0.25</v>
      </c>
      <c r="I19" s="135">
        <f t="shared" ref="I19:I22" si="6">MAX(H19,$C$13)</f>
        <v>0.4</v>
      </c>
    </row>
    <row r="20" spans="1:9" x14ac:dyDescent="0.2">
      <c r="A20" s="94">
        <v>35430</v>
      </c>
      <c r="B20" s="123">
        <f t="shared" si="0"/>
        <v>72000</v>
      </c>
      <c r="C20" s="123">
        <f t="shared" si="1"/>
        <v>28800</v>
      </c>
      <c r="D20" s="123">
        <f t="shared" si="2"/>
        <v>156800</v>
      </c>
      <c r="E20" s="123">
        <f t="shared" si="3"/>
        <v>43200</v>
      </c>
      <c r="F20" s="133">
        <f t="shared" si="4"/>
        <v>3</v>
      </c>
      <c r="G20" s="133">
        <f>1</f>
        <v>1</v>
      </c>
      <c r="H20" s="134">
        <f t="shared" si="5"/>
        <v>0.33333333333333331</v>
      </c>
      <c r="I20" s="135">
        <f t="shared" si="6"/>
        <v>0.4</v>
      </c>
    </row>
    <row r="21" spans="1:9" x14ac:dyDescent="0.2">
      <c r="A21" s="94">
        <v>35795</v>
      </c>
      <c r="B21" s="123">
        <f t="shared" si="0"/>
        <v>43200</v>
      </c>
      <c r="C21" s="123">
        <f t="shared" si="1"/>
        <v>21600</v>
      </c>
      <c r="D21" s="123">
        <f t="shared" si="2"/>
        <v>178400</v>
      </c>
      <c r="E21" s="123">
        <f t="shared" si="3"/>
        <v>21600</v>
      </c>
      <c r="F21" s="133">
        <f t="shared" si="4"/>
        <v>2</v>
      </c>
      <c r="G21" s="133">
        <f>1</f>
        <v>1</v>
      </c>
      <c r="H21" s="134">
        <f t="shared" si="5"/>
        <v>0.5</v>
      </c>
      <c r="I21" s="135">
        <f t="shared" si="6"/>
        <v>0.5</v>
      </c>
    </row>
    <row r="22" spans="1:9" ht="13.5" thickBot="1" x14ac:dyDescent="0.25">
      <c r="A22" s="95">
        <v>36160</v>
      </c>
      <c r="B22" s="124">
        <f t="shared" si="0"/>
        <v>21600</v>
      </c>
      <c r="C22" s="124">
        <f t="shared" si="1"/>
        <v>21600</v>
      </c>
      <c r="D22" s="124">
        <f t="shared" si="2"/>
        <v>200000</v>
      </c>
      <c r="E22" s="124">
        <f t="shared" si="3"/>
        <v>0</v>
      </c>
      <c r="F22" s="136">
        <f t="shared" si="4"/>
        <v>1</v>
      </c>
      <c r="G22" s="136">
        <f>1</f>
        <v>1</v>
      </c>
      <c r="H22" s="137">
        <f t="shared" si="5"/>
        <v>1</v>
      </c>
      <c r="I22" s="138">
        <f t="shared" si="6"/>
        <v>1</v>
      </c>
    </row>
    <row r="26" spans="1:9" ht="18" x14ac:dyDescent="0.25">
      <c r="A26" s="81" t="s">
        <v>104</v>
      </c>
    </row>
    <row r="27" spans="1:9" ht="18" x14ac:dyDescent="0.25">
      <c r="A27" s="81"/>
    </row>
    <row r="29" spans="1:9" ht="13.5" thickBot="1" x14ac:dyDescent="0.25"/>
    <row r="30" spans="1:9" x14ac:dyDescent="0.2">
      <c r="B30" s="82" t="s">
        <v>95</v>
      </c>
      <c r="C30" s="83">
        <v>200000</v>
      </c>
    </row>
    <row r="31" spans="1:9" x14ac:dyDescent="0.2">
      <c r="B31" s="84" t="s">
        <v>96</v>
      </c>
      <c r="C31" s="85">
        <v>34455</v>
      </c>
    </row>
    <row r="32" spans="1:9" x14ac:dyDescent="0.2">
      <c r="B32" s="84" t="s">
        <v>97</v>
      </c>
      <c r="C32" s="86">
        <v>5</v>
      </c>
      <c r="D32" t="s">
        <v>74</v>
      </c>
    </row>
    <row r="33" spans="1:9" x14ac:dyDescent="0.2">
      <c r="B33" s="97" t="s">
        <v>107</v>
      </c>
      <c r="C33" s="98">
        <v>2</v>
      </c>
    </row>
    <row r="34" spans="1:9" ht="13.5" thickBot="1" x14ac:dyDescent="0.25">
      <c r="B34" s="87" t="s">
        <v>112</v>
      </c>
      <c r="C34" s="99">
        <f>C33/C32</f>
        <v>0.4</v>
      </c>
    </row>
    <row r="35" spans="1:9" x14ac:dyDescent="0.2">
      <c r="B35" s="89"/>
      <c r="C35" s="90"/>
    </row>
    <row r="36" spans="1:9" ht="13.5" thickBot="1" x14ac:dyDescent="0.25"/>
    <row r="37" spans="1:9" ht="39" thickBot="1" x14ac:dyDescent="0.25">
      <c r="A37" s="91" t="s">
        <v>99</v>
      </c>
      <c r="B37" s="92" t="s">
        <v>100</v>
      </c>
      <c r="C37" s="92" t="s">
        <v>101</v>
      </c>
      <c r="D37" s="92" t="s">
        <v>102</v>
      </c>
      <c r="E37" s="92" t="s">
        <v>103</v>
      </c>
      <c r="F37" s="92" t="s">
        <v>113</v>
      </c>
      <c r="G37" s="92" t="s">
        <v>105</v>
      </c>
      <c r="H37" s="92" t="s">
        <v>98</v>
      </c>
      <c r="I37" s="93" t="s">
        <v>111</v>
      </c>
    </row>
    <row r="38" spans="1:9" ht="13.5" thickTop="1" x14ac:dyDescent="0.2">
      <c r="A38" s="167"/>
      <c r="B38" s="168"/>
      <c r="C38" s="168"/>
      <c r="D38" s="168"/>
      <c r="E38" s="168">
        <f>C30</f>
        <v>200000</v>
      </c>
      <c r="F38" s="168"/>
      <c r="G38" s="168"/>
      <c r="H38" s="168"/>
      <c r="I38" s="169"/>
    </row>
    <row r="39" spans="1:9" x14ac:dyDescent="0.2">
      <c r="A39" s="94">
        <v>34699</v>
      </c>
      <c r="B39" s="123">
        <f>E38</f>
        <v>200000</v>
      </c>
      <c r="C39" s="123">
        <f>E38*I39</f>
        <v>80000</v>
      </c>
      <c r="D39" s="123">
        <f>C39+D38</f>
        <v>80000</v>
      </c>
      <c r="E39" s="123">
        <f>E38-C39</f>
        <v>120000</v>
      </c>
      <c r="F39" s="133">
        <f>IF(YEAR(A39)=YEAR($C$31),$C$32*12,F37-G37)</f>
        <v>60</v>
      </c>
      <c r="G39" s="133">
        <f>IF(YEAR(A39)=YEAR($C$31),13-MONTH($C$31),IF(YEAR(A39)=YEAR($C$31)+$C$32,MONTH($C$31)-1,12))</f>
        <v>8</v>
      </c>
      <c r="H39" s="134">
        <f>G39/F39</f>
        <v>0.13333333333333333</v>
      </c>
      <c r="I39" s="135">
        <f>MAX($C$34,H39)</f>
        <v>0.4</v>
      </c>
    </row>
    <row r="40" spans="1:9" x14ac:dyDescent="0.2">
      <c r="A40" s="94">
        <v>35064</v>
      </c>
      <c r="B40" s="123">
        <f t="shared" ref="B40:B44" si="7">E39</f>
        <v>120000</v>
      </c>
      <c r="C40" s="123">
        <f t="shared" ref="C40:C44" si="8">E39*I40</f>
        <v>48000</v>
      </c>
      <c r="D40" s="123">
        <f t="shared" ref="D40:D44" si="9">C40+D39</f>
        <v>128000</v>
      </c>
      <c r="E40" s="123">
        <f t="shared" ref="E40:E44" si="10">E39-C40</f>
        <v>72000</v>
      </c>
      <c r="F40" s="133">
        <f t="shared" ref="F40:F44" si="11">IF(YEAR(A40)=YEAR($C$31),$C$32*12,F39-G39)</f>
        <v>52</v>
      </c>
      <c r="G40" s="133">
        <f t="shared" ref="G40:G44" si="12">IF(YEAR(A40)=YEAR($C$31),13-MONTH($C$31),IF(YEAR(A40)=YEAR($C$31)+$C$32,MONTH($C$31)-1,12))</f>
        <v>12</v>
      </c>
      <c r="H40" s="134">
        <f t="shared" ref="H40:H44" si="13">G40/F40</f>
        <v>0.23076923076923078</v>
      </c>
      <c r="I40" s="135">
        <f t="shared" ref="I40:I44" si="14">MAX($C$34,H40)</f>
        <v>0.4</v>
      </c>
    </row>
    <row r="41" spans="1:9" x14ac:dyDescent="0.2">
      <c r="A41" s="94">
        <v>35430</v>
      </c>
      <c r="B41" s="123">
        <f t="shared" si="7"/>
        <v>72000</v>
      </c>
      <c r="C41" s="123">
        <f t="shared" si="8"/>
        <v>28800</v>
      </c>
      <c r="D41" s="123">
        <f t="shared" si="9"/>
        <v>156800</v>
      </c>
      <c r="E41" s="123">
        <f t="shared" si="10"/>
        <v>43200</v>
      </c>
      <c r="F41" s="133">
        <f t="shared" si="11"/>
        <v>40</v>
      </c>
      <c r="G41" s="133">
        <f t="shared" si="12"/>
        <v>12</v>
      </c>
      <c r="H41" s="134">
        <f t="shared" si="13"/>
        <v>0.3</v>
      </c>
      <c r="I41" s="135">
        <f t="shared" si="14"/>
        <v>0.4</v>
      </c>
    </row>
    <row r="42" spans="1:9" x14ac:dyDescent="0.2">
      <c r="A42" s="94">
        <v>35795</v>
      </c>
      <c r="B42" s="123">
        <f t="shared" si="7"/>
        <v>43200</v>
      </c>
      <c r="C42" s="123">
        <f t="shared" si="8"/>
        <v>18514.285714285714</v>
      </c>
      <c r="D42" s="123">
        <f t="shared" si="9"/>
        <v>175314.28571428571</v>
      </c>
      <c r="E42" s="123">
        <f t="shared" si="10"/>
        <v>24685.714285714286</v>
      </c>
      <c r="F42" s="133">
        <f t="shared" si="11"/>
        <v>28</v>
      </c>
      <c r="G42" s="133">
        <f t="shared" si="12"/>
        <v>12</v>
      </c>
      <c r="H42" s="134">
        <f t="shared" si="13"/>
        <v>0.42857142857142855</v>
      </c>
      <c r="I42" s="135">
        <f t="shared" si="14"/>
        <v>0.42857142857142855</v>
      </c>
    </row>
    <row r="43" spans="1:9" x14ac:dyDescent="0.2">
      <c r="A43" s="94">
        <v>36160</v>
      </c>
      <c r="B43" s="123">
        <f t="shared" si="7"/>
        <v>24685.714285714286</v>
      </c>
      <c r="C43" s="123">
        <f t="shared" si="8"/>
        <v>18514.285714285714</v>
      </c>
      <c r="D43" s="123">
        <f t="shared" si="9"/>
        <v>193828.57142857142</v>
      </c>
      <c r="E43" s="123">
        <f t="shared" si="10"/>
        <v>6171.4285714285725</v>
      </c>
      <c r="F43" s="133">
        <f t="shared" si="11"/>
        <v>16</v>
      </c>
      <c r="G43" s="133">
        <f t="shared" si="12"/>
        <v>12</v>
      </c>
      <c r="H43" s="134">
        <f t="shared" si="13"/>
        <v>0.75</v>
      </c>
      <c r="I43" s="135">
        <f t="shared" si="14"/>
        <v>0.75</v>
      </c>
    </row>
    <row r="44" spans="1:9" ht="13.5" thickBot="1" x14ac:dyDescent="0.25">
      <c r="A44" s="95">
        <v>36525</v>
      </c>
      <c r="B44" s="124">
        <f t="shared" si="7"/>
        <v>6171.4285714285725</v>
      </c>
      <c r="C44" s="124">
        <f t="shared" si="8"/>
        <v>6171.4285714285725</v>
      </c>
      <c r="D44" s="124">
        <f t="shared" si="9"/>
        <v>200000</v>
      </c>
      <c r="E44" s="124">
        <f t="shared" si="10"/>
        <v>0</v>
      </c>
      <c r="F44" s="136">
        <f t="shared" si="11"/>
        <v>4</v>
      </c>
      <c r="G44" s="136">
        <f t="shared" si="12"/>
        <v>4</v>
      </c>
      <c r="H44" s="137">
        <f t="shared" si="13"/>
        <v>1</v>
      </c>
      <c r="I44" s="138">
        <f t="shared" si="14"/>
        <v>1</v>
      </c>
    </row>
  </sheetData>
  <mergeCells count="2">
    <mergeCell ref="A1:E1"/>
    <mergeCell ref="A2:E2"/>
  </mergeCells>
  <pageMargins left="0.78740157499999996" right="0.78740157499999996" top="0.984251969" bottom="0.984251969" header="0.4921259845" footer="0.4921259845"/>
  <pageSetup paperSize="9" scale="80" orientation="portrait" horizontalDpi="300" verticalDpi="300" r:id="rId1"/>
  <headerFooter alignWithMargins="0">
    <oddHeader>&amp;L&amp;"Times New Roman,Normal"&amp;8Microsoft Excel 97</oddHeader>
    <oddFooter>&amp;L&amp;"Times New Roman,Normal"&amp;8L. HASSOUNI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Paie </vt:lpstr>
      <vt:lpstr>Paie  Données</vt:lpstr>
      <vt:lpstr>AmortFinancier_Formules</vt:lpstr>
      <vt:lpstr>AmortFinancier_FoncFin</vt:lpstr>
      <vt:lpstr>AmortImmobLin_Formules</vt:lpstr>
      <vt:lpstr>AmortImmob Dégf</vt:lpstr>
      <vt:lpstr>Capital</vt:lpstr>
      <vt:lpstr>Durée</vt:lpstr>
      <vt:lpstr>Taux_Int_Ht</vt:lpstr>
      <vt:lpstr>Taux_Int_Ttc</vt:lpstr>
      <vt:lpstr>Taux_Tva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Hassouni</dc:creator>
  <cp:lastModifiedBy>hassouni</cp:lastModifiedBy>
  <dcterms:created xsi:type="dcterms:W3CDTF">2011-01-18T13:45:16Z</dcterms:created>
  <dcterms:modified xsi:type="dcterms:W3CDTF">2017-10-31T05:21:28Z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74d6ab50-1abc-42f2-93b6-5d1ef7f46a66</vt:lpwstr>
  </property>
</Properties>
</file>