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27E5F8D7-95F0-4BA9-83C5-348C019AE6CA}" xr6:coauthVersionLast="43" xr6:coauthVersionMax="43" xr10:uidLastSave="{00000000-0000-0000-0000-000000000000}"/>
  <bookViews>
    <workbookView xWindow="-110" yWindow="-110" windowWidth="19420" windowHeight="10420" tabRatio="500" firstSheet="2" activeTab="2"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Android'!$B$3:$I$72</definedName>
    <definedName name="_xlnm._FilterDatabase" localSheetId="4" hidden="1">'Exigences de Sécurité - IOS'!$B$3:$I$72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0" l="1"/>
  <c r="H13" i="14"/>
  <c r="H6" i="10" l="1"/>
  <c r="I6" i="10"/>
  <c r="I6" i="14"/>
  <c r="H6" i="14"/>
  <c r="D12" i="6" l="1"/>
  <c r="D14" i="6" l="1"/>
  <c r="H47" i="7"/>
  <c r="K47" i="7" s="1"/>
  <c r="H43" i="7"/>
  <c r="I43" i="7"/>
  <c r="H44" i="7"/>
  <c r="I44" i="7"/>
  <c r="K44" i="7" s="1"/>
  <c r="H45" i="7"/>
  <c r="I45" i="7"/>
  <c r="K45" i="7" s="1"/>
  <c r="H46" i="7"/>
  <c r="I46" i="7"/>
  <c r="I47" i="7"/>
  <c r="H48" i="7"/>
  <c r="I48" i="7"/>
  <c r="H49" i="7"/>
  <c r="I49" i="7"/>
  <c r="H50" i="7"/>
  <c r="K50" i="7" s="1"/>
  <c r="I50" i="7"/>
  <c r="G43" i="7"/>
  <c r="G44" i="7"/>
  <c r="G45" i="7"/>
  <c r="G46" i="7"/>
  <c r="G47" i="7"/>
  <c r="G48" i="7"/>
  <c r="G49" i="7"/>
  <c r="G50" i="7"/>
  <c r="G8" i="7" s="1"/>
  <c r="J44" i="7"/>
  <c r="F49" i="7"/>
  <c r="F48" i="7"/>
  <c r="J50" i="7"/>
  <c r="J49" i="7"/>
  <c r="J48" i="7"/>
  <c r="J47" i="7"/>
  <c r="J46" i="7"/>
  <c r="J45" i="7"/>
  <c r="J43" i="7"/>
  <c r="F50" i="7"/>
  <c r="F47" i="7"/>
  <c r="F46" i="7"/>
  <c r="F45" i="7"/>
  <c r="F44" i="7"/>
  <c r="F43" i="7"/>
  <c r="K48" i="7"/>
  <c r="K46" i="7"/>
  <c r="K49" i="7"/>
  <c r="K43" i="7"/>
  <c r="V8" i="7" s="1"/>
  <c r="H7" i="14" l="1"/>
  <c r="J49" i="14"/>
  <c r="H9" i="10"/>
  <c r="H8" i="14"/>
  <c r="J48" i="14"/>
  <c r="H8" i="10"/>
  <c r="H9" i="14"/>
  <c r="H14" i="10"/>
  <c r="H7" i="10"/>
  <c r="I11" i="14"/>
  <c r="H12" i="10"/>
  <c r="H5" i="14"/>
  <c r="H11" i="14"/>
  <c r="I11" i="10"/>
  <c r="H12" i="14"/>
  <c r="H10" i="10"/>
  <c r="H10" i="14"/>
  <c r="H5" i="10"/>
  <c r="H11" i="10"/>
  <c r="H14" i="14"/>
  <c r="H41" i="14"/>
  <c r="H56" i="10"/>
  <c r="G5" i="15"/>
  <c r="H65" i="14"/>
  <c r="H56" i="14"/>
  <c r="I48" i="14"/>
  <c r="H40" i="14"/>
  <c r="H31" i="14"/>
  <c r="H22" i="14"/>
  <c r="G15" i="11"/>
  <c r="H72" i="10"/>
  <c r="H64" i="10"/>
  <c r="H55" i="10"/>
  <c r="H45" i="10"/>
  <c r="H37" i="10"/>
  <c r="H27" i="10"/>
  <c r="H19" i="10"/>
  <c r="H72" i="14"/>
  <c r="H64" i="14"/>
  <c r="H55" i="14"/>
  <c r="H48" i="14"/>
  <c r="H39" i="14"/>
  <c r="H30" i="14"/>
  <c r="H21" i="14"/>
  <c r="G13" i="11"/>
  <c r="H71" i="10"/>
  <c r="H62" i="10"/>
  <c r="H53" i="10"/>
  <c r="H44" i="10"/>
  <c r="H36" i="10"/>
  <c r="H26" i="10"/>
  <c r="H18" i="10"/>
  <c r="H61" i="10"/>
  <c r="H43" i="10"/>
  <c r="H25" i="10"/>
  <c r="H59" i="10"/>
  <c r="H41" i="10"/>
  <c r="H23" i="10"/>
  <c r="H68" i="14"/>
  <c r="H50" i="14"/>
  <c r="H34" i="14"/>
  <c r="G7" i="11"/>
  <c r="H49" i="10"/>
  <c r="H22" i="10"/>
  <c r="H58" i="14"/>
  <c r="H33" i="14"/>
  <c r="G6" i="11"/>
  <c r="H48" i="10"/>
  <c r="H30" i="10"/>
  <c r="G6" i="15"/>
  <c r="H23" i="14"/>
  <c r="H65" i="10"/>
  <c r="H38" i="10"/>
  <c r="H32" i="14"/>
  <c r="H71" i="14"/>
  <c r="H62" i="14"/>
  <c r="H53" i="14"/>
  <c r="H46" i="14"/>
  <c r="H38" i="14"/>
  <c r="H29" i="14"/>
  <c r="H20" i="14"/>
  <c r="G10" i="11"/>
  <c r="H70" i="10"/>
  <c r="H52" i="10"/>
  <c r="H34" i="10"/>
  <c r="H17" i="10"/>
  <c r="H68" i="10"/>
  <c r="H59" i="14"/>
  <c r="H25" i="14"/>
  <c r="H67" i="10"/>
  <c r="H31" i="10"/>
  <c r="H67" i="14"/>
  <c r="H24" i="14"/>
  <c r="H57" i="10"/>
  <c r="H66" i="14"/>
  <c r="G5" i="11"/>
  <c r="H29" i="10"/>
  <c r="H70" i="14"/>
  <c r="H61" i="14"/>
  <c r="H52" i="14"/>
  <c r="H45" i="14"/>
  <c r="H37" i="14"/>
  <c r="H27" i="14"/>
  <c r="H19" i="14"/>
  <c r="G9" i="11"/>
  <c r="H69" i="10"/>
  <c r="H60" i="10"/>
  <c r="H51" i="10"/>
  <c r="H42" i="10"/>
  <c r="H33" i="10"/>
  <c r="H24" i="10"/>
  <c r="H16" i="10"/>
  <c r="H69" i="14"/>
  <c r="H60" i="14"/>
  <c r="H51" i="14"/>
  <c r="H44" i="14"/>
  <c r="H36" i="14"/>
  <c r="H26" i="14"/>
  <c r="H18" i="14"/>
  <c r="G8" i="11"/>
  <c r="H50" i="10"/>
  <c r="H32" i="10"/>
  <c r="G15" i="15"/>
  <c r="H43" i="14"/>
  <c r="H17" i="14"/>
  <c r="H58" i="10"/>
  <c r="H40" i="10"/>
  <c r="G7" i="15"/>
  <c r="H49" i="14"/>
  <c r="H42" i="14"/>
  <c r="H16" i="14"/>
  <c r="H66" i="10"/>
  <c r="H39" i="10"/>
  <c r="H21" i="10"/>
  <c r="H57" i="14"/>
  <c r="I49" i="14"/>
  <c r="G17" i="11"/>
  <c r="H46" i="10"/>
  <c r="H20" i="10"/>
</calcChain>
</file>

<file path=xl/sharedStrings.xml><?xml version="1.0" encoding="utf-8"?>
<sst xmlns="http://schemas.openxmlformats.org/spreadsheetml/2006/main" count="990" uniqueCount="366">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</sst>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4">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8">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quotePrefix="1" applyFill="1"/>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2" fillId="0" borderId="0" xfId="9" applyFill="1" applyAlignment="1">
      <alignment wrapText="1"/>
    </xf>
    <xf numFmtId="0" fontId="2" fillId="0" borderId="36" xfId="9" applyFill="1" applyBorder="1" applyAlignment="1">
      <alignment wrapText="1"/>
    </xf>
    <xf numFmtId="0" fontId="17" fillId="4" borderId="0" xfId="0" applyFont="1" applyFill="1" applyBorder="1" applyAlignment="1">
      <alignment horizontal="center" vertical="center" wrapText="1"/>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6" fillId="0" borderId="52" xfId="0" applyFont="1" applyBorder="1" applyAlignment="1">
      <alignment vertical="top" wrapText="1"/>
    </xf>
    <xf numFmtId="0" fontId="20" fillId="0" borderId="52" xfId="0" applyFont="1" applyBorder="1" applyAlignment="1">
      <alignment vertical="top" wrapText="1"/>
    </xf>
    <xf numFmtId="0" fontId="17" fillId="2" borderId="52"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2" fillId="0" borderId="0" xfId="9" applyBorder="1" applyAlignment="1">
      <alignment horizontal="left"/>
    </xf>
    <xf numFmtId="0" fontId="2" fillId="0" borderId="35" xfId="9" applyBorder="1" applyAlignment="1">
      <alignment horizontal="left"/>
    </xf>
    <xf numFmtId="0" fontId="0" fillId="0" borderId="53" xfId="0" applyBorder="1"/>
    <xf numFmtId="14" fontId="0" fillId="0" borderId="53" xfId="0" applyNumberFormat="1" applyBorder="1"/>
    <xf numFmtId="0" fontId="0" fillId="0" borderId="53" xfId="0" applyBorder="1" applyAlignment="1">
      <alignment wrapText="1"/>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1" fillId="0" borderId="0" xfId="0" applyFont="1" applyAlignment="1">
      <alignment horizontal="left" vertical="top"/>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7"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3" sqref="D13"/>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57" t="s">
        <v>212</v>
      </c>
      <c r="C2" s="158"/>
      <c r="D2" s="159"/>
    </row>
    <row r="3" spans="2:4" x14ac:dyDescent="0.35">
      <c r="B3" s="160"/>
      <c r="C3" s="161"/>
      <c r="D3" s="162"/>
    </row>
    <row r="4" spans="2:4" x14ac:dyDescent="0.35">
      <c r="B4" s="160"/>
      <c r="C4" s="161"/>
      <c r="D4" s="162"/>
    </row>
    <row r="5" spans="2:4" x14ac:dyDescent="0.35">
      <c r="B5" s="160"/>
      <c r="C5" s="161"/>
      <c r="D5" s="162"/>
    </row>
    <row r="6" spans="2:4" x14ac:dyDescent="0.35">
      <c r="B6" s="160"/>
      <c r="C6" s="161"/>
      <c r="D6" s="162"/>
    </row>
    <row r="7" spans="2:4" x14ac:dyDescent="0.35">
      <c r="B7" s="160"/>
      <c r="C7" s="161"/>
      <c r="D7" s="162"/>
    </row>
    <row r="8" spans="2:4" hidden="1" x14ac:dyDescent="0.35">
      <c r="B8" s="163"/>
      <c r="C8" s="164"/>
      <c r="D8" s="165"/>
    </row>
    <row r="9" spans="2:4" x14ac:dyDescent="0.35">
      <c r="B9" s="166" t="s">
        <v>66</v>
      </c>
      <c r="C9" s="167"/>
      <c r="D9" s="168"/>
    </row>
    <row r="10" spans="2:4" x14ac:dyDescent="0.35">
      <c r="B10" s="131" t="s">
        <v>198</v>
      </c>
      <c r="C10" s="132"/>
      <c r="D10" s="133"/>
    </row>
    <row r="11" spans="2:4" x14ac:dyDescent="0.35">
      <c r="B11" s="171" t="s">
        <v>228</v>
      </c>
      <c r="C11" s="171"/>
      <c r="D11" s="134" t="s">
        <v>275</v>
      </c>
    </row>
    <row r="12" spans="2:4" x14ac:dyDescent="0.35">
      <c r="B12" s="171" t="s">
        <v>276</v>
      </c>
      <c r="C12" s="171"/>
      <c r="D12" s="135" t="str">
        <f>HYPERLINK(CONCATENATE("https://github.com/OWASP/owasp-masvs/blob/",VERSION_MASVS,"/Document/"))</f>
        <v>https://github.com/OWASP/owasp-masvs/blob/1.1.4/Document/</v>
      </c>
    </row>
    <row r="13" spans="2:4" x14ac:dyDescent="0.35">
      <c r="B13" s="169" t="s">
        <v>274</v>
      </c>
      <c r="C13" s="170"/>
      <c r="D13" s="97" t="s">
        <v>365</v>
      </c>
    </row>
    <row r="14" spans="2:4" x14ac:dyDescent="0.35">
      <c r="B14" s="77" t="s">
        <v>235</v>
      </c>
      <c r="C14" s="78"/>
      <c r="D14" s="96" t="str">
        <f>HYPERLINK(CONCATENATE("https://github.com/OWASP/owasp-mstg/blob/",VERSION_MSTG,"/Document/"))</f>
        <v>https://github.com/OWASP/owasp-mstg/blob/1.1.3/Document/</v>
      </c>
    </row>
    <row r="15" spans="2:4" ht="35.25" customHeight="1" x14ac:dyDescent="0.35">
      <c r="B15" s="98" t="s">
        <v>237</v>
      </c>
      <c r="C15" s="100"/>
      <c r="D15" s="101"/>
    </row>
    <row r="16" spans="2:4" x14ac:dyDescent="0.35">
      <c r="B16" s="98" t="s">
        <v>199</v>
      </c>
      <c r="C16" s="95"/>
      <c r="D16" s="99"/>
    </row>
    <row r="17" spans="2:4" x14ac:dyDescent="0.35">
      <c r="B17" s="77" t="s">
        <v>84</v>
      </c>
      <c r="C17" s="78"/>
      <c r="D17" s="97"/>
    </row>
    <row r="18" spans="2:4" x14ac:dyDescent="0.35">
      <c r="B18" s="155" t="s">
        <v>199</v>
      </c>
      <c r="C18" s="156"/>
      <c r="D18" s="12"/>
    </row>
    <row r="19" spans="2:4" x14ac:dyDescent="0.35">
      <c r="B19" s="153" t="s">
        <v>85</v>
      </c>
      <c r="C19" s="154"/>
      <c r="D19" s="12"/>
    </row>
    <row r="20" spans="2:4" x14ac:dyDescent="0.35">
      <c r="B20" s="153" t="s">
        <v>200</v>
      </c>
      <c r="C20" s="154"/>
      <c r="D20" s="12"/>
    </row>
    <row r="21" spans="2:4" x14ac:dyDescent="0.35">
      <c r="B21" s="153" t="s">
        <v>86</v>
      </c>
      <c r="C21" s="154"/>
      <c r="D21" s="12"/>
    </row>
    <row r="22" spans="2:4" x14ac:dyDescent="0.35">
      <c r="B22" s="153" t="s">
        <v>201</v>
      </c>
      <c r="C22" s="154"/>
      <c r="D22" s="12" t="s">
        <v>202</v>
      </c>
    </row>
    <row r="23" spans="2:4" ht="70.5" customHeight="1" x14ac:dyDescent="0.35">
      <c r="B23" s="153" t="s">
        <v>203</v>
      </c>
      <c r="C23" s="154"/>
      <c r="D23" s="12" t="s">
        <v>204</v>
      </c>
    </row>
    <row r="24" spans="2:4" x14ac:dyDescent="0.35">
      <c r="B24" s="167"/>
      <c r="C24" s="167"/>
      <c r="D24" s="168"/>
    </row>
    <row r="25" spans="2:4" x14ac:dyDescent="0.35">
      <c r="B25" s="1" t="s">
        <v>205</v>
      </c>
      <c r="C25" s="2"/>
      <c r="D25" s="3"/>
    </row>
    <row r="26" spans="2:4" x14ac:dyDescent="0.35">
      <c r="B26" s="76" t="s">
        <v>206</v>
      </c>
      <c r="C26" s="4"/>
      <c r="D26" s="12"/>
    </row>
    <row r="27" spans="2:4" x14ac:dyDescent="0.35">
      <c r="B27" s="153" t="s">
        <v>207</v>
      </c>
      <c r="C27" s="154"/>
      <c r="D27" s="12"/>
    </row>
    <row r="28" spans="2:4" x14ac:dyDescent="0.35">
      <c r="B28" s="153" t="s">
        <v>87</v>
      </c>
      <c r="C28" s="154"/>
      <c r="D28" s="12"/>
    </row>
    <row r="29" spans="2:4" x14ac:dyDescent="0.35">
      <c r="B29" s="153" t="s">
        <v>64</v>
      </c>
      <c r="C29" s="154"/>
      <c r="D29" s="12"/>
    </row>
    <row r="30" spans="2:4" ht="35.25" customHeight="1" x14ac:dyDescent="0.35">
      <c r="B30" s="180" t="s">
        <v>238</v>
      </c>
      <c r="C30" s="181"/>
      <c r="D30" s="12"/>
    </row>
    <row r="31" spans="2:4" x14ac:dyDescent="0.35">
      <c r="B31" s="176"/>
      <c r="C31" s="176"/>
      <c r="D31" s="177"/>
    </row>
    <row r="32" spans="2:4" x14ac:dyDescent="0.35">
      <c r="B32" s="1" t="s">
        <v>208</v>
      </c>
      <c r="C32" s="2"/>
      <c r="D32" s="3"/>
    </row>
    <row r="33" spans="2:4" x14ac:dyDescent="0.35">
      <c r="B33" s="76" t="s">
        <v>206</v>
      </c>
      <c r="C33" s="64"/>
      <c r="D33" s="12"/>
    </row>
    <row r="34" spans="2:4" x14ac:dyDescent="0.35">
      <c r="B34" s="153" t="s">
        <v>209</v>
      </c>
      <c r="C34" s="154"/>
      <c r="D34" s="12"/>
    </row>
    <row r="35" spans="2:4" x14ac:dyDescent="0.35">
      <c r="B35" s="153" t="s">
        <v>87</v>
      </c>
      <c r="C35" s="154"/>
      <c r="D35" s="12"/>
    </row>
    <row r="36" spans="2:4" x14ac:dyDescent="0.35">
      <c r="B36" s="153" t="s">
        <v>64</v>
      </c>
      <c r="C36" s="154"/>
      <c r="D36" s="12"/>
    </row>
    <row r="37" spans="2:4" ht="30.75" customHeight="1" x14ac:dyDescent="0.35">
      <c r="B37" s="178" t="s">
        <v>239</v>
      </c>
      <c r="C37" s="179"/>
      <c r="D37" s="12"/>
    </row>
    <row r="38" spans="2:4" x14ac:dyDescent="0.35">
      <c r="B38" s="167"/>
      <c r="C38" s="167"/>
      <c r="D38" s="168"/>
    </row>
    <row r="39" spans="2:4" x14ac:dyDescent="0.35">
      <c r="B39" s="1" t="s">
        <v>210</v>
      </c>
      <c r="C39" s="2"/>
      <c r="D39" s="3"/>
    </row>
    <row r="40" spans="2:4" x14ac:dyDescent="0.35">
      <c r="B40" s="172"/>
      <c r="C40" s="173"/>
      <c r="D40" s="174"/>
    </row>
    <row r="41" spans="2:4" x14ac:dyDescent="0.35">
      <c r="B41" s="155" t="s">
        <v>107</v>
      </c>
      <c r="C41" s="175"/>
      <c r="D41" s="55"/>
    </row>
    <row r="42" spans="2:4" x14ac:dyDescent="0.35">
      <c r="B42" s="155" t="s">
        <v>108</v>
      </c>
      <c r="C42" s="175"/>
      <c r="D42" s="55"/>
    </row>
    <row r="43" spans="2:4" x14ac:dyDescent="0.35">
      <c r="B43" s="155" t="s">
        <v>109</v>
      </c>
      <c r="C43" s="175"/>
      <c r="D43" s="55"/>
    </row>
    <row r="44" spans="2:4" x14ac:dyDescent="0.35">
      <c r="B44" s="155" t="s">
        <v>211</v>
      </c>
      <c r="C44" s="175"/>
      <c r="D44" s="56"/>
    </row>
    <row r="45" spans="2:4" x14ac:dyDescent="0.35">
      <c r="B45" s="155" t="s">
        <v>110</v>
      </c>
      <c r="C45" s="175"/>
      <c r="D45" s="55"/>
    </row>
    <row r="46" spans="2:4" x14ac:dyDescent="0.35">
      <c r="B46" s="172"/>
      <c r="C46" s="173"/>
      <c r="D46" s="174"/>
    </row>
    <row r="47" spans="2:4" x14ac:dyDescent="0.35">
      <c r="B47" s="155" t="s">
        <v>107</v>
      </c>
      <c r="C47" s="175"/>
      <c r="D47" s="55"/>
    </row>
    <row r="48" spans="2:4" x14ac:dyDescent="0.35">
      <c r="B48" s="155" t="s">
        <v>108</v>
      </c>
      <c r="C48" s="175"/>
      <c r="D48" s="55"/>
    </row>
    <row r="49" spans="2:4" x14ac:dyDescent="0.35">
      <c r="B49" s="155" t="s">
        <v>109</v>
      </c>
      <c r="C49" s="175"/>
      <c r="D49" s="55"/>
    </row>
    <row r="50" spans="2:4" x14ac:dyDescent="0.35">
      <c r="B50" s="155" t="s">
        <v>211</v>
      </c>
      <c r="C50" s="175"/>
      <c r="D50" s="56"/>
    </row>
    <row r="51" spans="2:4" x14ac:dyDescent="0.35">
      <c r="B51" s="155" t="s">
        <v>110</v>
      </c>
      <c r="C51" s="175"/>
      <c r="D51" s="55"/>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86"/>
      <c r="C4" s="186"/>
      <c r="D4" s="186"/>
      <c r="E4" s="186"/>
      <c r="F4" s="186"/>
    </row>
    <row r="5" spans="2:24" ht="16" customHeight="1" thickBot="1" x14ac:dyDescent="0.35">
      <c r="B5" s="20"/>
      <c r="C5" s="20"/>
      <c r="D5" s="20"/>
      <c r="E5" s="20"/>
      <c r="F5" s="20"/>
    </row>
    <row r="6" spans="2:24" ht="19" customHeight="1" thickBot="1" x14ac:dyDescent="0.4">
      <c r="B6" s="21"/>
      <c r="C6" s="21"/>
      <c r="D6" s="21"/>
      <c r="E6" s="21"/>
      <c r="F6" s="21"/>
      <c r="G6" s="196" t="s">
        <v>197</v>
      </c>
      <c r="H6" s="197"/>
      <c r="I6" s="198"/>
      <c r="V6" s="199" t="s">
        <v>236</v>
      </c>
      <c r="W6" s="200"/>
      <c r="X6" s="201"/>
    </row>
    <row r="7" spans="2:24" ht="15" thickBot="1" x14ac:dyDescent="0.4">
      <c r="B7" s="13"/>
      <c r="C7" s="13"/>
      <c r="D7" s="13"/>
      <c r="E7" s="13"/>
      <c r="F7" s="13"/>
    </row>
    <row r="8" spans="2:24" ht="16" customHeight="1" x14ac:dyDescent="0.3">
      <c r="B8" s="20"/>
      <c r="C8" s="20"/>
      <c r="D8" s="20"/>
      <c r="E8" s="20"/>
      <c r="F8" s="20"/>
      <c r="G8" s="187">
        <f>AVERAGE(G43:G50)*5</f>
        <v>2.5258318070818078</v>
      </c>
      <c r="H8" s="188"/>
      <c r="I8" s="189"/>
      <c r="V8" s="187" t="e">
        <f>AVERAGE(K43:K50)*5</f>
        <v>#REF!</v>
      </c>
      <c r="W8" s="188"/>
      <c r="X8" s="189"/>
    </row>
    <row r="9" spans="2:24" ht="91" customHeight="1" x14ac:dyDescent="0.35">
      <c r="B9" s="21"/>
      <c r="C9" s="21"/>
      <c r="D9" s="21"/>
      <c r="E9" s="21"/>
      <c r="F9" s="21"/>
      <c r="G9" s="190"/>
      <c r="H9" s="191"/>
      <c r="I9" s="192"/>
      <c r="V9" s="190"/>
      <c r="W9" s="191"/>
      <c r="X9" s="192"/>
    </row>
    <row r="10" spans="2:24" ht="16.5" customHeight="1" x14ac:dyDescent="0.35">
      <c r="B10" s="13"/>
      <c r="C10" s="13"/>
      <c r="D10" s="13"/>
      <c r="E10" s="13"/>
      <c r="F10" s="13"/>
      <c r="G10" s="190"/>
      <c r="H10" s="191"/>
      <c r="I10" s="192"/>
      <c r="V10" s="190"/>
      <c r="W10" s="191"/>
      <c r="X10" s="192"/>
    </row>
    <row r="11" spans="2:24" ht="17.25" customHeight="1" thickBot="1" x14ac:dyDescent="0.4">
      <c r="B11" s="13"/>
      <c r="C11" s="13"/>
      <c r="D11" s="13"/>
      <c r="E11" s="13"/>
      <c r="F11" s="13"/>
      <c r="G11" s="193"/>
      <c r="H11" s="194"/>
      <c r="I11" s="195"/>
      <c r="V11" s="193"/>
      <c r="W11" s="194"/>
      <c r="X11" s="195"/>
    </row>
    <row r="12" spans="2:24" ht="16" customHeight="1" x14ac:dyDescent="0.3">
      <c r="B12" s="182"/>
      <c r="C12" s="182"/>
      <c r="D12" s="182"/>
      <c r="E12" s="182"/>
      <c r="F12" s="182"/>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82"/>
      <c r="C16" s="182"/>
      <c r="D16" s="182"/>
      <c r="E16" s="182"/>
      <c r="F16" s="182"/>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3" t="s">
        <v>71</v>
      </c>
      <c r="E41" s="184"/>
      <c r="F41" s="184"/>
      <c r="G41" s="185"/>
      <c r="H41" s="183" t="s">
        <v>72</v>
      </c>
      <c r="I41" s="184"/>
      <c r="J41" s="184"/>
      <c r="K41" s="185"/>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Android'!G5:G14,'Exigences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Android'!G16:G27,'Exigences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Android'!G29:G34,'Exigences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Android'!G36:G46,'Exigences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Android'!G48:G53,'Exigences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Android'!G55:G62,'Exigences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Android'!G64:G72,'Exigences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Android'!F4:F18,'Exigences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showGridLines="0" tabSelected="1" topLeftCell="E1" zoomScale="71" zoomScaleNormal="71" zoomScalePageLayoutView="130" workbookViewId="0">
      <selection activeCell="H13" sqref="H13"/>
    </sheetView>
  </sheetViews>
  <sheetFormatPr baseColWidth="10" defaultColWidth="11" defaultRowHeight="15.5" x14ac:dyDescent="0.35"/>
  <cols>
    <col min="1" max="1" width="1.83203125" customWidth="1"/>
    <col min="2" max="2" width="8" customWidth="1"/>
    <col min="3" max="3" width="18.6640625" customWidth="1"/>
    <col min="4" max="4" width="96.58203125" style="54" customWidth="1"/>
    <col min="5" max="5" width="7.75" customWidth="1"/>
    <col min="6" max="6" width="9.25" customWidth="1"/>
    <col min="7" max="7" width="5.83203125" bestFit="1" customWidth="1"/>
    <col min="8" max="8" width="62.25" customWidth="1"/>
    <col min="9" max="10" width="58.08203125" customWidth="1"/>
    <col min="11" max="12" width="10.83203125" customWidth="1"/>
  </cols>
  <sheetData>
    <row r="1" spans="2:10" ht="18.5" x14ac:dyDescent="0.35">
      <c r="B1" s="202" t="s">
        <v>118</v>
      </c>
      <c r="C1" s="202"/>
      <c r="D1" s="202"/>
      <c r="E1" s="202"/>
      <c r="F1" s="202"/>
      <c r="G1" s="202"/>
      <c r="H1" s="202"/>
      <c r="I1" s="202"/>
    </row>
    <row r="2" spans="2:10" x14ac:dyDescent="0.35">
      <c r="B2" s="45"/>
      <c r="C2" s="45"/>
      <c r="D2" s="52"/>
      <c r="E2" s="45"/>
      <c r="F2" s="45"/>
      <c r="G2" s="45"/>
      <c r="H2" s="45"/>
      <c r="I2" s="45"/>
      <c r="J2" s="45"/>
    </row>
    <row r="3" spans="2:10" x14ac:dyDescent="0.35">
      <c r="B3" s="25" t="s">
        <v>0</v>
      </c>
      <c r="C3" s="26" t="s">
        <v>288</v>
      </c>
      <c r="D3" s="79" t="s">
        <v>213</v>
      </c>
      <c r="E3" s="26" t="s">
        <v>91</v>
      </c>
      <c r="F3" s="26" t="s">
        <v>92</v>
      </c>
      <c r="G3" s="26" t="s">
        <v>93</v>
      </c>
      <c r="H3" s="203" t="s">
        <v>215</v>
      </c>
      <c r="I3" s="204"/>
      <c r="J3" s="80" t="s">
        <v>216</v>
      </c>
    </row>
    <row r="4" spans="2:10" x14ac:dyDescent="0.35">
      <c r="B4" s="27" t="s">
        <v>1</v>
      </c>
      <c r="C4" s="29"/>
      <c r="D4" s="28" t="s">
        <v>232</v>
      </c>
      <c r="E4" s="29"/>
      <c r="F4" s="29"/>
      <c r="G4" s="29"/>
      <c r="H4" s="205"/>
      <c r="I4" s="206"/>
      <c r="J4" s="30"/>
    </row>
    <row r="5" spans="2:10" x14ac:dyDescent="0.35">
      <c r="B5" s="31" t="s">
        <v>2</v>
      </c>
      <c r="C5" s="141" t="s">
        <v>289</v>
      </c>
      <c r="D5" s="137" t="s">
        <v>119</v>
      </c>
      <c r="E5" s="24" t="s">
        <v>3</v>
      </c>
      <c r="F5" s="46" t="s">
        <v>3</v>
      </c>
      <c r="G5" s="33"/>
      <c r="H5" s="148" t="str">
        <f>HYPERLINK(CONCATENATE(
BASE_URL,
"0x04b-Mobile-App-Security-Testing.md#architectural-information"),
"Architectural Information")</f>
        <v>Architectural Information</v>
      </c>
      <c r="I5" s="65"/>
      <c r="J5" s="65"/>
    </row>
    <row r="6" spans="2:10" x14ac:dyDescent="0.35">
      <c r="B6" s="31" t="s">
        <v>250</v>
      </c>
      <c r="C6" s="141" t="s">
        <v>290</v>
      </c>
      <c r="D6" s="137" t="s">
        <v>121</v>
      </c>
      <c r="E6" s="24" t="s">
        <v>3</v>
      </c>
      <c r="F6" s="46" t="s">
        <v>3</v>
      </c>
      <c r="G6" s="33"/>
      <c r="H6" s="149" t="str">
        <f>HYPERLINK(CONCATENATE(
BASE_URL,
"0x04h-Testing-Code-Quality.md#injection-flaws-mstg-arch-2-and-mstg-platform-2"),
"Injection Flaws (MSTG-ARCH-2 and MSTG-PLATFORM-2)")</f>
        <v>Injection Flaws (MSTG-ARCH-2 and MSTG-PLATFORM-2)</v>
      </c>
      <c r="I6" s="124" t="str">
        <f>HYPERLINK(CONCATENATE(
BASE_URL,
"0x04h-Testing-Code-Quality.md#cross-site-scripting-flaws-mstg-arch-2-and-mstg-platform-2"),
"Cross-Site Scripting Flaws (MSTG-ARCH-2 and MSTG-PLATFORM-2)")</f>
        <v>Cross-Site Scripting Flaws (MSTG-ARCH-2 and MSTG-PLATFORM-2)</v>
      </c>
      <c r="J6" s="65"/>
    </row>
    <row r="7" spans="2:10" ht="29" x14ac:dyDescent="0.35">
      <c r="B7" s="31" t="s">
        <v>251</v>
      </c>
      <c r="C7" s="141" t="s">
        <v>291</v>
      </c>
      <c r="D7" s="32" t="s">
        <v>122</v>
      </c>
      <c r="E7" s="24" t="s">
        <v>3</v>
      </c>
      <c r="F7" s="46" t="s">
        <v>3</v>
      </c>
      <c r="G7" s="33"/>
      <c r="H7" s="148" t="str">
        <f>HYPERLINK(CONCATENATE(
BASE_URL,
"0x04b-Mobile-App-Security-Testing.md#architectural-information"),
"Architectural Information")</f>
        <v>Architectural Information</v>
      </c>
      <c r="I7" s="65"/>
      <c r="J7" s="65"/>
    </row>
    <row r="8" spans="2:10" x14ac:dyDescent="0.35">
      <c r="B8" s="31" t="s">
        <v>253</v>
      </c>
      <c r="C8" s="141" t="s">
        <v>292</v>
      </c>
      <c r="D8" s="137" t="s">
        <v>120</v>
      </c>
      <c r="E8" s="24" t="s">
        <v>3</v>
      </c>
      <c r="F8" s="46" t="s">
        <v>3</v>
      </c>
      <c r="G8" s="33"/>
      <c r="H8" s="148" t="str">
        <f>HYPERLINK(CONCATENATE(
BASE_URL,
"0x04b-Mobile-App-Security-Testing.md#identifying-sensitive-data"),
"Identifying Sensitive Data")</f>
        <v>Identifying Sensitive Data</v>
      </c>
      <c r="I8" s="65"/>
      <c r="J8" s="65"/>
    </row>
    <row r="9" spans="2:10" x14ac:dyDescent="0.35">
      <c r="B9" s="31" t="s">
        <v>252</v>
      </c>
      <c r="C9" s="141" t="s">
        <v>293</v>
      </c>
      <c r="D9" s="137" t="s">
        <v>123</v>
      </c>
      <c r="E9" s="32"/>
      <c r="F9" s="46" t="s">
        <v>3</v>
      </c>
      <c r="G9" s="33" t="s">
        <v>63</v>
      </c>
      <c r="H9" s="148" t="str">
        <f>HYPERLINK(CONCATENATE(
BASE_URL,
"0x04b-Mobile-App-Security-Testing.md#environmental-information"),
"Environmental Information")</f>
        <v>Environmental Information</v>
      </c>
      <c r="I9" s="65"/>
      <c r="J9" s="65"/>
    </row>
    <row r="10" spans="2:10" ht="29" x14ac:dyDescent="0.35">
      <c r="B10" s="31" t="s">
        <v>254</v>
      </c>
      <c r="C10" s="141" t="s">
        <v>294</v>
      </c>
      <c r="D10" s="32" t="s">
        <v>124</v>
      </c>
      <c r="E10" s="32"/>
      <c r="F10" s="46" t="s">
        <v>3</v>
      </c>
      <c r="G10" s="33" t="s">
        <v>63</v>
      </c>
      <c r="H10" s="148" t="str">
        <f>HYPERLINK(CONCATENATE(
BASE_URL,
"0x04b-Mobile-App-Security-Testing.md#mapping-the-application"),
"Mapping the Application")</f>
        <v>Mapping the Application</v>
      </c>
      <c r="I10" s="65"/>
      <c r="J10" s="65"/>
    </row>
    <row r="11" spans="2:10" x14ac:dyDescent="0.35">
      <c r="B11" s="31" t="s">
        <v>4</v>
      </c>
      <c r="C11" s="141" t="s">
        <v>295</v>
      </c>
      <c r="D11" s="137" t="s">
        <v>125</v>
      </c>
      <c r="E11" s="47"/>
      <c r="F11" s="46" t="s">
        <v>3</v>
      </c>
      <c r="G11" s="33" t="s">
        <v>63</v>
      </c>
      <c r="H11" s="148" t="str">
        <f>HYPERLINK(CONCATENATE(
BASE_URL,
"0x04b-Mobile-App-Security-Testing.md#principles-of-testing"),
"Principles of Testing")</f>
        <v>Principles of Testing</v>
      </c>
      <c r="I11" s="124" t="str">
        <f>HYPERLINK(CONCATENATE(
BASE_URL,
"0x04b-Mobile-App-Security-Testing.md#penetration-testing-aka-pentesting"),
"Penetration Testing (a.k.a. Pentesting)")</f>
        <v>Penetration Testing (a.k.a. Pentesting)</v>
      </c>
      <c r="J11" s="65"/>
    </row>
    <row r="12" spans="2:10" ht="29" x14ac:dyDescent="0.35">
      <c r="B12" s="31" t="s">
        <v>255</v>
      </c>
      <c r="C12" s="141" t="s">
        <v>296</v>
      </c>
      <c r="D12" s="32" t="s">
        <v>126</v>
      </c>
      <c r="E12" s="32"/>
      <c r="F12" s="46" t="s">
        <v>3</v>
      </c>
      <c r="G12" s="33" t="s">
        <v>63</v>
      </c>
      <c r="H12" s="148" t="str">
        <f>HYPERLINK(CONCATENATE(
BASE_URL,
"0x04g-Testing-Cryptography.md#cryptographic-policy"),
"Cryptographic policy")</f>
        <v>Cryptographic policy</v>
      </c>
      <c r="I12" s="65"/>
      <c r="J12" s="65"/>
    </row>
    <row r="13" spans="2:10" x14ac:dyDescent="0.35">
      <c r="B13" s="31" t="s">
        <v>256</v>
      </c>
      <c r="C13" s="141" t="s">
        <v>297</v>
      </c>
      <c r="D13" s="137" t="s">
        <v>127</v>
      </c>
      <c r="E13" s="32"/>
      <c r="F13" s="46" t="s">
        <v>3</v>
      </c>
      <c r="G13" s="33" t="s">
        <v>63</v>
      </c>
      <c r="H13" s="148" t="str">
        <f>HYPERLINK(CONCATENATE(
BASE_URL,
"0x05h-Testing-Platform-Interaction.md#testing-enforced-updating-mstg-arch-9"),
"Testing enforced updating (MSTG-ARCH-9)")</f>
        <v>Testing enforced updating (MSTG-ARCH-9)</v>
      </c>
      <c r="I13" s="65"/>
      <c r="J13" s="65"/>
    </row>
    <row r="14" spans="2:10" x14ac:dyDescent="0.35">
      <c r="B14" s="63" t="s">
        <v>5</v>
      </c>
      <c r="C14" s="142" t="s">
        <v>298</v>
      </c>
      <c r="D14" s="137" t="s">
        <v>128</v>
      </c>
      <c r="E14" s="32"/>
      <c r="F14" s="46" t="s">
        <v>3</v>
      </c>
      <c r="G14" s="33" t="s">
        <v>63</v>
      </c>
      <c r="H14" s="148" t="str">
        <f>HYPERLINK(CONCATENATE(
BASE_URL,
"0x04b-Mobile-App-Security-Testing.md#security-testing-and-the-sdlc"),
"Security Testing and the SDLC")</f>
        <v>Security Testing and the SDLC</v>
      </c>
      <c r="I14" s="65"/>
      <c r="J14" s="65"/>
    </row>
    <row r="15" spans="2:10" x14ac:dyDescent="0.35">
      <c r="B15" s="34" t="s">
        <v>6</v>
      </c>
      <c r="C15" s="48"/>
      <c r="D15" s="35" t="s">
        <v>214</v>
      </c>
      <c r="E15" s="35"/>
      <c r="F15" s="48"/>
      <c r="G15" s="35"/>
      <c r="H15" s="35"/>
      <c r="I15" s="36"/>
      <c r="J15" s="36"/>
    </row>
    <row r="16" spans="2:10" ht="43.5" x14ac:dyDescent="0.35">
      <c r="B16" s="49" t="s">
        <v>7</v>
      </c>
      <c r="C16" s="143" t="s">
        <v>299</v>
      </c>
      <c r="D16" s="50" t="s">
        <v>129</v>
      </c>
      <c r="E16" s="24" t="s">
        <v>3</v>
      </c>
      <c r="F16" s="46" t="s">
        <v>3</v>
      </c>
      <c r="G16" s="33"/>
      <c r="H16" s="90" t="str">
        <f>HYPERLINK(CONCATENATE(BASE_URL,"0x05d-Testing-Data-Storage.md#testing-local-storage-for-sensitive-data"),"Testing Local Storage for Sensitive Data")</f>
        <v>Testing Local Storage for Sensitive Data</v>
      </c>
      <c r="I16" s="65"/>
      <c r="J16" s="65"/>
    </row>
    <row r="17" spans="2:10" ht="29" x14ac:dyDescent="0.35">
      <c r="B17" s="49" t="s">
        <v>39</v>
      </c>
      <c r="C17" s="143" t="s">
        <v>300</v>
      </c>
      <c r="D17" s="50" t="s">
        <v>130</v>
      </c>
      <c r="E17" s="24"/>
      <c r="F17" s="46"/>
      <c r="G17" s="33"/>
      <c r="H17" s="91" t="str">
        <f>HYPERLINK(CONCATENATE(BASE_URL,"0x05d-Testing-Data-Storage.md#testing-local-storage-for-sensitive-data"),"Testing Local Storage for Sensitive Data")</f>
        <v>Testing Local Storage for Sensitive Data</v>
      </c>
      <c r="I17" s="65"/>
      <c r="J17" s="65"/>
    </row>
    <row r="18" spans="2:10" x14ac:dyDescent="0.35">
      <c r="B18" s="49" t="s">
        <v>40</v>
      </c>
      <c r="C18" s="143" t="s">
        <v>301</v>
      </c>
      <c r="D18" s="137" t="s">
        <v>131</v>
      </c>
      <c r="E18" s="24" t="s">
        <v>3</v>
      </c>
      <c r="F18" s="46" t="s">
        <v>3</v>
      </c>
      <c r="G18" s="33"/>
      <c r="H18" s="91" t="str">
        <f>HYPERLINK(CONCATENATE(BASE_URL,"0x05d-Testing-Data-Storage.md#testing-logs-for-sensitive-data"),"Testing Logs for Sensitive Data")</f>
        <v>Testing Logs for Sensitive Data</v>
      </c>
      <c r="I18" s="65"/>
      <c r="J18" s="65"/>
    </row>
    <row r="19" spans="2:10" x14ac:dyDescent="0.35">
      <c r="B19" s="49" t="s">
        <v>8</v>
      </c>
      <c r="C19" s="143" t="s">
        <v>302</v>
      </c>
      <c r="D19" s="137" t="s">
        <v>132</v>
      </c>
      <c r="E19" s="24" t="s">
        <v>3</v>
      </c>
      <c r="F19" s="46" t="s">
        <v>3</v>
      </c>
      <c r="G19" s="33"/>
      <c r="H19" s="91" t="str">
        <f>HYPERLINK(CONCATENATE(BASE_URL,"0x05d-Testing-Data-Storage.md#determining-whether-sensitive-data-is-sent-to-third-parties"),"Determining Whether Sensitive Data is Sent to Third Parties")</f>
        <v>Determining Whether Sensitive Data is Sent to Third Parties</v>
      </c>
      <c r="I19" s="65"/>
      <c r="J19" s="65"/>
    </row>
    <row r="20" spans="2:10" ht="31" x14ac:dyDescent="0.35">
      <c r="B20" s="49" t="s">
        <v>41</v>
      </c>
      <c r="C20" s="143" t="s">
        <v>303</v>
      </c>
      <c r="D20" s="137" t="s">
        <v>133</v>
      </c>
      <c r="E20" s="24" t="s">
        <v>3</v>
      </c>
      <c r="F20" s="46" t="s">
        <v>3</v>
      </c>
      <c r="G20" s="33"/>
      <c r="H20" s="139" t="str">
        <f>HYPERLINK(CONCATENATE(BASE_URL,"0x05d-Testing-Data-Storage.md#determining-whether-the-keyboard-cache-is-disabled-for-text-input-fields"),"Determining Whether the Keyboard Cache Is Disabled for Text Input Fields")</f>
        <v>Determining Whether the Keyboard Cache Is Disabled for Text Input Fields</v>
      </c>
      <c r="I20" s="65"/>
      <c r="J20" s="65"/>
    </row>
    <row r="21" spans="2:10" ht="31" x14ac:dyDescent="0.35">
      <c r="B21" s="49" t="s">
        <v>9</v>
      </c>
      <c r="C21" s="143" t="s">
        <v>304</v>
      </c>
      <c r="D21" s="137" t="s">
        <v>134</v>
      </c>
      <c r="E21" s="24" t="s">
        <v>3</v>
      </c>
      <c r="F21" s="46" t="s">
        <v>3</v>
      </c>
      <c r="G21" s="33"/>
      <c r="H21" s="139" t="str">
        <f>HYPERLINK(CONCATENATE(BASE_URL,"0x05d-Testing-Data-Storage.md#determining-whether-sensitive-stored-data-has-been-exposed-via-ipc-mechanisms"),"Determining Whether Sensitive Stored Data Has Been Exposed via IPC Mechanisms")</f>
        <v>Determining Whether Sensitive Stored Data Has Been Exposed via IPC Mechanisms</v>
      </c>
      <c r="I21" s="65"/>
      <c r="J21" s="65"/>
    </row>
    <row r="22" spans="2:10" x14ac:dyDescent="0.35">
      <c r="B22" s="49" t="s">
        <v>10</v>
      </c>
      <c r="C22" s="143" t="s">
        <v>305</v>
      </c>
      <c r="D22" s="137" t="s">
        <v>135</v>
      </c>
      <c r="E22" s="24" t="s">
        <v>3</v>
      </c>
      <c r="F22" s="46" t="s">
        <v>3</v>
      </c>
      <c r="G22" s="33"/>
      <c r="H22" s="91" t="str">
        <f>HYPERLINK(CONCATENATE(BASE_URL,"0x05d-Testing-Data-Storage.md#checking-for-sensitive-data-disclosure-through-the-user-interface"),"Checking for Sensitive Data Disclosure Through the User Interface")</f>
        <v>Checking for Sensitive Data Disclosure Through the User Interface</v>
      </c>
      <c r="I22" s="65"/>
      <c r="J22" s="65"/>
    </row>
    <row r="23" spans="2:10" x14ac:dyDescent="0.35">
      <c r="B23" s="49" t="s">
        <v>11</v>
      </c>
      <c r="C23" s="143" t="s">
        <v>306</v>
      </c>
      <c r="D23" s="137" t="s">
        <v>136</v>
      </c>
      <c r="E23" s="50"/>
      <c r="F23" s="46" t="s">
        <v>3</v>
      </c>
      <c r="G23" s="33" t="s">
        <v>63</v>
      </c>
      <c r="H23" s="91" t="str">
        <f>HYPERLINK(CONCATENATE(BASE_URL,"0x05d-Testing-Data-Storage.md#testing-backups-for-sensitive-data"),"Testing Backups for Sensitive Data")</f>
        <v>Testing Backups for Sensitive Data</v>
      </c>
      <c r="I23" s="65"/>
      <c r="J23" s="65"/>
    </row>
    <row r="24" spans="2:10" x14ac:dyDescent="0.35">
      <c r="B24" s="49" t="s">
        <v>12</v>
      </c>
      <c r="C24" s="143" t="s">
        <v>307</v>
      </c>
      <c r="D24" s="137" t="s">
        <v>280</v>
      </c>
      <c r="E24" s="50"/>
      <c r="F24" s="46" t="s">
        <v>3</v>
      </c>
      <c r="G24" s="33" t="s">
        <v>63</v>
      </c>
      <c r="H24" s="91" t="str">
        <f>HYPERLINK(CONCATENATE(BASE_URL,"0x05d-Testing-Data-Storage.md#finding-sensitive-information-in-auto-generated-screenshots"),"Finding Sensitive Information in Auto-Generated Screenshots")</f>
        <v>Finding Sensitive Information in Auto-Generated Screenshots</v>
      </c>
      <c r="I24" s="65"/>
      <c r="J24" s="65"/>
    </row>
    <row r="25" spans="2:10" ht="29" x14ac:dyDescent="0.35">
      <c r="B25" s="49" t="s">
        <v>42</v>
      </c>
      <c r="C25" s="143" t="s">
        <v>308</v>
      </c>
      <c r="D25" s="50" t="s">
        <v>137</v>
      </c>
      <c r="E25" s="50"/>
      <c r="F25" s="46" t="s">
        <v>3</v>
      </c>
      <c r="G25" s="33" t="s">
        <v>63</v>
      </c>
      <c r="H25" s="91" t="str">
        <f>HYPERLINK(CONCATENATE(BASE_URL,"0x05d-Testing-Data-Storage.md#checking-memory-for-sensitive-data"),"Checking Memory for Sensitive Data")</f>
        <v>Checking Memory for Sensitive Data</v>
      </c>
      <c r="I25" s="65"/>
      <c r="J25" s="65"/>
    </row>
    <row r="26" spans="2:10" ht="29" x14ac:dyDescent="0.35">
      <c r="B26" s="49" t="s">
        <v>43</v>
      </c>
      <c r="C26" s="143" t="s">
        <v>309</v>
      </c>
      <c r="D26" s="50" t="s">
        <v>138</v>
      </c>
      <c r="E26" s="50"/>
      <c r="F26" s="46" t="s">
        <v>3</v>
      </c>
      <c r="G26" s="33" t="s">
        <v>63</v>
      </c>
      <c r="H26" s="91" t="str">
        <f>HYPERLINK(CONCATENATE(BASE_URL,"0x05d-Testing-Data-Storage.md#testing-the-device-access-security-policy"),"Testing the Device-Access-Security Policy")</f>
        <v>Testing the Device-Access-Security Policy</v>
      </c>
      <c r="I26" s="65"/>
      <c r="J26" s="65"/>
    </row>
    <row r="27" spans="2:10" ht="29" x14ac:dyDescent="0.35">
      <c r="B27" s="49" t="s">
        <v>13</v>
      </c>
      <c r="C27" s="143" t="s">
        <v>310</v>
      </c>
      <c r="D27" s="50" t="s">
        <v>139</v>
      </c>
      <c r="E27" s="50"/>
      <c r="F27" s="46" t="s">
        <v>3</v>
      </c>
      <c r="G27" s="33" t="s">
        <v>63</v>
      </c>
      <c r="H27" s="122" t="str">
        <f>HYPERLINK(CONCATENATE(BASE_URL,"0x04i-Testing-user-interaction.md#testing-user-education"),"Testing User Education")</f>
        <v>Testing User Education</v>
      </c>
      <c r="I27" s="65"/>
      <c r="J27" s="65"/>
    </row>
    <row r="28" spans="2:10" x14ac:dyDescent="0.35">
      <c r="B28" s="34" t="s">
        <v>14</v>
      </c>
      <c r="C28" s="48"/>
      <c r="D28" s="35" t="s">
        <v>94</v>
      </c>
      <c r="E28" s="35"/>
      <c r="F28" s="48"/>
      <c r="G28" s="35"/>
      <c r="H28" s="35"/>
      <c r="I28" s="36"/>
      <c r="J28" s="36"/>
    </row>
    <row r="29" spans="2:10" x14ac:dyDescent="0.35">
      <c r="B29" s="49" t="s">
        <v>15</v>
      </c>
      <c r="C29" s="143" t="s">
        <v>311</v>
      </c>
      <c r="D29" s="137" t="s">
        <v>281</v>
      </c>
      <c r="E29" s="24" t="s">
        <v>3</v>
      </c>
      <c r="F29" s="46" t="s">
        <v>3</v>
      </c>
      <c r="G29" s="33"/>
      <c r="H29" s="91" t="str">
        <f>HYPERLINK(CONCATENATE(BASE_URL,"0x05e-Testing-Cryptography.md#testing-key-management"),"Testing Key Management")</f>
        <v>Testing Key Management</v>
      </c>
      <c r="I29" s="65"/>
      <c r="J29" s="65"/>
    </row>
    <row r="30" spans="2:10" x14ac:dyDescent="0.35">
      <c r="B30" s="49" t="s">
        <v>16</v>
      </c>
      <c r="C30" s="143" t="s">
        <v>313</v>
      </c>
      <c r="D30" s="137" t="s">
        <v>140</v>
      </c>
      <c r="E30" s="24" t="s">
        <v>3</v>
      </c>
      <c r="F30" s="46" t="s">
        <v>3</v>
      </c>
      <c r="G30" s="33"/>
      <c r="H30" s="91" t="str">
        <f>HYPERLINK(CONCATENATE(BASE_URL,"0x04g-Testing-Cryptography.md#cryptography-for-mobile-apps"),"Cryptography for Mobile Apps")</f>
        <v>Cryptography for Mobile Apps</v>
      </c>
      <c r="I30" s="65"/>
      <c r="J30" s="65"/>
    </row>
    <row r="31" spans="2:10" ht="29" x14ac:dyDescent="0.35">
      <c r="B31" s="49" t="s">
        <v>17</v>
      </c>
      <c r="C31" s="143" t="s">
        <v>312</v>
      </c>
      <c r="D31" s="138" t="s">
        <v>141</v>
      </c>
      <c r="E31" s="24" t="s">
        <v>3</v>
      </c>
      <c r="F31" s="46" t="s">
        <v>3</v>
      </c>
      <c r="G31" s="33"/>
      <c r="H31" s="91" t="str">
        <f>HYPERLINK(CONCATENATE(BASE_URL,"0x05e-Testing-Cryptography.md#verifying-the-configuration-of-cryptographic-standard-algorithms"),"Verifying the Configuration of Cryptographic Standard Algorithms")</f>
        <v>Verifying the Configuration of Cryptographic Standard Algorithms</v>
      </c>
      <c r="I31" s="65"/>
      <c r="J31" s="65"/>
    </row>
    <row r="32" spans="2:10" ht="29" x14ac:dyDescent="0.35">
      <c r="B32" s="49" t="s">
        <v>18</v>
      </c>
      <c r="C32" s="143" t="s">
        <v>314</v>
      </c>
      <c r="D32" s="50" t="s">
        <v>142</v>
      </c>
      <c r="E32" s="24" t="s">
        <v>3</v>
      </c>
      <c r="F32" s="46" t="s">
        <v>3</v>
      </c>
      <c r="G32" s="33"/>
      <c r="H32" s="91" t="str">
        <f>HYPERLINK(CONCATENATE(BASE_URL,"0x04g-Testing-Cryptography.md#identifying-insecure-andor-deprecated-cryptographic-algorithms"),"Identifying Insecure and/or Deprecated Cryptographic Algorithms")</f>
        <v>Identifying Insecure and/or Deprecated Cryptographic Algorithms</v>
      </c>
      <c r="I32" s="65"/>
      <c r="J32" s="65"/>
    </row>
    <row r="33" spans="2:11" x14ac:dyDescent="0.35">
      <c r="B33" s="49" t="s">
        <v>19</v>
      </c>
      <c r="C33" s="143" t="s">
        <v>315</v>
      </c>
      <c r="D33" s="137" t="s">
        <v>143</v>
      </c>
      <c r="E33" s="24" t="s">
        <v>3</v>
      </c>
      <c r="F33" s="46" t="s">
        <v>3</v>
      </c>
      <c r="G33" s="33"/>
      <c r="H33" s="91" t="str">
        <f>HYPERLINK(CONCATENATE(BASE_URL,"0x05e-Testing-Cryptography.md#testing-key-management"),"Testing Key Management")</f>
        <v>Testing Key Management</v>
      </c>
      <c r="I33" s="65"/>
      <c r="J33" s="65"/>
    </row>
    <row r="34" spans="2:11" x14ac:dyDescent="0.35">
      <c r="B34" s="49" t="s">
        <v>20</v>
      </c>
      <c r="C34" s="143" t="s">
        <v>316</v>
      </c>
      <c r="D34" s="137" t="s">
        <v>282</v>
      </c>
      <c r="E34" s="24" t="s">
        <v>3</v>
      </c>
      <c r="F34" s="46" t="s">
        <v>3</v>
      </c>
      <c r="G34" s="33"/>
      <c r="H34" s="91" t="str">
        <f>HYPERLINK(CONCATENATE(BASE_URL,"0x05e-Testing-Cryptography.md#testing-random-number-generation")," Testing Random Number Generation")</f>
        <v xml:space="preserve"> Testing Random Number Generation</v>
      </c>
      <c r="I34" s="65"/>
      <c r="J34" s="65"/>
    </row>
    <row r="35" spans="2:11" x14ac:dyDescent="0.35">
      <c r="B35" s="34" t="s">
        <v>21</v>
      </c>
      <c r="C35" s="48"/>
      <c r="D35" s="35" t="s">
        <v>102</v>
      </c>
      <c r="E35" s="35"/>
      <c r="F35" s="48"/>
      <c r="G35" s="35"/>
      <c r="H35" s="35"/>
      <c r="I35" s="36"/>
      <c r="J35" s="36"/>
    </row>
    <row r="36" spans="2:11" ht="29" x14ac:dyDescent="0.35">
      <c r="B36" s="49" t="s">
        <v>22</v>
      </c>
      <c r="C36" s="143" t="s">
        <v>317</v>
      </c>
      <c r="D36" s="138" t="s">
        <v>144</v>
      </c>
      <c r="E36" s="24" t="s">
        <v>3</v>
      </c>
      <c r="F36" s="46" t="s">
        <v>3</v>
      </c>
      <c r="G36" s="33"/>
      <c r="H36" s="91" t="str">
        <f>HYPERLINK(CONCATENATE(BASE_URL,"0x04e-Testing-Authentication-and-Session-Management.md#testing-authentication"),"Testing Authentication")</f>
        <v>Testing Authentication</v>
      </c>
      <c r="I36" s="65"/>
      <c r="J36" s="65"/>
    </row>
    <row r="37" spans="2:11" ht="29" x14ac:dyDescent="0.35">
      <c r="B37" s="49" t="s">
        <v>44</v>
      </c>
      <c r="C37" s="143" t="s">
        <v>318</v>
      </c>
      <c r="D37" s="138" t="s">
        <v>145</v>
      </c>
      <c r="E37" s="24" t="s">
        <v>3</v>
      </c>
      <c r="F37" s="46" t="s">
        <v>3</v>
      </c>
      <c r="G37" s="33"/>
      <c r="H37" s="91" t="str">
        <f>HYPERLINK(CONCATENATE(BASE_URL,"0x04e-Testing-Authentication-and-Session-Management.md#testing-stateful-session-management"),"Testing Stateful Session Management")</f>
        <v>Testing Stateful Session Management</v>
      </c>
      <c r="I37" s="65"/>
      <c r="J37" s="65"/>
    </row>
    <row r="38" spans="2:11" ht="29" x14ac:dyDescent="0.35">
      <c r="B38" s="49" t="s">
        <v>45</v>
      </c>
      <c r="C38" s="143" t="s">
        <v>319</v>
      </c>
      <c r="D38" s="138" t="s">
        <v>146</v>
      </c>
      <c r="E38" s="24" t="s">
        <v>3</v>
      </c>
      <c r="F38" s="46" t="s">
        <v>3</v>
      </c>
      <c r="G38" s="33"/>
      <c r="H38" s="91" t="str">
        <f>HYPERLINK(CONCATENATE(BASE_URL,"0x04e-Testing-Authentication-and-Session-Management.md#testing-stateless-token-based-authentication"),"Testing Stateless (Token-Based) Authentication")</f>
        <v>Testing Stateless (Token-Based) Authentication</v>
      </c>
      <c r="I38" s="65"/>
      <c r="J38" s="65"/>
      <c r="K38" s="51"/>
    </row>
    <row r="39" spans="2:11" x14ac:dyDescent="0.35">
      <c r="B39" s="49" t="s">
        <v>23</v>
      </c>
      <c r="C39" s="143" t="s">
        <v>320</v>
      </c>
      <c r="D39" s="137" t="s">
        <v>147</v>
      </c>
      <c r="E39" s="24"/>
      <c r="F39" s="46"/>
      <c r="G39" s="33"/>
      <c r="H39" s="91" t="str">
        <f>HYPERLINK(CONCATENATE(BASE_URL,"0x04e-Testing-Authentication-and-Session-Management.md#user-logout-and-session-timeouts"),"User Logout and Session Timeouts")</f>
        <v>User Logout and Session Timeouts</v>
      </c>
      <c r="I39" s="65"/>
      <c r="J39" s="65"/>
      <c r="K39" s="51"/>
    </row>
    <row r="40" spans="2:11" x14ac:dyDescent="0.35">
      <c r="B40" s="49" t="s">
        <v>24</v>
      </c>
      <c r="C40" s="143" t="s">
        <v>321</v>
      </c>
      <c r="D40" s="137" t="s">
        <v>148</v>
      </c>
      <c r="E40" s="24" t="s">
        <v>3</v>
      </c>
      <c r="F40" s="46" t="s">
        <v>3</v>
      </c>
      <c r="G40" s="33"/>
      <c r="H40" s="91" t="str">
        <f>HYPERLINK(CONCATENATE(BASE_URL,"0x04e-Testing-Authentication-and-Session-Management.md#best-practices-for-passwords"),"Best Practices for Passwords")</f>
        <v>Best Practices for Passwords</v>
      </c>
      <c r="I40" s="65"/>
      <c r="J40" s="65"/>
    </row>
    <row r="41" spans="2:11" ht="29" x14ac:dyDescent="0.35">
      <c r="B41" s="49" t="s">
        <v>46</v>
      </c>
      <c r="C41" s="143" t="s">
        <v>322</v>
      </c>
      <c r="D41" s="137" t="s">
        <v>149</v>
      </c>
      <c r="E41" s="24" t="s">
        <v>3</v>
      </c>
      <c r="F41" s="46" t="s">
        <v>3</v>
      </c>
      <c r="G41" s="33"/>
      <c r="H41" s="91" t="str">
        <f>HYPERLINK(CONCATENATE(BASE_URL,"0x04e-Testing-Authentication-and-Session-Management.md#running-a-password-dictionary-attack"),"Running a Password Dictionary Attack")</f>
        <v>Running a Password Dictionary Attack</v>
      </c>
      <c r="I41" s="65"/>
      <c r="J41" s="65"/>
    </row>
    <row r="42" spans="2:11" ht="29" x14ac:dyDescent="0.35">
      <c r="B42" s="49" t="s">
        <v>47</v>
      </c>
      <c r="C42" s="143" t="s">
        <v>323</v>
      </c>
      <c r="D42" s="137" t="s">
        <v>150</v>
      </c>
      <c r="E42" s="24" t="s">
        <v>3</v>
      </c>
      <c r="F42" s="46" t="s">
        <v>3</v>
      </c>
      <c r="G42" s="33"/>
      <c r="H42" s="91" t="str">
        <f>HYPERLINK(CONCATENATE(BASE_URL,"0x04e-Testing-Authentication-and-Session-Management.md#session-timeout"),"Session Timeout")</f>
        <v>Session Timeout</v>
      </c>
      <c r="I42" s="51"/>
      <c r="J42" s="51"/>
    </row>
    <row r="43" spans="2:11" ht="43.5" x14ac:dyDescent="0.35">
      <c r="B43" s="49" t="s">
        <v>25</v>
      </c>
      <c r="C43" s="143" t="s">
        <v>324</v>
      </c>
      <c r="D43" s="137" t="s">
        <v>151</v>
      </c>
      <c r="E43" s="50"/>
      <c r="F43" s="46" t="s">
        <v>3</v>
      </c>
      <c r="G43" s="33" t="s">
        <v>63</v>
      </c>
      <c r="H43" s="91" t="str">
        <f>HYPERLINK(CONCATENATE(BASE_URL,"0x05f-Testing-Local-Authentication.md#testing-biometric-authentication"),"Testing Biometric Authentication")</f>
        <v>Testing Biometric Authentication</v>
      </c>
      <c r="I43" s="65"/>
      <c r="J43" s="65"/>
    </row>
    <row r="44" spans="2:11" ht="29" x14ac:dyDescent="0.35">
      <c r="B44" s="49" t="s">
        <v>26</v>
      </c>
      <c r="C44" s="143" t="s">
        <v>325</v>
      </c>
      <c r="D44" s="50" t="s">
        <v>152</v>
      </c>
      <c r="E44" s="50"/>
      <c r="F44" s="46" t="s">
        <v>3</v>
      </c>
      <c r="G44" s="33" t="s">
        <v>63</v>
      </c>
      <c r="H44" s="91" t="str">
        <f>HYPERLINK(CONCATENATE(BASE_URL,"0x04e-Testing-Authentication-and-Session-Management.md#verifying-that-2fa-is-enforced"),"Verifying that 2FA is Enforced")</f>
        <v>Verifying that 2FA is Enforced</v>
      </c>
      <c r="I44" s="65"/>
      <c r="J44" s="65"/>
    </row>
    <row r="45" spans="2:11" x14ac:dyDescent="0.35">
      <c r="B45" s="49" t="s">
        <v>27</v>
      </c>
      <c r="C45" s="143" t="s">
        <v>326</v>
      </c>
      <c r="D45" s="137" t="s">
        <v>153</v>
      </c>
      <c r="E45" s="50"/>
      <c r="F45" s="46" t="s">
        <v>3</v>
      </c>
      <c r="G45" s="33" t="s">
        <v>63</v>
      </c>
      <c r="H45" s="91" t="str">
        <f>HYPERLINK(CONCATENATE(BASE_URL,"0x04e-Testing-Authentication-and-Session-Management.md#2-factor-authentication-and-step-up-authentication"),"2-Factor Authentication and Step-up Authentication")</f>
        <v>2-Factor Authentication and Step-up Authentication</v>
      </c>
      <c r="I45" s="65"/>
      <c r="J45" s="65"/>
    </row>
    <row r="46" spans="2:11" ht="29" x14ac:dyDescent="0.35">
      <c r="B46" s="49" t="s">
        <v>80</v>
      </c>
      <c r="C46" s="143" t="s">
        <v>327</v>
      </c>
      <c r="D46" s="137" t="s">
        <v>154</v>
      </c>
      <c r="E46" s="50"/>
      <c r="F46" s="46" t="s">
        <v>3</v>
      </c>
      <c r="G46" s="33" t="s">
        <v>63</v>
      </c>
      <c r="H46" s="92" t="str">
        <f>HYPERLINK(CONCATENATE(BASE_URL,"0x04e-Testing-Authentication-and-Session-Management.md#login-activity-and-device-blocking"),"Login Activity and Device Blocking")</f>
        <v>Login Activity and Device Blocking</v>
      </c>
      <c r="I46" s="65"/>
      <c r="J46" s="65"/>
    </row>
    <row r="47" spans="2:11" x14ac:dyDescent="0.35">
      <c r="B47" s="34" t="s">
        <v>28</v>
      </c>
      <c r="C47" s="48"/>
      <c r="D47" s="35" t="s">
        <v>95</v>
      </c>
      <c r="E47" s="35"/>
      <c r="F47" s="48"/>
      <c r="G47" s="35"/>
      <c r="H47" s="35"/>
      <c r="I47" s="36"/>
      <c r="J47" s="36"/>
    </row>
    <row r="48" spans="2:11" ht="29" x14ac:dyDescent="0.35">
      <c r="B48" s="49" t="s">
        <v>29</v>
      </c>
      <c r="C48" s="143" t="s">
        <v>328</v>
      </c>
      <c r="D48" s="137" t="s">
        <v>155</v>
      </c>
      <c r="E48" s="24" t="s">
        <v>3</v>
      </c>
      <c r="F48" s="46" t="s">
        <v>3</v>
      </c>
      <c r="G48" s="33"/>
      <c r="H48" s="91" t="str">
        <f>HYPERLINK(CONCATENATE(BASE_URL,"0x04f-Testing-Network-Communication.md#verifying-data-encryption-on-the-network"),"Verifying Data Encryption on the Network")</f>
        <v>Verifying Data Encryption on the Network</v>
      </c>
      <c r="I48" s="65"/>
      <c r="J48" s="65"/>
    </row>
    <row r="49" spans="2:10" ht="29" x14ac:dyDescent="0.35">
      <c r="B49" s="49" t="s">
        <v>48</v>
      </c>
      <c r="C49" s="143" t="s">
        <v>329</v>
      </c>
      <c r="D49" s="137" t="s">
        <v>156</v>
      </c>
      <c r="E49" s="24" t="s">
        <v>3</v>
      </c>
      <c r="F49" s="46" t="s">
        <v>3</v>
      </c>
      <c r="G49" s="33"/>
      <c r="H49" s="91" t="str">
        <f>HYPERLINK(CONCATENATE(BASE_URL,"0x04f-Testing-Network-Communication.md#recommended-tls-settings"),"Recommended TLS Settings")</f>
        <v>Recommended TLS Settings</v>
      </c>
      <c r="I49" s="65"/>
      <c r="J49" s="65"/>
    </row>
    <row r="50" spans="2:10" ht="29" x14ac:dyDescent="0.35">
      <c r="B50" s="49" t="s">
        <v>30</v>
      </c>
      <c r="C50" s="143" t="s">
        <v>330</v>
      </c>
      <c r="D50" s="137" t="s">
        <v>157</v>
      </c>
      <c r="E50" s="24" t="s">
        <v>3</v>
      </c>
      <c r="F50" s="46" t="s">
        <v>3</v>
      </c>
      <c r="G50" s="33"/>
      <c r="H50" s="91" t="str">
        <f>HYPERLINK(CONCATENATE(BASE_URL,"0x05g-Testing-Network-Communication.md#testing-endpoint-identify-verification"),"Testing Endpoint Identify Verification")</f>
        <v>Testing Endpoint Identify Verification</v>
      </c>
      <c r="I50" s="124"/>
      <c r="J50" s="124"/>
    </row>
    <row r="51" spans="2:10" ht="43.5" x14ac:dyDescent="0.35">
      <c r="B51" s="49" t="s">
        <v>49</v>
      </c>
      <c r="C51" s="143" t="s">
        <v>331</v>
      </c>
      <c r="D51" s="137" t="s">
        <v>158</v>
      </c>
      <c r="E51" s="50"/>
      <c r="F51" s="46" t="s">
        <v>3</v>
      </c>
      <c r="G51" s="33" t="s">
        <v>63</v>
      </c>
      <c r="H51" s="92" t="str">
        <f>HYPERLINK(CONCATENATE(BASE_URL,"0x05g-Testing-Network-Communication.md#testing-custom-certificate-stores-and-certificate-pinning"),"Testing Custom Certificate Stores and Certificate Pinning")</f>
        <v>Testing Custom Certificate Stores and Certificate Pinning</v>
      </c>
      <c r="I51" s="65"/>
      <c r="J51" s="65"/>
    </row>
    <row r="52" spans="2:10" ht="29" x14ac:dyDescent="0.35">
      <c r="B52" s="49" t="s">
        <v>31</v>
      </c>
      <c r="C52" s="143" t="s">
        <v>332</v>
      </c>
      <c r="D52" s="137" t="s">
        <v>159</v>
      </c>
      <c r="E52" s="50"/>
      <c r="F52" s="46" t="s">
        <v>3</v>
      </c>
      <c r="G52" s="33" t="s">
        <v>63</v>
      </c>
      <c r="H52" s="91"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I52" s="65"/>
      <c r="J52" s="65"/>
    </row>
    <row r="53" spans="2:10" x14ac:dyDescent="0.35">
      <c r="B53" s="49" t="s">
        <v>257</v>
      </c>
      <c r="C53" s="143" t="s">
        <v>333</v>
      </c>
      <c r="D53" s="137" t="s">
        <v>160</v>
      </c>
      <c r="E53" s="50"/>
      <c r="F53" s="46" t="s">
        <v>3</v>
      </c>
      <c r="G53" s="33" t="s">
        <v>63</v>
      </c>
      <c r="H53" s="91" t="str">
        <f>HYPERLINK(CONCATENATE(BASE_URL,"0x05g-Testing-Network-Communication.md#testing-the-security-provider"),"Testing the Security Provider")</f>
        <v>Testing the Security Provider</v>
      </c>
      <c r="I53" s="65"/>
      <c r="J53" s="65"/>
    </row>
    <row r="54" spans="2:10" x14ac:dyDescent="0.35">
      <c r="B54" s="34" t="s">
        <v>32</v>
      </c>
      <c r="C54" s="48"/>
      <c r="D54" s="35" t="s">
        <v>233</v>
      </c>
      <c r="E54" s="35"/>
      <c r="F54" s="48"/>
      <c r="G54" s="35"/>
      <c r="H54" s="35"/>
      <c r="I54" s="36"/>
      <c r="J54" s="36"/>
    </row>
    <row r="55" spans="2:10" x14ac:dyDescent="0.35">
      <c r="B55" s="49" t="s">
        <v>50</v>
      </c>
      <c r="C55" s="143" t="s">
        <v>334</v>
      </c>
      <c r="D55" s="137" t="s">
        <v>161</v>
      </c>
      <c r="E55" s="24" t="s">
        <v>3</v>
      </c>
      <c r="F55" s="46" t="s">
        <v>3</v>
      </c>
      <c r="G55" s="33"/>
      <c r="H55" s="91" t="str">
        <f>HYPERLINK(CONCATENATE(BASE_URL,"0x05h-Testing-Platform-Interaction.md#testing-app-permissions"),"Testing App Permissions")</f>
        <v>Testing App Permissions</v>
      </c>
      <c r="I55" s="65"/>
      <c r="J55" s="65"/>
    </row>
    <row r="56" spans="2:10" ht="43.5" x14ac:dyDescent="0.35">
      <c r="B56" s="49" t="s">
        <v>51</v>
      </c>
      <c r="C56" s="143" t="s">
        <v>335</v>
      </c>
      <c r="D56" s="137" t="s">
        <v>162</v>
      </c>
      <c r="E56" s="24" t="s">
        <v>3</v>
      </c>
      <c r="F56" s="46" t="s">
        <v>3</v>
      </c>
      <c r="G56" s="33"/>
      <c r="H56" s="91" t="str">
        <f>HYPERLINK(CONCATENATE(BASE_URL,"0x04h-Testing-Code-Quality.md#injection-flaws"),"Injection Flaws")</f>
        <v>Injection Flaws</v>
      </c>
      <c r="I56" s="65"/>
      <c r="J56" s="65"/>
    </row>
    <row r="57" spans="2:10" ht="29" x14ac:dyDescent="0.35">
      <c r="B57" s="49" t="s">
        <v>52</v>
      </c>
      <c r="C57" s="143" t="s">
        <v>336</v>
      </c>
      <c r="D57" s="137" t="s">
        <v>163</v>
      </c>
      <c r="E57" s="24" t="s">
        <v>3</v>
      </c>
      <c r="F57" s="46" t="s">
        <v>3</v>
      </c>
      <c r="G57" s="33"/>
      <c r="H57" s="91" t="str">
        <f>HYPERLINK(CONCATENATE(BASE_URL,"0x05h-Testing-Platform-Interaction.md#testing-custom-url-schemes"),"Testing Custom URL Schemes")</f>
        <v>Testing Custom URL Schemes</v>
      </c>
      <c r="I57" s="65"/>
      <c r="J57" s="65"/>
    </row>
    <row r="58" spans="2:10" ht="34" customHeight="1" x14ac:dyDescent="0.35">
      <c r="B58" s="49" t="s">
        <v>53</v>
      </c>
      <c r="C58" s="143" t="s">
        <v>337</v>
      </c>
      <c r="D58" s="137" t="s">
        <v>164</v>
      </c>
      <c r="E58" s="24" t="s">
        <v>3</v>
      </c>
      <c r="F58" s="46" t="s">
        <v>3</v>
      </c>
      <c r="G58" s="33"/>
      <c r="H58" s="91" t="str">
        <f>HYPERLINK(CONCATENATE(BASE_URL,"0x05h-Testing-Platform-Interaction.md#testing-for-sensitive-functionality-exposure-through-ipc"),"Testing for Sensitive Functionality Exposure Through IPC")</f>
        <v>Testing for Sensitive Functionality Exposure Through IPC</v>
      </c>
      <c r="I58" s="65"/>
      <c r="J58" s="65"/>
    </row>
    <row r="59" spans="2:10" ht="19" customHeight="1" x14ac:dyDescent="0.35">
      <c r="B59" s="49" t="s">
        <v>54</v>
      </c>
      <c r="C59" s="143" t="s">
        <v>338</v>
      </c>
      <c r="D59" s="137" t="s">
        <v>165</v>
      </c>
      <c r="E59" s="24" t="s">
        <v>3</v>
      </c>
      <c r="F59" s="46" t="s">
        <v>3</v>
      </c>
      <c r="G59" s="33"/>
      <c r="H59" s="91" t="str">
        <f>HYPERLINK(CONCATENATE(BASE_URL,"0x05h-Testing-Platform-Interaction.md#testing-javascript-execution-in-webviews"),"Testing JavaScript Execution in WebViews")</f>
        <v>Testing JavaScript Execution in WebViews</v>
      </c>
      <c r="I59" s="65"/>
      <c r="J59" s="65"/>
    </row>
    <row r="60" spans="2:10" ht="43.5" x14ac:dyDescent="0.35">
      <c r="B60" s="49" t="s">
        <v>55</v>
      </c>
      <c r="C60" s="143" t="s">
        <v>339</v>
      </c>
      <c r="D60" s="137" t="s">
        <v>166</v>
      </c>
      <c r="E60" s="24" t="s">
        <v>3</v>
      </c>
      <c r="F60" s="46" t="s">
        <v>3</v>
      </c>
      <c r="G60" s="33"/>
      <c r="H60" s="91" t="str">
        <f>HYPERLINK(CONCATENATE(BASE_URL,"0x05h-Testing-Platform-Interaction.md#testing-webview-protocol-handlers"),"Testing WebView Protocol Handlers")</f>
        <v>Testing WebView Protocol Handlers</v>
      </c>
      <c r="I60" s="65"/>
      <c r="J60" s="65"/>
    </row>
    <row r="61" spans="2:10" ht="29" x14ac:dyDescent="0.35">
      <c r="B61" s="49" t="s">
        <v>258</v>
      </c>
      <c r="C61" s="143" t="s">
        <v>340</v>
      </c>
      <c r="D61" s="137" t="s">
        <v>167</v>
      </c>
      <c r="E61" s="24" t="s">
        <v>3</v>
      </c>
      <c r="F61" s="46" t="s">
        <v>3</v>
      </c>
      <c r="G61" s="33"/>
      <c r="H61" s="91" t="str">
        <f>HYPERLINK(CONCATENATE(BASE_URL,"0x05h-Testing-Platform-Interaction.md#determining-whether-java-objects-are-exposed-through-webviews"),"Determining Whether Java Objects Are Exposed Through WebViews")</f>
        <v>Determining Whether Java Objects Are Exposed Through WebViews</v>
      </c>
      <c r="I61" s="65"/>
      <c r="J61" s="65"/>
    </row>
    <row r="62" spans="2:10" x14ac:dyDescent="0.35">
      <c r="B62" s="49" t="s">
        <v>259</v>
      </c>
      <c r="C62" s="143" t="s">
        <v>341</v>
      </c>
      <c r="D62" s="137" t="s">
        <v>168</v>
      </c>
      <c r="E62" s="24" t="s">
        <v>3</v>
      </c>
      <c r="F62" s="46" t="s">
        <v>3</v>
      </c>
      <c r="G62" s="33"/>
      <c r="H62" s="91" t="str">
        <f>HYPERLINK(CONCATENATE(BASE_URL,"0x05h-Testing-Platform-Interaction.md#testing-object-persistence"),"Testing Object Persistence")</f>
        <v>Testing Object Persistence</v>
      </c>
      <c r="I62" s="65"/>
      <c r="J62" s="65"/>
    </row>
    <row r="63" spans="2:10" x14ac:dyDescent="0.35">
      <c r="B63" s="34" t="s">
        <v>33</v>
      </c>
      <c r="C63" s="48"/>
      <c r="D63" s="35" t="s">
        <v>169</v>
      </c>
      <c r="E63" s="35"/>
      <c r="F63" s="48"/>
      <c r="G63" s="35"/>
      <c r="H63" s="35"/>
      <c r="I63" s="36"/>
      <c r="J63" s="36"/>
    </row>
    <row r="64" spans="2:10" ht="21" customHeight="1" x14ac:dyDescent="0.35">
      <c r="B64" s="49" t="s">
        <v>56</v>
      </c>
      <c r="C64" s="143" t="s">
        <v>342</v>
      </c>
      <c r="D64" s="137" t="s">
        <v>170</v>
      </c>
      <c r="E64" s="24" t="s">
        <v>3</v>
      </c>
      <c r="F64" s="46" t="s">
        <v>3</v>
      </c>
      <c r="G64" s="33"/>
      <c r="H64" s="91" t="str">
        <f>HYPERLINK(CONCATENATE(BASE_URL,"0x05i-Testing-Code-Quality-and-Build-Settings.md#making-sure-that-the-app-is-properly-signed"),"Making Sure That the App is Properly Signed")</f>
        <v>Making Sure That the App is Properly Signed</v>
      </c>
      <c r="I64" s="65"/>
      <c r="J64" s="65"/>
    </row>
    <row r="65" spans="2:10" ht="34.5" customHeight="1" x14ac:dyDescent="0.35">
      <c r="B65" s="49" t="s">
        <v>34</v>
      </c>
      <c r="C65" s="143" t="s">
        <v>343</v>
      </c>
      <c r="D65" s="137" t="s">
        <v>171</v>
      </c>
      <c r="E65" s="24" t="s">
        <v>3</v>
      </c>
      <c r="F65" s="46" t="s">
        <v>3</v>
      </c>
      <c r="G65" s="33"/>
      <c r="H65" s="91" t="str">
        <f>HYPERLINK(CONCATENATE(BASE_URL,"0x05i-Testing-Code-Quality-and-Build-Settings.md#determining-whether-the-app-is-debuggable"),"Determining Whether the App is Debuggable")</f>
        <v>Determining Whether the App is Debuggable</v>
      </c>
      <c r="I65" s="65"/>
      <c r="J65" s="65"/>
    </row>
    <row r="66" spans="2:10" x14ac:dyDescent="0.35">
      <c r="B66" s="49" t="s">
        <v>57</v>
      </c>
      <c r="C66" s="143" t="s">
        <v>344</v>
      </c>
      <c r="D66" s="137" t="s">
        <v>172</v>
      </c>
      <c r="E66" s="24" t="s">
        <v>3</v>
      </c>
      <c r="F66" s="46" t="s">
        <v>3</v>
      </c>
      <c r="G66" s="33"/>
      <c r="H66" s="91" t="str">
        <f>HYPERLINK(CONCATENATE(BASE_URL,"0x05i-Testing-Code-Quality-and-Build-Settings.md#finding-debugging-symbols"),"Finding Debugging Symbols")</f>
        <v>Finding Debugging Symbols</v>
      </c>
      <c r="I66" s="65"/>
      <c r="J66" s="65"/>
    </row>
    <row r="67" spans="2:10" ht="29" x14ac:dyDescent="0.35">
      <c r="B67" s="49" t="s">
        <v>58</v>
      </c>
      <c r="C67" s="143" t="s">
        <v>345</v>
      </c>
      <c r="D67" s="137" t="s">
        <v>173</v>
      </c>
      <c r="E67" s="24" t="s">
        <v>3</v>
      </c>
      <c r="F67" s="46" t="s">
        <v>3</v>
      </c>
      <c r="G67" s="33"/>
      <c r="H67" s="91" t="str">
        <f>HYPERLINK(CONCATENATE(BASE_URL,"0x05i-Testing-Code-Quality-and-Build-Settings.md#finding-debugging-code-and-verbose-error-logging"),"Finding Debugging Code and Verbose Error Logging")</f>
        <v>Finding Debugging Code and Verbose Error Logging</v>
      </c>
      <c r="I67" s="65"/>
      <c r="J67" s="65"/>
    </row>
    <row r="68" spans="2:10" ht="29" x14ac:dyDescent="0.35">
      <c r="B68" s="49" t="s">
        <v>59</v>
      </c>
      <c r="C68" s="143" t="s">
        <v>346</v>
      </c>
      <c r="D68" s="137" t="s">
        <v>174</v>
      </c>
      <c r="E68" s="24" t="s">
        <v>3</v>
      </c>
      <c r="F68" s="46" t="s">
        <v>3</v>
      </c>
      <c r="G68" s="33"/>
      <c r="H68" s="92" t="str">
        <f>HYPERLINK(CONCATENATE(BASE_URL,"0x05i-Testing-Code-Quality-and-Build-Settings.md#checking-for-weaknesses-in-third-party-libraries"),"Checking for Weaknesses in Third Party Libraries")</f>
        <v>Checking for Weaknesses in Third Party Libraries</v>
      </c>
      <c r="I68" s="65"/>
      <c r="J68" s="65"/>
    </row>
    <row r="69" spans="2:10" x14ac:dyDescent="0.35">
      <c r="B69" s="49" t="s">
        <v>35</v>
      </c>
      <c r="C69" s="143" t="s">
        <v>347</v>
      </c>
      <c r="D69" s="137" t="s">
        <v>175</v>
      </c>
      <c r="E69" s="24" t="s">
        <v>3</v>
      </c>
      <c r="F69" s="46" t="s">
        <v>3</v>
      </c>
      <c r="G69" s="33"/>
      <c r="H69" s="91" t="str">
        <f>HYPERLINK(CONCATENATE(BASE_URL,"0x05i-Testing-Code-Quality-and-Build-Settings.md#testing-exception-handling"),"Testing Exception Handling")</f>
        <v>Testing Exception Handling</v>
      </c>
      <c r="I69" s="65"/>
      <c r="J69" s="65"/>
    </row>
    <row r="70" spans="2:10" x14ac:dyDescent="0.35">
      <c r="B70" s="49" t="s">
        <v>36</v>
      </c>
      <c r="C70" s="143" t="s">
        <v>348</v>
      </c>
      <c r="D70" s="137" t="s">
        <v>176</v>
      </c>
      <c r="E70" s="24" t="s">
        <v>3</v>
      </c>
      <c r="F70" s="46" t="s">
        <v>3</v>
      </c>
      <c r="G70" s="33"/>
      <c r="H70" s="91" t="str">
        <f>HYPERLINK(CONCATENATE(
BASE_URL,
"0x05i-Testing-Code-Quality-and-Build-Settings.md#testing-exception-handling"),
"Testing Exception Handling")</f>
        <v>Testing Exception Handling</v>
      </c>
      <c r="I70" s="65"/>
      <c r="J70" s="65"/>
    </row>
    <row r="71" spans="2:10" x14ac:dyDescent="0.35">
      <c r="B71" s="49" t="s">
        <v>37</v>
      </c>
      <c r="C71" s="143" t="s">
        <v>349</v>
      </c>
      <c r="D71" s="137" t="s">
        <v>177</v>
      </c>
      <c r="E71" s="24" t="s">
        <v>3</v>
      </c>
      <c r="F71" s="46" t="s">
        <v>3</v>
      </c>
      <c r="G71" s="33"/>
      <c r="H71" s="91" t="str">
        <f>HYPERLINK(CONCATENATE(BASE_URL,"0x04h-Testing-Code-Quality.md#memory-corruption-bugs"),"Memory Corruption Bugs")</f>
        <v>Memory Corruption Bugs</v>
      </c>
      <c r="I71" s="65"/>
      <c r="J71" s="65"/>
    </row>
    <row r="72" spans="2:10" ht="29" x14ac:dyDescent="0.35">
      <c r="B72" s="49" t="s">
        <v>81</v>
      </c>
      <c r="C72" s="143" t="s">
        <v>350</v>
      </c>
      <c r="D72" s="137" t="s">
        <v>178</v>
      </c>
      <c r="E72" s="24" t="s">
        <v>3</v>
      </c>
      <c r="F72" s="46" t="s">
        <v>3</v>
      </c>
      <c r="G72" s="33"/>
      <c r="H72" s="91" t="str">
        <f>HYPERLINK(CONCATENATE(BASE_URL,"0x05i-Testing-Code-Quality-and-Build-Settings.md#make-sure-that-free-security-features-are-activated"),"Make Sure That Free Security Features Are Activated")</f>
        <v>Make Sure That Free Security Features Are Activated</v>
      </c>
      <c r="I72" s="65"/>
      <c r="J72" s="65"/>
    </row>
    <row r="73" spans="2:10" x14ac:dyDescent="0.35">
      <c r="B73" s="37"/>
      <c r="C73" s="39"/>
      <c r="D73" s="38"/>
      <c r="E73" s="39"/>
      <c r="F73" s="39"/>
      <c r="G73" s="39"/>
      <c r="H73" s="39"/>
      <c r="I73" s="40"/>
      <c r="J73" s="40"/>
    </row>
    <row r="74" spans="2:10" x14ac:dyDescent="0.35">
      <c r="B74" s="41"/>
      <c r="C74" s="41"/>
      <c r="D74" s="42"/>
      <c r="E74" s="41"/>
      <c r="F74" s="41"/>
      <c r="G74" s="41"/>
      <c r="H74" s="41"/>
      <c r="I74" s="41"/>
      <c r="J74" s="41"/>
    </row>
    <row r="75" spans="2:10" x14ac:dyDescent="0.35">
      <c r="B75" s="41"/>
      <c r="C75" s="41"/>
      <c r="D75" s="50"/>
      <c r="E75" s="41"/>
      <c r="F75" s="41"/>
      <c r="G75" s="41"/>
      <c r="H75" s="41"/>
      <c r="I75" s="41"/>
      <c r="J75" s="41"/>
    </row>
    <row r="76" spans="2:10" x14ac:dyDescent="0.35">
      <c r="B76" s="41"/>
      <c r="C76" s="41"/>
      <c r="D76" s="42"/>
      <c r="E76" s="41"/>
      <c r="F76" s="41"/>
      <c r="G76" s="41"/>
      <c r="H76" s="41"/>
      <c r="I76" s="41"/>
      <c r="J76" s="41"/>
    </row>
    <row r="77" spans="2:10" x14ac:dyDescent="0.35">
      <c r="B77" s="82" t="s">
        <v>217</v>
      </c>
      <c r="C77" s="82"/>
      <c r="D77" s="42"/>
      <c r="E77" s="41"/>
      <c r="F77" s="41"/>
      <c r="G77" s="41"/>
      <c r="H77" s="41"/>
      <c r="I77" s="41"/>
      <c r="J77" s="41"/>
    </row>
    <row r="78" spans="2:10" x14ac:dyDescent="0.35">
      <c r="B78" s="84" t="s">
        <v>220</v>
      </c>
      <c r="C78" s="84"/>
      <c r="D78" s="43" t="s">
        <v>96</v>
      </c>
      <c r="E78" s="41"/>
      <c r="F78" s="41"/>
      <c r="G78" s="41"/>
      <c r="H78" s="41"/>
      <c r="I78" s="41"/>
      <c r="J78" s="41"/>
    </row>
    <row r="79" spans="2:10" x14ac:dyDescent="0.35">
      <c r="B79" s="83" t="s">
        <v>179</v>
      </c>
      <c r="C79" s="144"/>
      <c r="D79" s="83" t="s">
        <v>218</v>
      </c>
      <c r="E79" s="41"/>
      <c r="F79" s="41"/>
      <c r="G79" s="41"/>
      <c r="H79" s="41"/>
      <c r="I79" s="41"/>
      <c r="J79" s="41"/>
    </row>
    <row r="80" spans="2:10" x14ac:dyDescent="0.35">
      <c r="B80" s="83" t="s">
        <v>180</v>
      </c>
      <c r="C80" s="144"/>
      <c r="D80" s="44" t="s">
        <v>97</v>
      </c>
      <c r="E80" s="41"/>
      <c r="F80" s="41"/>
      <c r="G80" s="41"/>
      <c r="H80" s="41"/>
      <c r="I80" s="41"/>
      <c r="J80" s="41"/>
    </row>
    <row r="81" spans="2:10" x14ac:dyDescent="0.35">
      <c r="B81" s="44" t="s">
        <v>63</v>
      </c>
      <c r="C81" s="145"/>
      <c r="D81" s="83" t="s">
        <v>219</v>
      </c>
      <c r="E81" s="41"/>
      <c r="F81" s="41"/>
      <c r="G81" s="41"/>
      <c r="H81" s="41"/>
      <c r="I81" s="41"/>
      <c r="J81" s="41"/>
    </row>
    <row r="82" spans="2:10" x14ac:dyDescent="0.35">
      <c r="B82" s="41"/>
      <c r="C82" s="41"/>
      <c r="D82" s="42"/>
      <c r="E82" s="41"/>
      <c r="F82" s="41"/>
      <c r="G82" s="41"/>
      <c r="H82" s="41"/>
      <c r="I82" s="23"/>
      <c r="J82" s="23"/>
    </row>
    <row r="83" spans="2:10" x14ac:dyDescent="0.35">
      <c r="B83" s="41"/>
      <c r="C83" s="41"/>
      <c r="D83" s="42"/>
      <c r="E83" s="41"/>
      <c r="F83" s="41"/>
      <c r="G83" s="41"/>
      <c r="H83" s="41"/>
      <c r="I83" s="23"/>
      <c r="J83" s="23"/>
    </row>
    <row r="84" spans="2:10" x14ac:dyDescent="0.35">
      <c r="B84" s="41"/>
      <c r="C84" s="41"/>
      <c r="D84" s="42"/>
      <c r="E84" s="41"/>
      <c r="F84" s="41"/>
      <c r="G84" s="41"/>
      <c r="H84" s="41"/>
      <c r="I84" s="23"/>
      <c r="J84" s="23"/>
    </row>
    <row r="85" spans="2:10" x14ac:dyDescent="0.35">
      <c r="B85" s="23"/>
      <c r="C85" s="23"/>
      <c r="D85" s="53"/>
      <c r="E85" s="23"/>
      <c r="F85" s="23"/>
      <c r="G85" s="23"/>
      <c r="H85" s="23"/>
      <c r="I85" s="23"/>
      <c r="J85" s="23"/>
    </row>
  </sheetData>
  <mergeCells count="3">
    <mergeCell ref="B1:I1"/>
    <mergeCell ref="H3:I3"/>
    <mergeCell ref="H4:I4"/>
  </mergeCells>
  <dataValidations disablePrompts="1" count="2">
    <dataValidation type="list" allowBlank="1" showInputMessage="1" showErrorMessage="1" sqref="G74:G1048576 I74:J1048576" xr:uid="{00000000-0002-0000-0200-000000000000}">
      <formula1>"Yes,No,N/A"</formula1>
    </dataValidation>
    <dataValidation type="list" allowBlank="1" showInputMessage="1" showErrorMessage="1" sqref="G16:G27 G5:G14 G29:G34 G36:G46 G48:G53 G55:G62 G64:G72" xr:uid="{00000000-0002-0000-0200-000001000000}">
      <formula1>$B$79:$B$81</formula1>
    </dataValidation>
  </dataValidations>
  <hyperlinks>
    <hyperlink ref="H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showGridLines="0" topLeftCell="B12" zoomScale="91" zoomScaleNormal="91" zoomScalePageLayoutView="130" workbookViewId="0">
      <selection activeCell="C18" sqref="C18"/>
    </sheetView>
  </sheetViews>
  <sheetFormatPr baseColWidth="10" defaultColWidth="11" defaultRowHeight="15.5" x14ac:dyDescent="0.35"/>
  <cols>
    <col min="1" max="1" width="1.83203125" customWidth="1"/>
    <col min="2" max="2" width="7.33203125" customWidth="1"/>
    <col min="3" max="3" width="18" customWidth="1"/>
    <col min="4" max="4" width="93.33203125" customWidth="1"/>
    <col min="5" max="5" width="3" bestFit="1" customWidth="1"/>
    <col min="6" max="6" width="5.83203125" bestFit="1" customWidth="1"/>
    <col min="7" max="7" width="69.25" customWidth="1"/>
    <col min="8" max="8" width="30.58203125" customWidth="1"/>
  </cols>
  <sheetData>
    <row r="1" spans="2:8" ht="18.5" x14ac:dyDescent="0.45">
      <c r="B1" s="6" t="s">
        <v>98</v>
      </c>
      <c r="C1" s="6"/>
      <c r="D1" s="23"/>
      <c r="E1" s="23"/>
      <c r="F1" s="23"/>
      <c r="G1" s="23"/>
      <c r="H1" s="23"/>
    </row>
    <row r="2" spans="2:8" x14ac:dyDescent="0.35">
      <c r="B2" s="23"/>
      <c r="C2" s="23"/>
      <c r="D2" s="23"/>
      <c r="E2" s="23"/>
      <c r="F2" s="23"/>
      <c r="G2" s="23"/>
      <c r="H2" s="23"/>
    </row>
    <row r="3" spans="2:8" x14ac:dyDescent="0.35">
      <c r="B3" s="67" t="s">
        <v>0</v>
      </c>
      <c r="C3" s="146"/>
      <c r="D3" s="68" t="s">
        <v>99</v>
      </c>
      <c r="E3" s="67" t="s">
        <v>38</v>
      </c>
      <c r="F3" s="81" t="s">
        <v>93</v>
      </c>
      <c r="G3" s="81" t="s">
        <v>215</v>
      </c>
      <c r="H3" s="81" t="s">
        <v>216</v>
      </c>
    </row>
    <row r="4" spans="2:8" x14ac:dyDescent="0.35">
      <c r="B4" s="69"/>
      <c r="C4" s="147"/>
      <c r="D4" s="70" t="s">
        <v>181</v>
      </c>
      <c r="E4" s="70"/>
      <c r="F4" s="70"/>
      <c r="G4" s="70"/>
      <c r="H4" s="70"/>
    </row>
    <row r="5" spans="2:8" ht="29" x14ac:dyDescent="0.35">
      <c r="B5" s="71" t="s">
        <v>260</v>
      </c>
      <c r="C5" s="141" t="s">
        <v>351</v>
      </c>
      <c r="D5" s="137" t="s">
        <v>182</v>
      </c>
      <c r="E5" s="73" t="s">
        <v>3</v>
      </c>
      <c r="F5" s="74" t="s">
        <v>63</v>
      </c>
      <c r="G5" s="93" t="str">
        <f>HYPERLINK(CONCATENATE(BASE_URL,"0x05j-Testing-Resiliency-Against-Reverse-Engineering.md#testing-root-detection"),"Testing Root Detection")</f>
        <v>Testing Root Detection</v>
      </c>
      <c r="H5" s="72"/>
    </row>
    <row r="6" spans="2:8" ht="29" x14ac:dyDescent="0.35">
      <c r="B6" s="71" t="s">
        <v>261</v>
      </c>
      <c r="C6" s="141" t="s">
        <v>352</v>
      </c>
      <c r="D6" s="137" t="s">
        <v>183</v>
      </c>
      <c r="E6" s="73" t="s">
        <v>3</v>
      </c>
      <c r="F6" s="74" t="s">
        <v>63</v>
      </c>
      <c r="G6" s="140" t="str">
        <f>HYPERLINK(CONCATENATE(BASE_URL,"0x05j-Testing-Resiliency-Against-Reverse-Engineering.md#testing-anti-debugging"),"Testing Anti-Debugging")</f>
        <v>Testing Anti-Debugging</v>
      </c>
      <c r="H6" s="72"/>
    </row>
    <row r="7" spans="2:8" ht="29" x14ac:dyDescent="0.35">
      <c r="B7" s="71" t="s">
        <v>262</v>
      </c>
      <c r="C7" s="141" t="s">
        <v>353</v>
      </c>
      <c r="D7" s="137" t="s">
        <v>184</v>
      </c>
      <c r="E7" s="73" t="s">
        <v>3</v>
      </c>
      <c r="F7" s="74" t="s">
        <v>63</v>
      </c>
      <c r="G7" s="93" t="str">
        <f>HYPERLINK(CONCATENATE(BASE_URL,"0x05j-Testing-Resiliency-Against-Reverse-Engineering.md#testing-file-integrity-checks"),"Testing File Integrity Checks")</f>
        <v>Testing File Integrity Checks</v>
      </c>
      <c r="H7" s="72"/>
    </row>
    <row r="8" spans="2:8" x14ac:dyDescent="0.35">
      <c r="B8" s="71" t="s">
        <v>263</v>
      </c>
      <c r="C8" s="141" t="s">
        <v>354</v>
      </c>
      <c r="D8" s="137" t="s">
        <v>185</v>
      </c>
      <c r="E8" s="73" t="s">
        <v>3</v>
      </c>
      <c r="F8" s="74" t="s">
        <v>63</v>
      </c>
      <c r="G8" s="91" t="str">
        <f>HYPERLINK(CONCATENATE(BASE_URL,"0x05j-Testing-Resiliency-Against-Reverse-Engineering.md#testing-the-detection-of-reverse-engineering-tools"),"Testing The Detection of Reverse Engineering Tools")</f>
        <v>Testing The Detection of Reverse Engineering Tools</v>
      </c>
      <c r="H8" s="72"/>
    </row>
    <row r="9" spans="2:8" x14ac:dyDescent="0.35">
      <c r="B9" s="71" t="s">
        <v>264</v>
      </c>
      <c r="C9" s="141" t="s">
        <v>355</v>
      </c>
      <c r="D9" s="137" t="s">
        <v>186</v>
      </c>
      <c r="E9" s="73" t="s">
        <v>3</v>
      </c>
      <c r="F9" s="74" t="s">
        <v>63</v>
      </c>
      <c r="G9" s="93" t="str">
        <f>HYPERLINK(CONCATENATE(BASE_URL,"0x05j-Testing-Resiliency-Against-Reverse-Engineering.md#testing-emulator-detection"),"Testing Emulator Detection")</f>
        <v>Testing Emulator Detection</v>
      </c>
      <c r="H9" s="72"/>
    </row>
    <row r="10" spans="2:8" x14ac:dyDescent="0.35">
      <c r="B10" s="71" t="s">
        <v>265</v>
      </c>
      <c r="C10" s="141" t="s">
        <v>356</v>
      </c>
      <c r="D10" s="137" t="s">
        <v>187</v>
      </c>
      <c r="E10" s="73" t="s">
        <v>3</v>
      </c>
      <c r="F10" s="74" t="s">
        <v>63</v>
      </c>
      <c r="G10" s="91" t="str">
        <f>HYPERLINK(CONCATENATE(BASE_URL,"0x05j-Testing-Resiliency-Against-Reverse-Engineering.md#testing-run-time-integrity-checks"),"Testing Run Time Integrity Checks")</f>
        <v>Testing Run Time Integrity Checks</v>
      </c>
      <c r="H10" s="72"/>
    </row>
    <row r="11" spans="2:8" ht="29" x14ac:dyDescent="0.35">
      <c r="B11" s="71" t="s">
        <v>266</v>
      </c>
      <c r="C11" s="141" t="s">
        <v>357</v>
      </c>
      <c r="D11" s="137" t="s">
        <v>188</v>
      </c>
      <c r="E11" s="73" t="s">
        <v>3</v>
      </c>
      <c r="F11" s="74" t="s">
        <v>63</v>
      </c>
      <c r="G11" s="119" t="s">
        <v>271</v>
      </c>
      <c r="H11" s="72"/>
    </row>
    <row r="12" spans="2:8" ht="29" x14ac:dyDescent="0.35">
      <c r="B12" s="71" t="s">
        <v>267</v>
      </c>
      <c r="C12" s="141" t="s">
        <v>358</v>
      </c>
      <c r="D12" s="137" t="s">
        <v>189</v>
      </c>
      <c r="E12" s="73" t="s">
        <v>3</v>
      </c>
      <c r="F12" s="74" t="s">
        <v>63</v>
      </c>
      <c r="G12" s="118" t="s">
        <v>75</v>
      </c>
      <c r="H12" s="72"/>
    </row>
    <row r="13" spans="2:8" ht="29" x14ac:dyDescent="0.35">
      <c r="B13" s="71" t="s">
        <v>268</v>
      </c>
      <c r="C13" s="141" t="s">
        <v>359</v>
      </c>
      <c r="D13" s="137" t="s">
        <v>190</v>
      </c>
      <c r="E13" s="73" t="s">
        <v>3</v>
      </c>
      <c r="F13" s="74" t="s">
        <v>63</v>
      </c>
      <c r="G13" s="91" t="str">
        <f>HYPERLINK(CONCATENATE(BASE_URL,"0x05j-Testing-Resiliency-Against-Reverse-Engineering.md#testing-obfuscation"),"Testing Obfuscation")</f>
        <v>Testing Obfuscation</v>
      </c>
      <c r="H13" s="72"/>
    </row>
    <row r="14" spans="2:8" x14ac:dyDescent="0.35">
      <c r="B14" s="69"/>
      <c r="C14" s="147"/>
      <c r="D14" s="70" t="s">
        <v>101</v>
      </c>
      <c r="E14" s="70"/>
      <c r="F14" s="70"/>
      <c r="G14" s="70"/>
      <c r="H14" s="70"/>
    </row>
    <row r="15" spans="2:8" ht="29" x14ac:dyDescent="0.35">
      <c r="B15" s="75" t="s">
        <v>60</v>
      </c>
      <c r="C15" s="142" t="s">
        <v>360</v>
      </c>
      <c r="D15" s="137" t="s">
        <v>191</v>
      </c>
      <c r="E15" s="73" t="s">
        <v>3</v>
      </c>
      <c r="F15" s="74" t="s">
        <v>63</v>
      </c>
      <c r="G15" s="91" t="str">
        <f>HYPERLINK(CONCATENATE(BASE_URL,"0x05j-Testing-Resiliency-Against-Reverse-Engineering.md#testing-device-binding"),"Testing Device Binding")</f>
        <v>Testing Device Binding</v>
      </c>
      <c r="H15" s="72"/>
    </row>
    <row r="16" spans="2:8" x14ac:dyDescent="0.35">
      <c r="B16" s="69"/>
      <c r="C16" s="147"/>
      <c r="D16" s="70" t="s">
        <v>100</v>
      </c>
      <c r="E16" s="70"/>
      <c r="F16" s="70"/>
      <c r="G16" s="70"/>
      <c r="H16" s="70"/>
    </row>
    <row r="17" spans="2:8" ht="43.5" x14ac:dyDescent="0.35">
      <c r="B17" s="71" t="s">
        <v>269</v>
      </c>
      <c r="C17" s="141" t="s">
        <v>361</v>
      </c>
      <c r="D17" s="137" t="s">
        <v>192</v>
      </c>
      <c r="E17" s="73" t="s">
        <v>3</v>
      </c>
      <c r="F17" s="74" t="s">
        <v>63</v>
      </c>
      <c r="G17" s="123" t="str">
        <f>HYPERLINK(CONCATENATE(BASE_URL,"0x05j-Testing-Resiliency-Against-Reverse-Engineering.md#testing-obfuscation"),"Testing Obfuscation")</f>
        <v>Testing Obfuscation</v>
      </c>
      <c r="H17" s="72"/>
    </row>
    <row r="18" spans="2:8" ht="72.5" x14ac:dyDescent="0.35">
      <c r="B18" s="71" t="s">
        <v>270</v>
      </c>
      <c r="C18" s="141" t="s">
        <v>362</v>
      </c>
      <c r="D18" s="137" t="s">
        <v>193</v>
      </c>
      <c r="E18" s="73" t="s">
        <v>3</v>
      </c>
      <c r="F18" s="74" t="s">
        <v>63</v>
      </c>
      <c r="G18" s="118" t="s">
        <v>271</v>
      </c>
      <c r="H18" s="72"/>
    </row>
    <row r="19" spans="2:8" x14ac:dyDescent="0.35">
      <c r="B19" s="67"/>
      <c r="C19" s="146"/>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4"/>
      <c r="D24" s="83" t="s">
        <v>218</v>
      </c>
      <c r="E24" s="41"/>
      <c r="F24" s="41"/>
      <c r="G24" s="41"/>
      <c r="H24" s="41"/>
    </row>
    <row r="25" spans="2:8" x14ac:dyDescent="0.35">
      <c r="B25" s="83" t="s">
        <v>180</v>
      </c>
      <c r="C25" s="144"/>
      <c r="D25" s="44" t="s">
        <v>97</v>
      </c>
      <c r="E25" s="41"/>
      <c r="F25" s="41"/>
      <c r="G25" s="41"/>
      <c r="H25" s="41"/>
    </row>
    <row r="26" spans="2:8" x14ac:dyDescent="0.35">
      <c r="B26" s="44" t="s">
        <v>63</v>
      </c>
      <c r="C26" s="145"/>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85"/>
  <sheetViews>
    <sheetView showGridLines="0" topLeftCell="E1" zoomScale="69" zoomScaleNormal="69" zoomScalePageLayoutView="130" workbookViewId="0">
      <selection activeCell="H13" sqref="H13"/>
    </sheetView>
  </sheetViews>
  <sheetFormatPr baseColWidth="10" defaultColWidth="11" defaultRowHeight="15.5" x14ac:dyDescent="0.35"/>
  <cols>
    <col min="1" max="1" width="1.83203125" customWidth="1"/>
    <col min="2" max="2" width="8" customWidth="1"/>
    <col min="3" max="3" width="16.33203125" customWidth="1"/>
    <col min="4" max="4" width="96.58203125" style="54" customWidth="1"/>
    <col min="5" max="5" width="7.75" customWidth="1"/>
    <col min="6" max="6" width="9.25" customWidth="1"/>
    <col min="7" max="7" width="5.83203125" bestFit="1" customWidth="1"/>
    <col min="8" max="8" width="69.58203125" customWidth="1"/>
    <col min="9" max="9" width="64.08203125" customWidth="1"/>
    <col min="10" max="10" width="47.9140625" customWidth="1"/>
    <col min="11" max="12" width="10.83203125" customWidth="1"/>
  </cols>
  <sheetData>
    <row r="1" spans="2:10" ht="18.5" x14ac:dyDescent="0.35">
      <c r="B1" s="202" t="s">
        <v>194</v>
      </c>
      <c r="C1" s="202"/>
      <c r="D1" s="202"/>
      <c r="E1" s="202"/>
      <c r="F1" s="202"/>
      <c r="G1" s="202"/>
      <c r="H1" s="202"/>
      <c r="I1" s="202"/>
    </row>
    <row r="2" spans="2:10" x14ac:dyDescent="0.35">
      <c r="B2" s="45"/>
      <c r="C2" s="45"/>
      <c r="D2" s="52"/>
      <c r="E2" s="45"/>
      <c r="F2" s="45"/>
      <c r="G2" s="45"/>
      <c r="H2" s="45"/>
      <c r="I2" s="45"/>
      <c r="J2" s="45"/>
    </row>
    <row r="3" spans="2:10" x14ac:dyDescent="0.35">
      <c r="B3" s="25" t="s">
        <v>0</v>
      </c>
      <c r="C3" s="26" t="s">
        <v>288</v>
      </c>
      <c r="D3" s="79" t="s">
        <v>213</v>
      </c>
      <c r="E3" s="26" t="s">
        <v>91</v>
      </c>
      <c r="F3" s="26" t="s">
        <v>92</v>
      </c>
      <c r="G3" s="26" t="s">
        <v>93</v>
      </c>
      <c r="H3" s="203" t="s">
        <v>215</v>
      </c>
      <c r="I3" s="204"/>
      <c r="J3" s="80" t="s">
        <v>216</v>
      </c>
    </row>
    <row r="4" spans="2:10" x14ac:dyDescent="0.35">
      <c r="B4" s="27" t="s">
        <v>1</v>
      </c>
      <c r="C4" s="29"/>
      <c r="D4" s="28" t="s">
        <v>232</v>
      </c>
      <c r="E4" s="29"/>
      <c r="F4" s="29"/>
      <c r="G4" s="29"/>
      <c r="H4" s="205"/>
      <c r="I4" s="206"/>
      <c r="J4" s="30"/>
    </row>
    <row r="5" spans="2:10" x14ac:dyDescent="0.35">
      <c r="B5" s="31" t="s">
        <v>2</v>
      </c>
      <c r="C5" s="141" t="s">
        <v>289</v>
      </c>
      <c r="D5" s="137" t="s">
        <v>119</v>
      </c>
      <c r="E5" s="24" t="s">
        <v>3</v>
      </c>
      <c r="F5" s="46" t="s">
        <v>3</v>
      </c>
      <c r="G5" s="33"/>
      <c r="H5" s="148" t="str">
        <f>HYPERLINK(CONCATENATE(
BASE_URL,
"0x04b-Mobile-App-Security-Testing.md#architectural-information"),
"Architectural Information")</f>
        <v>Architectural Information</v>
      </c>
      <c r="I5" s="65"/>
      <c r="J5" s="65"/>
    </row>
    <row r="6" spans="2:10" x14ac:dyDescent="0.35">
      <c r="B6" s="31" t="s">
        <v>250</v>
      </c>
      <c r="C6" s="141" t="s">
        <v>290</v>
      </c>
      <c r="D6" s="137" t="s">
        <v>121</v>
      </c>
      <c r="E6" s="24" t="s">
        <v>3</v>
      </c>
      <c r="F6" s="46" t="s">
        <v>3</v>
      </c>
      <c r="G6" s="33"/>
      <c r="H6" s="148" t="str">
        <f>HYPERLINK(CONCATENATE(
BASE_URL,
"0x04h-Testing-Code-Quality.md#injection-flaws-mstg-arch-2-and-mstg-platform-2"),
"Injection Flaws (MSTG-ARCH-2 and MSTG-PLATFORM-2)")</f>
        <v>Injection Flaws (MSTG-ARCH-2 and MSTG-PLATFORM-2)</v>
      </c>
      <c r="I6" s="124" t="str">
        <f>HYPERLINK(CONCATENATE(
BASE_URL,
"0x04h-Testing-Code-Quality.md#cross-site-scripting-flaws-mstg-arch-2-and-mstg-platform-2"),
"Cross-Site Scripting Flaws (MSTG-ARCH-2 and MSTG-PLATFORM-2)")</f>
        <v>Cross-Site Scripting Flaws (MSTG-ARCH-2 and MSTG-PLATFORM-2)</v>
      </c>
      <c r="J6" s="65"/>
    </row>
    <row r="7" spans="2:10" ht="29" x14ac:dyDescent="0.35">
      <c r="B7" s="31" t="s">
        <v>251</v>
      </c>
      <c r="C7" s="141" t="s">
        <v>291</v>
      </c>
      <c r="D7" s="32" t="s">
        <v>122</v>
      </c>
      <c r="E7" s="24" t="s">
        <v>3</v>
      </c>
      <c r="F7" s="46" t="s">
        <v>3</v>
      </c>
      <c r="G7" s="33"/>
      <c r="H7" s="148" t="str">
        <f>HYPERLINK(CONCATENATE(
BASE_URL,
"0x04b-Mobile-App-Security-Testing.md#architectural-information"),
"Architectural Information")</f>
        <v>Architectural Information</v>
      </c>
      <c r="I7" s="65"/>
      <c r="J7" s="65"/>
    </row>
    <row r="8" spans="2:10" x14ac:dyDescent="0.35">
      <c r="B8" s="31" t="s">
        <v>253</v>
      </c>
      <c r="C8" s="141" t="s">
        <v>292</v>
      </c>
      <c r="D8" s="137" t="s">
        <v>120</v>
      </c>
      <c r="E8" s="24" t="s">
        <v>3</v>
      </c>
      <c r="F8" s="46" t="s">
        <v>3</v>
      </c>
      <c r="G8" s="33"/>
      <c r="H8" s="148" t="str">
        <f>HYPERLINK(CONCATENATE(
BASE_URL,
"0x04b-Mobile-App-Security-Testing.md#identifying-sensitive-data"),
"Identifying Sensitive Data")</f>
        <v>Identifying Sensitive Data</v>
      </c>
      <c r="I8" s="65"/>
      <c r="J8" s="65"/>
    </row>
    <row r="9" spans="2:10" x14ac:dyDescent="0.35">
      <c r="B9" s="31" t="s">
        <v>252</v>
      </c>
      <c r="C9" s="141" t="s">
        <v>293</v>
      </c>
      <c r="D9" s="137" t="s">
        <v>123</v>
      </c>
      <c r="E9" s="32"/>
      <c r="F9" s="46" t="s">
        <v>3</v>
      </c>
      <c r="G9" s="33" t="s">
        <v>63</v>
      </c>
      <c r="H9" s="148" t="str">
        <f>HYPERLINK(CONCATENATE(
BASE_URL,
"0x04b-Mobile-App-Security-Testing.md#environmental-information"),
"Environmental Information")</f>
        <v>Environmental Information</v>
      </c>
      <c r="I9" s="65"/>
      <c r="J9" s="65"/>
    </row>
    <row r="10" spans="2:10" ht="29" x14ac:dyDescent="0.35">
      <c r="B10" s="31" t="s">
        <v>254</v>
      </c>
      <c r="C10" s="141" t="s">
        <v>294</v>
      </c>
      <c r="D10" s="32" t="s">
        <v>124</v>
      </c>
      <c r="E10" s="32"/>
      <c r="F10" s="46" t="s">
        <v>3</v>
      </c>
      <c r="G10" s="33" t="s">
        <v>63</v>
      </c>
      <c r="H10" s="148" t="str">
        <f>HYPERLINK(CONCATENATE(
BASE_URL,
"0x04b-Mobile-App-Security-Testing.md#mapping-the-application"),
"Mapping the Application")</f>
        <v>Mapping the Application</v>
      </c>
      <c r="I10" s="65"/>
      <c r="J10" s="65"/>
    </row>
    <row r="11" spans="2:10" x14ac:dyDescent="0.35">
      <c r="B11" s="31" t="s">
        <v>4</v>
      </c>
      <c r="C11" s="141" t="s">
        <v>295</v>
      </c>
      <c r="D11" s="137" t="s">
        <v>125</v>
      </c>
      <c r="E11" s="47"/>
      <c r="F11" s="46" t="s">
        <v>3</v>
      </c>
      <c r="G11" s="33" t="s">
        <v>63</v>
      </c>
      <c r="H11" s="148" t="str">
        <f>HYPERLINK(CONCATENATE(
BASE_URL,
"0x04b-Mobile-App-Security-Testing.md#principles-of-testing"),
"Principles of Testing")</f>
        <v>Principles of Testing</v>
      </c>
      <c r="I11" s="124" t="str">
        <f>HYPERLINK(CONCATENATE(
BASE_URL,
"0x04b-Mobile-App-Security-Testing.md#penetration-testing-aka-pentesting"),
"Penetration Testing (a.k.a. Pentesting)")</f>
        <v>Penetration Testing (a.k.a. Pentesting)</v>
      </c>
      <c r="J11" s="65"/>
    </row>
    <row r="12" spans="2:10" ht="29" x14ac:dyDescent="0.35">
      <c r="B12" s="31" t="s">
        <v>255</v>
      </c>
      <c r="C12" s="141" t="s">
        <v>296</v>
      </c>
      <c r="D12" s="32" t="s">
        <v>126</v>
      </c>
      <c r="E12" s="32"/>
      <c r="F12" s="46" t="s">
        <v>3</v>
      </c>
      <c r="G12" s="33" t="s">
        <v>63</v>
      </c>
      <c r="H12" s="148" t="str">
        <f>HYPERLINK(CONCATENATE(
BASE_URL,
"0x04g-Testing-Cryptography.md#cryptographic-policy"),
"Cryptographic policy")</f>
        <v>Cryptographic policy</v>
      </c>
      <c r="I12" s="65"/>
      <c r="J12" s="65"/>
    </row>
    <row r="13" spans="2:10" x14ac:dyDescent="0.35">
      <c r="B13" s="31" t="s">
        <v>256</v>
      </c>
      <c r="C13" s="141" t="s">
        <v>297</v>
      </c>
      <c r="D13" s="137" t="s">
        <v>127</v>
      </c>
      <c r="E13" s="32"/>
      <c r="F13" s="46" t="s">
        <v>3</v>
      </c>
      <c r="G13" s="33" t="s">
        <v>63</v>
      </c>
      <c r="H13" s="148" t="str">
        <f>HYPERLINK(CONCATENATE(
BASE_URL,
"0x06h-Testing-Platform-Interaction.md#testing-enforced-updating-mstg-arch-9"),
"Testing enforced updating (MSTG-ARCH-9)")</f>
        <v>Testing enforced updating (MSTG-ARCH-9)</v>
      </c>
      <c r="I13" s="65"/>
      <c r="J13" s="65"/>
    </row>
    <row r="14" spans="2:10" x14ac:dyDescent="0.35">
      <c r="B14" s="63" t="s">
        <v>5</v>
      </c>
      <c r="C14" s="142" t="s">
        <v>298</v>
      </c>
      <c r="D14" s="137" t="s">
        <v>128</v>
      </c>
      <c r="E14" s="32"/>
      <c r="F14" s="46" t="s">
        <v>3</v>
      </c>
      <c r="G14" s="33" t="s">
        <v>63</v>
      </c>
      <c r="H14" s="148" t="str">
        <f>HYPERLINK(CONCATENATE(
BASE_URL,
"0x04b-Mobile-App-Security-Testing.md#security-testing-and-the-sdlc"),
"Security Testing and the SDLC")</f>
        <v>Security Testing and the SDLC</v>
      </c>
      <c r="I14" s="65"/>
      <c r="J14" s="65"/>
    </row>
    <row r="15" spans="2:10" x14ac:dyDescent="0.35">
      <c r="B15" s="34" t="s">
        <v>6</v>
      </c>
      <c r="C15" s="48"/>
      <c r="D15" s="35" t="s">
        <v>214</v>
      </c>
      <c r="E15" s="35"/>
      <c r="F15" s="48"/>
      <c r="G15" s="35"/>
      <c r="H15" s="35"/>
      <c r="I15" s="36"/>
      <c r="J15" s="36"/>
    </row>
    <row r="16" spans="2:10" ht="43.5" x14ac:dyDescent="0.35">
      <c r="B16" s="49" t="s">
        <v>7</v>
      </c>
      <c r="C16" s="143" t="s">
        <v>299</v>
      </c>
      <c r="D16" s="50" t="s">
        <v>129</v>
      </c>
      <c r="E16" s="24" t="s">
        <v>3</v>
      </c>
      <c r="F16" s="46" t="s">
        <v>3</v>
      </c>
      <c r="G16" s="33"/>
      <c r="H16" s="91" t="str">
        <f>HYPERLINK(CONCATENATE(BASE_URL,"0x06d-Testing-Data-Storage.md#testing-local-data-storage"),"Testing Local Data Storage")</f>
        <v>Testing Local Data Storage</v>
      </c>
      <c r="I16" s="65"/>
      <c r="J16" s="65"/>
    </row>
    <row r="17" spans="2:10" ht="29" x14ac:dyDescent="0.35">
      <c r="B17" s="49" t="s">
        <v>39</v>
      </c>
      <c r="C17" s="143" t="s">
        <v>300</v>
      </c>
      <c r="D17" s="50" t="s">
        <v>130</v>
      </c>
      <c r="E17" s="24"/>
      <c r="F17" s="46"/>
      <c r="G17" s="33"/>
      <c r="H17" s="91" t="str">
        <f>HYPERLINK(CONCATENATE(BASE_URL,"0x06d-Testing-Data-Storage.md#testing-local-data-storage"),"Testing Local Data Storage")</f>
        <v>Testing Local Data Storage</v>
      </c>
      <c r="I17" s="65"/>
      <c r="J17" s="65"/>
    </row>
    <row r="18" spans="2:10" x14ac:dyDescent="0.35">
      <c r="B18" s="49" t="s">
        <v>40</v>
      </c>
      <c r="C18" s="143" t="s">
        <v>301</v>
      </c>
      <c r="D18" s="137" t="s">
        <v>131</v>
      </c>
      <c r="E18" s="24" t="s">
        <v>3</v>
      </c>
      <c r="F18" s="46" t="s">
        <v>3</v>
      </c>
      <c r="G18" s="33"/>
      <c r="H18" s="91" t="str">
        <f>HYPERLINK(CONCATENATE(BASE_URL,"0x06d-Testing-Data-Storage.md#checking-logs-for-sensitive-data"),"Checking Logs for Sensitive Data")</f>
        <v>Checking Logs for Sensitive Data</v>
      </c>
      <c r="I18" s="65"/>
      <c r="J18" s="65"/>
    </row>
    <row r="19" spans="2:10" x14ac:dyDescent="0.35">
      <c r="B19" s="49" t="s">
        <v>8</v>
      </c>
      <c r="C19" s="143" t="s">
        <v>302</v>
      </c>
      <c r="D19" s="137" t="s">
        <v>132</v>
      </c>
      <c r="E19" s="24" t="s">
        <v>3</v>
      </c>
      <c r="F19" s="46" t="s">
        <v>3</v>
      </c>
      <c r="G19" s="33"/>
      <c r="H19" s="91" t="str">
        <f>HYPERLINK(CONCATENATE(BASE_URL,"0x06d-Testing-Data-Storage.md#determining-whether-sensitive-data-is-sent-to-third-parties"),"Determining Whether Sensitive Data Is Sent to Third Parties")</f>
        <v>Determining Whether Sensitive Data Is Sent to Third Parties</v>
      </c>
      <c r="I19" s="65"/>
      <c r="J19" s="65"/>
    </row>
    <row r="20" spans="2:10" x14ac:dyDescent="0.35">
      <c r="B20" s="49" t="s">
        <v>41</v>
      </c>
      <c r="C20" s="143" t="s">
        <v>303</v>
      </c>
      <c r="D20" s="137" t="s">
        <v>133</v>
      </c>
      <c r="E20" s="24" t="s">
        <v>3</v>
      </c>
      <c r="F20" s="46" t="s">
        <v>3</v>
      </c>
      <c r="G20" s="33"/>
      <c r="H20" s="91" t="str">
        <f>HYPERLINK(CONCATENATE(BASE_URL,"0x06d-Testing-Data-Storage.md#finding-sensitive-data-in-the-keyboard-cache"),"Finding Sensitive Data in the Keyboard Cache")</f>
        <v>Finding Sensitive Data in the Keyboard Cache</v>
      </c>
      <c r="I20" s="65"/>
      <c r="J20" s="65"/>
    </row>
    <row r="21" spans="2:10" x14ac:dyDescent="0.35">
      <c r="B21" s="49" t="s">
        <v>9</v>
      </c>
      <c r="C21" s="143" t="s">
        <v>304</v>
      </c>
      <c r="D21" s="137" t="s">
        <v>134</v>
      </c>
      <c r="E21" s="24" t="s">
        <v>3</v>
      </c>
      <c r="F21" s="46" t="s">
        <v>3</v>
      </c>
      <c r="G21" s="33"/>
      <c r="H21" s="91" t="str">
        <f>HYPERLINK(CONCATENATE(BASE_URL,"0x06d-Testing-Data-Storage.md#determining-whether-sensitive-data-is-exposed-via-ipc-mechanisms"),"Determining Whether Sensitive Data Is Exposed via IPC Mechanisms")</f>
        <v>Determining Whether Sensitive Data Is Exposed via IPC Mechanisms</v>
      </c>
      <c r="I21" s="65"/>
      <c r="J21" s="65"/>
    </row>
    <row r="22" spans="2:10" x14ac:dyDescent="0.35">
      <c r="B22" s="49" t="s">
        <v>10</v>
      </c>
      <c r="C22" s="143" t="s">
        <v>305</v>
      </c>
      <c r="D22" s="137" t="s">
        <v>135</v>
      </c>
      <c r="E22" s="24" t="s">
        <v>3</v>
      </c>
      <c r="F22" s="46" t="s">
        <v>3</v>
      </c>
      <c r="G22" s="33"/>
      <c r="H22" s="91" t="str">
        <f>HYPERLINK(CONCATENATE(BASE_URL,"0x06d-Testing-Data-Storage.md#checking-for-sensitive-data-disclosed-through-the-user-interface"),"Checking for Sensitive Data Disclosed Through the User Interface")</f>
        <v>Checking for Sensitive Data Disclosed Through the User Interface</v>
      </c>
      <c r="I22" s="65"/>
      <c r="J22" s="65"/>
    </row>
    <row r="23" spans="2:10" x14ac:dyDescent="0.35">
      <c r="B23" s="49" t="s">
        <v>11</v>
      </c>
      <c r="C23" s="143" t="s">
        <v>306</v>
      </c>
      <c r="D23" s="137" t="s">
        <v>136</v>
      </c>
      <c r="E23" s="50"/>
      <c r="F23" s="46" t="s">
        <v>3</v>
      </c>
      <c r="G23" s="33" t="s">
        <v>63</v>
      </c>
      <c r="H23" s="91" t="str">
        <f>HYPERLINK(CONCATENATE(BASE_URL,"0x06d-Testing-Data-Storage.md#testing-backups-for-sensitive-data"),"Testing Backups for Sensitive Data")</f>
        <v>Testing Backups for Sensitive Data</v>
      </c>
      <c r="I23" s="65"/>
      <c r="J23" s="65"/>
    </row>
    <row r="24" spans="2:10" x14ac:dyDescent="0.35">
      <c r="B24" s="49" t="s">
        <v>12</v>
      </c>
      <c r="C24" s="143" t="s">
        <v>307</v>
      </c>
      <c r="D24" s="137" t="s">
        <v>280</v>
      </c>
      <c r="E24" s="50"/>
      <c r="F24" s="46" t="s">
        <v>3</v>
      </c>
      <c r="G24" s="33" t="s">
        <v>63</v>
      </c>
      <c r="H24" s="91" t="str">
        <f>HYPERLINK(CONCATENATE(BASE_URL,"0x06d-Testing-Data-Storage.md#testing-auto-generated-screenshots-for-sensitive-information"),"Testing Auto-Generated Screenshots for Sensitive Information")</f>
        <v>Testing Auto-Generated Screenshots for Sensitive Information</v>
      </c>
      <c r="I24" s="65"/>
      <c r="J24" s="65"/>
    </row>
    <row r="25" spans="2:10" ht="29" x14ac:dyDescent="0.35">
      <c r="B25" s="49" t="s">
        <v>42</v>
      </c>
      <c r="C25" s="143" t="s">
        <v>308</v>
      </c>
      <c r="D25" s="50" t="s">
        <v>137</v>
      </c>
      <c r="E25" s="50"/>
      <c r="F25" s="46" t="s">
        <v>3</v>
      </c>
      <c r="G25" s="33" t="s">
        <v>63</v>
      </c>
      <c r="H25" s="91" t="str">
        <f>HYPERLINK(CONCATENATE(BASE_URL,"0x06d-Testing-Data-Storage.md#testing-memory-for-sensitive-data"),"Testing Memory for Sensitive Data")</f>
        <v>Testing Memory for Sensitive Data</v>
      </c>
      <c r="I25" s="65"/>
      <c r="J25" s="65"/>
    </row>
    <row r="26" spans="2:10" ht="29" x14ac:dyDescent="0.35">
      <c r="B26" s="49" t="s">
        <v>43</v>
      </c>
      <c r="C26" s="143" t="s">
        <v>309</v>
      </c>
      <c r="D26" s="50" t="s">
        <v>138</v>
      </c>
      <c r="E26" s="50"/>
      <c r="F26" s="46" t="s">
        <v>3</v>
      </c>
      <c r="G26" s="33" t="s">
        <v>63</v>
      </c>
      <c r="H26" s="91" t="str">
        <f>HYPERLINK(CONCATENATE(BASE_URL,"0x06f-Testing-Local-Authentication.md#local-authentication-on-ios"),"Local Authentication on iOS")</f>
        <v>Local Authentication on iOS</v>
      </c>
      <c r="I26" s="65"/>
      <c r="J26" s="65"/>
    </row>
    <row r="27" spans="2:10" ht="29" x14ac:dyDescent="0.35">
      <c r="B27" s="49" t="s">
        <v>13</v>
      </c>
      <c r="C27" s="143" t="s">
        <v>310</v>
      </c>
      <c r="D27" s="50" t="s">
        <v>139</v>
      </c>
      <c r="E27" s="50"/>
      <c r="F27" s="46" t="s">
        <v>3</v>
      </c>
      <c r="G27" s="33" t="s">
        <v>63</v>
      </c>
      <c r="H27" s="92" t="str">
        <f>HYPERLINK(CONCATENATE(BASE_URL,"0x04i-Testing-user-interaction.md#testing-user-education"),"Testing User Education")</f>
        <v>Testing User Education</v>
      </c>
      <c r="I27" s="65"/>
      <c r="J27" s="65"/>
    </row>
    <row r="28" spans="2:10" x14ac:dyDescent="0.35">
      <c r="B28" s="34" t="s">
        <v>14</v>
      </c>
      <c r="C28" s="48"/>
      <c r="D28" s="35" t="s">
        <v>94</v>
      </c>
      <c r="E28" s="35"/>
      <c r="F28" s="48"/>
      <c r="G28" s="35"/>
      <c r="H28" s="35"/>
      <c r="I28" s="36"/>
      <c r="J28" s="36"/>
    </row>
    <row r="29" spans="2:10" x14ac:dyDescent="0.35">
      <c r="B29" s="49" t="s">
        <v>15</v>
      </c>
      <c r="C29" s="143" t="s">
        <v>311</v>
      </c>
      <c r="D29" s="137" t="s">
        <v>281</v>
      </c>
      <c r="E29" s="24" t="s">
        <v>3</v>
      </c>
      <c r="F29" s="46" t="s">
        <v>3</v>
      </c>
      <c r="G29" s="33"/>
      <c r="H29" s="91" t="str">
        <f>HYPERLINK(CONCATENATE(BASE_URL,"0x06e-Testing-Cryptography.md#testing-key-management"),"Testing Key Management")</f>
        <v>Testing Key Management</v>
      </c>
      <c r="I29" s="65"/>
      <c r="J29" s="65"/>
    </row>
    <row r="30" spans="2:10" x14ac:dyDescent="0.35">
      <c r="B30" s="49" t="s">
        <v>16</v>
      </c>
      <c r="C30" s="143" t="s">
        <v>313</v>
      </c>
      <c r="D30" s="137" t="s">
        <v>140</v>
      </c>
      <c r="E30" s="24" t="s">
        <v>3</v>
      </c>
      <c r="F30" s="46" t="s">
        <v>3</v>
      </c>
      <c r="G30" s="33"/>
      <c r="H30" s="91" t="str">
        <f>HYPERLINK(CONCATENATE(BASE_URL,"0x04g-Testing-Cryptography.md#custom-implementations-of-cryptography"),"Custom Implementations of Cryptography")</f>
        <v>Custom Implementations of Cryptography</v>
      </c>
      <c r="I30" s="65"/>
      <c r="J30" s="65"/>
    </row>
    <row r="31" spans="2:10" ht="29" x14ac:dyDescent="0.35">
      <c r="B31" s="49" t="s">
        <v>17</v>
      </c>
      <c r="C31" s="143" t="s">
        <v>312</v>
      </c>
      <c r="D31" s="138" t="s">
        <v>141</v>
      </c>
      <c r="E31" s="24" t="s">
        <v>3</v>
      </c>
      <c r="F31" s="46" t="s">
        <v>3</v>
      </c>
      <c r="G31" s="33"/>
      <c r="H31" s="91" t="str">
        <f>HYPERLINK(CONCATENATE(BASE_URL,"0x06e-Testing-Cryptography.md#verifying-the-configuration-of-cryptographic-standard-algorithms"),"Verifying the Configuration of Cryptographic Standard Algorithms")</f>
        <v>Verifying the Configuration of Cryptographic Standard Algorithms</v>
      </c>
      <c r="I31" s="65"/>
      <c r="J31" s="65"/>
    </row>
    <row r="32" spans="2:10" ht="29" x14ac:dyDescent="0.35">
      <c r="B32" s="49" t="s">
        <v>18</v>
      </c>
      <c r="C32" s="143" t="s">
        <v>314</v>
      </c>
      <c r="D32" s="50" t="s">
        <v>142</v>
      </c>
      <c r="E32" s="24" t="s">
        <v>3</v>
      </c>
      <c r="F32" s="46" t="s">
        <v>3</v>
      </c>
      <c r="G32" s="33"/>
      <c r="H32" s="91" t="str">
        <f>HYPERLINK(CONCATENATE(BASE_URL,"0x04g-Testing-Cryptography.md#identifying-insecure-andor-deprecated-cryptographic-algorithms"),"Identifying Insecure and/or Deprecated Cryptographic Algorithms")</f>
        <v>Identifying Insecure and/or Deprecated Cryptographic Algorithms</v>
      </c>
      <c r="I32" s="65"/>
      <c r="J32" s="65"/>
    </row>
    <row r="33" spans="2:11" x14ac:dyDescent="0.35">
      <c r="B33" s="49" t="s">
        <v>19</v>
      </c>
      <c r="C33" s="143" t="s">
        <v>315</v>
      </c>
      <c r="D33" s="137" t="s">
        <v>143</v>
      </c>
      <c r="E33" s="24" t="s">
        <v>3</v>
      </c>
      <c r="F33" s="46" t="s">
        <v>3</v>
      </c>
      <c r="G33" s="33"/>
      <c r="H33" s="91" t="str">
        <f>HYPERLINK(CONCATENATE(BASE_URL,"0x06e-Testing-Cryptography.md#testing-key-management"),"Testing Key Management")</f>
        <v>Testing Key Management</v>
      </c>
      <c r="I33" s="65"/>
      <c r="J33" s="65"/>
    </row>
    <row r="34" spans="2:11" x14ac:dyDescent="0.35">
      <c r="B34" s="49" t="s">
        <v>20</v>
      </c>
      <c r="C34" s="143" t="s">
        <v>316</v>
      </c>
      <c r="D34" s="137" t="s">
        <v>282</v>
      </c>
      <c r="E34" s="24" t="s">
        <v>3</v>
      </c>
      <c r="F34" s="46" t="s">
        <v>3</v>
      </c>
      <c r="G34" s="33"/>
      <c r="H34" s="91" t="str">
        <f>HYPERLINK(CONCATENATE(BASE_URL,"0x06e-Testing-Cryptography.md#testing-random-number-generation")," Testing Random Number Generation")</f>
        <v xml:space="preserve"> Testing Random Number Generation</v>
      </c>
      <c r="I34" s="65"/>
      <c r="J34" s="65"/>
    </row>
    <row r="35" spans="2:11" x14ac:dyDescent="0.35">
      <c r="B35" s="34" t="s">
        <v>21</v>
      </c>
      <c r="C35" s="48"/>
      <c r="D35" s="35" t="s">
        <v>102</v>
      </c>
      <c r="E35" s="35"/>
      <c r="F35" s="48"/>
      <c r="G35" s="35"/>
      <c r="H35" s="35"/>
      <c r="I35" s="36"/>
      <c r="J35" s="36"/>
    </row>
    <row r="36" spans="2:11" ht="29" x14ac:dyDescent="0.35">
      <c r="B36" s="49" t="s">
        <v>22</v>
      </c>
      <c r="C36" s="143" t="s">
        <v>317</v>
      </c>
      <c r="D36" s="138" t="s">
        <v>144</v>
      </c>
      <c r="E36" s="24" t="s">
        <v>3</v>
      </c>
      <c r="F36" s="46" t="s">
        <v>3</v>
      </c>
      <c r="G36" s="33"/>
      <c r="H36" s="91" t="str">
        <f>HYPERLINK(CONCATENATE(BASE_URL,"0x04e-Testing-Authentication-and-Session-Management.md#testing-authentication"),"Testing Authentication")</f>
        <v>Testing Authentication</v>
      </c>
      <c r="I36" s="65"/>
      <c r="J36" s="65"/>
    </row>
    <row r="37" spans="2:11" ht="29" x14ac:dyDescent="0.35">
      <c r="B37" s="49" t="s">
        <v>44</v>
      </c>
      <c r="C37" s="143" t="s">
        <v>318</v>
      </c>
      <c r="D37" s="138" t="s">
        <v>145</v>
      </c>
      <c r="E37" s="24" t="s">
        <v>3</v>
      </c>
      <c r="F37" s="46" t="s">
        <v>3</v>
      </c>
      <c r="G37" s="33"/>
      <c r="H37" s="91" t="str">
        <f>HYPERLINK(CONCATENATE(BASE_URL,"0x04e-Testing-Authentication-and-Session-Management.md#testing-stateful-session-management"),"Testing Stateful Session Management")</f>
        <v>Testing Stateful Session Management</v>
      </c>
      <c r="I37" s="65"/>
      <c r="J37" s="65"/>
    </row>
    <row r="38" spans="2:11" ht="29" x14ac:dyDescent="0.35">
      <c r="B38" s="49" t="s">
        <v>45</v>
      </c>
      <c r="C38" s="143" t="s">
        <v>319</v>
      </c>
      <c r="D38" s="138" t="s">
        <v>146</v>
      </c>
      <c r="E38" s="24" t="s">
        <v>3</v>
      </c>
      <c r="F38" s="46" t="s">
        <v>3</v>
      </c>
      <c r="G38" s="33"/>
      <c r="H38" s="91" t="str">
        <f>HYPERLINK(CONCATENATE(BASE_URL,"0x04e-Testing-Authentication-and-Session-Management.md#testing-stateless-token-based-authentication"),"Testing Stateless (Token-Based) Authentication")</f>
        <v>Testing Stateless (Token-Based) Authentication</v>
      </c>
      <c r="I38" s="65"/>
      <c r="J38" s="65"/>
      <c r="K38" s="51"/>
    </row>
    <row r="39" spans="2:11" x14ac:dyDescent="0.35">
      <c r="B39" s="49" t="s">
        <v>23</v>
      </c>
      <c r="C39" s="143" t="s">
        <v>320</v>
      </c>
      <c r="D39" s="137" t="s">
        <v>147</v>
      </c>
      <c r="E39" s="24"/>
      <c r="F39" s="46"/>
      <c r="G39" s="33"/>
      <c r="H39" s="91" t="str">
        <f>HYPERLINK(CONCATENATE(BASE_URL,"0x04e-Testing-Authentication-and-Session-Management.md#user-logout-and-session-timeouts"),"User Logout and Session Timeouts")</f>
        <v>User Logout and Session Timeouts</v>
      </c>
      <c r="I39" s="65"/>
      <c r="J39" s="65"/>
      <c r="K39" s="51"/>
    </row>
    <row r="40" spans="2:11" x14ac:dyDescent="0.35">
      <c r="B40" s="49" t="s">
        <v>24</v>
      </c>
      <c r="C40" s="143" t="s">
        <v>321</v>
      </c>
      <c r="D40" s="137" t="s">
        <v>148</v>
      </c>
      <c r="E40" s="24" t="s">
        <v>3</v>
      </c>
      <c r="F40" s="46" t="s">
        <v>3</v>
      </c>
      <c r="G40" s="33"/>
      <c r="H40" s="91" t="str">
        <f>HYPERLINK(CONCATENATE(BASE_URL,"0x04e-Testing-Authentication-and-Session-Management.md##best-practices-for-passwords"),"Best Practices for Passwords")</f>
        <v>Best Practices for Passwords</v>
      </c>
      <c r="I40" s="65"/>
      <c r="J40" s="65"/>
    </row>
    <row r="41" spans="2:11" ht="29" x14ac:dyDescent="0.35">
      <c r="B41" s="49" t="s">
        <v>46</v>
      </c>
      <c r="C41" s="143" t="s">
        <v>322</v>
      </c>
      <c r="D41" s="137" t="s">
        <v>149</v>
      </c>
      <c r="E41" s="24" t="s">
        <v>3</v>
      </c>
      <c r="F41" s="46" t="s">
        <v>3</v>
      </c>
      <c r="G41" s="33"/>
      <c r="H41" s="91" t="str">
        <f>HYPERLINK(CONCATENATE(BASE_URL,"0x04e-Testing-Authentication-and-Session-Management.md#running-a-password-dictionary-attack"),"Running a Password Dictionary Attack")</f>
        <v>Running a Password Dictionary Attack</v>
      </c>
      <c r="I41" s="65"/>
      <c r="J41" s="65"/>
    </row>
    <row r="42" spans="2:11" ht="29" x14ac:dyDescent="0.35">
      <c r="B42" s="49" t="s">
        <v>47</v>
      </c>
      <c r="C42" s="143" t="s">
        <v>323</v>
      </c>
      <c r="D42" s="137" t="s">
        <v>150</v>
      </c>
      <c r="E42" s="24" t="s">
        <v>3</v>
      </c>
      <c r="F42" s="46" t="s">
        <v>3</v>
      </c>
      <c r="G42" s="33"/>
      <c r="H42" s="91" t="str">
        <f>HYPERLINK(CONCATENATE(BASE_URL,"0x04e-Testing-Authentication-and-Session-Management.md#session-timeout"),"Session Timeout")</f>
        <v>Session Timeout</v>
      </c>
      <c r="I42" s="51"/>
      <c r="J42" s="51"/>
    </row>
    <row r="43" spans="2:11" ht="43.5" x14ac:dyDescent="0.35">
      <c r="B43" s="49" t="s">
        <v>25</v>
      </c>
      <c r="C43" s="143" t="s">
        <v>324</v>
      </c>
      <c r="D43" s="137" t="s">
        <v>151</v>
      </c>
      <c r="E43" s="50"/>
      <c r="F43" s="46" t="s">
        <v>3</v>
      </c>
      <c r="G43" s="33" t="s">
        <v>63</v>
      </c>
      <c r="H43" s="91" t="str">
        <f>HYPERLINK(CONCATENATE(BASE_URL,"0x06f-Testing-Local-Authentication.md#testing-local-authentication"),"Testing Local Authentication")</f>
        <v>Testing Local Authentication</v>
      </c>
      <c r="I43" s="65"/>
      <c r="J43" s="65"/>
    </row>
    <row r="44" spans="2:11" ht="29" x14ac:dyDescent="0.35">
      <c r="B44" s="49" t="s">
        <v>26</v>
      </c>
      <c r="C44" s="143" t="s">
        <v>325</v>
      </c>
      <c r="D44" s="50" t="s">
        <v>152</v>
      </c>
      <c r="E44" s="50"/>
      <c r="F44" s="46" t="s">
        <v>3</v>
      </c>
      <c r="G44" s="33" t="s">
        <v>63</v>
      </c>
      <c r="H44" s="91" t="str">
        <f>HYPERLINK(CONCATENATE(BASE_URL,"0x04e-Testing-Authentication-and-Session-Management.md#verifying-that-2fa-is-enforced"),"Verifying that 2FA is Enforced")</f>
        <v>Verifying that 2FA is Enforced</v>
      </c>
      <c r="I44" s="65"/>
      <c r="J44" s="65"/>
    </row>
    <row r="45" spans="2:11" x14ac:dyDescent="0.35">
      <c r="B45" s="49" t="s">
        <v>27</v>
      </c>
      <c r="C45" s="143" t="s">
        <v>326</v>
      </c>
      <c r="D45" s="137" t="s">
        <v>153</v>
      </c>
      <c r="E45" s="50"/>
      <c r="F45" s="46" t="s">
        <v>3</v>
      </c>
      <c r="G45" s="33" t="s">
        <v>63</v>
      </c>
      <c r="H45" s="91" t="str">
        <f>HYPERLINK(CONCATENATE(BASE_URL,"0x04e-Testing-Authentication-and-Session-Management.md#2-factor-authentication-and-step-up-authentication"),"2-Factor Authentication and Step-up Authentication")</f>
        <v>2-Factor Authentication and Step-up Authentication</v>
      </c>
      <c r="I45" s="65"/>
      <c r="J45" s="65"/>
    </row>
    <row r="46" spans="2:11" ht="29" x14ac:dyDescent="0.35">
      <c r="B46" s="49" t="s">
        <v>80</v>
      </c>
      <c r="C46" s="143" t="s">
        <v>327</v>
      </c>
      <c r="D46" s="137" t="s">
        <v>154</v>
      </c>
      <c r="E46" s="50"/>
      <c r="F46" s="46" t="s">
        <v>3</v>
      </c>
      <c r="G46" s="33" t="s">
        <v>63</v>
      </c>
      <c r="H46" s="92" t="str">
        <f>HYPERLINK(CONCATENATE(
BASE_URL,
"0x04e-Testing-Authentication-and-Session-Management.md#login-activity-and-device-blocking"),
"Login Activity and Device Blocking")</f>
        <v>Login Activity and Device Blocking</v>
      </c>
      <c r="I46" s="65"/>
      <c r="J46" s="65"/>
    </row>
    <row r="47" spans="2:11" x14ac:dyDescent="0.35">
      <c r="B47" s="34" t="s">
        <v>28</v>
      </c>
      <c r="C47" s="48"/>
      <c r="D47" s="35" t="s">
        <v>95</v>
      </c>
      <c r="E47" s="35"/>
      <c r="F47" s="48"/>
      <c r="G47" s="35"/>
      <c r="H47" s="35"/>
      <c r="I47" s="36"/>
      <c r="J47" s="36"/>
    </row>
    <row r="48" spans="2:11" ht="29" x14ac:dyDescent="0.35">
      <c r="B48" s="49" t="s">
        <v>29</v>
      </c>
      <c r="C48" s="143" t="s">
        <v>328</v>
      </c>
      <c r="D48" s="137" t="s">
        <v>155</v>
      </c>
      <c r="E48" s="24" t="s">
        <v>3</v>
      </c>
      <c r="F48" s="46" t="s">
        <v>3</v>
      </c>
      <c r="G48" s="33"/>
      <c r="H48" s="91" t="str">
        <f>HYPERLINK(CONCATENATE(BASE_URL,"0x04f-Testing-Network-Communication.md#verifying-data-encryption-on-the-network"),"Verifying Data Encryption on the Network")</f>
        <v>Verifying Data Encryption on the Network</v>
      </c>
      <c r="I48" s="124" t="str">
        <f>HYPERLINK(CONCATENATE(BASE_URL,"0x06g-Testing-Network-Communication.md#app-transport-security"),"App Transport Security")</f>
        <v>App Transport Security</v>
      </c>
      <c r="J48" s="124" t="str">
        <f>HYPERLINK(CONCATENATE(BASE_URL,"0x06g-Testing-Network-Communication.md#app-transport-security"),"App Transport Security")</f>
        <v>App Transport Security</v>
      </c>
    </row>
    <row r="49" spans="2:10" ht="29" x14ac:dyDescent="0.35">
      <c r="B49" s="49" t="s">
        <v>48</v>
      </c>
      <c r="C49" s="143" t="s">
        <v>329</v>
      </c>
      <c r="D49" s="137" t="s">
        <v>156</v>
      </c>
      <c r="E49" s="24" t="s">
        <v>3</v>
      </c>
      <c r="F49" s="46" t="s">
        <v>3</v>
      </c>
      <c r="G49" s="33"/>
      <c r="H49" s="91" t="str">
        <f>HYPERLINK(CONCATENATE(BASE_URL,"0x04f-Testing-Network-Communication.md#recommended-tls-settings"),"Recommended TLS Settings")</f>
        <v>Recommended TLS Settings</v>
      </c>
      <c r="I49" s="124" t="str">
        <f>HYPERLINK(CONCATENATE(BASE_URL,"0x06g-Testing-Network-Communication.md#app-transport-security"),"App Transport Security")</f>
        <v>App Transport Security</v>
      </c>
      <c r="J49" s="124" t="str">
        <f>HYPERLINK(CONCATENATE(BASE_URL,"0x06g-Testing-Network-Communication.md#app-transport-security"),"App Transport Security")</f>
        <v>App Transport Security</v>
      </c>
    </row>
    <row r="50" spans="2:10" ht="29" x14ac:dyDescent="0.35">
      <c r="B50" s="49" t="s">
        <v>30</v>
      </c>
      <c r="C50" s="143" t="s">
        <v>330</v>
      </c>
      <c r="D50" s="137" t="s">
        <v>157</v>
      </c>
      <c r="E50" s="24" t="s">
        <v>3</v>
      </c>
      <c r="F50" s="46" t="s">
        <v>3</v>
      </c>
      <c r="G50" s="33"/>
      <c r="H50" s="91" t="str">
        <f>HYPERLINK(CONCATENATE(BASE_URL,"0x06g-Testing-Network-Communication.md#testing-custom-certificate-stores-and-certificate-pinning"),"Testing Custom Certificate Stores and Certificate Pinning")</f>
        <v>Testing Custom Certificate Stores and Certificate Pinning</v>
      </c>
      <c r="I50" s="65"/>
      <c r="J50" s="65"/>
    </row>
    <row r="51" spans="2:10" ht="43.5" x14ac:dyDescent="0.35">
      <c r="B51" s="49" t="s">
        <v>49</v>
      </c>
      <c r="C51" s="143" t="s">
        <v>331</v>
      </c>
      <c r="D51" s="137" t="s">
        <v>158</v>
      </c>
      <c r="E51" s="50"/>
      <c r="F51" s="46" t="s">
        <v>3</v>
      </c>
      <c r="G51" s="33" t="s">
        <v>63</v>
      </c>
      <c r="H51" s="91" t="str">
        <f>HYPERLINK(CONCATENATE(BASE_URL,"0x06g-Testing-Network-Communication.md#testing-custom-certificate-stores-and-certificate-pinning"),"Testing Custom Certificate Stores and Certificate Pinning")</f>
        <v>Testing Custom Certificate Stores and Certificate Pinning</v>
      </c>
      <c r="I51" s="65"/>
      <c r="J51" s="65"/>
    </row>
    <row r="52" spans="2:10" ht="29" x14ac:dyDescent="0.35">
      <c r="B52" s="49" t="s">
        <v>31</v>
      </c>
      <c r="C52" s="143" t="s">
        <v>332</v>
      </c>
      <c r="D52" s="137" t="s">
        <v>159</v>
      </c>
      <c r="E52" s="50"/>
      <c r="F52" s="46" t="s">
        <v>3</v>
      </c>
      <c r="G52" s="33" t="s">
        <v>63</v>
      </c>
      <c r="H52" s="91"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I52" s="65"/>
      <c r="J52" s="65"/>
    </row>
    <row r="53" spans="2:10" x14ac:dyDescent="0.35">
      <c r="B53" s="49" t="s">
        <v>257</v>
      </c>
      <c r="C53" s="143" t="s">
        <v>333</v>
      </c>
      <c r="D53" s="137" t="s">
        <v>160</v>
      </c>
      <c r="E53" s="50"/>
      <c r="F53" s="46" t="s">
        <v>3</v>
      </c>
      <c r="G53" s="33" t="s">
        <v>63</v>
      </c>
      <c r="H53" s="125" t="str">
        <f>HYPERLINK(CONCATENATE(
BASE_URL,
"0x06i-Testing-Code-Quality-and-Build-Settings.md#checking-for-weaknesses-in-third-party-libraries"),
"Checking for Weaknesses in Third Party Libraries")</f>
        <v>Checking for Weaknesses in Third Party Libraries</v>
      </c>
      <c r="I53" s="65"/>
      <c r="J53" s="65"/>
    </row>
    <row r="54" spans="2:10" x14ac:dyDescent="0.35">
      <c r="B54" s="34" t="s">
        <v>32</v>
      </c>
      <c r="C54" s="48"/>
      <c r="D54" s="35" t="s">
        <v>233</v>
      </c>
      <c r="E54" s="35"/>
      <c r="F54" s="48"/>
      <c r="G54" s="35"/>
      <c r="H54" s="35"/>
      <c r="I54" s="36"/>
      <c r="J54" s="36"/>
    </row>
    <row r="55" spans="2:10" x14ac:dyDescent="0.35">
      <c r="B55" s="49" t="s">
        <v>50</v>
      </c>
      <c r="C55" s="143" t="s">
        <v>334</v>
      </c>
      <c r="D55" s="137" t="s">
        <v>161</v>
      </c>
      <c r="E55" s="24" t="s">
        <v>3</v>
      </c>
      <c r="F55" s="46" t="s">
        <v>3</v>
      </c>
      <c r="G55" s="33"/>
      <c r="H55" s="91" t="str">
        <f>HYPERLINK(CONCATENATE(BASE_URL,"0x06h-Testing-Platform-Interaction.md#testing-app-permissions"),"Testing App Permissions")</f>
        <v>Testing App Permissions</v>
      </c>
      <c r="I55" s="65"/>
      <c r="J55" s="65"/>
    </row>
    <row r="56" spans="2:10" ht="43.5" x14ac:dyDescent="0.35">
      <c r="B56" s="49" t="s">
        <v>51</v>
      </c>
      <c r="C56" s="143" t="s">
        <v>335</v>
      </c>
      <c r="D56" s="137" t="s">
        <v>162</v>
      </c>
      <c r="E56" s="24" t="s">
        <v>3</v>
      </c>
      <c r="F56" s="46" t="s">
        <v>3</v>
      </c>
      <c r="G56" s="33"/>
      <c r="H56" s="91" t="str">
        <f>HYPERLINK(CONCATENATE(BASE_URL,"0x04h-Testing-Code-Quality.md#injection-flaws"),"Injection Flaws")</f>
        <v>Injection Flaws</v>
      </c>
      <c r="I56" s="65"/>
      <c r="J56" s="65"/>
    </row>
    <row r="57" spans="2:10" ht="29" x14ac:dyDescent="0.35">
      <c r="B57" s="49" t="s">
        <v>52</v>
      </c>
      <c r="C57" s="143" t="s">
        <v>336</v>
      </c>
      <c r="D57" s="137" t="s">
        <v>163</v>
      </c>
      <c r="E57" s="24" t="s">
        <v>3</v>
      </c>
      <c r="F57" s="46" t="s">
        <v>3</v>
      </c>
      <c r="G57" s="33"/>
      <c r="H57" s="91" t="str">
        <f>HYPERLINK(CONCATENATE(BASE_URL,"0x06h-Testing-Platform-Interaction.md#testing-custom-url-schemes"),"Testing Custom URL Schemes")</f>
        <v>Testing Custom URL Schemes</v>
      </c>
      <c r="I57" s="65"/>
      <c r="J57" s="65"/>
    </row>
    <row r="58" spans="2:10" ht="28" customHeight="1" x14ac:dyDescent="0.35">
      <c r="B58" s="49" t="s">
        <v>53</v>
      </c>
      <c r="C58" s="143" t="s">
        <v>337</v>
      </c>
      <c r="D58" s="137" t="s">
        <v>164</v>
      </c>
      <c r="E58" s="24" t="s">
        <v>3</v>
      </c>
      <c r="F58" s="46" t="s">
        <v>3</v>
      </c>
      <c r="G58" s="33"/>
      <c r="H58" s="126" t="str">
        <f>HYPERLINK(CONCATENATE(
BASE_URL,
"0x06h-Testing-Platform-Interaction.md#testing-for-sensitive-functionality-exposure-through-ipc"),
"Testing for Sensitive Functionality Exposure Through IPC")</f>
        <v>Testing for Sensitive Functionality Exposure Through IPC</v>
      </c>
      <c r="I58" s="65"/>
      <c r="J58" s="65"/>
    </row>
    <row r="59" spans="2:10" ht="22.5" customHeight="1" x14ac:dyDescent="0.35">
      <c r="B59" s="49" t="s">
        <v>54</v>
      </c>
      <c r="C59" s="143" t="s">
        <v>338</v>
      </c>
      <c r="D59" s="137" t="s">
        <v>165</v>
      </c>
      <c r="E59" s="24" t="s">
        <v>3</v>
      </c>
      <c r="F59" s="46" t="s">
        <v>3</v>
      </c>
      <c r="G59" s="33"/>
      <c r="H59" s="91" t="str">
        <f>HYPERLINK(CONCATENATE(BASE_URL,"0x06h-Testing-Platform-Interaction.md#testing-ios-webviews"),"Testing iOS WebViews")</f>
        <v>Testing iOS WebViews</v>
      </c>
      <c r="I59" s="65"/>
      <c r="J59" s="65"/>
    </row>
    <row r="60" spans="2:10" ht="43.5" x14ac:dyDescent="0.35">
      <c r="B60" s="49" t="s">
        <v>55</v>
      </c>
      <c r="C60" s="143" t="s">
        <v>340</v>
      </c>
      <c r="D60" s="137" t="s">
        <v>166</v>
      </c>
      <c r="E60" s="24" t="s">
        <v>3</v>
      </c>
      <c r="F60" s="46" t="s">
        <v>3</v>
      </c>
      <c r="G60" s="33"/>
      <c r="H60" s="91" t="str">
        <f>HYPERLINK(CONCATENATE(BASE_URL,"0x06h-Testing-Platform-Interaction.md#testing-webview-protocol-handlers"),"Testing WebView Protocol Handlers")</f>
        <v>Testing WebView Protocol Handlers</v>
      </c>
      <c r="I60" s="65"/>
      <c r="J60" s="65"/>
    </row>
    <row r="61" spans="2:10" ht="29" x14ac:dyDescent="0.35">
      <c r="B61" s="49" t="s">
        <v>258</v>
      </c>
      <c r="C61" s="143" t="s">
        <v>341</v>
      </c>
      <c r="D61" s="137" t="s">
        <v>167</v>
      </c>
      <c r="E61" s="24" t="s">
        <v>3</v>
      </c>
      <c r="F61" s="46" t="s">
        <v>3</v>
      </c>
      <c r="G61" s="33"/>
      <c r="H61" s="91" t="str">
        <f>HYPERLINK(CONCATENATE(BASE_URL,"0x06h-Testing-Platform-Interaction.md#determining-whether-native-methods-are-exposed-through-webviews"),"Determining Whether Native Methods Are Exposed Through WebViews")</f>
        <v>Determining Whether Native Methods Are Exposed Through WebViews</v>
      </c>
      <c r="I61" s="65"/>
      <c r="J61" s="65"/>
    </row>
    <row r="62" spans="2:10" x14ac:dyDescent="0.35">
      <c r="B62" s="49" t="s">
        <v>259</v>
      </c>
      <c r="C62" s="143" t="s">
        <v>363</v>
      </c>
      <c r="D62" s="137" t="s">
        <v>168</v>
      </c>
      <c r="E62" s="24" t="s">
        <v>3</v>
      </c>
      <c r="F62" s="46" t="s">
        <v>3</v>
      </c>
      <c r="G62" s="33"/>
      <c r="H62" s="91" t="str">
        <f>HYPERLINK(CONCATENATE(BASE_URL,"0x06h-Testing-Platform-Interaction.md#testing-object-persistence"),"Testing Object Persistence")</f>
        <v>Testing Object Persistence</v>
      </c>
      <c r="I62" s="65"/>
      <c r="J62" s="65"/>
    </row>
    <row r="63" spans="2:10" x14ac:dyDescent="0.35">
      <c r="B63" s="34" t="s">
        <v>33</v>
      </c>
      <c r="C63" s="48"/>
      <c r="D63" s="35" t="s">
        <v>169</v>
      </c>
      <c r="E63" s="35"/>
      <c r="F63" s="48"/>
      <c r="G63" s="35"/>
      <c r="H63" s="35"/>
      <c r="I63" s="36"/>
      <c r="J63" s="36"/>
    </row>
    <row r="64" spans="2:10" x14ac:dyDescent="0.35">
      <c r="B64" s="49" t="s">
        <v>56</v>
      </c>
      <c r="C64" s="143" t="s">
        <v>342</v>
      </c>
      <c r="D64" s="137" t="s">
        <v>170</v>
      </c>
      <c r="E64" s="24" t="s">
        <v>3</v>
      </c>
      <c r="F64" s="46" t="s">
        <v>3</v>
      </c>
      <c r="G64" s="33"/>
      <c r="H64" s="91" t="str">
        <f>HYPERLINK(CONCATENATE(BASE_URL,"0x06i-Testing-Code-Quality-and-Build-Settings.md#making-sure-that-the-app-is-properly-signed"),"Making Sure that the App Is Properly Signed")</f>
        <v>Making Sure that the App Is Properly Signed</v>
      </c>
      <c r="I64" s="65"/>
      <c r="J64" s="65"/>
    </row>
    <row r="65" spans="2:10" ht="29" x14ac:dyDescent="0.35">
      <c r="B65" s="49" t="s">
        <v>34</v>
      </c>
      <c r="C65" s="143" t="s">
        <v>343</v>
      </c>
      <c r="D65" s="137" t="s">
        <v>171</v>
      </c>
      <c r="E65" s="24" t="s">
        <v>3</v>
      </c>
      <c r="F65" s="46" t="s">
        <v>3</v>
      </c>
      <c r="G65" s="33"/>
      <c r="H65" s="91" t="str">
        <f>HYPERLINK(CONCATENATE(BASE_URL,"0x06i-Testing-Code-Quality-and-Build-Settings.md#determining-whether-the-app-is-debuggable"),"Determining Whether the App is Debuggable")</f>
        <v>Determining Whether the App is Debuggable</v>
      </c>
      <c r="I65" s="65"/>
      <c r="J65" s="65"/>
    </row>
    <row r="66" spans="2:10" x14ac:dyDescent="0.35">
      <c r="B66" s="49" t="s">
        <v>57</v>
      </c>
      <c r="C66" s="143" t="s">
        <v>344</v>
      </c>
      <c r="D66" s="137" t="s">
        <v>172</v>
      </c>
      <c r="E66" s="24" t="s">
        <v>3</v>
      </c>
      <c r="F66" s="46" t="s">
        <v>3</v>
      </c>
      <c r="G66" s="33"/>
      <c r="H66" s="91" t="str">
        <f>HYPERLINK(CONCATENATE(BASE_URL,"0x06i-Testing-Code-Quality-and-Build-Settings.md#finding-debugging-symbols"),"Finding Debugging Symbols")</f>
        <v>Finding Debugging Symbols</v>
      </c>
      <c r="I66" s="65"/>
      <c r="J66" s="65"/>
    </row>
    <row r="67" spans="2:10" ht="29" x14ac:dyDescent="0.35">
      <c r="B67" s="49" t="s">
        <v>58</v>
      </c>
      <c r="C67" s="143" t="s">
        <v>345</v>
      </c>
      <c r="D67" s="137" t="s">
        <v>173</v>
      </c>
      <c r="E67" s="24" t="s">
        <v>3</v>
      </c>
      <c r="F67" s="46" t="s">
        <v>3</v>
      </c>
      <c r="G67" s="33"/>
      <c r="H67" s="91" t="str">
        <f>HYPERLINK(CONCATENATE(BASE_URL,"0x06i-Testing-Code-Quality-and-Build-Settings.md#finding-debugging-code-and-verbose-error-logging"),"Finding Debugging Code and Verbose Error Logging")</f>
        <v>Finding Debugging Code and Verbose Error Logging</v>
      </c>
      <c r="I67" s="65"/>
      <c r="J67" s="65"/>
    </row>
    <row r="68" spans="2:10" ht="29" x14ac:dyDescent="0.35">
      <c r="B68" s="49" t="s">
        <v>59</v>
      </c>
      <c r="C68" s="143" t="s">
        <v>346</v>
      </c>
      <c r="D68" s="137" t="s">
        <v>174</v>
      </c>
      <c r="E68" s="24" t="s">
        <v>3</v>
      </c>
      <c r="F68" s="46" t="s">
        <v>3</v>
      </c>
      <c r="G68" s="33"/>
      <c r="H68" s="92" t="str">
        <f>HYPERLINK(CONCATENATE(BASE_URL,"0x06i-Testing-Code-Quality-and-Build-Settings.md#checking-for-weaknesses-in-third-party-libraries"),"Checking for Weaknesses in Third Party Libraries")</f>
        <v>Checking for Weaknesses in Third Party Libraries</v>
      </c>
      <c r="I68" s="65"/>
      <c r="J68" s="65"/>
    </row>
    <row r="69" spans="2:10" x14ac:dyDescent="0.35">
      <c r="B69" s="49" t="s">
        <v>35</v>
      </c>
      <c r="C69" s="143" t="s">
        <v>347</v>
      </c>
      <c r="D69" s="137" t="s">
        <v>175</v>
      </c>
      <c r="E69" s="24" t="s">
        <v>3</v>
      </c>
      <c r="F69" s="46" t="s">
        <v>3</v>
      </c>
      <c r="G69" s="33"/>
      <c r="H69" s="91" t="str">
        <f>HYPERLINK(CONCATENATE(BASE_URL,"0x06i-Testing-Code-Quality-and-Build-Settings.md#testing-exception-handling"),"Testing Exception Handling")</f>
        <v>Testing Exception Handling</v>
      </c>
      <c r="I69" s="65"/>
      <c r="J69" s="65"/>
    </row>
    <row r="70" spans="2:10" x14ac:dyDescent="0.35">
      <c r="B70" s="49" t="s">
        <v>36</v>
      </c>
      <c r="C70" s="143" t="s">
        <v>348</v>
      </c>
      <c r="D70" s="137" t="s">
        <v>176</v>
      </c>
      <c r="E70" s="24" t="s">
        <v>3</v>
      </c>
      <c r="F70" s="46" t="s">
        <v>3</v>
      </c>
      <c r="G70" s="33"/>
      <c r="H70" s="91" t="str">
        <f>HYPERLINK(CONCATENATE(BASE_URL,"0x06i-Testing-Code-Quality-and-Build-Settings.md#testing-exception-handling"),"Testing Exception Handling")</f>
        <v>Testing Exception Handling</v>
      </c>
      <c r="I70" s="65"/>
      <c r="J70" s="65"/>
    </row>
    <row r="71" spans="2:10" x14ac:dyDescent="0.35">
      <c r="B71" s="49" t="s">
        <v>37</v>
      </c>
      <c r="C71" s="143" t="s">
        <v>349</v>
      </c>
      <c r="D71" s="137" t="s">
        <v>177</v>
      </c>
      <c r="E71" s="24" t="s">
        <v>3</v>
      </c>
      <c r="F71" s="46" t="s">
        <v>3</v>
      </c>
      <c r="G71" s="33"/>
      <c r="H71" s="91" t="str">
        <f>HYPERLINK(CONCATENATE(BASE_URL,"0x06i-Testing-Code-Quality-and-Build-Settings.md#memory-corruption-bugs"),"Memory Corruption Bugs")</f>
        <v>Memory Corruption Bugs</v>
      </c>
      <c r="I71" s="65"/>
      <c r="J71" s="65"/>
    </row>
    <row r="72" spans="2:10" ht="29" x14ac:dyDescent="0.35">
      <c r="B72" s="49" t="s">
        <v>81</v>
      </c>
      <c r="C72" s="143" t="s">
        <v>350</v>
      </c>
      <c r="D72" s="137" t="s">
        <v>178</v>
      </c>
      <c r="E72" s="24" t="s">
        <v>3</v>
      </c>
      <c r="F72" s="46" t="s">
        <v>3</v>
      </c>
      <c r="G72" s="33"/>
      <c r="H72" s="91" t="str">
        <f>HYPERLINK(CONCATENATE(BASE_URL,"0x06i-Testing-Code-Quality-and-Build-Settings.md#make-sure-that-free-security-features-are-activated"),"Make Sure That Free Security Features Are Activated")</f>
        <v>Make Sure That Free Security Features Are Activated</v>
      </c>
      <c r="I72" s="65"/>
      <c r="J72" s="65"/>
    </row>
    <row r="73" spans="2:10" x14ac:dyDescent="0.35">
      <c r="B73" s="37"/>
      <c r="C73" s="39"/>
      <c r="D73" s="38"/>
      <c r="E73" s="39"/>
      <c r="F73" s="39"/>
      <c r="G73" s="39"/>
      <c r="H73" s="39"/>
      <c r="I73" s="40"/>
      <c r="J73" s="40"/>
    </row>
    <row r="74" spans="2:10" x14ac:dyDescent="0.35">
      <c r="B74" s="41"/>
      <c r="C74" s="41"/>
      <c r="D74" s="42"/>
      <c r="E74" s="41"/>
      <c r="F74" s="41"/>
      <c r="G74" s="41"/>
      <c r="H74" s="41"/>
      <c r="I74" s="41"/>
      <c r="J74" s="41"/>
    </row>
    <row r="75" spans="2:10" x14ac:dyDescent="0.35">
      <c r="B75" s="41"/>
      <c r="C75" s="41"/>
      <c r="D75" s="50"/>
      <c r="E75" s="41"/>
      <c r="F75" s="41"/>
      <c r="G75" s="41"/>
      <c r="H75" s="41"/>
      <c r="I75" s="41"/>
      <c r="J75" s="41"/>
    </row>
    <row r="76" spans="2:10" x14ac:dyDescent="0.35">
      <c r="B76" s="41"/>
      <c r="C76" s="41"/>
      <c r="D76" s="42"/>
      <c r="E76" s="41"/>
      <c r="F76" s="41"/>
      <c r="G76" s="41"/>
      <c r="H76" s="41"/>
      <c r="I76" s="41"/>
      <c r="J76" s="41"/>
    </row>
    <row r="77" spans="2:10" x14ac:dyDescent="0.35">
      <c r="B77" s="82" t="s">
        <v>217</v>
      </c>
      <c r="C77" s="82"/>
      <c r="D77" s="42"/>
      <c r="E77" s="41"/>
      <c r="F77" s="41"/>
      <c r="G77" s="41"/>
      <c r="H77" s="41"/>
      <c r="I77" s="41"/>
      <c r="J77" s="41"/>
    </row>
    <row r="78" spans="2:10" x14ac:dyDescent="0.35">
      <c r="B78" s="84" t="s">
        <v>220</v>
      </c>
      <c r="C78" s="84"/>
      <c r="D78" s="43" t="s">
        <v>96</v>
      </c>
      <c r="E78" s="41"/>
      <c r="F78" s="41"/>
      <c r="G78" s="41"/>
      <c r="H78" s="41"/>
      <c r="I78" s="41"/>
      <c r="J78" s="41"/>
    </row>
    <row r="79" spans="2:10" x14ac:dyDescent="0.35">
      <c r="B79" s="83" t="s">
        <v>179</v>
      </c>
      <c r="C79" s="144"/>
      <c r="D79" s="83" t="s">
        <v>218</v>
      </c>
      <c r="E79" s="41"/>
      <c r="F79" s="41"/>
      <c r="G79" s="41"/>
      <c r="H79" s="41"/>
      <c r="I79" s="41"/>
      <c r="J79" s="41"/>
    </row>
    <row r="80" spans="2:10" x14ac:dyDescent="0.35">
      <c r="B80" s="83" t="s">
        <v>180</v>
      </c>
      <c r="C80" s="144"/>
      <c r="D80" s="44" t="s">
        <v>97</v>
      </c>
      <c r="E80" s="41"/>
      <c r="F80" s="41"/>
      <c r="G80" s="41"/>
      <c r="H80" s="41"/>
      <c r="I80" s="41"/>
      <c r="J80" s="41"/>
    </row>
    <row r="81" spans="2:10" x14ac:dyDescent="0.35">
      <c r="B81" s="44" t="s">
        <v>63</v>
      </c>
      <c r="C81" s="145"/>
      <c r="D81" s="83" t="s">
        <v>219</v>
      </c>
      <c r="E81" s="41"/>
      <c r="F81" s="41"/>
      <c r="G81" s="41"/>
      <c r="H81" s="41"/>
      <c r="I81" s="41"/>
      <c r="J81" s="41"/>
    </row>
    <row r="82" spans="2:10" x14ac:dyDescent="0.35">
      <c r="B82" s="41"/>
      <c r="C82" s="41"/>
      <c r="D82" s="42"/>
      <c r="E82" s="41"/>
      <c r="F82" s="41"/>
      <c r="G82" s="41"/>
      <c r="H82" s="41"/>
      <c r="I82" s="23"/>
      <c r="J82" s="23"/>
    </row>
    <row r="83" spans="2:10" x14ac:dyDescent="0.35">
      <c r="B83" s="41"/>
      <c r="C83" s="41"/>
      <c r="D83" s="42"/>
      <c r="E83" s="41"/>
      <c r="F83" s="41"/>
      <c r="G83" s="41"/>
      <c r="H83" s="41"/>
      <c r="I83" s="23"/>
      <c r="J83" s="23"/>
    </row>
    <row r="84" spans="2:10" x14ac:dyDescent="0.35">
      <c r="B84" s="41"/>
      <c r="C84" s="41"/>
      <c r="D84" s="42"/>
      <c r="E84" s="41"/>
      <c r="F84" s="41"/>
      <c r="G84" s="41"/>
      <c r="H84" s="41"/>
      <c r="I84" s="23"/>
      <c r="J84" s="23"/>
    </row>
    <row r="85" spans="2:10" x14ac:dyDescent="0.35">
      <c r="B85" s="23"/>
      <c r="C85" s="23"/>
      <c r="D85" s="53"/>
      <c r="E85" s="23"/>
      <c r="F85" s="23"/>
      <c r="G85" s="23"/>
      <c r="H85" s="23"/>
      <c r="I85" s="23"/>
      <c r="J85" s="23"/>
    </row>
  </sheetData>
  <mergeCells count="3">
    <mergeCell ref="B1:I1"/>
    <mergeCell ref="H3:I3"/>
    <mergeCell ref="H4:I4"/>
  </mergeCells>
  <dataValidations count="2">
    <dataValidation type="list" allowBlank="1" showInputMessage="1" showErrorMessage="1" sqref="G29:G34 G36:G46 G48:G53 G64:G72 G5:G14 G55:G62 G16:G27" xr:uid="{00000000-0002-0000-0400-000000000000}">
      <formula1>$B$79:$B$81</formula1>
    </dataValidation>
    <dataValidation type="list" allowBlank="1" showInputMessage="1" showErrorMessage="1" sqref="G74:G1048576 I74:J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9"/>
  <sheetViews>
    <sheetView showGridLines="0" topLeftCell="A4" zoomScale="71" zoomScaleNormal="71" zoomScalePageLayoutView="130" workbookViewId="0">
      <selection activeCell="C18" sqref="C18"/>
    </sheetView>
  </sheetViews>
  <sheetFormatPr baseColWidth="10" defaultColWidth="11" defaultRowHeight="15.5" x14ac:dyDescent="0.35"/>
  <cols>
    <col min="1" max="1" width="1.83203125" customWidth="1"/>
    <col min="2" max="2" width="9.5" customWidth="1"/>
    <col min="3" max="3" width="17.83203125" customWidth="1"/>
    <col min="4" max="4" width="93.33203125" customWidth="1"/>
    <col min="5" max="5" width="3" bestFit="1" customWidth="1"/>
    <col min="6" max="6" width="9.75" customWidth="1"/>
    <col min="7" max="7" width="56.75" customWidth="1"/>
    <col min="8" max="8" width="30.58203125" customWidth="1"/>
  </cols>
  <sheetData>
    <row r="1" spans="2:8" ht="18.5" x14ac:dyDescent="0.45">
      <c r="B1" s="6" t="s">
        <v>103</v>
      </c>
      <c r="C1" s="6"/>
      <c r="D1" s="23"/>
      <c r="E1" s="23"/>
      <c r="F1" s="23"/>
      <c r="G1" s="23"/>
      <c r="H1" s="23"/>
    </row>
    <row r="2" spans="2:8" x14ac:dyDescent="0.35">
      <c r="B2" s="23"/>
      <c r="C2" s="23"/>
      <c r="D2" s="23"/>
      <c r="E2" s="23"/>
      <c r="F2" s="23"/>
      <c r="G2" s="23"/>
      <c r="H2" s="23"/>
    </row>
    <row r="3" spans="2:8" x14ac:dyDescent="0.35">
      <c r="B3" s="67"/>
      <c r="C3" s="146" t="s">
        <v>288</v>
      </c>
      <c r="D3" s="68" t="s">
        <v>99</v>
      </c>
      <c r="E3" s="67" t="s">
        <v>38</v>
      </c>
      <c r="F3" s="81" t="s">
        <v>93</v>
      </c>
      <c r="G3" s="81" t="s">
        <v>215</v>
      </c>
      <c r="H3" s="81" t="s">
        <v>216</v>
      </c>
    </row>
    <row r="4" spans="2:8" x14ac:dyDescent="0.35">
      <c r="B4" s="69" t="s">
        <v>0</v>
      </c>
      <c r="C4" s="147"/>
      <c r="D4" s="70" t="s">
        <v>181</v>
      </c>
      <c r="E4" s="70"/>
      <c r="F4" s="70"/>
      <c r="G4" s="70"/>
      <c r="H4" s="70"/>
    </row>
    <row r="5" spans="2:8" ht="29" x14ac:dyDescent="0.35">
      <c r="B5" s="71" t="s">
        <v>260</v>
      </c>
      <c r="C5" s="141" t="s">
        <v>351</v>
      </c>
      <c r="D5" s="137" t="s">
        <v>182</v>
      </c>
      <c r="E5" s="73" t="s">
        <v>3</v>
      </c>
      <c r="F5" s="74" t="s">
        <v>63</v>
      </c>
      <c r="G5" s="91" t="str">
        <f>HYPERLINK(CONCATENATE(BASE_URL,"0x06j-Testing-Resiliency-Against-Reverse-Engineering.md#jailbreak-detection"),"Jailbreak Detection")</f>
        <v>Jailbreak Detection</v>
      </c>
      <c r="H5" s="72"/>
    </row>
    <row r="6" spans="2:8" ht="29" x14ac:dyDescent="0.35">
      <c r="B6" s="71" t="s">
        <v>261</v>
      </c>
      <c r="C6" s="141" t="s">
        <v>352</v>
      </c>
      <c r="D6" s="137" t="s">
        <v>183</v>
      </c>
      <c r="E6" s="73" t="s">
        <v>3</v>
      </c>
      <c r="F6" s="74" t="s">
        <v>63</v>
      </c>
      <c r="G6" s="94" t="str">
        <f>HYPERLINK(CONCATENATE(BASE_URL,"0x06j-Testing-Resiliency-Against-Reverse-Engineering.md#anti-debugging-checks"),"Anti-Debugging Checks")</f>
        <v>Anti-Debugging Checks</v>
      </c>
      <c r="H6" s="72"/>
    </row>
    <row r="7" spans="2:8" ht="29" x14ac:dyDescent="0.35">
      <c r="B7" s="71" t="s">
        <v>262</v>
      </c>
      <c r="C7" s="141" t="s">
        <v>353</v>
      </c>
      <c r="D7" s="137" t="s">
        <v>184</v>
      </c>
      <c r="E7" s="73" t="s">
        <v>3</v>
      </c>
      <c r="F7" s="74" t="s">
        <v>63</v>
      </c>
      <c r="G7" s="94" t="str">
        <f>HYPERLINK(CONCATENATE(BASE_URL,"0x06j-Testing-Resiliency-Against-Reverse-Engineering.md#file-integrity-checks"),"File Integrity Checks")</f>
        <v>File Integrity Checks</v>
      </c>
      <c r="H7" s="72"/>
    </row>
    <row r="8" spans="2:8" x14ac:dyDescent="0.35">
      <c r="B8" s="71" t="s">
        <v>263</v>
      </c>
      <c r="C8" s="141" t="s">
        <v>354</v>
      </c>
      <c r="D8" s="137" t="s">
        <v>185</v>
      </c>
      <c r="E8" s="73" t="s">
        <v>3</v>
      </c>
      <c r="F8" s="74" t="s">
        <v>63</v>
      </c>
      <c r="G8" s="121" t="s">
        <v>75</v>
      </c>
      <c r="H8" s="72"/>
    </row>
    <row r="9" spans="2:8" x14ac:dyDescent="0.35">
      <c r="B9" s="71" t="s">
        <v>264</v>
      </c>
      <c r="C9" s="141" t="s">
        <v>355</v>
      </c>
      <c r="D9" s="137" t="s">
        <v>186</v>
      </c>
      <c r="E9" s="73" t="s">
        <v>3</v>
      </c>
      <c r="F9" s="74" t="s">
        <v>63</v>
      </c>
      <c r="G9" s="120" t="s">
        <v>75</v>
      </c>
      <c r="H9" s="72"/>
    </row>
    <row r="10" spans="2:8" x14ac:dyDescent="0.35">
      <c r="B10" s="71" t="s">
        <v>265</v>
      </c>
      <c r="C10" s="141" t="s">
        <v>356</v>
      </c>
      <c r="D10" s="137" t="s">
        <v>187</v>
      </c>
      <c r="E10" s="73" t="s">
        <v>3</v>
      </c>
      <c r="F10" s="74" t="s">
        <v>63</v>
      </c>
      <c r="G10" s="121" t="s">
        <v>75</v>
      </c>
      <c r="H10" s="72"/>
    </row>
    <row r="11" spans="2:8" ht="29" x14ac:dyDescent="0.35">
      <c r="B11" s="71" t="s">
        <v>266</v>
      </c>
      <c r="C11" s="141" t="s">
        <v>357</v>
      </c>
      <c r="D11" s="137" t="s">
        <v>188</v>
      </c>
      <c r="E11" s="73" t="s">
        <v>3</v>
      </c>
      <c r="F11" s="74" t="s">
        <v>63</v>
      </c>
      <c r="G11" s="118" t="s">
        <v>75</v>
      </c>
      <c r="H11" s="72"/>
    </row>
    <row r="12" spans="2:8" ht="29" x14ac:dyDescent="0.35">
      <c r="B12" s="71" t="s">
        <v>267</v>
      </c>
      <c r="C12" s="141" t="s">
        <v>358</v>
      </c>
      <c r="D12" s="137" t="s">
        <v>189</v>
      </c>
      <c r="E12" s="73" t="s">
        <v>3</v>
      </c>
      <c r="F12" s="74" t="s">
        <v>63</v>
      </c>
      <c r="G12" s="118" t="s">
        <v>75</v>
      </c>
      <c r="H12" s="72"/>
    </row>
    <row r="13" spans="2:8" ht="29" x14ac:dyDescent="0.35">
      <c r="B13" s="71" t="s">
        <v>268</v>
      </c>
      <c r="C13" s="141" t="s">
        <v>359</v>
      </c>
      <c r="D13" s="137" t="s">
        <v>190</v>
      </c>
      <c r="E13" s="73" t="s">
        <v>3</v>
      </c>
      <c r="F13" s="74" t="s">
        <v>63</v>
      </c>
      <c r="G13" s="120" t="s">
        <v>75</v>
      </c>
      <c r="H13" s="72"/>
    </row>
    <row r="14" spans="2:8" x14ac:dyDescent="0.35">
      <c r="B14" s="69"/>
      <c r="C14" s="147"/>
      <c r="D14" s="70" t="s">
        <v>101</v>
      </c>
      <c r="E14" s="70"/>
      <c r="F14" s="70"/>
      <c r="G14" s="70"/>
      <c r="H14" s="70"/>
    </row>
    <row r="15" spans="2:8" ht="29" x14ac:dyDescent="0.35">
      <c r="B15" s="75" t="s">
        <v>60</v>
      </c>
      <c r="C15" s="142" t="s">
        <v>360</v>
      </c>
      <c r="D15" s="137" t="s">
        <v>191</v>
      </c>
      <c r="E15" s="73" t="s">
        <v>3</v>
      </c>
      <c r="F15" s="74" t="s">
        <v>63</v>
      </c>
      <c r="G15" s="91" t="str">
        <f>HYPERLINK(CONCATENATE(BASE_URL,"0x06j-Testing-Resiliency-Against-Reverse-Engineering.md#device-binding"),"Device Binding")</f>
        <v>Device Binding</v>
      </c>
      <c r="H15" s="72"/>
    </row>
    <row r="16" spans="2:8" x14ac:dyDescent="0.35">
      <c r="B16" s="69"/>
      <c r="C16" s="147"/>
      <c r="D16" s="70" t="s">
        <v>100</v>
      </c>
      <c r="E16" s="70"/>
      <c r="F16" s="70"/>
      <c r="G16" s="70"/>
      <c r="H16" s="70"/>
    </row>
    <row r="17" spans="2:8" ht="43.5" x14ac:dyDescent="0.35">
      <c r="B17" s="71" t="s">
        <v>269</v>
      </c>
      <c r="C17" s="141" t="s">
        <v>361</v>
      </c>
      <c r="D17" s="137" t="s">
        <v>192</v>
      </c>
      <c r="E17" s="73" t="s">
        <v>3</v>
      </c>
      <c r="F17" s="74" t="s">
        <v>63</v>
      </c>
      <c r="G17" s="118" t="s">
        <v>75</v>
      </c>
      <c r="H17" s="72"/>
    </row>
    <row r="18" spans="2:8" ht="72.5" x14ac:dyDescent="0.35">
      <c r="B18" s="71" t="s">
        <v>270</v>
      </c>
      <c r="C18" s="141" t="s">
        <v>362</v>
      </c>
      <c r="D18" s="137" t="s">
        <v>193</v>
      </c>
      <c r="E18" s="73" t="s">
        <v>3</v>
      </c>
      <c r="F18" s="74" t="s">
        <v>63</v>
      </c>
      <c r="G18" s="118" t="s">
        <v>75</v>
      </c>
      <c r="H18" s="72"/>
    </row>
    <row r="19" spans="2:8" x14ac:dyDescent="0.35">
      <c r="B19" s="67"/>
      <c r="C19" s="146"/>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4"/>
      <c r="D24" s="83" t="s">
        <v>218</v>
      </c>
      <c r="E24" s="41"/>
      <c r="F24" s="41"/>
      <c r="G24" s="41"/>
      <c r="H24" s="41"/>
    </row>
    <row r="25" spans="2:8" x14ac:dyDescent="0.35">
      <c r="B25" s="83" t="s">
        <v>180</v>
      </c>
      <c r="C25" s="144"/>
      <c r="D25" s="44" t="s">
        <v>97</v>
      </c>
      <c r="E25" s="41"/>
      <c r="F25" s="41"/>
      <c r="G25" s="41"/>
      <c r="H25" s="41"/>
    </row>
    <row r="26" spans="2:8" x14ac:dyDescent="0.35">
      <c r="B26" s="44" t="s">
        <v>63</v>
      </c>
      <c r="C26" s="145"/>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opLeftCell="A18" zoomScale="50" zoomScaleNormal="50" workbookViewId="0">
      <selection activeCell="D24" sqref="D24"/>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207" t="s">
        <v>106</v>
      </c>
      <c r="B1" s="207"/>
      <c r="C1" s="105"/>
      <c r="D1" s="45"/>
      <c r="E1" s="45"/>
    </row>
    <row r="2" spans="1:5" x14ac:dyDescent="0.35">
      <c r="A2" s="85" t="s">
        <v>111</v>
      </c>
      <c r="B2" s="60" t="s">
        <v>64</v>
      </c>
      <c r="C2" s="106" t="s">
        <v>228</v>
      </c>
      <c r="D2" s="60" t="s">
        <v>77</v>
      </c>
      <c r="E2" s="86" t="s">
        <v>216</v>
      </c>
    </row>
    <row r="3" spans="1:5" x14ac:dyDescent="0.35">
      <c r="A3" s="58" t="s">
        <v>61</v>
      </c>
      <c r="B3" s="61">
        <v>0.1</v>
      </c>
      <c r="C3" s="107"/>
      <c r="D3" s="59">
        <v>42765</v>
      </c>
      <c r="E3" s="57" t="s">
        <v>113</v>
      </c>
    </row>
    <row r="4" spans="1:5" x14ac:dyDescent="0.35">
      <c r="A4" s="57" t="s">
        <v>62</v>
      </c>
      <c r="B4" s="61">
        <v>0.2</v>
      </c>
      <c r="C4" s="107"/>
      <c r="D4" s="59">
        <v>42766</v>
      </c>
      <c r="E4" s="87" t="s">
        <v>221</v>
      </c>
    </row>
    <row r="5" spans="1:5" x14ac:dyDescent="0.35">
      <c r="A5" s="57" t="s">
        <v>73</v>
      </c>
      <c r="B5" s="61">
        <v>0.3</v>
      </c>
      <c r="C5" s="107"/>
      <c r="D5" s="59">
        <v>42778</v>
      </c>
      <c r="E5" s="57" t="s">
        <v>105</v>
      </c>
    </row>
    <row r="6" spans="1:5" x14ac:dyDescent="0.35">
      <c r="A6" s="57" t="s">
        <v>74</v>
      </c>
      <c r="B6" s="61" t="s">
        <v>76</v>
      </c>
      <c r="C6" s="107"/>
      <c r="D6" s="59">
        <v>42780</v>
      </c>
      <c r="E6" s="87" t="s">
        <v>222</v>
      </c>
    </row>
    <row r="7" spans="1:5" x14ac:dyDescent="0.35">
      <c r="A7" s="57" t="s">
        <v>62</v>
      </c>
      <c r="B7" s="62" t="s">
        <v>78</v>
      </c>
      <c r="C7" s="108"/>
      <c r="D7" s="59">
        <v>42781</v>
      </c>
      <c r="E7" s="57" t="s">
        <v>114</v>
      </c>
    </row>
    <row r="8" spans="1:5" x14ac:dyDescent="0.35">
      <c r="A8" s="57" t="s">
        <v>74</v>
      </c>
      <c r="B8" s="62" t="s">
        <v>79</v>
      </c>
      <c r="C8" s="108"/>
      <c r="D8" s="59">
        <v>42829</v>
      </c>
      <c r="E8" s="87" t="s">
        <v>223</v>
      </c>
    </row>
    <row r="9" spans="1:5" x14ac:dyDescent="0.35">
      <c r="A9" s="57" t="s">
        <v>62</v>
      </c>
      <c r="B9" s="62" t="s">
        <v>79</v>
      </c>
      <c r="C9" s="108"/>
      <c r="D9" s="59">
        <v>42919</v>
      </c>
      <c r="E9" s="87" t="s">
        <v>224</v>
      </c>
    </row>
    <row r="10" spans="1:5" x14ac:dyDescent="0.35">
      <c r="A10" s="57" t="s">
        <v>62</v>
      </c>
      <c r="B10" s="62" t="s">
        <v>82</v>
      </c>
      <c r="C10" s="108"/>
      <c r="D10" s="59">
        <v>42963</v>
      </c>
      <c r="E10" s="87" t="s">
        <v>225</v>
      </c>
    </row>
    <row r="11" spans="1:5" x14ac:dyDescent="0.35">
      <c r="A11" s="57" t="s">
        <v>62</v>
      </c>
      <c r="B11" s="66" t="s">
        <v>83</v>
      </c>
      <c r="C11" s="109"/>
      <c r="D11" s="59">
        <v>43113</v>
      </c>
      <c r="E11" s="87" t="s">
        <v>226</v>
      </c>
    </row>
    <row r="12" spans="1:5" x14ac:dyDescent="0.35">
      <c r="A12" s="57" t="s">
        <v>62</v>
      </c>
      <c r="B12" s="66" t="s">
        <v>2</v>
      </c>
      <c r="C12" s="109"/>
      <c r="D12" s="59">
        <v>43289</v>
      </c>
      <c r="E12" s="87" t="s">
        <v>227</v>
      </c>
    </row>
    <row r="13" spans="1:5" x14ac:dyDescent="0.35">
      <c r="A13" s="57" t="s">
        <v>104</v>
      </c>
      <c r="B13" s="89" t="s">
        <v>240</v>
      </c>
      <c r="C13" s="103"/>
      <c r="D13" s="59">
        <v>43464</v>
      </c>
      <c r="E13" s="87" t="s">
        <v>115</v>
      </c>
    </row>
    <row r="14" spans="1:5" x14ac:dyDescent="0.35">
      <c r="A14" s="57" t="s">
        <v>112</v>
      </c>
      <c r="B14" s="89" t="s">
        <v>241</v>
      </c>
      <c r="C14" s="103"/>
      <c r="D14" s="59">
        <v>43469</v>
      </c>
      <c r="E14" s="87" t="s">
        <v>115</v>
      </c>
    </row>
    <row r="15" spans="1:5" ht="409.5" x14ac:dyDescent="0.35">
      <c r="A15" s="102" t="s">
        <v>244</v>
      </c>
      <c r="B15" s="103" t="s">
        <v>242</v>
      </c>
      <c r="C15" s="103" t="s">
        <v>229</v>
      </c>
      <c r="D15" s="104">
        <v>43471</v>
      </c>
      <c r="E15" s="117" t="s">
        <v>248</v>
      </c>
    </row>
    <row r="16" spans="1:5" ht="46.5" customHeight="1" x14ac:dyDescent="0.35">
      <c r="A16" s="57" t="s">
        <v>104</v>
      </c>
      <c r="B16" s="89" t="s">
        <v>243</v>
      </c>
      <c r="C16" s="103" t="s">
        <v>229</v>
      </c>
      <c r="D16" s="88">
        <v>43475</v>
      </c>
      <c r="E16" s="87" t="s">
        <v>230</v>
      </c>
    </row>
    <row r="17" spans="1:5" ht="135.75" customHeight="1" x14ac:dyDescent="0.35">
      <c r="A17" s="111" t="s">
        <v>244</v>
      </c>
      <c r="B17" s="112" t="s">
        <v>245</v>
      </c>
      <c r="C17" s="112" t="s">
        <v>229</v>
      </c>
      <c r="D17" s="113">
        <v>43476</v>
      </c>
      <c r="E17" s="116" t="s">
        <v>247</v>
      </c>
    </row>
    <row r="18" spans="1:5" ht="135.75" customHeight="1" x14ac:dyDescent="0.35">
      <c r="A18" s="127" t="s">
        <v>104</v>
      </c>
      <c r="B18" s="128" t="s">
        <v>246</v>
      </c>
      <c r="C18" s="128" t="s">
        <v>229</v>
      </c>
      <c r="D18" s="129">
        <v>43478</v>
      </c>
      <c r="E18" s="130" t="s">
        <v>249</v>
      </c>
    </row>
    <row r="19" spans="1:5" ht="135.75" customHeight="1" x14ac:dyDescent="0.35">
      <c r="A19" s="110" t="s">
        <v>104</v>
      </c>
      <c r="B19" s="114" t="s">
        <v>273</v>
      </c>
      <c r="C19" s="114" t="s">
        <v>275</v>
      </c>
      <c r="D19" s="115">
        <v>43641</v>
      </c>
      <c r="E19" s="136" t="s">
        <v>277</v>
      </c>
    </row>
    <row r="20" spans="1:5" ht="32.5" customHeight="1" x14ac:dyDescent="0.35">
      <c r="A20" s="110" t="s">
        <v>104</v>
      </c>
      <c r="B20" s="114" t="s">
        <v>279</v>
      </c>
      <c r="C20" s="114" t="s">
        <v>275</v>
      </c>
      <c r="D20" s="115">
        <v>43642</v>
      </c>
      <c r="E20" s="110" t="s">
        <v>278</v>
      </c>
    </row>
    <row r="21" spans="1:5" ht="51.5" customHeight="1" x14ac:dyDescent="0.35">
      <c r="A21" s="110" t="s">
        <v>104</v>
      </c>
      <c r="B21" s="114" t="s">
        <v>283</v>
      </c>
      <c r="C21" s="114" t="s">
        <v>275</v>
      </c>
      <c r="D21" s="115">
        <v>43649</v>
      </c>
      <c r="E21" s="136" t="s">
        <v>284</v>
      </c>
    </row>
    <row r="22" spans="1:5" ht="32.5" customHeight="1" x14ac:dyDescent="0.35">
      <c r="A22" s="110" t="s">
        <v>104</v>
      </c>
      <c r="B22" s="114" t="s">
        <v>283</v>
      </c>
      <c r="C22" s="114" t="s">
        <v>275</v>
      </c>
      <c r="D22" s="115">
        <v>43672</v>
      </c>
      <c r="E22" s="136" t="s">
        <v>285</v>
      </c>
    </row>
    <row r="23" spans="1:5" x14ac:dyDescent="0.35">
      <c r="A23" s="110" t="s">
        <v>104</v>
      </c>
      <c r="B23" s="114" t="s">
        <v>286</v>
      </c>
      <c r="C23" s="114" t="s">
        <v>275</v>
      </c>
      <c r="D23" s="115">
        <v>43677</v>
      </c>
      <c r="E23" s="136" t="s">
        <v>287</v>
      </c>
    </row>
    <row r="24" spans="1:5" ht="46.5" x14ac:dyDescent="0.35">
      <c r="A24" s="110" t="s">
        <v>104</v>
      </c>
      <c r="B24" s="150" t="s">
        <v>272</v>
      </c>
      <c r="C24" s="114" t="s">
        <v>275</v>
      </c>
      <c r="D24" s="151">
        <v>43684</v>
      </c>
      <c r="E24" s="152"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2019-08-07T08:30:56Z</dcterms:modified>
</cp:coreProperties>
</file>