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showInkAnnotation="0" autoCompressPictures="0"/>
  <mc:AlternateContent xmlns:mc="http://schemas.openxmlformats.org/markup-compatibility/2006">
    <mc:Choice Requires="x15">
      <x15ac:absPath xmlns:x15ac="http://schemas.microsoft.com/office/spreadsheetml/2010/11/ac" url="C:\work\owasp-mstg\checklist.work\"/>
    </mc:Choice>
  </mc:AlternateContent>
  <xr:revisionPtr revIDLastSave="0" documentId="13_ncr:1_{CB146AEE-BF06-4F8E-8A28-5D5FBB1C05B4}" xr6:coauthVersionLast="45" xr6:coauthVersionMax="45" xr10:uidLastSave="{00000000-0000-0000-0000-000000000000}"/>
  <bookViews>
    <workbookView xWindow="420" yWindow="280" windowWidth="18780" windowHeight="9920" tabRatio="765" xr2:uid="{00000000-000D-0000-FFFF-FFFF00000000}"/>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s>
  <definedNames>
    <definedName name="_xlnm._FilterDatabase" localSheetId="2" hidden="1">'Security Requirements - Android'!$B$3:$I$81</definedName>
    <definedName name="BASE_URL">Dashboard!$D$14</definedName>
    <definedName name="MASVS_VERSION">Dashboard!$D$11</definedName>
    <definedName name="MSTG_VERSION">Dashboard!$D$13</definedName>
  </definedName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50" i="7" l="1"/>
  <c r="I50" i="7"/>
  <c r="H50" i="7"/>
  <c r="F50" i="7"/>
  <c r="E50" i="7"/>
  <c r="D50" i="7"/>
  <c r="J48" i="7"/>
  <c r="I48" i="7"/>
  <c r="H48" i="7"/>
  <c r="F48" i="7"/>
  <c r="E48" i="7"/>
  <c r="D48" i="7"/>
  <c r="J46" i="7"/>
  <c r="I46" i="7"/>
  <c r="H46" i="7"/>
  <c r="F46" i="7"/>
  <c r="E46" i="7"/>
  <c r="D46" i="7"/>
  <c r="J44" i="7"/>
  <c r="I44" i="7"/>
  <c r="H44" i="7"/>
  <c r="F44" i="7"/>
  <c r="E44" i="7"/>
  <c r="D44" i="7"/>
  <c r="J43" i="7"/>
  <c r="I43" i="7"/>
  <c r="H43" i="7"/>
  <c r="F43" i="7"/>
  <c r="E43" i="7"/>
  <c r="D43" i="7"/>
  <c r="D12" i="6" l="1"/>
  <c r="D14" i="6" l="1"/>
  <c r="I57" i="10" l="1"/>
  <c r="G17" i="3"/>
  <c r="I43" i="1"/>
  <c r="H76" i="1"/>
  <c r="H64" i="1"/>
  <c r="H55" i="1"/>
  <c r="H45" i="1"/>
  <c r="H36" i="1"/>
  <c r="H24" i="1"/>
  <c r="H13" i="1"/>
  <c r="H5" i="1"/>
  <c r="G6" i="11"/>
  <c r="I41" i="10"/>
  <c r="I5" i="10"/>
  <c r="H74" i="10"/>
  <c r="H62" i="10"/>
  <c r="H51" i="10"/>
  <c r="H43" i="10"/>
  <c r="H34" i="10"/>
  <c r="H22" i="10"/>
  <c r="H11" i="10"/>
  <c r="H46" i="1"/>
  <c r="H35" i="10"/>
  <c r="G15" i="3"/>
  <c r="I41" i="1"/>
  <c r="H75" i="1"/>
  <c r="H63" i="1"/>
  <c r="H54" i="1"/>
  <c r="H44" i="1"/>
  <c r="H35" i="1"/>
  <c r="H23" i="1"/>
  <c r="H12" i="1"/>
  <c r="G17" i="11"/>
  <c r="G5" i="11"/>
  <c r="I37" i="10"/>
  <c r="H81" i="10"/>
  <c r="H73" i="10"/>
  <c r="H61" i="10"/>
  <c r="H50" i="10"/>
  <c r="H42" i="10"/>
  <c r="H29" i="10"/>
  <c r="H21" i="10"/>
  <c r="H10" i="10"/>
  <c r="H5" i="10"/>
  <c r="I46" i="1"/>
  <c r="H75" i="10"/>
  <c r="G7" i="3"/>
  <c r="I11" i="1"/>
  <c r="H74" i="1"/>
  <c r="H62" i="1"/>
  <c r="H51" i="1"/>
  <c r="H43" i="1"/>
  <c r="H34" i="1"/>
  <c r="H22" i="1"/>
  <c r="H11" i="1"/>
  <c r="G15" i="11"/>
  <c r="J41" i="10"/>
  <c r="I36" i="10"/>
  <c r="H80" i="10"/>
  <c r="H68" i="10"/>
  <c r="H59" i="10"/>
  <c r="H49" i="10"/>
  <c r="H41" i="10"/>
  <c r="H28" i="10"/>
  <c r="H20" i="10"/>
  <c r="H9" i="10"/>
  <c r="H13" i="10"/>
  <c r="H77" i="1"/>
  <c r="I11" i="10"/>
  <c r="H12" i="10"/>
  <c r="G6" i="3"/>
  <c r="H81" i="1"/>
  <c r="H73" i="1"/>
  <c r="H61" i="1"/>
  <c r="H50" i="1"/>
  <c r="H42" i="1"/>
  <c r="H29" i="1"/>
  <c r="H21" i="1"/>
  <c r="H10" i="1"/>
  <c r="G13" i="11"/>
  <c r="J11" i="10"/>
  <c r="I35" i="10"/>
  <c r="H79" i="10"/>
  <c r="H67" i="10"/>
  <c r="H58" i="10"/>
  <c r="H48" i="10"/>
  <c r="H39" i="10"/>
  <c r="H27" i="10"/>
  <c r="H19" i="10"/>
  <c r="H8" i="10"/>
  <c r="H24" i="10"/>
  <c r="H56" i="1"/>
  <c r="H14" i="1"/>
  <c r="H63" i="10"/>
  <c r="G5" i="3"/>
  <c r="H80" i="1"/>
  <c r="H68" i="1"/>
  <c r="H59" i="1"/>
  <c r="H49" i="1"/>
  <c r="H41" i="1"/>
  <c r="H28" i="1"/>
  <c r="H20" i="1"/>
  <c r="H9" i="1"/>
  <c r="G10" i="11"/>
  <c r="I6" i="10"/>
  <c r="I34" i="10"/>
  <c r="H78" i="10"/>
  <c r="H66" i="10"/>
  <c r="H57" i="10"/>
  <c r="H47" i="10"/>
  <c r="H38" i="10"/>
  <c r="H26" i="10"/>
  <c r="H18" i="10"/>
  <c r="H7" i="10"/>
  <c r="H55" i="10"/>
  <c r="H25" i="1"/>
  <c r="I43" i="10"/>
  <c r="H54" i="10"/>
  <c r="I6" i="1"/>
  <c r="H79" i="1"/>
  <c r="H67" i="1"/>
  <c r="H58" i="1"/>
  <c r="H48" i="1"/>
  <c r="H39" i="1"/>
  <c r="H27" i="1"/>
  <c r="H19" i="1"/>
  <c r="H8" i="1"/>
  <c r="G9" i="11"/>
  <c r="I62" i="10"/>
  <c r="I28" i="10"/>
  <c r="H77" i="10"/>
  <c r="H65" i="10"/>
  <c r="H56" i="10"/>
  <c r="H46" i="10"/>
  <c r="H37" i="10"/>
  <c r="H25" i="10"/>
  <c r="H14" i="10"/>
  <c r="H6" i="10"/>
  <c r="H36" i="10"/>
  <c r="H37" i="1"/>
  <c r="G7" i="11"/>
  <c r="H44" i="10"/>
  <c r="I55" i="1"/>
  <c r="H78" i="1"/>
  <c r="H66" i="1"/>
  <c r="H57" i="1"/>
  <c r="H47" i="1"/>
  <c r="H38" i="1"/>
  <c r="H26" i="1"/>
  <c r="H18" i="1"/>
  <c r="H7" i="1"/>
  <c r="G8" i="11"/>
  <c r="I46" i="10"/>
  <c r="I18" i="10"/>
  <c r="H76" i="10"/>
  <c r="H64" i="10"/>
  <c r="H45" i="10"/>
  <c r="H65" i="1"/>
  <c r="H6" i="1"/>
  <c r="H23" i="10"/>
  <c r="H45" i="7"/>
  <c r="I45" i="7"/>
  <c r="H47" i="7"/>
  <c r="I47" i="7"/>
  <c r="H49" i="7"/>
  <c r="I49" i="7"/>
  <c r="D45" i="7"/>
  <c r="E45" i="7"/>
  <c r="G45" i="7" s="1"/>
  <c r="D47" i="7"/>
  <c r="E47" i="7"/>
  <c r="D49" i="7"/>
  <c r="E49" i="7"/>
  <c r="F49" i="7"/>
  <c r="J49" i="7"/>
  <c r="J47" i="7"/>
  <c r="J45" i="7"/>
  <c r="F47" i="7"/>
  <c r="F45" i="7"/>
  <c r="G44" i="7" l="1"/>
  <c r="K50" i="7"/>
  <c r="K46" i="7"/>
  <c r="G43" i="7"/>
  <c r="K43" i="7"/>
  <c r="K48" i="7"/>
  <c r="G50" i="7"/>
  <c r="G49" i="7"/>
  <c r="K49" i="7"/>
  <c r="K45" i="7"/>
  <c r="G48" i="7"/>
  <c r="G47" i="7"/>
  <c r="K44" i="7"/>
  <c r="G46" i="7"/>
  <c r="K47" i="7"/>
  <c r="V8" i="7" l="1"/>
  <c r="G8" i="7"/>
</calcChain>
</file>

<file path=xl/sharedStrings.xml><?xml version="1.0" encoding="utf-8"?>
<sst xmlns="http://schemas.openxmlformats.org/spreadsheetml/2006/main" count="1062" uniqueCount="384">
  <si>
    <t>ID</t>
  </si>
  <si>
    <t>V1</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</si>
  <si>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</si>
  <si>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</si>
  <si>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</si>
  <si>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</si>
  <si>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</si>
  <si>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</si>
  <si>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</si>
  <si>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</si>
  <si>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</si>
  <si>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</si>
  <si>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</si>
  <si>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</si>
  <si>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</si>
  <si>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</si>
  <si>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</si>
  <si>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</si>
  <si>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</si>
  <si>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</si>
  <si>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</si>
  <si>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</si>
  <si>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</si>
  <si>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</si>
  <si>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</si>
  <si>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</si>
  <si>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</si>
  <si>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</si>
  <si>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</si>
  <si>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</si>
  <si>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</si>
  <si>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</si>
  <si>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</si>
  <si>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</si>
  <si>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</si>
  <si>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</si>
  <si>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</si>
  <si>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</si>
  <si>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R</t>
  </si>
  <si>
    <t>2.2</t>
  </si>
  <si>
    <t>2.3</t>
  </si>
  <si>
    <t>2.5</t>
  </si>
  <si>
    <t>2.10</t>
  </si>
  <si>
    <t>2.11</t>
  </si>
  <si>
    <t>4.2</t>
  </si>
  <si>
    <t>4.3</t>
  </si>
  <si>
    <t>4.6</t>
  </si>
  <si>
    <t>4.7</t>
  </si>
  <si>
    <t>5.2</t>
  </si>
  <si>
    <t>5.4</t>
  </si>
  <si>
    <t>6.1</t>
  </si>
  <si>
    <t>6.2</t>
  </si>
  <si>
    <t>6.3</t>
  </si>
  <si>
    <t>6.4</t>
  </si>
  <si>
    <t>6.5</t>
  </si>
  <si>
    <t>6.6</t>
  </si>
  <si>
    <t>7.1</t>
  </si>
  <si>
    <t>7.3</t>
  </si>
  <si>
    <t>7.4</t>
  </si>
  <si>
    <t>7.5</t>
  </si>
  <si>
    <t>8.10</t>
  </si>
  <si>
    <t>XLS Version History</t>
  </si>
  <si>
    <t>Alexander Antukh (Opera Software)</t>
  </si>
  <si>
    <t xml:space="preserve">Sven Schleier </t>
  </si>
  <si>
    <t>N/A</t>
  </si>
  <si>
    <t>Version</t>
  </si>
  <si>
    <t>Testing information iOS</t>
  </si>
  <si>
    <t>`</t>
  </si>
  <si>
    <t>Management Summary</t>
  </si>
  <si>
    <t/>
  </si>
  <si>
    <t>Comment</t>
  </si>
  <si>
    <t>Pass</t>
  </si>
  <si>
    <t>Fail</t>
  </si>
  <si>
    <t>P</t>
  </si>
  <si>
    <t>F</t>
  </si>
  <si>
    <t>NA</t>
  </si>
  <si>
    <t>%</t>
  </si>
  <si>
    <t>Android</t>
  </si>
  <si>
    <t>iOS</t>
  </si>
  <si>
    <t>Abdessamad Temmar</t>
  </si>
  <si>
    <t>Bernhard Mueller</t>
  </si>
  <si>
    <t>-</t>
  </si>
  <si>
    <t>0.8.1</t>
  </si>
  <si>
    <t>Name</t>
  </si>
  <si>
    <t>Date</t>
  </si>
  <si>
    <t>Initial draft</t>
  </si>
  <si>
    <t>Merging of three diffeent templates</t>
  </si>
  <si>
    <t>Adding Spider Chart</t>
  </si>
  <si>
    <t>Rework, adding links to Testing Guide</t>
  </si>
  <si>
    <t>0.9.2</t>
  </si>
  <si>
    <t>QA (and sync version number with MASVS)</t>
  </si>
  <si>
    <t>0.9.3</t>
  </si>
  <si>
    <t>Sync with MASVS (merge 7.9 into 7.8)</t>
  </si>
  <si>
    <t>4.11</t>
  </si>
  <si>
    <t>Sync with MASVS (update requirements of domain 4 and R)</t>
  </si>
  <si>
    <t>7.9</t>
  </si>
  <si>
    <t>Sync with MASVS (update requirements of domain 1, 4 and 6)</t>
  </si>
  <si>
    <t>8.9</t>
  </si>
  <si>
    <t>0.9.4</t>
  </si>
  <si>
    <t>1.0</t>
  </si>
  <si>
    <t>Sync with MASVS (update requirements of domain 3 and 8)</t>
  </si>
  <si>
    <t>V1: Requisitos de Arquitectura, Diseño y Modelado de Amenazas</t>
  </si>
  <si>
    <t>V2: Requerimientos en el Almacenamiento de datos y la Privacidad</t>
  </si>
  <si>
    <t>V3: Requerimientos de Criptografía</t>
  </si>
  <si>
    <t>V4: Requerimientos de Autenticación y Manejo de Sesiones</t>
  </si>
  <si>
    <t>V5: Requerimientos de Comunicación a través de la red</t>
  </si>
  <si>
    <t>V6: Requerimientos de Interacción con la Plataforma</t>
  </si>
  <si>
    <t>V7: Requerimientos de Calidad de Código y Configuración del Compilador</t>
  </si>
  <si>
    <t>V8: Requerimientos de Resistencia ante la Ingeniería Inversa</t>
  </si>
  <si>
    <t xml:space="preserve"> Cumplimiento Estándar MASVS ( / 5)</t>
  </si>
  <si>
    <t>Cumplimiento Estandar ( / 5)</t>
  </si>
  <si>
    <t xml:space="preserve">Verificación detallada de requerimientos </t>
  </si>
  <si>
    <t>Arquitectura, Diseño y Modelado de Amenazas</t>
  </si>
  <si>
    <t>Almacenamiento de datos y la Privacidad</t>
  </si>
  <si>
    <t>Criptografía</t>
  </si>
  <si>
    <t>Autenticación y Manejo de Sesiones</t>
  </si>
  <si>
    <t>Comunicación a través de la red</t>
  </si>
  <si>
    <t>Interacción con la Plataforma</t>
  </si>
  <si>
    <t>Calidad de Código y Configuración del Compilador</t>
  </si>
  <si>
    <t>Resistencia ante la Ingeniería Inversa</t>
  </si>
  <si>
    <t>V8</t>
  </si>
  <si>
    <t>Todos los componentes se encuentran identificados y asegurar que son necesarios.</t>
  </si>
  <si>
    <t>Se definió una arquitectura de alto nivel para la aplicación y los servicios y se incluyeron controles de seguridad en la misma.</t>
  </si>
  <si>
    <t>Se identificó claramente la información considerada sensible en el contexto de la aplicación móvil.</t>
  </si>
  <si>
    <t>Todos los componentes de la aplicación están definidos en términos de la lógica de negocio o las funciones de seguridad que proveen.</t>
  </si>
  <si>
    <t>Se realizó un modelado de amenazas para la aplicación móvil y los servicios en el que se definieron las mismas y sus contramedidas.</t>
  </si>
  <si>
    <t>No se comparte información sensible con servicios externos salvo que sea una necesidad de la arquitectura.</t>
  </si>
  <si>
    <t>No se expone información sensible como contraseñas y números de tarjetas de crédito a través de la interfaz o capturas de pantalla.</t>
  </si>
  <si>
    <t>La aplicación obliga a que exista una política mínima de seguridad en el dispositivo, como que el usuario deba configurar un código de acceso.</t>
  </si>
  <si>
    <t>La aplicación utiliza implementaciones de criptografía probadas.</t>
  </si>
  <si>
    <t>La aplicación no reutiliza una misma clave criptográfica para varios propósitos.</t>
  </si>
  <si>
    <t>Si la aplicación provee acceso a un servicio remoto, un mecanismo aceptable de autenticación como usuario y contraseña es realizado en el servidor remoto.</t>
  </si>
  <si>
    <t>Si se utiliza la gestión de sesión por estado, el servidor remoto usa tokens de acceso aleatorios para autenticar los pedidos del cliente sin requerir el envío de las credenciales del usuario en cada uno.</t>
  </si>
  <si>
    <t>Si se utiliza la autenticación basada en tokens sin estado, el servidor proporciona un token que se ha firmado utilizando un algoritmo seguro.</t>
  </si>
  <si>
    <t>Cuando el usuario cierra sesión se termina la sesión también en el servidor.</t>
  </si>
  <si>
    <t>Existe una política de contraseñas y es aplicada en el servidor.</t>
  </si>
  <si>
    <t>El servidor implementa mecanismos, cuando credenciales de autenticación son ingresadas una cantidad excesiva de veces.</t>
  </si>
  <si>
    <t>Las sesiones y los tokens de acceso expiran luego de un tiempo predefinido de inactividad.</t>
  </si>
  <si>
    <t>La información es enviada cifrada utilizando TLS. El canal seguro es usado consistentemente en la aplicación.</t>
  </si>
  <si>
    <t>La aplicación sólo depende de bibliotecas de conectividad y seguridad actualizadas.</t>
  </si>
  <si>
    <t>JavaScript se encuentra deshabilitado en los WebViews salvo que sea necesario.</t>
  </si>
  <si>
    <t>Los controles de seguridad deniegan el acceso por defecto.</t>
  </si>
  <si>
    <t>La aplicación detecta y responde a la presencia de un dispositivo rooteado, ya sea alertando al usuario o finalizando la ejecución de la aplicación.</t>
  </si>
  <si>
    <t>La aplicación detecta y responde ante modificaciones de código o datos en su propio espacio de memoria.</t>
  </si>
  <si>
    <t>Atadura del Dispositivo</t>
  </si>
  <si>
    <t>Impedir la comprensión</t>
  </si>
  <si>
    <t>Impedir el Análisis Dinámico y la Manipulación</t>
  </si>
  <si>
    <t>Resistencia ante la Ingeniería Inversa - Android</t>
  </si>
  <si>
    <t>Requisitos de Seguridad MASVS para - Android</t>
  </si>
  <si>
    <t>Requisitos de Seguridad MASVS para - iOS</t>
  </si>
  <si>
    <t>Resistencia ante la Ingeniería Inversa - iOS</t>
  </si>
  <si>
    <r>
      <t xml:space="preserve">OWASP Lista de Verificación de Seguridad en Aplicaciones Móviles
</t>
    </r>
    <r>
      <rPr>
        <sz val="14"/>
        <rFont val="Trebuchet MS"/>
        <family val="2"/>
      </rPr>
      <t xml:space="preserve">
Basado en el Estándar de Verificación de Seguridad en Aplicaciones Móviles 1.0 de OWASP.</t>
    </r>
  </si>
  <si>
    <t>Información general de evaluación</t>
  </si>
  <si>
    <t>Nombre del Cliente:</t>
  </si>
  <si>
    <t>Lugar de la evaluación:</t>
  </si>
  <si>
    <t>Fecha de Inicio:</t>
  </si>
  <si>
    <t>Fecha de Cierre:</t>
  </si>
  <si>
    <t>Nombre del Evaluador:</t>
  </si>
  <si>
    <t>Alcance de la Evaluación</t>
  </si>
  <si>
    <t>Nivel de verificación</t>
  </si>
  <si>
    <r>
      <rPr>
        <b/>
        <sz val="10"/>
        <rFont val="Trebuchet MS"/>
        <family val="2"/>
      </rPr>
      <t>Nivel 1:</t>
    </r>
    <r>
      <rPr>
        <sz val="10"/>
        <rFont val="Trebuchet MS"/>
        <family val="2"/>
      </rPr>
      <t xml:space="preserve"> Seguridad estándar. </t>
    </r>
    <r>
      <rPr>
        <b/>
        <sz val="10"/>
        <rFont val="Trebuchet MS"/>
        <family val="2"/>
      </rPr>
      <t>Nivel 2:</t>
    </r>
    <r>
      <rPr>
        <sz val="10"/>
        <rFont val="Trebuchet MS"/>
        <family val="2"/>
      </rPr>
      <t xml:space="preserve"> Defensa en profundidad.</t>
    </r>
    <r>
      <rPr>
        <b/>
        <sz val="10"/>
        <rFont val="Trebuchet MS"/>
        <family val="2"/>
      </rPr>
      <t xml:space="preserve"> Nivel- 3:</t>
    </r>
    <r>
      <rPr>
        <sz val="10"/>
        <rFont val="Trebuchet MS"/>
        <family val="2"/>
      </rPr>
      <t xml:space="preserve"> Resistencia contra la ingeniería inversa y la manipulación.</t>
    </r>
  </si>
  <si>
    <t>Información de Evaluación Plataforma Android</t>
  </si>
  <si>
    <t>Nombre de la aplicación:</t>
  </si>
  <si>
    <t>Enlace de Google Play</t>
  </si>
  <si>
    <t>Nombre del Archivo</t>
  </si>
  <si>
    <t>Versión</t>
  </si>
  <si>
    <t>Enlace de Apple Store</t>
  </si>
  <si>
    <t>Hash MD5 del archivo APK</t>
  </si>
  <si>
    <t>Hash MD5 del archivo IPA</t>
  </si>
  <si>
    <t>Representantes del Cliente e Información de Contacto</t>
  </si>
  <si>
    <t>Nombres:</t>
  </si>
  <si>
    <t>Empresa:</t>
  </si>
  <si>
    <t>Posición:</t>
  </si>
  <si>
    <t>Teléfono:</t>
  </si>
  <si>
    <t>Correo Electrónico:</t>
  </si>
  <si>
    <t>Franklin Volquez</t>
  </si>
  <si>
    <t>Leyenda</t>
  </si>
  <si>
    <t>Definición</t>
  </si>
  <si>
    <t>Requerimiento es aplicable a la Aplicación y se ha implementado de acuerdo con a las buenas prácticas</t>
  </si>
  <si>
    <t>El requisito se aplicó a la aplicación pero no ha sido satisfactorio.</t>
  </si>
  <si>
    <t>El requisito no es aplicable a la aplicación móvil</t>
  </si>
  <si>
    <t>Símbolo</t>
  </si>
  <si>
    <t>Nivel 1</t>
  </si>
  <si>
    <t>Nivel 2</t>
  </si>
  <si>
    <t>Estado</t>
  </si>
  <si>
    <t>Procedimiento de Evaluación</t>
  </si>
  <si>
    <t>Comentarios</t>
  </si>
  <si>
    <r>
      <t xml:space="preserve">Spanish translation of the Security Check List. </t>
    </r>
    <r>
      <rPr>
        <sz val="8"/>
        <color theme="1"/>
        <rFont val="Calibri"/>
        <family val="2"/>
      </rPr>
      <t>The translation is based on the content published on https://github.com/OWASP/owasp-masvs/blob/master/Document-es/0x03-Using_the_MASVS.md</t>
    </r>
  </si>
  <si>
    <t>1.0.1</t>
  </si>
  <si>
    <t>Versión online del MSTG</t>
  </si>
  <si>
    <t>Versión del MASVS</t>
  </si>
  <si>
    <t>Las dos filas anteriores se utilizan para construir la base para todos los hipervínculos en las listas de control de Android e iOS.
Ajuste a su caso de uso específico para actualizar todos los hipervínculos a una versión específica del MSTG</t>
  </si>
  <si>
    <t>añadiendo el enlace base al repositorio MSTG</t>
  </si>
  <si>
    <t>Abderrahmane Aftahi</t>
  </si>
  <si>
    <t>Versión online del MASVS</t>
  </si>
  <si>
    <t>1.0.2</t>
  </si>
  <si>
    <t>1.0.3</t>
  </si>
  <si>
    <t>Corrigiendo el enlace al repositorio MSTG y agregando un enlace al repositorio MASVS</t>
  </si>
  <si>
    <t>Los controles de seguridad nunca se aplican sólo en el cliente, sino que también en los respectivos servidores.</t>
  </si>
  <si>
    <t>No se debe almacenar información sensible fuera del contenedor de la aplicación o del almacenamiento de credenciales del sistema.</t>
  </si>
  <si>
    <t>La aplicación educa al usuario acerca de los tipos de información personal que procesa y de las mejores prácticas en seguridad que el usuario debería seguir al utilizar la aplicación.</t>
  </si>
  <si>
    <t>8.1</t>
  </si>
  <si>
    <t>8.2</t>
  </si>
  <si>
    <t>8.3</t>
  </si>
  <si>
    <t>8.4</t>
  </si>
  <si>
    <t>8.5</t>
  </si>
  <si>
    <t>8.6</t>
  </si>
  <si>
    <t>8.7</t>
  </si>
  <si>
    <t>8.8</t>
  </si>
  <si>
    <t>8.11</t>
  </si>
  <si>
    <t>8.12</t>
  </si>
  <si>
    <t>1.2</t>
  </si>
  <si>
    <t>1.3</t>
  </si>
  <si>
    <t>1.4</t>
  </si>
  <si>
    <t>1.5</t>
  </si>
  <si>
    <t>1.6</t>
  </si>
  <si>
    <t>1.8</t>
  </si>
  <si>
    <t>1.9</t>
  </si>
  <si>
    <t>5.6</t>
  </si>
  <si>
    <t>6.7</t>
  </si>
  <si>
    <t>6.8</t>
  </si>
  <si>
    <t>MSTG-ID</t>
  </si>
  <si>
    <t>MSTG-ARCH-1</t>
  </si>
  <si>
    <t>MSTG-ARCH-2</t>
  </si>
  <si>
    <t>MSTG-ARCH-4</t>
  </si>
  <si>
    <t>MSTG-ARCH-5</t>
  </si>
  <si>
    <t>MSTG-ARCH-6</t>
  </si>
  <si>
    <t>MSTG-ARCH-7</t>
  </si>
  <si>
    <t>MSTG-ARCH-8</t>
  </si>
  <si>
    <t>MSTG-ARCH-9</t>
  </si>
  <si>
    <t>MSTG-ARCH-10</t>
  </si>
  <si>
    <t>MSTG-ARCH-3</t>
  </si>
  <si>
    <t>MSTG-STORAGE-1</t>
  </si>
  <si>
    <t>MSTG-STORAGE-2</t>
  </si>
  <si>
    <t>MSTG-STORAGE-3</t>
  </si>
  <si>
    <t>MSTG-STORAGE-4</t>
  </si>
  <si>
    <t>MSTG-STORAGE-5</t>
  </si>
  <si>
    <t>MSTG-STORAGE-6</t>
  </si>
  <si>
    <t>MSTG-STORAGE-7</t>
  </si>
  <si>
    <t>MSTG-STORAGE-8</t>
  </si>
  <si>
    <t>MSTG-STORAGE-9</t>
  </si>
  <si>
    <t>MSTG-STORAGE-10</t>
  </si>
  <si>
    <t>MSTG-STORAGE-11</t>
  </si>
  <si>
    <t>MSTG-STORAGE-12</t>
  </si>
  <si>
    <t>MSTG-CRYPTO-1</t>
  </si>
  <si>
    <t>MSTG-CRYPTO-2</t>
  </si>
  <si>
    <t>MSTG-CRYPTO-3</t>
  </si>
  <si>
    <t>MSTG-CRYPTO-4</t>
  </si>
  <si>
    <t>MSTG-CRYPTO-5</t>
  </si>
  <si>
    <t>MSTG-CRYPTO-6</t>
  </si>
  <si>
    <t>MSTG-AUTH-1</t>
  </si>
  <si>
    <t>MSTG-AUTH-2</t>
  </si>
  <si>
    <t>MSTG-AUTH-3</t>
  </si>
  <si>
    <t>MSTG-AUTH-4</t>
  </si>
  <si>
    <t>MSTG-AUTH-5</t>
  </si>
  <si>
    <t>MSTG-AUTH-6</t>
  </si>
  <si>
    <t>MSTG-AUTH-7</t>
  </si>
  <si>
    <t>MSTG-AUTH-8</t>
  </si>
  <si>
    <t>MSTG-AUTH-9</t>
  </si>
  <si>
    <t>MSTG-AUTH-10</t>
  </si>
  <si>
    <t>MSTG-AUTH-11</t>
  </si>
  <si>
    <t>MSTG-NETWORK-1</t>
  </si>
  <si>
    <t>MSTG-NETWORK-2</t>
  </si>
  <si>
    <t>MSTG-NETWORK-3</t>
  </si>
  <si>
    <t>MSTG-NETWORK-4</t>
  </si>
  <si>
    <t>MSTG-NETWORK-5</t>
  </si>
  <si>
    <t>MSTG-NETWORK-6</t>
  </si>
  <si>
    <t>MSTG-PLATFORM-1</t>
  </si>
  <si>
    <t>MSTG-PLATFORM-2</t>
  </si>
  <si>
    <t>MSTG-PLATFORM-3</t>
  </si>
  <si>
    <t>MSTG-PLATFORM-4</t>
  </si>
  <si>
    <t>MSTG-PLATFORM-5</t>
  </si>
  <si>
    <t>MSTG-PLATFORM-6</t>
  </si>
  <si>
    <t>MSTG-PLATFORM-7</t>
  </si>
  <si>
    <t>MSTG-PLATFORM-8</t>
  </si>
  <si>
    <t>MSTG-CODE-1</t>
  </si>
  <si>
    <t>MSTG-CODE-2</t>
  </si>
  <si>
    <t>MSTG-CODE-3</t>
  </si>
  <si>
    <t>MSTG-CODE-4</t>
  </si>
  <si>
    <t>MSTG-CODE-5</t>
  </si>
  <si>
    <t>MSTG-CODE-6</t>
  </si>
  <si>
    <t>MSTG-CODE-7</t>
  </si>
  <si>
    <t>MSTG-CODE-8</t>
  </si>
  <si>
    <t>MSTG-CODE-9</t>
  </si>
  <si>
    <t>MSTG-RESILIENCE-1</t>
  </si>
  <si>
    <t>MSTG-RESILIENCE-3</t>
  </si>
  <si>
    <t>MSTG-RESILIENCE-4</t>
  </si>
  <si>
    <t>MSTG-RESILIENCE-5</t>
  </si>
  <si>
    <t>MSTG-RESILIENCE-6</t>
  </si>
  <si>
    <t>MSTG-RESILIENCE-7</t>
  </si>
  <si>
    <t>MSTG-RESILIENCE-8</t>
  </si>
  <si>
    <t>MSTG-RESILIENCE-9</t>
  </si>
  <si>
    <t>MSTG-RESILIENCE-10</t>
  </si>
  <si>
    <t>MSTG-RESILIENCE-11</t>
  </si>
  <si>
    <t>MSTG-RESILIENCE-12</t>
  </si>
  <si>
    <t>MSTG-RESILIENCE-2</t>
  </si>
  <si>
    <t>Updates:
- Adding the MSTG-IDs
- Covering the V1 MSTG links</t>
  </si>
  <si>
    <t>1.1.3</t>
  </si>
  <si>
    <t>Procédure de Test</t>
  </si>
  <si>
    <t xml:space="preserve"> -</t>
  </si>
  <si>
    <t>1.11</t>
  </si>
  <si>
    <t>1.12</t>
  </si>
  <si>
    <t>MSTG-ARCH-11</t>
  </si>
  <si>
    <t>MSTG-ARCH-12</t>
  </si>
  <si>
    <t>Todos los controles de seguridad poseen una implementados centralizada.</t>
  </si>
  <si>
    <t>Existe una política explícita sobre el uso de claves criptográficas (si se usan) a través de todo su ciclo de vida. Idealmente siguiendo un estándar de gestión de claves como el NIST SP 800-57.</t>
  </si>
  <si>
    <t>Existe un mecanismo para forzar las actualizaciones de la aplicación móvil.</t>
  </si>
  <si>
    <t>La implementación de medidas de seguridad es una parte esencial durante todo el ciclo de vida del desarrollo de software de la aplicación.</t>
  </si>
  <si>
    <t>Existe una política de divualgación responsable y es llevada a cabo adecuadamente.</t>
  </si>
  <si>
    <t>La aplicación debería de cumplir con las leyes y regulaciones de privacidad.</t>
  </si>
  <si>
    <t>2.13</t>
  </si>
  <si>
    <t>2.14</t>
  </si>
  <si>
    <t>2.15</t>
  </si>
  <si>
    <t>MSTG-STORAGE-13</t>
  </si>
  <si>
    <t>MSTG-STORAGE-14</t>
  </si>
  <si>
    <t>MSTG-STORAGE-15</t>
  </si>
  <si>
    <t>Las funcionalidades de almacenamiento de credenciales del sistema deben de ser utilizadas para almacenar información sensible, tal como información personal, credenciales de usuario o claves criptográficas.</t>
  </si>
  <si>
    <t>No se escribe información sensible en los registros (logs) de la aplicación.</t>
  </si>
  <si>
    <t>Se desactiva la caché del teclado en los campos de texto que contienen información sensible.</t>
  </si>
  <si>
    <t>No se expone información sensible mediante mecanismos de comunicación entre procesos (IPC).</t>
  </si>
  <si>
    <t>No se incluye información sensible en las copias de seguridad generadas por el sistema operativo.</t>
  </si>
  <si>
    <t>La aplicación elimina toda información sensible de la vista cuando la aplicación pasa a un segundo plano.</t>
  </si>
  <si>
    <t>La aplicación no conserva ninguna información sensible en memoria más de lo necesario y la memoria se limpia trás su uso.</t>
  </si>
  <si>
    <t>No se guarda ningún tipo de información sensible de forma local en el dispositivo móvil. En su lugar, esa información debería ser obtenida desde un sistema remoto sólo cuando es necesario y únicamente residir en memoria.</t>
  </si>
  <si>
    <t>En caso de ser necesario guardar información sensible de forma local, ésta debe de ser cifrada usando una clave derivada del hardware de almacenamiento seguro, el cual debe requerir autenticación previa.</t>
  </si>
  <si>
    <t>El almacenamiento local de la aplicación debe de ser borrado trás un número excesivo de intentos fallidos de autenticación.</t>
  </si>
  <si>
    <t>La aplicación no depende únicamente de criptografía simétrica cuyas claves se encuentran directamente en el código fuente de la misma.</t>
  </si>
  <si>
    <t>La aplicación utiliza primitivas de seguridad que son apropiadas para el caso particular y su configuración y parámetros siguen las mejores prácticas de la industria.</t>
  </si>
  <si>
    <t>La aplicación no utiliza protocolos o algoritmos criptográficos ampliamente considerados obsoletos para su uso en seguridad.</t>
  </si>
  <si>
    <t>Los valores aleatorios son generados utilizando un generador de números aleatorios suficientemente seguro.</t>
  </si>
  <si>
    <t>4.12</t>
  </si>
  <si>
    <t>MSTG-AUTH-12</t>
  </si>
  <si>
    <t>La autenticación biométrica, si la hay, no está asociada a eventos (p. ej. usando una API que simplemente retorna "true" o "false"), sino basada en el desbloqueo del keychain/keystore (almacenamiento seguro).</t>
  </si>
  <si>
    <t>El sistema remoto implementa un mecanismo de segundo factor de autenticación (2FA) y lo impone consistentemente.</t>
  </si>
  <si>
    <t>Para realizar transacciones críticas se requiere una autenticación adicional (step-up).</t>
  </si>
  <si>
    <t>La aplicación informa al usuario acerca de todas las actividades sensibles en su cuenta. El usuario es capaz de ver una lista de los dispositivos conectados, información contextual (dirección IP, localización, etc.), y es capaz de bloquear ciertos dispositivos.</t>
  </si>
  <si>
    <t>Los modelos de autorización deberían de ser definidos e impuestos por el sistema remoto.</t>
  </si>
  <si>
    <t>Las configuraciones del protocolo TLS siguen las mejores prácticas de la industria, o lo hacen lo mejor posible en caso de que el sistema operativo del dispositivo no soporte los estándares recomendados.</t>
  </si>
  <si>
    <t>La aplicación verifica el certificado X.509 del sistema remoto al establecer el canal seguro y sólo se aceptan certificados firmados por una CA de confianza.</t>
  </si>
  <si>
    <t>La aplicación utiliza su propio almacén de certificados o realiza _pinning_ del certificado o la clave pública del servidor. Bajo ningún concepto establecerá conexiones con servidores que ofrecen otros certificados o claves, incluso si están firmados por una CA de confianza.</t>
  </si>
  <si>
    <t>La aplicación no depende de un único canal de comunicaciones inseguro (email o SMS) para operaciones críticas como registro de usuarios o recuperación de cuentas.</t>
  </si>
  <si>
    <t>6.9</t>
  </si>
  <si>
    <t>6.10</t>
  </si>
  <si>
    <t>6.11</t>
  </si>
  <si>
    <t>MSTG-PLATFORM-9</t>
  </si>
  <si>
    <t>MSTG-PLATFORM-10</t>
  </si>
  <si>
    <t>MSTG-PLATFORM-11</t>
  </si>
  <si>
    <t>La aplicación requiere la cantidad de permisos mínimamente necesaria.</t>
  </si>
  <si>
    <t>Todo dato ingresado por el usuario o cualquier fuente externa debe ser validado y, si es necesario, saneado. Esto incluye información recibida por la UI o mecanismos IPC como los Intents, URLs y datos provenientes de la red.</t>
  </si>
  <si>
    <t>La aplicación no expone ninguna funcionalidad sensible a través esquemas de URL salvo que dichos mecanismos estén debidamente protegidos.</t>
  </si>
  <si>
    <t>La aplicación no expone ninguna funcionalidad sensible a través de mecanismos IPC salvo que dichos mecanismos estén debidamente protegidos.</t>
  </si>
  <si>
    <t>Las WebViews se configuran para permitir el mínimo de los esquemas (idealmente, sólo https). Esquemas peligrosos como file, tel y app-id están deshabilitados.</t>
  </si>
  <si>
    <t>Si objetos nativos son expuestos en WebViews, debe verificarse que cualquier componente JavaScript se carga exclusivamente desde el contenedor de la aplicación.</t>
  </si>
  <si>
    <t>La serialización de objetos, si se realiza, debe implementarse utilizando API seguras.</t>
  </si>
  <si>
    <t>La aplicación se protege contra ataques de tipo screen overlay. (sólo Android)</t>
  </si>
  <si>
    <t>La caché, el almacenamiento y los recursos cargados (JavaScript, etc.) de las WebViews deben de borrarse antes de destruir la WebView.</t>
  </si>
  <si>
    <t>Verificar que la aplicación impide el uso de teclados de terceros siempre que se introduzca información sensible.</t>
  </si>
  <si>
    <t>La aplicación es firmada y provista con un certificado válido, cuya clave privada está debidamente protegida.</t>
  </si>
  <si>
    <t>La aplicación fue publicada en modo release y con las configuraciones apropiadas para el mismo (por ejemplo, non-debuggable).</t>
  </si>
  <si>
    <t>Los símbolos de depuración fueron eliminados de los binarios nativos.</t>
  </si>
  <si>
    <t>Cualquier código de depuración y/o de asistencia al desarrollador (p. ej. código de test, backdoors, configuraciones ocultas) debe ser eliminado. La aplicación no hace logs detallados de errores ni de mensajes de depuración.</t>
  </si>
  <si>
    <t>Todos los componentes de terceros se encuentran identificados y revisados en cuanto a vulnerabilidades conocidas.</t>
  </si>
  <si>
    <t>La aplicación captura y gestiona debidamente las posibles excepciones.</t>
  </si>
  <si>
    <t>En código no administrado, la memoria es solicitada, utilizada y liberada de manera correcta.</t>
  </si>
  <si>
    <t>Las funcionalidades de seguridad gratuitas de las herramientas, tales como minificación del byte-code, protección de la pila, soporte PIE y conteo automático de referencias, se encuentran activadas.</t>
  </si>
  <si>
    <t>8.13</t>
  </si>
  <si>
    <t>MSTG-RESILIENCE-13</t>
  </si>
  <si>
    <t>La aplicación impide la depuración o detecta y responde a la misma. Se deben cubrir todos los protocolos de depuración.</t>
  </si>
  <si>
    <t>La aplicación detecta y responde a cualquier modificación de ejecutables y datos críticos de la propia aplicación.</t>
  </si>
  <si>
    <t>La aplicación detecta la presencia de herramientas de ingeniería inversa o frameworks comunmente utilizados.</t>
  </si>
  <si>
    <t>La aplicación detecta y responde a ser ejecutada en un emulador.</t>
  </si>
  <si>
    <t>La aplicación implementa múltiples mecanismos de detección para los puntos del 8.1 al 8.6. Nótese que, a mayor cantidad y diversidad de mecanismos usados, mayor será la resistencia.</t>
  </si>
  <si>
    <t>Los mecanismos de detección provocan distintos tipos de respuestas, incluyendo respuestas retardadas y silenciosas.</t>
  </si>
  <si>
    <t>La ofuscación se aplica a las defensas del programa, lo que a su vez impide la desofuscación mediante análisis dinámico.</t>
  </si>
  <si>
    <t>La aplicación implementa un “enlace al dispositivo” utilizando una huella del dispositivo derivado de varias propiedades únicas al mismo.</t>
  </si>
  <si>
    <t>Todos los archivos ejecutables y bibliotecas correspondientes a la aplicación se encuentran cifrados, o bien los segmentos importantes de código se encuentran cifrados o "empaquetados" (packed). De este modo cualquier análisis estático trivial no revelará código o datos importantes.</t>
  </si>
  <si>
    <t>Si el objetivo de la ofuscación es proteger código propietario, debe utilizarse un esquema de ofuscación apropiado para la tarea particular y robusto contra métodos de desofuscación manual y automatizada, considerando la investigación actual publicada. La eficacia del esquema de ofuscación debe verificarse mediante pruebas manuales. Nótese que, siempre que sea posible, las características de aislamiento basadas en hardware son preferibles a la ofuscación.</t>
  </si>
  <si>
    <t>A modo de defensa en profundidad, además de incluir un refuerzo (hardening) sólido de la comunicación, puede implementarse el cifrado de datos (payloads) a nivel de aplicación como medida adicional contra ataques de eavesdropping.</t>
  </si>
  <si>
    <t>Impedir el Eavesdropping</t>
    <phoneticPr fontId="41"/>
  </si>
  <si>
    <t>Koki Takeyama</t>
    <phoneticPr fontId="42"/>
  </si>
  <si>
    <t>1.1.3.1</t>
    <phoneticPr fontId="42"/>
  </si>
  <si>
    <t>MASVS version</t>
  </si>
  <si>
    <t>1.1.4</t>
    <phoneticPr fontId="41"/>
  </si>
  <si>
    <t>Sync with MASVS 1.2
- Added
1.11, 1.12, 2.13, 2.14, 2.15, 4.12, 6.9, 6.10, 6.11, 8.13
- Changes in English
2.1, 3.4, 4.11, 7.4
- Changes in French
2.1, 4.11, 7.4
- Changes in Japanese
2.1, 4.11, 7.4
- Changes in Korean
1.2, 1.3, 1.7, 2.1, 2.12, 3.1, 3.4, 4.2, 4.6, 4.8, 4.9, 4.11, 5.4, 5.5, 6.2, 6.3, 6.4, 6.5, 6.6, 6.7, 6.8, 7.1, 7.2, 7.3, 7.4, 7.5, 7.6, 7.7, 7.8, 7.9, 8.2, 8.5, 8.12
- Changes in Spanish
1.7, 1.8, 1.9, 1.10, 2.1, 2.3, 2.5, 2.6, 2.8, 2.9, 2.10, 3.1, 3.3, 3.4, 3.6, 4.8, 4.9, 4.10, 4.11, 5.2, 5.3, 5.4, 5.5, 6.1, 6.2, 6.3, 6.4, 6.6, 6.7, 6.8, 7.1, 7.2, 7.3, 7.4, 7.5, 7.6, 7.8, 7.9, 8.2, 8.3, 8.4, 8.5, 8.7, 8.8, 8.9, 8.10, 8.11, 8.12</t>
    <phoneticPr fontId="4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</si>
</sst>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lt;=9999999]###\-####;\(###\)\ ###\-####"/>
  </numFmts>
  <fonts count="45">
    <font>
      <sz val="12"/>
      <color theme="1"/>
      <name val="ＭＳ Ｐゴシック"/>
      <family val="2"/>
      <scheme val="minor"/>
    </font>
    <font>
      <sz val="11"/>
      <color theme="1"/>
      <name val="ＭＳ Ｐゴシック"/>
      <family val="2"/>
      <scheme val="minor"/>
    </font>
    <font>
      <sz val="11"/>
      <color theme="1"/>
      <name val="ＭＳ Ｐゴシック"/>
      <family val="2"/>
      <scheme val="minor"/>
    </font>
    <font>
      <u/>
      <sz val="12"/>
      <color theme="10"/>
      <name val="ＭＳ Ｐゴシック"/>
      <family val="2"/>
      <scheme val="minor"/>
    </font>
    <font>
      <u/>
      <sz val="12"/>
      <color theme="11"/>
      <name val="ＭＳ Ｐゴシック"/>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ＭＳ Ｐゴシック"/>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ＭＳ Ｐゴシック"/>
      <family val="2"/>
      <scheme val="minor"/>
    </font>
    <font>
      <sz val="11"/>
      <name val="Calibri"/>
      <family val="2"/>
    </font>
    <font>
      <b/>
      <sz val="11"/>
      <color rgb="FFFFFFFF"/>
      <name val="Calibri"/>
      <family val="2"/>
    </font>
    <font>
      <b/>
      <sz val="11"/>
      <color rgb="FF000000"/>
      <name val="Calibri"/>
      <family val="2"/>
    </font>
    <font>
      <b/>
      <sz val="11"/>
      <name val="Calibri"/>
      <family val="2"/>
    </font>
    <font>
      <sz val="11"/>
      <color theme="1"/>
      <name val="Calibri"/>
      <family val="2"/>
    </font>
    <font>
      <b/>
      <sz val="14"/>
      <color theme="1"/>
      <name val="Calibri"/>
      <family val="2"/>
    </font>
    <font>
      <sz val="12"/>
      <color theme="1"/>
      <name val="Calibri"/>
      <family val="2"/>
    </font>
    <font>
      <b/>
      <sz val="12"/>
      <color theme="1"/>
      <name val="Calibri"/>
      <family val="2"/>
    </font>
    <font>
      <u/>
      <sz val="11"/>
      <color theme="10"/>
      <name val="ＭＳ Ｐゴシック"/>
      <family val="2"/>
      <scheme val="minor"/>
    </font>
    <font>
      <b/>
      <sz val="14"/>
      <name val="Trebuchet MS"/>
      <family val="2"/>
    </font>
    <font>
      <sz val="14"/>
      <name val="Trebuchet MS"/>
      <family val="2"/>
    </font>
    <font>
      <b/>
      <sz val="12"/>
      <color theme="1"/>
      <name val="ＭＳ Ｐゴシック"/>
      <family val="2"/>
      <scheme val="minor"/>
    </font>
    <font>
      <b/>
      <sz val="12"/>
      <color rgb="FF000000"/>
      <name val="Calibri"/>
      <family val="2"/>
    </font>
    <font>
      <sz val="9"/>
      <color theme="1"/>
      <name val="Arial"/>
      <family val="2"/>
    </font>
    <font>
      <b/>
      <sz val="11"/>
      <color rgb="FFFFFFFF"/>
      <name val="Calibri"/>
      <family val="2"/>
    </font>
    <font>
      <b/>
      <sz val="11"/>
      <color rgb="FF000000"/>
      <name val="Calibri"/>
      <family val="2"/>
    </font>
    <font>
      <b/>
      <sz val="11"/>
      <name val="Calibri"/>
      <family val="2"/>
    </font>
    <font>
      <b/>
      <sz val="14"/>
      <color theme="1"/>
      <name val="Calibri"/>
      <family val="2"/>
    </font>
    <font>
      <b/>
      <sz val="11"/>
      <color theme="1"/>
      <name val="Calibri"/>
      <family val="2"/>
    </font>
    <font>
      <sz val="11"/>
      <color theme="1"/>
      <name val="Calibri"/>
      <family val="2"/>
    </font>
    <font>
      <sz val="8"/>
      <color theme="1"/>
      <name val="Calibri"/>
      <family val="2"/>
    </font>
    <font>
      <sz val="10"/>
      <color theme="1"/>
      <name val="Arial Unicode MS"/>
    </font>
    <font>
      <b/>
      <sz val="11"/>
      <color theme="0"/>
      <name val="Calibri"/>
      <family val="2"/>
    </font>
    <font>
      <b/>
      <sz val="12"/>
      <color theme="10"/>
      <name val="ＭＳ Ｐゴシック"/>
      <family val="2"/>
      <scheme val="minor"/>
    </font>
    <font>
      <sz val="6"/>
      <name val="ＭＳ Ｐゴシック"/>
      <family val="3"/>
      <charset val="128"/>
      <scheme val="minor"/>
    </font>
    <font>
      <sz val="6"/>
      <name val="ＭＳ Ｐゴシック"/>
      <family val="3"/>
      <charset val="128"/>
    </font>
    <font>
      <sz val="12"/>
      <name val="Calibri"/>
      <family val="2"/>
      <charset val="1"/>
    </font>
    <font>
      <b/>
      <sz val="12"/>
      <color rgb="FF000000"/>
      <name val="Calibri"/>
      <family val="2"/>
      <charset val="1"/>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43">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right style="thin">
        <color auto="1"/>
      </right>
      <top style="thin">
        <color indexed="63"/>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theme="0" tint="-0.24994659260841701"/>
      </right>
      <top/>
      <bottom/>
      <diagonal/>
    </border>
    <border>
      <left style="thin">
        <color theme="0" tint="-0.24994659260841701"/>
      </left>
      <right style="thin">
        <color auto="1"/>
      </right>
      <top/>
      <bottom/>
      <diagonal/>
    </border>
    <border>
      <left style="thin">
        <color theme="0" tint="-0.34998626667073579"/>
      </left>
      <right style="thin">
        <color auto="1"/>
      </right>
      <top/>
      <bottom/>
      <diagonal/>
    </border>
  </borders>
  <cellStyleXfs count="6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2" fillId="0" borderId="0"/>
  </cellStyleXfs>
  <cellXfs count="167">
    <xf numFmtId="0" fontId="0" fillId="0" borderId="0" xfId="0"/>
    <xf numFmtId="0" fontId="6" fillId="9" borderId="13" xfId="0" applyFont="1" applyFill="1" applyBorder="1" applyAlignment="1" applyProtection="1">
      <alignment vertical="center"/>
    </xf>
    <xf numFmtId="0" fontId="6" fillId="9" borderId="11" xfId="0" applyFont="1" applyFill="1" applyBorder="1" applyAlignment="1" applyProtection="1">
      <alignment vertical="center"/>
    </xf>
    <xf numFmtId="0" fontId="6" fillId="9" borderId="12" xfId="0" applyFont="1" applyFill="1" applyBorder="1" applyAlignment="1" applyProtection="1">
      <alignment vertical="center"/>
    </xf>
    <xf numFmtId="0" fontId="6" fillId="0" borderId="13" xfId="0" applyFont="1" applyBorder="1" applyAlignment="1" applyProtection="1">
      <alignment vertical="center"/>
    </xf>
    <xf numFmtId="0" fontId="6" fillId="0" borderId="14" xfId="0" applyFont="1" applyBorder="1" applyAlignment="1" applyProtection="1">
      <alignment vertical="center"/>
    </xf>
    <xf numFmtId="0" fontId="9" fillId="0" borderId="0" xfId="0" applyFont="1"/>
    <xf numFmtId="0" fontId="11" fillId="0" borderId="0" xfId="0" applyFont="1"/>
    <xf numFmtId="0" fontId="8" fillId="0" borderId="0" xfId="0" applyFont="1"/>
    <xf numFmtId="0" fontId="9" fillId="0" borderId="2" xfId="0" applyFont="1" applyBorder="1"/>
    <xf numFmtId="0" fontId="9" fillId="0" borderId="18" xfId="0" applyFont="1" applyBorder="1"/>
    <xf numFmtId="0" fontId="13" fillId="12" borderId="18" xfId="9" applyFont="1" applyFill="1" applyBorder="1" applyAlignment="1">
      <alignment vertical="center"/>
    </xf>
    <xf numFmtId="0" fontId="7" fillId="0" borderId="15" xfId="0" applyFont="1" applyBorder="1" applyAlignment="1" applyProtection="1">
      <alignment horizontal="left" vertical="center" wrapText="1"/>
      <protection locked="0"/>
    </xf>
    <xf numFmtId="0" fontId="8" fillId="11" borderId="0" xfId="0" applyFont="1" applyFill="1" applyBorder="1"/>
    <xf numFmtId="0" fontId="8" fillId="11" borderId="0" xfId="0" applyFont="1" applyFill="1" applyBorder="1" applyAlignment="1" applyProtection="1">
      <alignment horizontal="center" vertical="center"/>
    </xf>
    <xf numFmtId="0" fontId="7" fillId="11" borderId="0" xfId="0" applyFont="1" applyFill="1" applyBorder="1" applyAlignment="1">
      <alignment horizontal="center" vertical="center" wrapText="1"/>
    </xf>
    <xf numFmtId="9" fontId="8" fillId="11" borderId="0" xfId="0" applyNumberFormat="1" applyFont="1" applyFill="1" applyBorder="1" applyAlignment="1">
      <alignment horizontal="right" vertical="center" indent="1"/>
    </xf>
    <xf numFmtId="0" fontId="9" fillId="0" borderId="2" xfId="0" applyFont="1" applyBorder="1" applyAlignment="1">
      <alignment horizontal="center"/>
    </xf>
    <xf numFmtId="0" fontId="9" fillId="0" borderId="0" xfId="0" applyFont="1" applyBorder="1"/>
    <xf numFmtId="10" fontId="9" fillId="0" borderId="2" xfId="0" applyNumberFormat="1" applyFont="1" applyBorder="1"/>
    <xf numFmtId="0" fontId="12" fillId="13" borderId="0" xfId="0" applyFont="1" applyFill="1" applyBorder="1" applyAlignment="1">
      <alignment horizontal="center" vertical="center" wrapText="1"/>
    </xf>
    <xf numFmtId="0" fontId="8" fillId="11" borderId="0" xfId="0" applyFont="1" applyFill="1" applyBorder="1" applyAlignment="1">
      <alignment horizontal="left" wrapText="1"/>
    </xf>
    <xf numFmtId="0" fontId="6" fillId="9" borderId="16" xfId="0" applyFont="1" applyFill="1" applyBorder="1" applyAlignment="1" applyProtection="1">
      <alignment vertical="center"/>
    </xf>
    <xf numFmtId="0" fontId="21" fillId="0" borderId="2" xfId="0" applyFont="1" applyBorder="1" applyAlignment="1">
      <alignment vertical="top" wrapText="1"/>
    </xf>
    <xf numFmtId="0" fontId="8" fillId="0" borderId="12" xfId="0" applyFont="1" applyBorder="1" applyAlignment="1" applyProtection="1">
      <alignment vertical="center" wrapText="1"/>
      <protection locked="0"/>
    </xf>
    <xf numFmtId="176" fontId="8" fillId="0" borderId="12" xfId="0" applyNumberFormat="1" applyFont="1" applyBorder="1" applyAlignment="1" applyProtection="1">
      <alignment vertical="center" wrapText="1"/>
      <protection locked="0"/>
    </xf>
    <xf numFmtId="0" fontId="6" fillId="0" borderId="13" xfId="0" applyFont="1" applyBorder="1" applyAlignment="1" applyProtection="1">
      <alignment vertical="center"/>
    </xf>
    <xf numFmtId="0" fontId="6" fillId="0" borderId="14" xfId="0" applyFont="1" applyBorder="1" applyAlignment="1" applyProtection="1">
      <alignment vertical="center"/>
    </xf>
    <xf numFmtId="0" fontId="36" fillId="0" borderId="2" xfId="0" applyFont="1" applyBorder="1" applyAlignment="1">
      <alignment vertical="top" wrapText="1"/>
    </xf>
    <xf numFmtId="0" fontId="23" fillId="0" borderId="2" xfId="0" quotePrefix="1" applyFont="1" applyBorder="1" applyAlignment="1">
      <alignment horizontal="center" vertical="top"/>
    </xf>
    <xf numFmtId="14" fontId="23" fillId="0" borderId="2" xfId="0" applyNumberFormat="1" applyFont="1" applyBorder="1" applyAlignment="1">
      <alignment vertical="top"/>
    </xf>
    <xf numFmtId="49" fontId="23" fillId="0" borderId="2" xfId="0" applyNumberFormat="1" applyFont="1" applyBorder="1" applyAlignment="1">
      <alignment vertical="top" wrapText="1"/>
    </xf>
    <xf numFmtId="0" fontId="23" fillId="0" borderId="2" xfId="0" applyFont="1" applyBorder="1" applyAlignment="1">
      <alignment vertical="top"/>
    </xf>
    <xf numFmtId="0" fontId="6" fillId="9" borderId="3" xfId="0" applyFont="1" applyFill="1" applyBorder="1" applyAlignment="1" applyProtection="1">
      <alignment vertical="center"/>
    </xf>
    <xf numFmtId="0" fontId="6" fillId="9" borderId="4" xfId="0" applyFont="1" applyFill="1" applyBorder="1" applyAlignment="1" applyProtection="1">
      <alignment vertical="center"/>
    </xf>
    <xf numFmtId="0" fontId="3" fillId="0" borderId="15" xfId="9" applyBorder="1" applyAlignment="1">
      <alignment horizontal="left" vertical="center" wrapText="1"/>
    </xf>
    <xf numFmtId="0" fontId="6" fillId="9" borderId="37" xfId="0" applyFont="1" applyFill="1" applyBorder="1" applyAlignment="1" applyProtection="1">
      <alignment vertical="center"/>
    </xf>
    <xf numFmtId="0" fontId="6" fillId="0" borderId="10" xfId="0" applyFont="1" applyFill="1" applyBorder="1" applyAlignment="1" applyProtection="1">
      <alignment vertical="center"/>
    </xf>
    <xf numFmtId="0" fontId="3" fillId="0" borderId="36" xfId="9" applyFill="1" applyBorder="1" applyAlignment="1" applyProtection="1">
      <alignment vertical="center"/>
    </xf>
    <xf numFmtId="0" fontId="21" fillId="0" borderId="38" xfId="0" applyFont="1" applyBorder="1" applyAlignment="1">
      <alignment vertical="top" wrapText="1"/>
    </xf>
    <xf numFmtId="14" fontId="23" fillId="0" borderId="39" xfId="0" applyNumberFormat="1" applyFont="1" applyBorder="1" applyAlignment="1">
      <alignment vertical="top"/>
    </xf>
    <xf numFmtId="0" fontId="23" fillId="0" borderId="39" xfId="0" quotePrefix="1" applyFont="1" applyBorder="1" applyAlignment="1">
      <alignment horizontal="center" vertical="top"/>
    </xf>
    <xf numFmtId="0" fontId="23" fillId="0" borderId="39" xfId="0" applyFont="1" applyBorder="1" applyAlignment="1">
      <alignment vertical="top"/>
    </xf>
    <xf numFmtId="0" fontId="23" fillId="0" borderId="38" xfId="0" applyFont="1" applyBorder="1" applyAlignment="1">
      <alignment vertical="top"/>
    </xf>
    <xf numFmtId="0" fontId="6" fillId="0" borderId="36" xfId="0" applyFont="1" applyFill="1" applyBorder="1" applyAlignment="1" applyProtection="1">
      <alignment horizontal="left" vertical="center"/>
    </xf>
    <xf numFmtId="0" fontId="22" fillId="0" borderId="0" xfId="0" applyFont="1" applyAlignment="1">
      <alignment horizontal="left" vertical="top"/>
    </xf>
    <xf numFmtId="0" fontId="0" fillId="0" borderId="0" xfId="0" applyAlignment="1">
      <alignment vertical="top"/>
    </xf>
    <xf numFmtId="0" fontId="23" fillId="0" borderId="0" xfId="0" applyFont="1" applyAlignment="1">
      <alignment vertical="top"/>
    </xf>
    <xf numFmtId="0" fontId="23" fillId="0" borderId="0" xfId="0" applyFont="1" applyAlignment="1">
      <alignment vertical="top" wrapText="1"/>
    </xf>
    <xf numFmtId="0" fontId="18" fillId="2" borderId="34" xfId="0" applyFont="1" applyFill="1" applyBorder="1" applyAlignment="1">
      <alignment horizontal="center" vertical="top" wrapText="1"/>
    </xf>
    <xf numFmtId="0" fontId="18" fillId="2" borderId="32" xfId="0" applyFont="1" applyFill="1" applyBorder="1" applyAlignment="1">
      <alignment horizontal="center" vertical="top" wrapText="1"/>
    </xf>
    <xf numFmtId="0" fontId="31" fillId="2" borderId="32" xfId="0" applyFont="1" applyFill="1" applyBorder="1" applyAlignment="1">
      <alignment vertical="top" wrapText="1"/>
    </xf>
    <xf numFmtId="0" fontId="31" fillId="2" borderId="32" xfId="0" applyFont="1" applyFill="1" applyBorder="1" applyAlignment="1">
      <alignment horizontal="center" vertical="top" wrapText="1"/>
    </xf>
    <xf numFmtId="0" fontId="31" fillId="2" borderId="33" xfId="0" applyFont="1" applyFill="1" applyBorder="1" applyAlignment="1">
      <alignment horizontal="center" vertical="top" wrapText="1"/>
    </xf>
    <xf numFmtId="0" fontId="19" fillId="3" borderId="35" xfId="0" applyFont="1" applyFill="1" applyBorder="1" applyAlignment="1">
      <alignment horizontal="center" vertical="top" wrapText="1"/>
    </xf>
    <xf numFmtId="0" fontId="19" fillId="3" borderId="0" xfId="0" applyFont="1" applyFill="1" applyBorder="1" applyAlignment="1">
      <alignment horizontal="center" vertical="top" wrapText="1"/>
    </xf>
    <xf numFmtId="0" fontId="32" fillId="3" borderId="0" xfId="0" applyFont="1" applyFill="1" applyBorder="1" applyAlignment="1">
      <alignment vertical="top" wrapText="1"/>
    </xf>
    <xf numFmtId="0" fontId="19" fillId="3" borderId="7" xfId="0" applyFont="1" applyFill="1" applyBorder="1" applyAlignment="1">
      <alignment horizontal="center" vertical="top" wrapText="1"/>
    </xf>
    <xf numFmtId="0" fontId="18" fillId="4" borderId="35" xfId="0" quotePrefix="1" applyFont="1" applyFill="1" applyBorder="1" applyAlignment="1">
      <alignment horizontal="center" vertical="top" wrapText="1"/>
    </xf>
    <xf numFmtId="0" fontId="18" fillId="4" borderId="0" xfId="0" quotePrefix="1" applyFont="1" applyFill="1" applyBorder="1" applyAlignment="1">
      <alignment horizontal="center" vertical="top" wrapText="1"/>
    </xf>
    <xf numFmtId="0" fontId="17" fillId="0" borderId="0" xfId="0" applyFont="1" applyBorder="1" applyAlignment="1">
      <alignment vertical="top" wrapText="1"/>
    </xf>
    <xf numFmtId="0" fontId="17" fillId="7" borderId="0" xfId="0" applyFont="1" applyFill="1" applyBorder="1" applyAlignment="1">
      <alignment horizontal="center" vertical="top" wrapText="1"/>
    </xf>
    <xf numFmtId="0" fontId="17" fillId="6" borderId="0" xfId="0" applyFont="1" applyFill="1" applyBorder="1" applyAlignment="1">
      <alignment horizontal="center" vertical="top" wrapText="1"/>
    </xf>
    <xf numFmtId="0" fontId="3" fillId="0" borderId="0" xfId="9" applyBorder="1" applyAlignment="1">
      <alignment horizontal="left" vertical="top"/>
    </xf>
    <xf numFmtId="0" fontId="3" fillId="0" borderId="0" xfId="9" applyBorder="1" applyAlignment="1">
      <alignment vertical="top" wrapText="1"/>
    </xf>
    <xf numFmtId="0" fontId="0" fillId="0" borderId="0" xfId="0" applyBorder="1" applyAlignment="1">
      <alignment vertical="top"/>
    </xf>
    <xf numFmtId="0" fontId="17" fillId="0" borderId="0" xfId="0" applyFont="1" applyFill="1" applyBorder="1" applyAlignment="1">
      <alignment vertical="top" wrapText="1"/>
    </xf>
    <xf numFmtId="0" fontId="20" fillId="3" borderId="35" xfId="0" applyFont="1" applyFill="1" applyBorder="1" applyAlignment="1">
      <alignment horizontal="center" vertical="top" wrapText="1"/>
    </xf>
    <xf numFmtId="0" fontId="20" fillId="3" borderId="0" xfId="0" applyFont="1" applyFill="1" applyBorder="1" applyAlignment="1">
      <alignment horizontal="center" vertical="top" wrapText="1"/>
    </xf>
    <xf numFmtId="0" fontId="33" fillId="3" borderId="0" xfId="0" applyFont="1" applyFill="1" applyBorder="1" applyAlignment="1">
      <alignment vertical="top" wrapText="1"/>
    </xf>
    <xf numFmtId="0" fontId="20" fillId="3" borderId="0" xfId="0" applyFont="1" applyFill="1" applyBorder="1" applyAlignment="1">
      <alignment vertical="top" wrapText="1"/>
    </xf>
    <xf numFmtId="0" fontId="20" fillId="3" borderId="7" xfId="0" applyFont="1" applyFill="1" applyBorder="1" applyAlignment="1">
      <alignment vertical="top" wrapText="1"/>
    </xf>
    <xf numFmtId="0" fontId="18" fillId="4" borderId="35" xfId="0" applyFont="1" applyFill="1" applyBorder="1" applyAlignment="1">
      <alignment horizontal="center" vertical="top" wrapText="1"/>
    </xf>
    <xf numFmtId="0" fontId="18" fillId="4" borderId="0" xfId="0" applyFont="1" applyFill="1" applyBorder="1" applyAlignment="1">
      <alignment horizontal="center" vertical="top" wrapText="1"/>
    </xf>
    <xf numFmtId="0" fontId="3" fillId="0" borderId="0" xfId="9" quotePrefix="1" applyBorder="1" applyAlignment="1">
      <alignment vertical="top" wrapText="1"/>
    </xf>
    <xf numFmtId="0" fontId="3" fillId="0" borderId="0" xfId="9" applyBorder="1" applyAlignment="1">
      <alignment vertical="top"/>
    </xf>
    <xf numFmtId="0" fontId="25" fillId="0" borderId="0" xfId="9" applyFont="1" applyBorder="1" applyAlignment="1">
      <alignment horizontal="left" vertical="top" wrapText="1"/>
    </xf>
    <xf numFmtId="0" fontId="3" fillId="0" borderId="0" xfId="9" applyBorder="1" applyAlignment="1">
      <alignment horizontal="left" vertical="top" wrapText="1"/>
    </xf>
    <xf numFmtId="0" fontId="18" fillId="2" borderId="21" xfId="0" applyFont="1" applyFill="1" applyBorder="1" applyAlignment="1">
      <alignment horizontal="center" vertical="top" wrapText="1"/>
    </xf>
    <xf numFmtId="0" fontId="18" fillId="2" borderId="20" xfId="0" applyFont="1" applyFill="1" applyBorder="1" applyAlignment="1">
      <alignment horizontal="center" vertical="top" wrapText="1"/>
    </xf>
    <xf numFmtId="0" fontId="18" fillId="2" borderId="20" xfId="0" applyFont="1" applyFill="1" applyBorder="1" applyAlignment="1">
      <alignment vertical="top" wrapText="1"/>
    </xf>
    <xf numFmtId="0" fontId="18" fillId="2" borderId="22" xfId="0" applyFont="1" applyFill="1" applyBorder="1" applyAlignment="1">
      <alignment horizontal="center" vertical="top" wrapText="1"/>
    </xf>
    <xf numFmtId="0" fontId="21" fillId="0" borderId="0" xfId="0" applyFont="1" applyAlignment="1">
      <alignment vertical="top"/>
    </xf>
    <xf numFmtId="0" fontId="21" fillId="0" borderId="0" xfId="0" applyFont="1" applyAlignment="1">
      <alignment vertical="top" wrapText="1"/>
    </xf>
    <xf numFmtId="0" fontId="35" fillId="0" borderId="0" xfId="0" applyFont="1" applyAlignment="1">
      <alignment horizontal="left" vertical="top"/>
    </xf>
    <xf numFmtId="0" fontId="31" fillId="2" borderId="1" xfId="0" applyFont="1" applyFill="1" applyBorder="1" applyAlignment="1">
      <alignment vertical="top" wrapText="1"/>
    </xf>
    <xf numFmtId="0" fontId="1" fillId="0" borderId="0" xfId="0" applyFont="1" applyAlignment="1">
      <alignment vertical="top"/>
    </xf>
    <xf numFmtId="0" fontId="16" fillId="0" borderId="0" xfId="0" applyFont="1" applyAlignment="1">
      <alignment vertical="top"/>
    </xf>
    <xf numFmtId="0" fontId="16" fillId="0" borderId="0" xfId="0" applyFont="1" applyAlignment="1">
      <alignment vertical="top" wrapText="1"/>
    </xf>
    <xf numFmtId="0" fontId="0" fillId="0" borderId="0" xfId="0" applyAlignment="1">
      <alignment vertical="top" wrapText="1"/>
    </xf>
    <xf numFmtId="0" fontId="17" fillId="0" borderId="0" xfId="0" applyFont="1" applyFill="1" applyBorder="1" applyAlignment="1">
      <alignment horizontal="center" vertical="top" wrapText="1"/>
    </xf>
    <xf numFmtId="0" fontId="17" fillId="0" borderId="40" xfId="0" applyFont="1" applyBorder="1" applyAlignment="1">
      <alignment horizontal="center" vertical="top" wrapText="1"/>
    </xf>
    <xf numFmtId="0" fontId="17" fillId="0" borderId="41" xfId="0" applyFont="1" applyBorder="1" applyAlignment="1">
      <alignment vertical="top" wrapText="1"/>
    </xf>
    <xf numFmtId="0" fontId="10" fillId="0" borderId="0" xfId="0" applyFont="1" applyAlignment="1">
      <alignment vertical="top"/>
    </xf>
    <xf numFmtId="0" fontId="31" fillId="2" borderId="34" xfId="0" applyFont="1" applyFill="1" applyBorder="1" applyAlignment="1">
      <alignment horizontal="center" vertical="top" wrapText="1"/>
    </xf>
    <xf numFmtId="0" fontId="17" fillId="5" borderId="0" xfId="0" applyFont="1" applyFill="1" applyBorder="1" applyAlignment="1">
      <alignment horizontal="center" vertical="top" wrapText="1"/>
    </xf>
    <xf numFmtId="0" fontId="39" fillId="2" borderId="32" xfId="0" applyFont="1" applyFill="1" applyBorder="1" applyAlignment="1">
      <alignment horizontal="center" vertical="top" wrapText="1"/>
    </xf>
    <xf numFmtId="0" fontId="40" fillId="11" borderId="0" xfId="9" applyFont="1" applyFill="1" applyBorder="1" applyAlignment="1">
      <alignment horizontal="center" vertical="top" wrapText="1"/>
    </xf>
    <xf numFmtId="0" fontId="40" fillId="0" borderId="0" xfId="9" applyFont="1" applyBorder="1" applyAlignment="1">
      <alignment horizontal="center" vertical="top" wrapText="1"/>
    </xf>
    <xf numFmtId="0" fontId="22" fillId="0" borderId="0" xfId="0" applyFont="1" applyAlignment="1">
      <alignment vertical="top"/>
    </xf>
    <xf numFmtId="0" fontId="34" fillId="0" borderId="0" xfId="0" applyFont="1" applyAlignment="1">
      <alignment vertical="top"/>
    </xf>
    <xf numFmtId="0" fontId="17" fillId="0" borderId="42" xfId="0" applyFont="1" applyBorder="1" applyAlignment="1">
      <alignment vertical="top" wrapText="1"/>
    </xf>
    <xf numFmtId="0" fontId="28" fillId="0" borderId="0" xfId="0" applyFont="1" applyBorder="1" applyAlignment="1">
      <alignment horizontal="center" vertical="top"/>
    </xf>
    <xf numFmtId="0" fontId="23" fillId="0" borderId="38" xfId="0" quotePrefix="1" applyFont="1" applyBorder="1" applyAlignment="1">
      <alignment horizontal="center" vertical="top"/>
    </xf>
    <xf numFmtId="0" fontId="29" fillId="0" borderId="0" xfId="0" applyFont="1" applyBorder="1" applyAlignment="1">
      <alignment horizontal="left" vertical="top"/>
    </xf>
    <xf numFmtId="0" fontId="28" fillId="0" borderId="2" xfId="0" applyFont="1" applyBorder="1" applyAlignment="1">
      <alignment vertical="top"/>
    </xf>
    <xf numFmtId="0" fontId="44" fillId="0" borderId="38" xfId="0" applyFont="1" applyBorder="1" applyAlignment="1">
      <alignment vertical="top"/>
    </xf>
    <xf numFmtId="0" fontId="24" fillId="0" borderId="2" xfId="0" applyFont="1" applyBorder="1" applyAlignment="1">
      <alignment vertical="top"/>
    </xf>
    <xf numFmtId="0" fontId="0" fillId="0" borderId="2" xfId="0" applyBorder="1" applyAlignment="1">
      <alignment horizontal="center" vertical="top"/>
    </xf>
    <xf numFmtId="0" fontId="0" fillId="0" borderId="38" xfId="0" applyBorder="1" applyAlignment="1">
      <alignment horizontal="center" vertical="top"/>
    </xf>
    <xf numFmtId="0" fontId="23" fillId="0" borderId="2" xfId="0" applyFont="1" applyBorder="1" applyAlignment="1">
      <alignment horizontal="center" vertical="top"/>
    </xf>
    <xf numFmtId="0" fontId="23" fillId="0" borderId="38" xfId="0" applyFont="1" applyBorder="1" applyAlignment="1">
      <alignment horizontal="center" vertical="top"/>
    </xf>
    <xf numFmtId="0" fontId="38" fillId="0" borderId="0" xfId="0" applyFont="1" applyAlignment="1">
      <alignment horizontal="left" vertical="top"/>
    </xf>
    <xf numFmtId="14" fontId="0" fillId="0" borderId="38" xfId="0" applyNumberFormat="1" applyBorder="1" applyAlignment="1">
      <alignment vertical="top"/>
    </xf>
    <xf numFmtId="0" fontId="0" fillId="0" borderId="38" xfId="0" applyBorder="1" applyAlignment="1">
      <alignment vertical="top" wrapText="1"/>
    </xf>
    <xf numFmtId="0" fontId="43" fillId="0" borderId="38" xfId="0" applyFont="1" applyBorder="1" applyAlignment="1">
      <alignment horizontal="center" vertical="top"/>
    </xf>
    <xf numFmtId="0" fontId="6" fillId="0" borderId="13" xfId="0" applyFont="1" applyBorder="1" applyAlignment="1" applyProtection="1">
      <alignment vertical="center"/>
    </xf>
    <xf numFmtId="0" fontId="6" fillId="0" borderId="14" xfId="0" applyFont="1" applyBorder="1" applyAlignment="1" applyProtection="1">
      <alignment vertical="center"/>
    </xf>
    <xf numFmtId="0" fontId="6" fillId="0" borderId="13" xfId="0" applyFont="1" applyBorder="1" applyAlignment="1" applyProtection="1">
      <alignment horizontal="left" vertical="center"/>
    </xf>
    <xf numFmtId="0" fontId="6" fillId="0" borderId="14" xfId="0" applyFont="1" applyBorder="1" applyAlignment="1" applyProtection="1">
      <alignment horizontal="left" vertical="center"/>
    </xf>
    <xf numFmtId="0" fontId="26" fillId="8" borderId="3" xfId="0" applyFont="1" applyFill="1" applyBorder="1" applyAlignment="1" applyProtection="1">
      <alignment horizontal="left" vertical="top" wrapText="1"/>
    </xf>
    <xf numFmtId="0" fontId="26" fillId="8" borderId="4" xfId="0" applyFont="1" applyFill="1" applyBorder="1" applyAlignment="1" applyProtection="1">
      <alignment horizontal="left" vertical="top"/>
    </xf>
    <xf numFmtId="0" fontId="26" fillId="8" borderId="5" xfId="0" applyFont="1" applyFill="1" applyBorder="1" applyAlignment="1" applyProtection="1">
      <alignment horizontal="left" vertical="top"/>
    </xf>
    <xf numFmtId="0" fontId="26" fillId="8" borderId="6" xfId="0" applyFont="1" applyFill="1" applyBorder="1" applyAlignment="1" applyProtection="1">
      <alignment horizontal="left" vertical="top"/>
    </xf>
    <xf numFmtId="0" fontId="26" fillId="8" borderId="0" xfId="0" applyFont="1" applyFill="1" applyBorder="1" applyAlignment="1" applyProtection="1">
      <alignment horizontal="left" vertical="top"/>
    </xf>
    <xf numFmtId="0" fontId="26" fillId="8" borderId="7" xfId="0" applyFont="1" applyFill="1" applyBorder="1" applyAlignment="1" applyProtection="1">
      <alignment horizontal="left" vertical="top"/>
    </xf>
    <xf numFmtId="0" fontId="26" fillId="8" borderId="8" xfId="0" applyFont="1" applyFill="1" applyBorder="1" applyAlignment="1" applyProtection="1">
      <alignment horizontal="left" vertical="top"/>
    </xf>
    <xf numFmtId="0" fontId="26" fillId="8" borderId="9" xfId="0" applyFont="1" applyFill="1" applyBorder="1" applyAlignment="1" applyProtection="1">
      <alignment horizontal="left" vertical="top"/>
    </xf>
    <xf numFmtId="0" fontId="26" fillId="8" borderId="10" xfId="0" applyFont="1" applyFill="1" applyBorder="1" applyAlignment="1" applyProtection="1">
      <alignment horizontal="left" vertical="top"/>
    </xf>
    <xf numFmtId="0" fontId="5" fillId="0" borderId="11" xfId="0" quotePrefix="1" applyFont="1" applyBorder="1" applyAlignment="1" applyProtection="1">
      <alignment horizontal="center"/>
    </xf>
    <xf numFmtId="0" fontId="5" fillId="0" borderId="11" xfId="0" applyFont="1" applyBorder="1" applyAlignment="1" applyProtection="1">
      <alignment horizontal="center"/>
    </xf>
    <xf numFmtId="0" fontId="5" fillId="0" borderId="12" xfId="0" applyFont="1" applyBorder="1" applyAlignment="1" applyProtection="1">
      <alignment horizontal="center"/>
    </xf>
    <xf numFmtId="0" fontId="6" fillId="0" borderId="8" xfId="0" applyFont="1" applyFill="1" applyBorder="1" applyAlignment="1" applyProtection="1">
      <alignment horizontal="left" vertical="center" wrapText="1"/>
    </xf>
    <xf numFmtId="0" fontId="6" fillId="0" borderId="9" xfId="0" applyFont="1" applyFill="1" applyBorder="1" applyAlignment="1" applyProtection="1">
      <alignment horizontal="left" vertical="center"/>
    </xf>
    <xf numFmtId="0" fontId="6" fillId="0" borderId="12" xfId="0" applyFont="1" applyFill="1" applyBorder="1" applyAlignment="1" applyProtection="1">
      <alignment horizontal="left" vertical="center"/>
    </xf>
    <xf numFmtId="0" fontId="6" fillId="0" borderId="2" xfId="0" applyFont="1" applyFill="1" applyBorder="1" applyAlignment="1" applyProtection="1">
      <alignment horizontal="center" vertical="center"/>
    </xf>
    <xf numFmtId="0" fontId="6" fillId="0" borderId="36" xfId="0" applyFont="1" applyFill="1" applyBorder="1" applyAlignment="1" applyProtection="1">
      <alignment horizontal="left" vertical="center"/>
    </xf>
    <xf numFmtId="0" fontId="6" fillId="0" borderId="2" xfId="0" applyFont="1" applyFill="1" applyBorder="1" applyAlignment="1" applyProtection="1">
      <alignment horizontal="left" vertical="center"/>
    </xf>
    <xf numFmtId="0" fontId="5" fillId="10" borderId="13" xfId="0" applyFont="1" applyFill="1" applyBorder="1" applyAlignment="1" applyProtection="1">
      <alignment horizontal="center" vertical="center"/>
    </xf>
    <xf numFmtId="0" fontId="5" fillId="10" borderId="11" xfId="0" applyFont="1" applyFill="1" applyBorder="1" applyAlignment="1" applyProtection="1">
      <alignment horizontal="center" vertical="center"/>
    </xf>
    <xf numFmtId="0" fontId="5" fillId="10" borderId="12" xfId="0" applyFont="1" applyFill="1" applyBorder="1" applyAlignment="1" applyProtection="1">
      <alignment horizontal="center" vertical="center"/>
    </xf>
    <xf numFmtId="0" fontId="6" fillId="0" borderId="12" xfId="0" applyFont="1" applyBorder="1" applyAlignment="1" applyProtection="1">
      <alignment horizontal="left" vertical="center"/>
    </xf>
    <xf numFmtId="0" fontId="8" fillId="0" borderId="0" xfId="0" applyFont="1"/>
    <xf numFmtId="1" fontId="15" fillId="0" borderId="23" xfId="0" applyNumberFormat="1" applyFont="1" applyBorder="1" applyAlignment="1">
      <alignment horizontal="center" vertical="center"/>
    </xf>
    <xf numFmtId="1" fontId="15" fillId="0" borderId="19" xfId="0" applyNumberFormat="1" applyFont="1" applyBorder="1" applyAlignment="1">
      <alignment horizontal="center" vertical="center"/>
    </xf>
    <xf numFmtId="1" fontId="15" fillId="0" borderId="24" xfId="0" applyNumberFormat="1" applyFont="1" applyBorder="1" applyAlignment="1">
      <alignment horizontal="center" vertical="center"/>
    </xf>
    <xf numFmtId="1" fontId="15" fillId="0" borderId="25" xfId="0" applyNumberFormat="1" applyFont="1" applyBorder="1" applyAlignment="1">
      <alignment horizontal="center" vertical="center"/>
    </xf>
    <xf numFmtId="1" fontId="15" fillId="0" borderId="0" xfId="0" applyNumberFormat="1" applyFont="1" applyBorder="1" applyAlignment="1">
      <alignment horizontal="center" vertical="center"/>
    </xf>
    <xf numFmtId="1" fontId="15" fillId="0" borderId="26" xfId="0" applyNumberFormat="1" applyFont="1" applyBorder="1" applyAlignment="1">
      <alignment horizontal="center" vertical="center"/>
    </xf>
    <xf numFmtId="1" fontId="15" fillId="0" borderId="27" xfId="0" applyNumberFormat="1" applyFont="1" applyBorder="1" applyAlignment="1">
      <alignment horizontal="center" vertical="center"/>
    </xf>
    <xf numFmtId="1" fontId="15" fillId="0" borderId="28" xfId="0" applyNumberFormat="1" applyFont="1" applyBorder="1" applyAlignment="1">
      <alignment horizontal="center" vertical="center"/>
    </xf>
    <xf numFmtId="1" fontId="15" fillId="0" borderId="29" xfId="0" applyNumberFormat="1" applyFont="1" applyBorder="1" applyAlignment="1">
      <alignment horizontal="center" vertical="center"/>
    </xf>
    <xf numFmtId="0" fontId="30" fillId="0" borderId="30" xfId="0" applyFont="1" applyBorder="1" applyAlignment="1">
      <alignment horizontal="center"/>
    </xf>
    <xf numFmtId="0" fontId="30" fillId="0" borderId="31" xfId="0" applyFont="1" applyBorder="1" applyAlignment="1">
      <alignment horizontal="center"/>
    </xf>
    <xf numFmtId="0" fontId="30" fillId="0" borderId="17" xfId="0" applyFont="1" applyBorder="1" applyAlignment="1">
      <alignment horizontal="center"/>
    </xf>
    <xf numFmtId="0" fontId="14" fillId="0" borderId="30" xfId="0" applyFont="1" applyBorder="1" applyAlignment="1">
      <alignment horizontal="center"/>
    </xf>
    <xf numFmtId="0" fontId="14" fillId="0" borderId="31" xfId="0" applyFont="1" applyBorder="1" applyAlignment="1">
      <alignment horizontal="center"/>
    </xf>
    <xf numFmtId="0" fontId="14" fillId="0" borderId="17" xfId="0" applyFont="1" applyBorder="1" applyAlignment="1">
      <alignment horizontal="center"/>
    </xf>
    <xf numFmtId="0" fontId="12" fillId="13" borderId="0" xfId="0" applyFont="1" applyFill="1" applyBorder="1" applyAlignment="1">
      <alignment horizontal="center" vertical="center" wrapText="1"/>
    </xf>
    <xf numFmtId="0" fontId="13" fillId="12" borderId="21" xfId="9" applyFont="1" applyFill="1" applyBorder="1" applyAlignment="1">
      <alignment horizontal="center" vertical="center"/>
    </xf>
    <xf numFmtId="0" fontId="13" fillId="12" borderId="20" xfId="9" applyFont="1" applyFill="1" applyBorder="1" applyAlignment="1">
      <alignment horizontal="center" vertical="center"/>
    </xf>
    <xf numFmtId="0" fontId="13" fillId="12" borderId="22" xfId="9" applyFont="1" applyFill="1" applyBorder="1" applyAlignment="1">
      <alignment horizontal="center" vertical="center"/>
    </xf>
    <xf numFmtId="0" fontId="34" fillId="0" borderId="0" xfId="0" applyFont="1" applyAlignment="1">
      <alignment horizontal="left" vertical="top"/>
    </xf>
    <xf numFmtId="0" fontId="22" fillId="0" borderId="0" xfId="0" applyFont="1" applyAlignment="1">
      <alignment horizontal="left" vertical="top"/>
    </xf>
    <xf numFmtId="0" fontId="19" fillId="3" borderId="0" xfId="0" applyFont="1" applyFill="1" applyBorder="1" applyAlignment="1">
      <alignment horizontal="center" vertical="top" wrapText="1"/>
    </xf>
    <xf numFmtId="0" fontId="31" fillId="2" borderId="32" xfId="0" applyFont="1" applyFill="1" applyBorder="1" applyAlignment="1">
      <alignment horizontal="center" vertical="top" wrapText="1"/>
    </xf>
    <xf numFmtId="0" fontId="29" fillId="0" borderId="20" xfId="0" applyFont="1" applyBorder="1" applyAlignment="1">
      <alignment horizontal="left" vertical="top"/>
    </xf>
  </cellXfs>
  <cellStyles count="63">
    <cellStyle name="Normal 2" xfId="62" xr:uid="{00000000-0005-0000-0000-00003E000000}"/>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1" builtinId="9" hidden="1"/>
    <cellStyle name="表示済みのハイパーリンク" xfId="12" builtinId="9" hidden="1"/>
    <cellStyle name="表示済みのハイパーリンク" xfId="13" builtinId="9" hidden="1"/>
    <cellStyle name="表示済みのハイパーリンク" xfId="14" builtinId="9" hidden="1"/>
    <cellStyle name="表示済みのハイパーリンク" xfId="15" builtinId="9" hidden="1"/>
    <cellStyle name="表示済みのハイパーリンク" xfId="16" builtinId="9" hidden="1"/>
    <cellStyle name="表示済みのハイパーリンク" xfId="17" builtinId="9" hidden="1"/>
    <cellStyle name="表示済みのハイパーリンク" xfId="18" builtinId="9" hidden="1"/>
    <cellStyle name="表示済みのハイパーリンク" xfId="19" builtinId="9" hidden="1"/>
    <cellStyle name="表示済みのハイパーリンク" xfId="20" builtinId="9" hidden="1"/>
    <cellStyle name="表示済みのハイパーリンク" xfId="21" builtinId="9" hidden="1"/>
    <cellStyle name="表示済みのハイパーリンク" xfId="22" builtinId="9" hidden="1"/>
    <cellStyle name="表示済みのハイパーリンク" xfId="23" builtinId="9" hidden="1"/>
    <cellStyle name="表示済みのハイパーリンク" xfId="24" builtinId="9" hidden="1"/>
    <cellStyle name="表示済みのハイパーリンク" xfId="25" builtinId="9" hidden="1"/>
    <cellStyle name="表示済みのハイパーリンク" xfId="26" builtinId="9" hidden="1"/>
    <cellStyle name="表示済みのハイパーリンク" xfId="27" builtinId="9" hidden="1"/>
    <cellStyle name="表示済みのハイパーリンク" xfId="28" builtinId="9" hidden="1"/>
    <cellStyle name="表示済みのハイパーリンク" xfId="29" builtinId="9" hidden="1"/>
    <cellStyle name="表示済みのハイパーリンク" xfId="30" builtinId="9" hidden="1"/>
    <cellStyle name="表示済みのハイパーリンク" xfId="31" builtinId="9" hidden="1"/>
    <cellStyle name="表示済みのハイパーリンク" xfId="32" builtinId="9" hidden="1"/>
    <cellStyle name="表示済みのハイパーリンク" xfId="33" builtinId="9" hidden="1"/>
    <cellStyle name="表示済みのハイパーリンク" xfId="34" builtinId="9" hidden="1"/>
    <cellStyle name="表示済みのハイパーリンク" xfId="35" builtinId="9" hidden="1"/>
    <cellStyle name="表示済みのハイパーリンク" xfId="36" builtinId="9" hidden="1"/>
    <cellStyle name="表示済みのハイパーリンク" xfId="37" builtinId="9" hidden="1"/>
    <cellStyle name="表示済みのハイパーリンク" xfId="38" builtinId="9" hidden="1"/>
    <cellStyle name="表示済みのハイパーリンク" xfId="39" builtinId="9" hidden="1"/>
    <cellStyle name="表示済みのハイパーリンク" xfId="40" builtinId="9" hidden="1"/>
    <cellStyle name="表示済みのハイパーリンク" xfId="41" builtinId="9" hidden="1"/>
    <cellStyle name="表示済みのハイパーリンク" xfId="42" builtinId="9" hidden="1"/>
    <cellStyle name="表示済みのハイパーリンク" xfId="43" builtinId="9" hidden="1"/>
    <cellStyle name="表示済みのハイパーリンク" xfId="44" builtinId="9" hidden="1"/>
    <cellStyle name="表示済みのハイパーリンク" xfId="45" builtinId="9" hidden="1"/>
    <cellStyle name="表示済みのハイパーリンク" xfId="46" builtinId="9" hidden="1"/>
    <cellStyle name="表示済みのハイパーリンク" xfId="47" builtinId="9" hidden="1"/>
    <cellStyle name="表示済みのハイパーリンク" xfId="48" builtinId="9" hidden="1"/>
    <cellStyle name="表示済みのハイパーリンク" xfId="49" builtinId="9" hidden="1"/>
    <cellStyle name="表示済みのハイパーリンク" xfId="50" builtinId="9" hidden="1"/>
    <cellStyle name="表示済みのハイパーリンク" xfId="51" builtinId="9" hidden="1"/>
    <cellStyle name="表示済みのハイパーリンク" xfId="52" builtinId="9" hidden="1"/>
    <cellStyle name="表示済みのハイパーリンク" xfId="53" builtinId="9" hidden="1"/>
    <cellStyle name="表示済みのハイパーリンク" xfId="54" builtinId="9" hidden="1"/>
    <cellStyle name="表示済みのハイパーリンク" xfId="55" builtinId="9" hidden="1"/>
    <cellStyle name="表示済みのハイパーリンク" xfId="56" builtinId="9" hidden="1"/>
    <cellStyle name="表示済みのハイパーリンク" xfId="57" builtinId="9" hidden="1"/>
    <cellStyle name="表示済みのハイパーリンク" xfId="58" builtinId="9" hidden="1"/>
    <cellStyle name="表示済みのハイパーリンク" xfId="59" builtinId="9" hidden="1"/>
    <cellStyle name="表示済みのハイパーリンク" xfId="60" builtinId="9" hidden="1"/>
    <cellStyle name="表示済みのハイパーリンク" xfId="61" builtinId="9" hidden="1"/>
  </cellStyles>
  <dxfs count="11">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Requisitos de Arquitectura, Diseño y Modelado de Amenazas</c:v>
                </c:pt>
                <c:pt idx="1">
                  <c:v>V2: Requerimientos en el Almacenamiento de datos y la Privacidad</c:v>
                </c:pt>
                <c:pt idx="2">
                  <c:v>V3: Requerimientos de Criptografía</c:v>
                </c:pt>
                <c:pt idx="3">
                  <c:v>V4: Requerimientos de Autenticación y Manejo de Sesiones</c:v>
                </c:pt>
                <c:pt idx="4">
                  <c:v>V5: Requerimientos de Comunicación a través de la red</c:v>
                </c:pt>
                <c:pt idx="5">
                  <c:v>V6: Requerimientos de Interacción con la Plataforma</c:v>
                </c:pt>
                <c:pt idx="6">
                  <c:v>V7: Requerimientos de Calidad de Código y Configuración del Compilador</c:v>
                </c:pt>
                <c:pt idx="7">
                  <c:v>V8: Requerimientos de Resistencia ante la Ingeniería Inversa</c:v>
                </c:pt>
              </c:strCache>
            </c:strRef>
          </c:cat>
          <c:val>
            <c:numRef>
              <c:f>'Management Summary'!$G$43:$G$50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ja-JP"/>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ja-JP"/>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ja-JP"/>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ja-JP"/>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'Management Summary'!$C$43:$C$50</c:f>
              <c:strCache>
                <c:ptCount val="8"/>
                <c:pt idx="0">
                  <c:v>V1: Requisitos de Arquitectura, Diseño y Modelado de Amenazas</c:v>
                </c:pt>
                <c:pt idx="1">
                  <c:v>V2: Requerimientos en el Almacenamiento de datos y la Privacidad</c:v>
                </c:pt>
                <c:pt idx="2">
                  <c:v>V3: Requerimientos de Criptografía</c:v>
                </c:pt>
                <c:pt idx="3">
                  <c:v>V4: Requerimientos de Autenticación y Manejo de Sesiones</c:v>
                </c:pt>
                <c:pt idx="4">
                  <c:v>V5: Requerimientos de Comunicación a través de la red</c:v>
                </c:pt>
                <c:pt idx="5">
                  <c:v>V6: Requerimientos de Interacción con la Plataforma</c:v>
                </c:pt>
                <c:pt idx="6">
                  <c:v>V7: Requerimientos de Calidad de Código y Configuración del Compilador</c:v>
                </c:pt>
                <c:pt idx="7">
                  <c:v>V8: Requerimientos de Resistencia ante la Ingeniería Inversa</c:v>
                </c:pt>
              </c:strCache>
            </c:strRef>
          </c:cat>
          <c:val>
            <c:numRef>
              <c:f>'Management Summary'!$K$43:$K$50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ja-JP"/>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ja-JP"/>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ja-JP"/>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ja-JP"/>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274294</xdr:colOff>
      <xdr:row>11</xdr:row>
      <xdr:rowOff>55213</xdr:rowOff>
    </xdr:from>
    <xdr:to>
      <xdr:col>9</xdr:col>
      <xdr:colOff>246498</xdr:colOff>
      <xdr:row>38</xdr:row>
      <xdr:rowOff>67913</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175541</xdr:colOff>
      <xdr:row>11</xdr:row>
      <xdr:rowOff>65373</xdr:rowOff>
    </xdr:from>
    <xdr:to>
      <xdr:col>24</xdr:col>
      <xdr:colOff>318556</xdr:colOff>
      <xdr:row>38</xdr:row>
      <xdr:rowOff>97123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50"/>
  <sheetViews>
    <sheetView showGridLines="0" tabSelected="1" zoomScaleNormal="100" zoomScalePageLayoutView="120" workbookViewId="0"/>
  </sheetViews>
  <sheetFormatPr defaultColWidth="8.6640625" defaultRowHeight="14"/>
  <cols>
    <col min="1" max="1" width="2.1640625" customWidth="1"/>
    <col min="3" max="3" width="13.6640625" customWidth="1"/>
    <col min="4" max="4" width="92.5" customWidth="1"/>
  </cols>
  <sheetData>
    <row r="1" spans="2:4" ht="8" customHeight="1"/>
    <row r="2" spans="2:4">
      <c r="B2" s="120" t="s">
        <v>151</v>
      </c>
      <c r="C2" s="121"/>
      <c r="D2" s="122"/>
    </row>
    <row r="3" spans="2:4">
      <c r="B3" s="123"/>
      <c r="C3" s="124"/>
      <c r="D3" s="125"/>
    </row>
    <row r="4" spans="2:4">
      <c r="B4" s="123"/>
      <c r="C4" s="124"/>
      <c r="D4" s="125"/>
    </row>
    <row r="5" spans="2:4">
      <c r="B5" s="123"/>
      <c r="C5" s="124"/>
      <c r="D5" s="125"/>
    </row>
    <row r="6" spans="2:4">
      <c r="B6" s="123"/>
      <c r="C6" s="124"/>
      <c r="D6" s="125"/>
    </row>
    <row r="7" spans="2:4">
      <c r="B7" s="123"/>
      <c r="C7" s="124"/>
      <c r="D7" s="125"/>
    </row>
    <row r="8" spans="2:4" hidden="1">
      <c r="B8" s="126"/>
      <c r="C8" s="127"/>
      <c r="D8" s="128"/>
    </row>
    <row r="9" spans="2:4" ht="15.5">
      <c r="B9" s="129" t="s">
        <v>69</v>
      </c>
      <c r="C9" s="130"/>
      <c r="D9" s="131"/>
    </row>
    <row r="10" spans="2:4">
      <c r="B10" s="33" t="s">
        <v>152</v>
      </c>
      <c r="C10" s="34"/>
      <c r="D10" s="36"/>
    </row>
    <row r="11" spans="2:4">
      <c r="B11" s="136" t="s">
        <v>190</v>
      </c>
      <c r="C11" s="136"/>
      <c r="D11" s="44">
        <v>1.2</v>
      </c>
    </row>
    <row r="12" spans="2:4">
      <c r="B12" s="137" t="s">
        <v>194</v>
      </c>
      <c r="C12" s="137"/>
      <c r="D12" s="38" t="str">
        <f>HYPERLINK(CONCATENATE(
"https://github.com/OWASP/owasp-masvs/blob/",
MASVS_VERSION,
"/Document/"))</f>
        <v>https://github.com/OWASP/owasp-masvs/blob/1.2/Document/</v>
      </c>
    </row>
    <row r="13" spans="2:4">
      <c r="B13" s="136" t="s">
        <v>190</v>
      </c>
      <c r="C13" s="136"/>
      <c r="D13" s="37" t="s">
        <v>297</v>
      </c>
    </row>
    <row r="14" spans="2:4">
      <c r="B14" s="135" t="s">
        <v>189</v>
      </c>
      <c r="C14" s="135"/>
      <c r="D14" s="35" t="str">
        <f>HYPERLINK(CONCATENATE(
"https://github.com/OWASP/owasp-mstg/blob/",
MSTG_VERSION,
"/Document/"))</f>
        <v>https://github.com/OWASP/owasp-mstg/blob/1.1.3/Document/</v>
      </c>
    </row>
    <row r="15" spans="2:4" ht="40.25" customHeight="1">
      <c r="B15" s="132" t="s">
        <v>191</v>
      </c>
      <c r="C15" s="133"/>
      <c r="D15" s="134"/>
    </row>
    <row r="16" spans="2:4">
      <c r="B16" s="116" t="s">
        <v>153</v>
      </c>
      <c r="C16" s="117"/>
      <c r="D16" s="12"/>
    </row>
    <row r="17" spans="2:4">
      <c r="B17" s="118" t="s">
        <v>154</v>
      </c>
      <c r="C17" s="119"/>
      <c r="D17" s="12"/>
    </row>
    <row r="18" spans="2:4">
      <c r="B18" s="116" t="s">
        <v>155</v>
      </c>
      <c r="C18" s="117"/>
      <c r="D18" s="12"/>
    </row>
    <row r="19" spans="2:4">
      <c r="B19" s="116" t="s">
        <v>156</v>
      </c>
      <c r="C19" s="117"/>
      <c r="D19" s="12"/>
    </row>
    <row r="20" spans="2:4">
      <c r="B20" s="116" t="s">
        <v>157</v>
      </c>
      <c r="C20" s="117"/>
      <c r="D20" s="12"/>
    </row>
    <row r="21" spans="2:4">
      <c r="B21" s="116" t="s">
        <v>158</v>
      </c>
      <c r="C21" s="117"/>
      <c r="D21" s="12"/>
    </row>
    <row r="22" spans="2:4" ht="70.5" customHeight="1">
      <c r="B22" s="116" t="s">
        <v>159</v>
      </c>
      <c r="C22" s="117"/>
      <c r="D22" s="12" t="s">
        <v>160</v>
      </c>
    </row>
    <row r="23" spans="2:4" ht="15.5">
      <c r="B23" s="130"/>
      <c r="C23" s="130"/>
      <c r="D23" s="131"/>
    </row>
    <row r="24" spans="2:4">
      <c r="B24" s="1" t="s">
        <v>161</v>
      </c>
      <c r="C24" s="2"/>
      <c r="D24" s="3"/>
    </row>
    <row r="25" spans="2:4">
      <c r="B25" s="4" t="s">
        <v>162</v>
      </c>
      <c r="C25" s="5"/>
      <c r="D25" s="12"/>
    </row>
    <row r="26" spans="2:4">
      <c r="B26" s="116" t="s">
        <v>163</v>
      </c>
      <c r="C26" s="117"/>
      <c r="D26" s="12"/>
    </row>
    <row r="27" spans="2:4">
      <c r="B27" s="116" t="s">
        <v>164</v>
      </c>
      <c r="C27" s="117"/>
      <c r="D27" s="12"/>
    </row>
    <row r="28" spans="2:4">
      <c r="B28" s="116" t="s">
        <v>165</v>
      </c>
      <c r="C28" s="117"/>
      <c r="D28" s="12"/>
    </row>
    <row r="29" spans="2:4">
      <c r="B29" s="116" t="s">
        <v>167</v>
      </c>
      <c r="C29" s="117"/>
      <c r="D29" s="12"/>
    </row>
    <row r="30" spans="2:4" ht="15.5">
      <c r="B30" s="130"/>
      <c r="C30" s="130"/>
      <c r="D30" s="131"/>
    </row>
    <row r="31" spans="2:4">
      <c r="B31" s="1" t="s">
        <v>66</v>
      </c>
      <c r="C31" s="2"/>
      <c r="D31" s="3"/>
    </row>
    <row r="32" spans="2:4">
      <c r="B32" s="26" t="s">
        <v>162</v>
      </c>
      <c r="C32" s="27"/>
      <c r="D32" s="12"/>
    </row>
    <row r="33" spans="2:4">
      <c r="B33" s="116" t="s">
        <v>166</v>
      </c>
      <c r="C33" s="117"/>
      <c r="D33" s="12"/>
    </row>
    <row r="34" spans="2:4">
      <c r="B34" s="116" t="s">
        <v>164</v>
      </c>
      <c r="C34" s="117"/>
      <c r="D34" s="12"/>
    </row>
    <row r="35" spans="2:4">
      <c r="B35" s="116" t="s">
        <v>165</v>
      </c>
      <c r="C35" s="117"/>
      <c r="D35" s="12"/>
    </row>
    <row r="36" spans="2:4">
      <c r="B36" s="116" t="s">
        <v>168</v>
      </c>
      <c r="C36" s="117"/>
      <c r="D36" s="12"/>
    </row>
    <row r="37" spans="2:4" ht="15.5">
      <c r="B37" s="130"/>
      <c r="C37" s="130"/>
      <c r="D37" s="131"/>
    </row>
    <row r="38" spans="2:4">
      <c r="B38" s="1" t="s">
        <v>169</v>
      </c>
      <c r="C38" s="2"/>
      <c r="D38" s="3"/>
    </row>
    <row r="39" spans="2:4" ht="15.5">
      <c r="B39" s="138"/>
      <c r="C39" s="139"/>
      <c r="D39" s="140"/>
    </row>
    <row r="40" spans="2:4">
      <c r="B40" s="118" t="s">
        <v>170</v>
      </c>
      <c r="C40" s="141"/>
      <c r="D40" s="24"/>
    </row>
    <row r="41" spans="2:4">
      <c r="B41" s="118" t="s">
        <v>171</v>
      </c>
      <c r="C41" s="141"/>
      <c r="D41" s="24"/>
    </row>
    <row r="42" spans="2:4">
      <c r="B42" s="118" t="s">
        <v>172</v>
      </c>
      <c r="C42" s="141"/>
      <c r="D42" s="24"/>
    </row>
    <row r="43" spans="2:4">
      <c r="B43" s="118" t="s">
        <v>173</v>
      </c>
      <c r="C43" s="141"/>
      <c r="D43" s="25"/>
    </row>
    <row r="44" spans="2:4">
      <c r="B44" s="118" t="s">
        <v>174</v>
      </c>
      <c r="C44" s="141"/>
      <c r="D44" s="24"/>
    </row>
    <row r="45" spans="2:4" ht="15.5">
      <c r="B45" s="138"/>
      <c r="C45" s="139"/>
      <c r="D45" s="140"/>
    </row>
    <row r="46" spans="2:4">
      <c r="B46" s="118" t="s">
        <v>170</v>
      </c>
      <c r="C46" s="141"/>
      <c r="D46" s="24"/>
    </row>
    <row r="47" spans="2:4">
      <c r="B47" s="118" t="s">
        <v>171</v>
      </c>
      <c r="C47" s="141"/>
      <c r="D47" s="24"/>
    </row>
    <row r="48" spans="2:4">
      <c r="B48" s="118" t="s">
        <v>172</v>
      </c>
      <c r="C48" s="141"/>
      <c r="D48" s="24"/>
    </row>
    <row r="49" spans="2:4">
      <c r="B49" s="118" t="s">
        <v>173</v>
      </c>
      <c r="C49" s="141"/>
      <c r="D49" s="25"/>
    </row>
    <row r="50" spans="2:4">
      <c r="B50" s="118" t="s">
        <v>174</v>
      </c>
      <c r="C50" s="141"/>
      <c r="D50" s="24"/>
    </row>
  </sheetData>
  <mergeCells count="37">
    <mergeCell ref="B47:C47"/>
    <mergeCell ref="B48:C48"/>
    <mergeCell ref="B49:C49"/>
    <mergeCell ref="B50:C50"/>
    <mergeCell ref="B41:C41"/>
    <mergeCell ref="B42:C42"/>
    <mergeCell ref="B43:C43"/>
    <mergeCell ref="B44:C44"/>
    <mergeCell ref="B45:D45"/>
    <mergeCell ref="B46:C46"/>
    <mergeCell ref="B22:C22"/>
    <mergeCell ref="B26:C26"/>
    <mergeCell ref="B39:D39"/>
    <mergeCell ref="B40:C40"/>
    <mergeCell ref="B33:C33"/>
    <mergeCell ref="B37:D37"/>
    <mergeCell ref="B23:D23"/>
    <mergeCell ref="B30:D30"/>
    <mergeCell ref="B34:C34"/>
    <mergeCell ref="B35:C35"/>
    <mergeCell ref="B36:C36"/>
    <mergeCell ref="B27:C27"/>
    <mergeCell ref="B28:C28"/>
    <mergeCell ref="B29:C29"/>
    <mergeCell ref="B21:C21"/>
    <mergeCell ref="B19:C19"/>
    <mergeCell ref="B17:C17"/>
    <mergeCell ref="B2:D8"/>
    <mergeCell ref="B9:D9"/>
    <mergeCell ref="B16:C16"/>
    <mergeCell ref="B18:C18"/>
    <mergeCell ref="B20:C20"/>
    <mergeCell ref="B15:D15"/>
    <mergeCell ref="B14:C14"/>
    <mergeCell ref="B13:C13"/>
    <mergeCell ref="B12:C12"/>
    <mergeCell ref="B11:C11"/>
  </mergeCells>
  <phoneticPr fontId="41"/>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X50"/>
  <sheetViews>
    <sheetView showGridLines="0" zoomScaleNormal="100" zoomScalePageLayoutView="150" workbookViewId="0"/>
  </sheetViews>
  <sheetFormatPr defaultColWidth="8.6640625" defaultRowHeight="14"/>
  <cols>
    <col min="1" max="1" width="1.6640625" style="6" customWidth="1"/>
    <col min="2" max="2" width="9.5" style="6" customWidth="1"/>
    <col min="3" max="3" width="54.6640625" style="6" customWidth="1"/>
    <col min="4" max="4" width="6" style="6" customWidth="1"/>
    <col min="5" max="5" width="4.6640625" style="6" customWidth="1"/>
    <col min="6" max="6" width="5.6640625" style="6" customWidth="1"/>
    <col min="7" max="7" width="10.1640625" style="6" customWidth="1"/>
    <col min="8" max="16384" width="8.6640625" style="6"/>
  </cols>
  <sheetData>
    <row r="1" spans="2:24" ht="14.5" thickBot="1"/>
    <row r="2" spans="2:24" ht="15" thickBot="1">
      <c r="B2" s="7"/>
      <c r="C2" s="22" t="s">
        <v>68</v>
      </c>
      <c r="D2" s="8"/>
      <c r="E2" s="8"/>
      <c r="F2" s="8"/>
    </row>
    <row r="3" spans="2:24" ht="14.5">
      <c r="B3" s="8"/>
      <c r="C3" s="8"/>
      <c r="D3" s="8"/>
      <c r="E3" s="8"/>
      <c r="F3" s="8"/>
    </row>
    <row r="4" spans="2:24" ht="14.5">
      <c r="B4" s="142"/>
      <c r="C4" s="142"/>
      <c r="D4" s="142"/>
      <c r="E4" s="142"/>
      <c r="F4" s="142"/>
    </row>
    <row r="5" spans="2:24" ht="16.25" customHeight="1" thickBot="1">
      <c r="B5" s="20"/>
      <c r="C5" s="20"/>
      <c r="D5" s="20"/>
      <c r="E5" s="20"/>
      <c r="F5" s="20"/>
    </row>
    <row r="6" spans="2:24" ht="19.25" customHeight="1" thickBot="1">
      <c r="B6" s="21"/>
      <c r="C6" s="21"/>
      <c r="D6" s="21"/>
      <c r="E6" s="21"/>
      <c r="F6" s="21"/>
      <c r="G6" s="152" t="s">
        <v>109</v>
      </c>
      <c r="H6" s="153"/>
      <c r="I6" s="154"/>
      <c r="V6" s="155" t="s">
        <v>110</v>
      </c>
      <c r="W6" s="156"/>
      <c r="X6" s="157"/>
    </row>
    <row r="7" spans="2:24" ht="15" thickBot="1">
      <c r="B7" s="13"/>
      <c r="C7" s="13"/>
      <c r="D7" s="13"/>
      <c r="E7" s="13"/>
      <c r="F7" s="13"/>
    </row>
    <row r="8" spans="2:24" ht="16.25" customHeight="1">
      <c r="B8" s="20"/>
      <c r="C8" s="20"/>
      <c r="D8" s="20"/>
      <c r="E8" s="20"/>
      <c r="F8" s="20"/>
      <c r="G8" s="143">
        <f>AVERAGE(G43:G50)*5</f>
        <v>0</v>
      </c>
      <c r="H8" s="144"/>
      <c r="I8" s="145"/>
      <c r="V8" s="143">
        <f>AVERAGE(K43:K50)*5</f>
        <v>0</v>
      </c>
      <c r="W8" s="144"/>
      <c r="X8" s="145"/>
    </row>
    <row r="9" spans="2:24" ht="91.25" customHeight="1">
      <c r="B9" s="21"/>
      <c r="C9" s="21"/>
      <c r="D9" s="21"/>
      <c r="E9" s="21"/>
      <c r="F9" s="21"/>
      <c r="G9" s="146"/>
      <c r="H9" s="147"/>
      <c r="I9" s="148"/>
      <c r="V9" s="146"/>
      <c r="W9" s="147"/>
      <c r="X9" s="148"/>
    </row>
    <row r="10" spans="2:24" ht="16.5" customHeight="1">
      <c r="B10" s="13"/>
      <c r="C10" s="13"/>
      <c r="D10" s="13"/>
      <c r="E10" s="13"/>
      <c r="F10" s="13"/>
      <c r="G10" s="146"/>
      <c r="H10" s="147"/>
      <c r="I10" s="148"/>
      <c r="V10" s="146"/>
      <c r="W10" s="147"/>
      <c r="X10" s="148"/>
    </row>
    <row r="11" spans="2:24" ht="17.25" customHeight="1" thickBot="1">
      <c r="B11" s="13"/>
      <c r="C11" s="13"/>
      <c r="D11" s="13"/>
      <c r="E11" s="13"/>
      <c r="F11" s="13"/>
      <c r="G11" s="149"/>
      <c r="H11" s="150"/>
      <c r="I11" s="151"/>
      <c r="V11" s="149"/>
      <c r="W11" s="150"/>
      <c r="X11" s="151"/>
    </row>
    <row r="12" spans="2:24" ht="16.25" customHeight="1">
      <c r="B12" s="158"/>
      <c r="C12" s="158"/>
      <c r="D12" s="158"/>
      <c r="E12" s="158"/>
      <c r="F12" s="158"/>
    </row>
    <row r="13" spans="2:24">
      <c r="B13" s="14"/>
      <c r="C13" s="14"/>
      <c r="D13" s="14"/>
      <c r="E13" s="14"/>
      <c r="F13" s="14"/>
    </row>
    <row r="14" spans="2:24">
      <c r="B14" s="15"/>
      <c r="C14" s="15"/>
      <c r="D14" s="15"/>
      <c r="E14" s="15"/>
      <c r="F14" s="16"/>
    </row>
    <row r="15" spans="2:24" ht="14.5">
      <c r="B15" s="13"/>
      <c r="C15" s="13"/>
      <c r="D15" s="13"/>
      <c r="E15" s="13"/>
      <c r="F15" s="13"/>
    </row>
    <row r="16" spans="2:24" ht="16.25" customHeight="1">
      <c r="B16" s="158"/>
      <c r="C16" s="158"/>
      <c r="D16" s="158"/>
      <c r="E16" s="158"/>
      <c r="F16" s="158"/>
    </row>
    <row r="17" spans="2:6">
      <c r="B17" s="14"/>
      <c r="C17" s="14"/>
      <c r="D17" s="14"/>
      <c r="E17" s="14"/>
      <c r="F17" s="14"/>
    </row>
    <row r="18" spans="2:6">
      <c r="B18" s="15"/>
      <c r="C18" s="15"/>
      <c r="D18" s="15"/>
      <c r="E18" s="15"/>
      <c r="F18" s="16"/>
    </row>
    <row r="20" spans="2:6">
      <c r="B20" s="6" t="s">
        <v>67</v>
      </c>
    </row>
    <row r="23" spans="2:6">
      <c r="C23" s="18"/>
    </row>
    <row r="24" spans="2:6">
      <c r="C24" s="18"/>
    </row>
    <row r="25" spans="2:6">
      <c r="C25" s="18"/>
    </row>
    <row r="26" spans="2:6">
      <c r="C26" s="18"/>
    </row>
    <row r="27" spans="2:6">
      <c r="C27" s="18"/>
    </row>
    <row r="28" spans="2:6">
      <c r="C28" s="18"/>
    </row>
    <row r="29" spans="2:6">
      <c r="C29" s="18"/>
    </row>
    <row r="30" spans="2:6">
      <c r="C30" s="18"/>
    </row>
    <row r="31" spans="2:6">
      <c r="C31" s="18"/>
    </row>
    <row r="32" spans="2:6">
      <c r="C32" s="18"/>
    </row>
    <row r="35" spans="3:11" ht="15.75" customHeight="1"/>
    <row r="41" spans="3:11" ht="14.5">
      <c r="D41" s="159" t="s">
        <v>77</v>
      </c>
      <c r="E41" s="160"/>
      <c r="F41" s="160"/>
      <c r="G41" s="161"/>
      <c r="H41" s="159" t="s">
        <v>78</v>
      </c>
      <c r="I41" s="160"/>
      <c r="J41" s="160"/>
      <c r="K41" s="161"/>
    </row>
    <row r="42" spans="3:11">
      <c r="D42" s="17" t="s">
        <v>73</v>
      </c>
      <c r="E42" s="17" t="s">
        <v>74</v>
      </c>
      <c r="F42" s="17" t="s">
        <v>75</v>
      </c>
      <c r="G42" s="17" t="s">
        <v>76</v>
      </c>
      <c r="H42" s="17" t="s">
        <v>73</v>
      </c>
      <c r="I42" s="17" t="s">
        <v>74</v>
      </c>
      <c r="J42" s="17" t="s">
        <v>75</v>
      </c>
      <c r="K42" s="17" t="s">
        <v>76</v>
      </c>
    </row>
    <row r="43" spans="3:11" ht="14.5">
      <c r="C43" s="11" t="s">
        <v>101</v>
      </c>
      <c r="D43" s="9">
        <f>COUNTIFS('Security Requirements - Android'!G5:G16,'Security Requirements - Android'!B88)</f>
        <v>0</v>
      </c>
      <c r="E43" s="9">
        <f>COUNTIFS('Security Requirements - Android'!G5:G16,'Security Requirements - Android'!B89)</f>
        <v>0</v>
      </c>
      <c r="F43" s="10">
        <f>COUNTIFS('Security Requirements - Android'!G5:G16,'Security Requirements - Android'!B90)</f>
        <v>7</v>
      </c>
      <c r="G43" s="19">
        <f t="shared" ref="G43:G49" si="0">IF(D43+E43=0, 0, D43/(E43+D43))</f>
        <v>0</v>
      </c>
      <c r="H43" s="9">
        <f>COUNTIFS('Security Requirements - iOS'!G5:G16,'Security Requirements - Android'!B88)</f>
        <v>0</v>
      </c>
      <c r="I43" s="9">
        <f>COUNTIFS('Security Requirements - iOS'!G5:G16,'Security Requirements - Android'!B89)</f>
        <v>0</v>
      </c>
      <c r="J43" s="10">
        <f>COUNTIFS('Security Requirements - iOS'!G5:G16,'Security Requirements - Android'!B90)</f>
        <v>7</v>
      </c>
      <c r="K43" s="19">
        <f t="shared" ref="K43:K49" si="1">IF(H43+I43=0, 0, H43/(H43+I43))</f>
        <v>0</v>
      </c>
    </row>
    <row r="44" spans="3:11" ht="14.5">
      <c r="C44" s="11" t="s">
        <v>102</v>
      </c>
      <c r="D44" s="9">
        <f>COUNTIFS('Security Requirements - Android'!G18:G32,'Security Requirements - Android'!B88)</f>
        <v>0</v>
      </c>
      <c r="E44" s="9">
        <f>COUNTIFS('Security Requirements - Android'!G18:G32,'Security Requirements - Android'!B89)</f>
        <v>0</v>
      </c>
      <c r="F44" s="9">
        <f>COUNTIFS('Security Requirements - Android'!G18:G32,'Security Requirements - Android'!B90)</f>
        <v>8</v>
      </c>
      <c r="G44" s="19">
        <f t="shared" si="0"/>
        <v>0</v>
      </c>
      <c r="H44" s="9">
        <f>COUNTIFS('Security Requirements - iOS'!G18:G32,'Security Requirements - Android'!B88)</f>
        <v>0</v>
      </c>
      <c r="I44" s="9">
        <f>COUNTIFS('Security Requirements - iOS'!G18:G32,'Security Requirements - Android'!B89)</f>
        <v>0</v>
      </c>
      <c r="J44" s="9">
        <f>COUNTIFS('Security Requirements - iOS'!G18:G32,'Security Requirements - Android'!B90)</f>
        <v>8</v>
      </c>
      <c r="K44" s="19">
        <f t="shared" si="1"/>
        <v>0</v>
      </c>
    </row>
    <row r="45" spans="3:11" ht="14.5">
      <c r="C45" s="11" t="s">
        <v>103</v>
      </c>
      <c r="D45" s="9">
        <f>COUNTIFS('Security Requirements - Android'!G34:G39,'Security Requirements - Android'!B88)</f>
        <v>0</v>
      </c>
      <c r="E45" s="9">
        <f>COUNTIFS('Security Requirements - Android'!G34:G39,'Security Requirements - Android'!B89)</f>
        <v>0</v>
      </c>
      <c r="F45" s="9">
        <f>COUNTIFS('Security Requirements - Android'!G34:G39,'Security Requirements - Android'!B90)</f>
        <v>0</v>
      </c>
      <c r="G45" s="19">
        <f t="shared" si="0"/>
        <v>0</v>
      </c>
      <c r="H45" s="9">
        <f>COUNTIFS('Security Requirements - iOS'!G34:G39,'Security Requirements - Android'!B88)</f>
        <v>0</v>
      </c>
      <c r="I45" s="9">
        <f>COUNTIFS('Security Requirements - iOS'!G34:G39,'Security Requirements - Android'!B89)</f>
        <v>0</v>
      </c>
      <c r="J45" s="9">
        <f>COUNTIFS('Security Requirements - iOS'!G34:G39,'Security Requirements - Android'!B90)</f>
        <v>0</v>
      </c>
      <c r="K45" s="19">
        <f t="shared" si="1"/>
        <v>0</v>
      </c>
    </row>
    <row r="46" spans="3:11" ht="14.5">
      <c r="C46" s="11" t="s">
        <v>104</v>
      </c>
      <c r="D46" s="9">
        <f>COUNTIFS('Security Requirements - Android'!G41:G52,'Security Requirements - Android'!B88)</f>
        <v>0</v>
      </c>
      <c r="E46" s="9">
        <f>COUNTIFS('Security Requirements - Android'!G41:G52,'Security Requirements - Android'!B89)</f>
        <v>0</v>
      </c>
      <c r="F46" s="9">
        <f>COUNTIFS('Security Requirements - Android'!G41:G52,'Security Requirements - Android'!B90)</f>
        <v>4</v>
      </c>
      <c r="G46" s="19">
        <f t="shared" si="0"/>
        <v>0</v>
      </c>
      <c r="H46" s="9">
        <f>COUNTIFS('Security Requirements - iOS'!G41:G52,'Security Requirements - Android'!B88)</f>
        <v>0</v>
      </c>
      <c r="I46" s="9">
        <f>COUNTIFS('Security Requirements - iOS'!G41:G52,'Security Requirements - Android'!B89)</f>
        <v>0</v>
      </c>
      <c r="J46" s="9">
        <f>COUNTIFS('Security Requirements - iOS'!G41:G52,'Security Requirements - Android'!B90)</f>
        <v>4</v>
      </c>
      <c r="K46" s="19">
        <f t="shared" si="1"/>
        <v>0</v>
      </c>
    </row>
    <row r="47" spans="3:11" ht="14.5">
      <c r="C47" s="11" t="s">
        <v>105</v>
      </c>
      <c r="D47" s="9">
        <f>COUNTIFS('Security Requirements - Android'!G54:G59,'Security Requirements - Android'!B88)</f>
        <v>0</v>
      </c>
      <c r="E47" s="9">
        <f>COUNTIFS('Security Requirements - Android'!G54:G59,'Security Requirements - Android'!B89)</f>
        <v>0</v>
      </c>
      <c r="F47" s="9">
        <f>COUNTIFS('Security Requirements - Android'!G54:G59,'Security Requirements - Android'!B90)</f>
        <v>3</v>
      </c>
      <c r="G47" s="19">
        <f t="shared" si="0"/>
        <v>0</v>
      </c>
      <c r="H47" s="9">
        <f>COUNTIFS('Security Requirements - iOS'!G54:G59,'Security Requirements - Android'!B88)</f>
        <v>0</v>
      </c>
      <c r="I47" s="9">
        <f>COUNTIFS('Security Requirements - iOS'!G54:G59,'Security Requirements - Android'!B89)</f>
        <v>0</v>
      </c>
      <c r="J47" s="9">
        <f>COUNTIFS('Security Requirements - iOS'!G54:G59,'Security Requirements - Android'!B90)</f>
        <v>3</v>
      </c>
      <c r="K47" s="19">
        <f t="shared" si="1"/>
        <v>0</v>
      </c>
    </row>
    <row r="48" spans="3:11" ht="14.5">
      <c r="C48" s="11" t="s">
        <v>106</v>
      </c>
      <c r="D48" s="9">
        <f>COUNTIFS('Security Requirements - Android'!G61:G71,'Security Requirements - Android'!B88)</f>
        <v>0</v>
      </c>
      <c r="E48" s="9">
        <f>COUNTIFS('Security Requirements - Android'!G61:G71,'Security Requirements - Android'!B89)</f>
        <v>0</v>
      </c>
      <c r="F48" s="9">
        <f>COUNTIFS('Security Requirements - Android'!G61:G71,'Security Requirements - Android'!B90)</f>
        <v>3</v>
      </c>
      <c r="G48" s="19">
        <f t="shared" si="0"/>
        <v>0</v>
      </c>
      <c r="H48" s="9">
        <f>COUNTIFS('Security Requirements - iOS'!G61:G71,'Security Requirements - Android'!B88)</f>
        <v>0</v>
      </c>
      <c r="I48" s="9">
        <f>COUNTIFS('Security Requirements - iOS'!G61:G71,'Security Requirements - Android'!B89)</f>
        <v>0</v>
      </c>
      <c r="J48" s="9">
        <f>COUNTIFS('Security Requirements - iOS'!G61:G71,'Security Requirements - Android'!B90)</f>
        <v>3</v>
      </c>
      <c r="K48" s="19">
        <f t="shared" si="1"/>
        <v>0</v>
      </c>
    </row>
    <row r="49" spans="3:11" ht="14.5">
      <c r="C49" s="11" t="s">
        <v>107</v>
      </c>
      <c r="D49" s="9">
        <f>COUNTIFS('Security Requirements - Android'!G73:G81,'Security Requirements - Android'!B88)</f>
        <v>0</v>
      </c>
      <c r="E49" s="9">
        <f>COUNTIFS('Security Requirements - Android'!G73:G81,'Security Requirements - Android'!B89)</f>
        <v>0</v>
      </c>
      <c r="F49" s="9">
        <f>COUNTIFS('Security Requirements - Android'!G73:G81,'Security Requirements - Android'!B90)</f>
        <v>0</v>
      </c>
      <c r="G49" s="19">
        <f t="shared" si="0"/>
        <v>0</v>
      </c>
      <c r="H49" s="9">
        <f>COUNTIFS('Security Requirements - iOS'!G73:G81,'Security Requirements - Android'!B88)</f>
        <v>0</v>
      </c>
      <c r="I49" s="9">
        <f>COUNTIFS('Security Requirements - iOS'!G73:G81,'Security Requirements - Android'!B89)</f>
        <v>0</v>
      </c>
      <c r="J49" s="9">
        <f>COUNTIFS('Security Requirements - iOS'!G73:G81,'Security Requirements - Android'!B90)</f>
        <v>0</v>
      </c>
      <c r="K49" s="19">
        <f t="shared" si="1"/>
        <v>0</v>
      </c>
    </row>
    <row r="50" spans="3:11" ht="14.5">
      <c r="C50" s="11" t="s">
        <v>108</v>
      </c>
      <c r="D50" s="9">
        <f>COUNTIFS('Anti-RE - Android'!F5:F20,'Security Requirements - Android'!B88)</f>
        <v>0</v>
      </c>
      <c r="E50" s="9">
        <f>COUNTIFS('Anti-RE - Android'!F5:F20,'Security Requirements - Android'!B89)</f>
        <v>0</v>
      </c>
      <c r="F50" s="9">
        <f>COUNTIFS('Anti-RE - Android'!F5:F20,'Security Requirements - Android'!B90)</f>
        <v>13</v>
      </c>
      <c r="G50" s="19">
        <f>IF(D50+E50=0, 0, D50/(E50+D50))</f>
        <v>0</v>
      </c>
      <c r="H50" s="9">
        <f>COUNTIFS('Anti-RE - iOS'!F5:F20,'Security Requirements - Android'!B88)</f>
        <v>0</v>
      </c>
      <c r="I50" s="9">
        <f>COUNTIFS('Anti-RE - iOS'!F5:F20,'Security Requirements - Android'!B89)</f>
        <v>0</v>
      </c>
      <c r="J50" s="9">
        <f>COUNTIFS('Anti-RE - iOS'!F5:F20,'Security Requirements - Android'!B90)</f>
        <v>13</v>
      </c>
      <c r="K50" s="19">
        <f>IF(H50+I50=0, 0, H50/(H50+I50))</f>
        <v>0</v>
      </c>
    </row>
  </sheetData>
  <mergeCells count="9">
    <mergeCell ref="B12:F12"/>
    <mergeCell ref="B16:F16"/>
    <mergeCell ref="D41:G41"/>
    <mergeCell ref="H41:K41"/>
    <mergeCell ref="B4:F4"/>
    <mergeCell ref="G8:I11"/>
    <mergeCell ref="G6:I6"/>
    <mergeCell ref="V6:X6"/>
    <mergeCell ref="V8:X11"/>
  </mergeCells>
  <phoneticPr fontId="41"/>
  <conditionalFormatting sqref="F14">
    <cfRule type="iconSet" priority="3">
      <iconSet>
        <cfvo type="percent" val="0"/>
        <cfvo type="num" val="0.4"/>
        <cfvo type="num" val="0.8"/>
      </iconSet>
    </cfRule>
  </conditionalFormatting>
  <conditionalFormatting sqref="F14">
    <cfRule type="expression" dxfId="10"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9"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L94"/>
  <sheetViews>
    <sheetView zoomScaleNormal="100" zoomScalePageLayoutView="130" workbookViewId="0"/>
  </sheetViews>
  <sheetFormatPr defaultColWidth="11" defaultRowHeight="14"/>
  <cols>
    <col min="1" max="1" width="1.6640625" style="46" customWidth="1"/>
    <col min="2" max="2" width="8" style="46" customWidth="1"/>
    <col min="3" max="3" width="18.1640625" style="46" customWidth="1"/>
    <col min="4" max="4" width="96.6640625" style="89" customWidth="1"/>
    <col min="5" max="7" width="11" style="46"/>
    <col min="8" max="8" width="101.58203125" style="46" customWidth="1"/>
    <col min="9" max="9" width="83.58203125" style="46" customWidth="1"/>
    <col min="10" max="10" width="71.1640625" style="46" customWidth="1"/>
    <col min="11" max="11" width="30.6640625" style="46" customWidth="1"/>
    <col min="12" max="13" width="10.6640625" style="46" customWidth="1"/>
    <col min="14" max="16384" width="11" style="46"/>
  </cols>
  <sheetData>
    <row r="1" spans="2:11" ht="18.5">
      <c r="B1" s="162" t="s">
        <v>148</v>
      </c>
      <c r="C1" s="162"/>
      <c r="D1" s="163"/>
      <c r="E1" s="163"/>
      <c r="F1" s="163"/>
      <c r="G1" s="163"/>
      <c r="H1" s="163"/>
      <c r="I1" s="163"/>
    </row>
    <row r="2" spans="2:11" ht="15.5">
      <c r="B2" s="47"/>
      <c r="C2" s="47"/>
      <c r="D2" s="48"/>
      <c r="E2" s="47"/>
      <c r="F2" s="47"/>
      <c r="G2" s="47"/>
      <c r="H2" s="47"/>
      <c r="I2" s="47"/>
      <c r="J2" s="47"/>
      <c r="K2" s="47"/>
    </row>
    <row r="3" spans="2:11" ht="14.5">
      <c r="B3" s="49" t="s">
        <v>0</v>
      </c>
      <c r="C3" s="50" t="s">
        <v>221</v>
      </c>
      <c r="D3" s="51" t="s">
        <v>111</v>
      </c>
      <c r="E3" s="52" t="s">
        <v>182</v>
      </c>
      <c r="F3" s="52" t="s">
        <v>183</v>
      </c>
      <c r="G3" s="52" t="s">
        <v>184</v>
      </c>
      <c r="H3" s="165" t="s">
        <v>185</v>
      </c>
      <c r="I3" s="165"/>
      <c r="J3" s="165"/>
      <c r="K3" s="53" t="s">
        <v>186</v>
      </c>
    </row>
    <row r="4" spans="2:11" ht="14.5">
      <c r="B4" s="54" t="s">
        <v>1</v>
      </c>
      <c r="C4" s="55"/>
      <c r="D4" s="56" t="s">
        <v>112</v>
      </c>
      <c r="E4" s="55"/>
      <c r="F4" s="55"/>
      <c r="G4" s="55"/>
      <c r="H4" s="164"/>
      <c r="I4" s="164"/>
      <c r="J4" s="55"/>
      <c r="K4" s="57"/>
    </row>
    <row r="5" spans="2:11" ht="14.5">
      <c r="B5" s="58" t="s">
        <v>2</v>
      </c>
      <c r="C5" s="59" t="s">
        <v>222</v>
      </c>
      <c r="D5" s="60" t="s">
        <v>121</v>
      </c>
      <c r="E5" s="61" t="s">
        <v>3</v>
      </c>
      <c r="F5" s="62" t="s">
        <v>3</v>
      </c>
      <c r="G5" s="91"/>
      <c r="H5" s="63" t="str">
        <f>HYPERLINK(CONCATENATE(
BASE_URL,
"0x04b-Mobile-App-Security-Testing.md#architectural-information"),
"Architectural Information")</f>
        <v>Architectural Information</v>
      </c>
      <c r="I5" s="63" t="str">
        <f>HYPERLINK(CONCATENATE(
BASE_URL,
"0x05h-Testing-Platform-Interaction.md#testing-for-insecure-configuration-of-instant-apps-mstg-arch-1-mstg-arch-7"),
"Testing for insecure Configuration of Instant Apps (MSTG-ARCH-1, MSTG-ARCH-7)")</f>
        <v>Testing for insecure Configuration of Instant Apps (MSTG-ARCH-1, MSTG-ARCH-7)</v>
      </c>
      <c r="J5" s="60"/>
      <c r="K5" s="92"/>
    </row>
    <row r="6" spans="2:11" ht="30" customHeight="1">
      <c r="B6" s="58" t="s">
        <v>211</v>
      </c>
      <c r="C6" s="59" t="s">
        <v>223</v>
      </c>
      <c r="D6" s="60" t="s">
        <v>198</v>
      </c>
      <c r="E6" s="61" t="s">
        <v>3</v>
      </c>
      <c r="F6" s="62" t="s">
        <v>3</v>
      </c>
      <c r="G6" s="91"/>
      <c r="H6" s="63" t="str">
        <f>HYPERLINK(CONCATENATE(
BASE_URL,
"0x04h-Testing-Code-Quality.md#injection-flaws-mstg-arch-2-and-mstg-platform-2"),
"Injection Flaws (MSTG-ARCH-2 and MSTG-PLATFORM-2)")</f>
        <v>Injection Flaws (MSTG-ARCH-2 and MSTG-PLATFORM-2)</v>
      </c>
      <c r="I6" s="64"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65"/>
      <c r="K6" s="92"/>
    </row>
    <row r="7" spans="2:11" ht="30.65" customHeight="1">
      <c r="B7" s="58" t="s">
        <v>212</v>
      </c>
      <c r="C7" s="59" t="s">
        <v>231</v>
      </c>
      <c r="D7" s="60" t="s">
        <v>122</v>
      </c>
      <c r="E7" s="61" t="s">
        <v>3</v>
      </c>
      <c r="F7" s="62" t="s">
        <v>3</v>
      </c>
      <c r="G7" s="91"/>
      <c r="H7" s="63" t="str">
        <f>HYPERLINK(CONCATENATE(
BASE_URL,
"0x04b-Mobile-App-Security-Testing.md#architectural-information"),
"Architectural Information")</f>
        <v>Architectural Information</v>
      </c>
      <c r="I7" s="60"/>
      <c r="J7" s="60"/>
      <c r="K7" s="92"/>
    </row>
    <row r="8" spans="2:11" ht="14.5">
      <c r="B8" s="58" t="s">
        <v>213</v>
      </c>
      <c r="C8" s="59" t="s">
        <v>224</v>
      </c>
      <c r="D8" s="60" t="s">
        <v>123</v>
      </c>
      <c r="E8" s="61" t="s">
        <v>3</v>
      </c>
      <c r="F8" s="62" t="s">
        <v>3</v>
      </c>
      <c r="G8" s="91"/>
      <c r="H8" s="63" t="str">
        <f>HYPERLINK(CONCATENATE(
BASE_URL,
"0x04b-Mobile-App-Security-Testing.md#identifying-sensitive-data"),
"Identifying Sensitive Data")</f>
        <v>Identifying Sensitive Data</v>
      </c>
      <c r="I8" s="60"/>
      <c r="J8" s="60"/>
      <c r="K8" s="92"/>
    </row>
    <row r="9" spans="2:11" ht="29">
      <c r="B9" s="58" t="s">
        <v>214</v>
      </c>
      <c r="C9" s="59" t="s">
        <v>225</v>
      </c>
      <c r="D9" s="60" t="s">
        <v>124</v>
      </c>
      <c r="E9" s="60"/>
      <c r="F9" s="62" t="s">
        <v>3</v>
      </c>
      <c r="G9" s="91" t="s">
        <v>64</v>
      </c>
      <c r="H9" s="63" t="str">
        <f>HYPERLINK(CONCATENATE(
BASE_URL,
"0x04b-Mobile-App-Security-Testing.md#environmental-information"),
"Environmental Information")</f>
        <v>Environmental Information</v>
      </c>
      <c r="I9" s="60"/>
      <c r="J9" s="60"/>
      <c r="K9" s="92"/>
    </row>
    <row r="10" spans="2:11" ht="29">
      <c r="B10" s="58" t="s">
        <v>215</v>
      </c>
      <c r="C10" s="59" t="s">
        <v>226</v>
      </c>
      <c r="D10" s="60" t="s">
        <v>125</v>
      </c>
      <c r="E10" s="60"/>
      <c r="F10" s="62" t="s">
        <v>3</v>
      </c>
      <c r="G10" s="91" t="s">
        <v>64</v>
      </c>
      <c r="H10" s="63" t="str">
        <f>HYPERLINK(CONCATENATE(
BASE_URL,
"0x04b-Mobile-App-Security-Testing.md#mapping-the-application"),
"Mapping the Application")</f>
        <v>Mapping the Application</v>
      </c>
      <c r="I10" s="60"/>
      <c r="J10" s="60"/>
      <c r="K10" s="92"/>
    </row>
    <row r="11" spans="2:11" ht="14.5">
      <c r="B11" s="58" t="s">
        <v>4</v>
      </c>
      <c r="C11" s="59" t="s">
        <v>227</v>
      </c>
      <c r="D11" s="60" t="s">
        <v>304</v>
      </c>
      <c r="E11" s="66"/>
      <c r="F11" s="62" t="s">
        <v>3</v>
      </c>
      <c r="G11" s="91" t="s">
        <v>64</v>
      </c>
      <c r="H11" s="63" t="str">
        <f>HYPERLINK(CONCATENATE(BASE_URL,"0x05h-Testing-Platform-Interaction.md#testing-for-insecure-configuration-of-instant-apps-mstg-arch-1-mstg-arch-7"),"Testing for insecure Configuration of Instant Apps (MSTG-ARCH-1, MSTG-ARCH-7)")</f>
        <v>Testing for insecure Configuration of Instant Apps (MSTG-ARCH-1, MSTG-ARCH-7)</v>
      </c>
      <c r="I11" s="64" t="str">
        <f>HYPERLINK(CONCATENATE(
BASE_URL,
"0x04b-Mobile-App-Security-Testing.md#principles-of-testing"),
"Principles of Testing")</f>
        <v>Principles of Testing</v>
      </c>
      <c r="J11" s="63" t="str">
        <f>HYPERLINK(CONCATENATE(
BASE_URL,
"0x04b-Mobile-App-Security-Testing.md#penetration-testing-aka-pentesting"),
"Penetration Testing (a.k.a. Pentesting)")</f>
        <v>Penetration Testing (a.k.a. Pentesting)</v>
      </c>
      <c r="K11" s="92"/>
    </row>
    <row r="12" spans="2:11" ht="29">
      <c r="B12" s="58" t="s">
        <v>216</v>
      </c>
      <c r="C12" s="59" t="s">
        <v>228</v>
      </c>
      <c r="D12" s="60" t="s">
        <v>305</v>
      </c>
      <c r="E12" s="60"/>
      <c r="F12" s="62" t="s">
        <v>3</v>
      </c>
      <c r="G12" s="91" t="s">
        <v>64</v>
      </c>
      <c r="H12" s="63" t="str">
        <f>HYPERLINK(CONCATENATE(
BASE_URL,
"0x04g-Testing-Cryptography.md#cryptographic-policy"),
"Cryptographic policy")</f>
        <v>Cryptographic policy</v>
      </c>
      <c r="I12" s="60"/>
      <c r="J12" s="60"/>
      <c r="K12" s="92"/>
    </row>
    <row r="13" spans="2:11" ht="14.5">
      <c r="B13" s="58" t="s">
        <v>217</v>
      </c>
      <c r="C13" s="59" t="s">
        <v>229</v>
      </c>
      <c r="D13" s="60" t="s">
        <v>306</v>
      </c>
      <c r="E13" s="60"/>
      <c r="F13" s="62" t="s">
        <v>3</v>
      </c>
      <c r="G13" s="91" t="s">
        <v>64</v>
      </c>
      <c r="H13" s="63" t="str">
        <f>HYPERLINK(CONCATENATE(
BASE_URL,
"0x05h-Testing-Platform-Interaction.md#testing-enforced-updating-mstg-arch-9"),
"Testing enforced updating (MSTG-ARCH-9)")</f>
        <v>Testing enforced updating (MSTG-ARCH-9)</v>
      </c>
      <c r="I13" s="60"/>
      <c r="J13" s="60"/>
      <c r="K13" s="92"/>
    </row>
    <row r="14" spans="2:11" ht="29">
      <c r="B14" s="58" t="s">
        <v>5</v>
      </c>
      <c r="C14" s="59" t="s">
        <v>230</v>
      </c>
      <c r="D14" s="60" t="s">
        <v>307</v>
      </c>
      <c r="E14" s="60"/>
      <c r="F14" s="62" t="s">
        <v>3</v>
      </c>
      <c r="G14" s="91" t="s">
        <v>64</v>
      </c>
      <c r="H14" s="63" t="str">
        <f>HYPERLINK(CONCATENATE(
BASE_URL,
"0x04b-Mobile-App-Security-Testing.md#security-testing-and-the-sdlc"),
"Security Testing and the SDLC")</f>
        <v>Security Testing and the SDLC</v>
      </c>
      <c r="I14" s="60"/>
      <c r="J14" s="60"/>
      <c r="K14" s="92"/>
    </row>
    <row r="15" spans="2:11" ht="14.5">
      <c r="B15" s="58" t="s">
        <v>300</v>
      </c>
      <c r="C15" s="59" t="s">
        <v>302</v>
      </c>
      <c r="D15" s="60" t="s">
        <v>308</v>
      </c>
      <c r="E15" s="60"/>
      <c r="F15" s="62" t="s">
        <v>3</v>
      </c>
      <c r="G15" s="91" t="s">
        <v>64</v>
      </c>
      <c r="H15" s="63"/>
      <c r="I15" s="60"/>
      <c r="J15" s="60"/>
      <c r="K15" s="92"/>
    </row>
    <row r="16" spans="2:11" ht="14.5">
      <c r="B16" s="58" t="s">
        <v>301</v>
      </c>
      <c r="C16" s="59" t="s">
        <v>303</v>
      </c>
      <c r="D16" s="60" t="s">
        <v>309</v>
      </c>
      <c r="E16" s="61" t="s">
        <v>3</v>
      </c>
      <c r="F16" s="62" t="s">
        <v>3</v>
      </c>
      <c r="G16" s="91"/>
      <c r="H16" s="63"/>
      <c r="I16" s="60"/>
      <c r="J16" s="60"/>
      <c r="K16" s="92"/>
    </row>
    <row r="17" spans="2:11" ht="14.5">
      <c r="B17" s="67" t="s">
        <v>6</v>
      </c>
      <c r="C17" s="68"/>
      <c r="D17" s="69" t="s">
        <v>113</v>
      </c>
      <c r="E17" s="70"/>
      <c r="F17" s="68"/>
      <c r="G17" s="70"/>
      <c r="H17" s="70"/>
      <c r="I17" s="70"/>
      <c r="J17" s="70"/>
      <c r="K17" s="71"/>
    </row>
    <row r="18" spans="2:11" ht="29">
      <c r="B18" s="72" t="s">
        <v>7</v>
      </c>
      <c r="C18" s="73" t="s">
        <v>232</v>
      </c>
      <c r="D18" s="60" t="s">
        <v>316</v>
      </c>
      <c r="E18" s="61" t="s">
        <v>3</v>
      </c>
      <c r="F18" s="62" t="s">
        <v>3</v>
      </c>
      <c r="G18" s="91"/>
      <c r="H18" s="74" t="str">
        <f>HYPERLINK(CONCATENATE(BASE_URL,"0x05d-Testing-Data-Storage.md#testing-local-storage-for-sensitive-data-mstg-storage-1-and-mstg-storage-2"),"Testing Local Storage for Sensitive Data (MSTG-STORAGE-1 and MSTG-STORAGE-2)")</f>
        <v>Testing Local Storage for Sensitive Data (MSTG-STORAGE-1 and MSTG-STORAGE-2)</v>
      </c>
      <c r="I18" s="75" t="str">
        <f>HYPERLINK(CONCATENATE(BASE_URL,"0x05e-Testing-Cryptography.md#testing-key-management-mstg-storage-1-mstg-crypto-1-and-mstg-crypto-5"),"Testing Key Management (MSTG-STORAGE-1, MSTG-CRYPTO-1 and MSTG-CRYPTO-5)")</f>
        <v>Testing Key Management (MSTG-STORAGE-1, MSTG-CRYPTO-1 and MSTG-CRYPTO-5)</v>
      </c>
      <c r="J18" s="60"/>
      <c r="K18" s="92"/>
    </row>
    <row r="19" spans="2:11" ht="29">
      <c r="B19" s="72" t="s">
        <v>39</v>
      </c>
      <c r="C19" s="73" t="s">
        <v>233</v>
      </c>
      <c r="D19" s="60" t="s">
        <v>199</v>
      </c>
      <c r="E19" s="61" t="s">
        <v>3</v>
      </c>
      <c r="F19" s="62" t="s">
        <v>3</v>
      </c>
      <c r="G19" s="91"/>
      <c r="H19" s="64" t="str">
        <f>HYPERLINK(CONCATENATE(BASE_URL,"0x05d-Testing-Data-Storage.md#testing-local-storage-for-sensitive-data-mstg-storage-1-and-mstg-storage-2"),"Testing Local Storage for Sensitive Data (MSTG-STORAGE-1 and MSTG-STORAGE-2)")</f>
        <v>Testing Local Storage for Sensitive Data (MSTG-STORAGE-1 and MSTG-STORAGE-2)</v>
      </c>
      <c r="I19" s="60"/>
      <c r="J19" s="60"/>
      <c r="K19" s="92"/>
    </row>
    <row r="20" spans="2:11" ht="14.5">
      <c r="B20" s="72" t="s">
        <v>40</v>
      </c>
      <c r="C20" s="73" t="s">
        <v>234</v>
      </c>
      <c r="D20" s="60" t="s">
        <v>317</v>
      </c>
      <c r="E20" s="61" t="s">
        <v>3</v>
      </c>
      <c r="F20" s="62" t="s">
        <v>3</v>
      </c>
      <c r="G20" s="91"/>
      <c r="H20" s="75" t="str">
        <f>HYPERLINK(CONCATENATE(BASE_URL,"0x05d-Testing-Data-Storage.md#testing-logs-for-sensitive-data-mstg-storage-3"),"Testing Logs for Sensitive Data (MSTG-STORAGE-3)")</f>
        <v>Testing Logs for Sensitive Data (MSTG-STORAGE-3)</v>
      </c>
      <c r="I20" s="60"/>
      <c r="J20" s="60"/>
      <c r="K20" s="92"/>
    </row>
    <row r="21" spans="2:11" ht="14.5">
      <c r="B21" s="72" t="s">
        <v>8</v>
      </c>
      <c r="C21" s="73" t="s">
        <v>235</v>
      </c>
      <c r="D21" s="60" t="s">
        <v>126</v>
      </c>
      <c r="E21" s="61" t="s">
        <v>3</v>
      </c>
      <c r="F21" s="62" t="s">
        <v>3</v>
      </c>
      <c r="G21" s="91"/>
      <c r="H21" s="64" t="str">
        <f>HYPERLINK(CONCATENATE(BASE_URL,"0x05d-Testing-Data-Storage.md#determining-whether-sensitive-data-is-sent-to-third-parties-mstg-storage-4"),"Determining Whether Sensitive Data is Sent to Third Parties (MSTG-STORAGE-4)")</f>
        <v>Determining Whether Sensitive Data is Sent to Third Parties (MSTG-STORAGE-4)</v>
      </c>
      <c r="I21" s="60"/>
      <c r="J21" s="60"/>
      <c r="K21" s="92"/>
    </row>
    <row r="22" spans="2:11" ht="14.5">
      <c r="B22" s="72" t="s">
        <v>41</v>
      </c>
      <c r="C22" s="73" t="s">
        <v>236</v>
      </c>
      <c r="D22" s="60" t="s">
        <v>318</v>
      </c>
      <c r="E22" s="61" t="s">
        <v>3</v>
      </c>
      <c r="F22" s="62" t="s">
        <v>3</v>
      </c>
      <c r="G22" s="91"/>
      <c r="H22" s="64" t="str">
        <f>HYPERLINK(CONCATENATE(BASE_URL,"0x05d-Testing-Data-Storage.md#determining-whether-the-keyboard-cache-is-disabled-for-text-input-fields-mstg-storage-5"),"Determining Whether the Keyboard Cache Is Disabled for Text Input Fields (MSTG-STORAGE-5)")</f>
        <v>Determining Whether the Keyboard Cache Is Disabled for Text Input Fields (MSTG-STORAGE-5)</v>
      </c>
      <c r="I22" s="60"/>
      <c r="J22" s="60"/>
      <c r="K22" s="92"/>
    </row>
    <row r="23" spans="2:11" ht="14.5">
      <c r="B23" s="72" t="s">
        <v>9</v>
      </c>
      <c r="C23" s="73" t="s">
        <v>237</v>
      </c>
      <c r="D23" s="60" t="s">
        <v>319</v>
      </c>
      <c r="E23" s="61" t="s">
        <v>3</v>
      </c>
      <c r="F23" s="62" t="s">
        <v>3</v>
      </c>
      <c r="G23" s="91"/>
      <c r="H23" s="64" t="str">
        <f>HYPERLINK(CONCATENATE(BASE_URL,"0x05d-Testing-Data-Storage.md#determining-whether-sensitive-stored-data-has-been-exposed-via-ipc-mechanisms-mstg-storage-6"),"Determining Whether Sensitive Stored Data Has Been Exposed via IPC Mechanisms (MSTG-STORAGE-6)")</f>
        <v>Determining Whether Sensitive Stored Data Has Been Exposed via IPC Mechanisms (MSTG-STORAGE-6)</v>
      </c>
      <c r="I23" s="60"/>
      <c r="J23" s="60"/>
      <c r="K23" s="92"/>
    </row>
    <row r="24" spans="2:11" ht="29">
      <c r="B24" s="72" t="s">
        <v>10</v>
      </c>
      <c r="C24" s="73" t="s">
        <v>238</v>
      </c>
      <c r="D24" s="60" t="s">
        <v>127</v>
      </c>
      <c r="E24" s="61" t="s">
        <v>3</v>
      </c>
      <c r="F24" s="62" t="s">
        <v>3</v>
      </c>
      <c r="G24" s="91"/>
      <c r="H24" s="75" t="str">
        <f>HYPERLINK(CONCATENATE(BASE_URL,"0x05d-Testing-Data-Storage.md#checking-for-sensitive-data-disclosure-through-the-user-interface-mstg-storage-7"),"Checking for Sensitive Data Disclosure Through the User Interface (MSTG-STORAGE-7)")</f>
        <v>Checking for Sensitive Data Disclosure Through the User Interface (MSTG-STORAGE-7)</v>
      </c>
      <c r="I24" s="60"/>
      <c r="J24" s="60"/>
      <c r="K24" s="92"/>
    </row>
    <row r="25" spans="2:11" ht="14.5">
      <c r="B25" s="72" t="s">
        <v>11</v>
      </c>
      <c r="C25" s="73" t="s">
        <v>239</v>
      </c>
      <c r="D25" s="60" t="s">
        <v>320</v>
      </c>
      <c r="E25" s="60"/>
      <c r="F25" s="62" t="s">
        <v>3</v>
      </c>
      <c r="G25" s="91" t="s">
        <v>64</v>
      </c>
      <c r="H25" s="75" t="str">
        <f>HYPERLINK(CONCATENATE(BASE_URL,"0x05d-Testing-Data-Storage.md#testing-backups-for-sensitive-data-mstg-storage-8"),"Testing Backups for Sensitive Data (MSTG-STORAGE-8)")</f>
        <v>Testing Backups for Sensitive Data (MSTG-STORAGE-8)</v>
      </c>
      <c r="I25" s="60"/>
      <c r="J25" s="60"/>
      <c r="K25" s="92"/>
    </row>
    <row r="26" spans="2:11" ht="14.5">
      <c r="B26" s="72" t="s">
        <v>12</v>
      </c>
      <c r="C26" s="73" t="s">
        <v>240</v>
      </c>
      <c r="D26" s="60" t="s">
        <v>321</v>
      </c>
      <c r="E26" s="60"/>
      <c r="F26" s="62" t="s">
        <v>3</v>
      </c>
      <c r="G26" s="91" t="s">
        <v>64</v>
      </c>
      <c r="H26" s="75" t="str">
        <f>HYPERLINK(CONCATENATE(BASE_URL,"0x05d-Testing-Data-Storage.md#finding-sensitive-information-in-auto-generated-screenshots-mstg-storage-9"),"Finding Sensitive Information in Auto-Generated Screenshots (MSTG-STORAGE-9)")</f>
        <v>Finding Sensitive Information in Auto-Generated Screenshots (MSTG-STORAGE-9)</v>
      </c>
      <c r="I26" s="60"/>
      <c r="J26" s="60"/>
      <c r="K26" s="92"/>
    </row>
    <row r="27" spans="2:11" ht="33" customHeight="1">
      <c r="B27" s="72" t="s">
        <v>42</v>
      </c>
      <c r="C27" s="73" t="s">
        <v>241</v>
      </c>
      <c r="D27" s="60" t="s">
        <v>322</v>
      </c>
      <c r="E27" s="60"/>
      <c r="F27" s="62" t="s">
        <v>3</v>
      </c>
      <c r="G27" s="91" t="s">
        <v>64</v>
      </c>
      <c r="H27" s="75" t="str">
        <f>HYPERLINK(CONCATENATE(BASE_URL,"0x05d-Testing-Data-Storage.md#checking-memory-for-sensitive-data-mstg-storage-10"),"Checking Memory for Sensitive Data (MSTG-STORAGE-10)")</f>
        <v>Checking Memory for Sensitive Data (MSTG-STORAGE-10)</v>
      </c>
      <c r="I27" s="60"/>
      <c r="J27" s="60"/>
      <c r="K27" s="92"/>
    </row>
    <row r="28" spans="2:11" ht="29">
      <c r="B28" s="72" t="s">
        <v>43</v>
      </c>
      <c r="C28" s="73" t="s">
        <v>242</v>
      </c>
      <c r="D28" s="60" t="s">
        <v>128</v>
      </c>
      <c r="E28" s="60"/>
      <c r="F28" s="62" t="s">
        <v>3</v>
      </c>
      <c r="G28" s="91" t="s">
        <v>64</v>
      </c>
      <c r="H28" s="75" t="str">
        <f>HYPERLINK(CONCATENATE(BASE_URL,"0x05d-Testing-Data-Storage.md#testing-the-device-access-security-policy-mstg-storage-11"),"Testing the Device-Access-Security Policy (MSTG-STORAGE-11)")</f>
        <v>Testing the Device-Access-Security Policy (MSTG-STORAGE-11)</v>
      </c>
      <c r="I28" s="64" t="str">
        <f>HYPERLINK(CONCATENATE(BASE_URL,"0x05f-Testing-Local-Authentication.md#testing-confirm-credentials-mstg-auth-1-and-mstg-storage-11"),"Testing Confirm Credentials (MSTG-AUTH-1 and MSTG-STORAGE-11)")</f>
        <v>Testing Confirm Credentials (MSTG-AUTH-1 and MSTG-STORAGE-11)</v>
      </c>
      <c r="J28" s="60"/>
      <c r="K28" s="92"/>
    </row>
    <row r="29" spans="2:11" ht="29">
      <c r="B29" s="72" t="s">
        <v>13</v>
      </c>
      <c r="C29" s="73" t="s">
        <v>243</v>
      </c>
      <c r="D29" s="60" t="s">
        <v>200</v>
      </c>
      <c r="E29" s="60"/>
      <c r="F29" s="62" t="s">
        <v>3</v>
      </c>
      <c r="G29" s="91" t="s">
        <v>64</v>
      </c>
      <c r="H29" s="75" t="str">
        <f>HYPERLINK(CONCATENATE(BASE_URL,"0x04i-Testing-user-interaction.md#testing-user-education-mstg-storage-12"),"Testing User Education (MSTG-STORAGE-12)")</f>
        <v>Testing User Education (MSTG-STORAGE-12)</v>
      </c>
      <c r="I29" s="60"/>
      <c r="J29" s="60"/>
      <c r="K29" s="92"/>
    </row>
    <row r="30" spans="2:11" ht="29">
      <c r="B30" s="72" t="s">
        <v>310</v>
      </c>
      <c r="C30" s="73" t="s">
        <v>313</v>
      </c>
      <c r="D30" s="60" t="s">
        <v>323</v>
      </c>
      <c r="E30" s="60"/>
      <c r="F30" s="62" t="s">
        <v>3</v>
      </c>
      <c r="G30" s="91" t="s">
        <v>64</v>
      </c>
      <c r="H30" s="75"/>
      <c r="I30" s="60"/>
      <c r="J30" s="60"/>
      <c r="K30" s="92"/>
    </row>
    <row r="31" spans="2:11" ht="29">
      <c r="B31" s="72" t="s">
        <v>311</v>
      </c>
      <c r="C31" s="73" t="s">
        <v>314</v>
      </c>
      <c r="D31" s="60" t="s">
        <v>324</v>
      </c>
      <c r="E31" s="60"/>
      <c r="F31" s="62" t="s">
        <v>3</v>
      </c>
      <c r="G31" s="91" t="s">
        <v>64</v>
      </c>
      <c r="H31" s="75"/>
      <c r="I31" s="60"/>
      <c r="J31" s="60"/>
      <c r="K31" s="92"/>
    </row>
    <row r="32" spans="2:11" ht="14.5">
      <c r="B32" s="72" t="s">
        <v>312</v>
      </c>
      <c r="C32" s="73" t="s">
        <v>315</v>
      </c>
      <c r="D32" s="60" t="s">
        <v>325</v>
      </c>
      <c r="E32" s="60"/>
      <c r="F32" s="62" t="s">
        <v>3</v>
      </c>
      <c r="G32" s="91" t="s">
        <v>64</v>
      </c>
      <c r="H32" s="75"/>
      <c r="I32" s="60"/>
      <c r="J32" s="60"/>
      <c r="K32" s="92"/>
    </row>
    <row r="33" spans="2:12" ht="14.5">
      <c r="B33" s="67" t="s">
        <v>14</v>
      </c>
      <c r="C33" s="68"/>
      <c r="D33" s="69" t="s">
        <v>114</v>
      </c>
      <c r="E33" s="70"/>
      <c r="F33" s="68"/>
      <c r="G33" s="70"/>
      <c r="H33" s="70"/>
      <c r="I33" s="70"/>
      <c r="J33" s="70"/>
      <c r="K33" s="71"/>
    </row>
    <row r="34" spans="2:12" ht="29">
      <c r="B34" s="72" t="s">
        <v>15</v>
      </c>
      <c r="C34" s="73" t="s">
        <v>244</v>
      </c>
      <c r="D34" s="60" t="s">
        <v>326</v>
      </c>
      <c r="E34" s="61" t="s">
        <v>3</v>
      </c>
      <c r="F34" s="62" t="s">
        <v>3</v>
      </c>
      <c r="G34" s="91"/>
      <c r="H34" s="75" t="str">
        <f>HYPERLINK(CONCATENATE(BASE_URL,"0x05e-Testing-Cryptography.md#testing-key-management-mstg-storage-1-mstg-crypto-1-and-mstg-crypto-5"),"Testing Key Management (MSTG-STORAGE-1, MSTG-CRYPTO-1 and MSTG-CRYPTO-5)")</f>
        <v>Testing Key Management (MSTG-STORAGE-1, MSTG-CRYPTO-1 and MSTG-CRYPTO-5)</v>
      </c>
      <c r="I34" s="75" t="str">
        <f>HYPERLINK(CONCATENATE(BASE_URL,"0x04g-Testing-Cryptography.md#common-configuration-issues-mstg-crypto-1-mstg-crypto-2-and-mstg-crypto-3"),"Common Configuration Issues (MSTG-CRYPTO-1, MSTG-CRYPTO-2 and MSTG-CRYPTO-3)")</f>
        <v>Common Configuration Issues (MSTG-CRYPTO-1, MSTG-CRYPTO-2 and MSTG-CRYPTO-3)</v>
      </c>
      <c r="J34" s="60"/>
      <c r="K34" s="92"/>
    </row>
    <row r="35" spans="2:12" ht="28">
      <c r="B35" s="72" t="s">
        <v>16</v>
      </c>
      <c r="C35" s="73" t="s">
        <v>245</v>
      </c>
      <c r="D35" s="60" t="s">
        <v>129</v>
      </c>
      <c r="E35" s="61" t="s">
        <v>3</v>
      </c>
      <c r="F35" s="62" t="s">
        <v>3</v>
      </c>
      <c r="G35" s="91"/>
      <c r="H35" s="75" t="str">
        <f>HYPERLINK(CONCATENATE(BASE_URL,"0x04g-Testing-Cryptography.md#common-configuration-issues-mstg-crypto-1-mstg-crypto-2-and-mstg-crypto-3"),"Common Configuration Issues (MSTG-CRYPTO-1, MSTG-CRYPTO-2 and MSTG-CRYPTO-3)")</f>
        <v>Common Configuration Issues (MSTG-CRYPTO-1, MSTG-CRYPTO-2 and MSTG-CRYPTO-3)</v>
      </c>
      <c r="I35" s="64"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5" s="60"/>
      <c r="K35" s="92"/>
    </row>
    <row r="36" spans="2:12" ht="29">
      <c r="B36" s="72" t="s">
        <v>17</v>
      </c>
      <c r="C36" s="73" t="s">
        <v>246</v>
      </c>
      <c r="D36" s="60" t="s">
        <v>327</v>
      </c>
      <c r="E36" s="61" t="s">
        <v>3</v>
      </c>
      <c r="F36" s="62" t="s">
        <v>3</v>
      </c>
      <c r="G36" s="91"/>
      <c r="H36" s="64"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I36" s="75" t="str">
        <f>HYPERLINK(CONCATENATE(BASE_URL,"0x04g-Testing-Cryptography.md#common-configuration-issues-mstg-crypto-1-mstg-crypto-2-and-mstg-crypto-3"),"Common Configuration Issues (MSTG-CRYPTO-1, MSTG-CRYPTO-2 and MSTG-CRYPTO-3)")</f>
        <v>Common Configuration Issues (MSTG-CRYPTO-1, MSTG-CRYPTO-2 and MSTG-CRYPTO-3)</v>
      </c>
      <c r="J36" s="60"/>
      <c r="K36" s="92"/>
    </row>
    <row r="37" spans="2:12" ht="29" customHeight="1">
      <c r="B37" s="72" t="s">
        <v>18</v>
      </c>
      <c r="C37" s="73" t="s">
        <v>247</v>
      </c>
      <c r="D37" s="60" t="s">
        <v>328</v>
      </c>
      <c r="E37" s="61" t="s">
        <v>3</v>
      </c>
      <c r="F37" s="62" t="s">
        <v>3</v>
      </c>
      <c r="G37" s="91"/>
      <c r="H37" s="75"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7" s="64"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7" s="60"/>
      <c r="K37" s="92"/>
    </row>
    <row r="38" spans="2:12" ht="14.5">
      <c r="B38" s="72" t="s">
        <v>19</v>
      </c>
      <c r="C38" s="73" t="s">
        <v>248</v>
      </c>
      <c r="D38" s="60" t="s">
        <v>130</v>
      </c>
      <c r="E38" s="61" t="s">
        <v>3</v>
      </c>
      <c r="F38" s="62" t="s">
        <v>3</v>
      </c>
      <c r="G38" s="91"/>
      <c r="H38" s="75" t="str">
        <f>HYPERLINK(CONCATENATE(BASE_URL,"0x05e-Testing-Cryptography.md#testing-key-management-mstg-storage-1-mstg-crypto-1-and-mstg-crypto-5"),"Testing Key Management (MSTG-STORAGE-1, MSTG-CRYPTO-1 and MSTG-CRYPTO-5)")</f>
        <v>Testing Key Management (MSTG-STORAGE-1, MSTG-CRYPTO-1 and MSTG-CRYPTO-5)</v>
      </c>
      <c r="I38" s="60"/>
      <c r="J38" s="60"/>
      <c r="K38" s="92"/>
    </row>
    <row r="39" spans="2:12" ht="14.5">
      <c r="B39" s="72" t="s">
        <v>20</v>
      </c>
      <c r="C39" s="73" t="s">
        <v>249</v>
      </c>
      <c r="D39" s="60" t="s">
        <v>329</v>
      </c>
      <c r="E39" s="61" t="s">
        <v>3</v>
      </c>
      <c r="F39" s="62" t="s">
        <v>3</v>
      </c>
      <c r="G39" s="91"/>
      <c r="H39" s="75" t="str">
        <f>HYPERLINK(CONCATENATE(BASE_URL,"0x05e-Testing-Cryptography.md#testing-random-number-generation-mstg-crypto-6"),"Testing Random Number Generation (MSTG-CRYPTO-6)")</f>
        <v>Testing Random Number Generation (MSTG-CRYPTO-6)</v>
      </c>
      <c r="I39" s="60"/>
      <c r="J39" s="60"/>
      <c r="K39" s="92"/>
    </row>
    <row r="40" spans="2:12" ht="14.5">
      <c r="B40" s="67" t="s">
        <v>21</v>
      </c>
      <c r="C40" s="68"/>
      <c r="D40" s="69" t="s">
        <v>115</v>
      </c>
      <c r="E40" s="70"/>
      <c r="F40" s="68"/>
      <c r="G40" s="70"/>
      <c r="H40" s="70"/>
      <c r="I40" s="70"/>
      <c r="J40" s="70"/>
      <c r="K40" s="71"/>
    </row>
    <row r="41" spans="2:12" ht="29">
      <c r="B41" s="58" t="s">
        <v>22</v>
      </c>
      <c r="C41" s="59" t="s">
        <v>250</v>
      </c>
      <c r="D41" s="60" t="s">
        <v>131</v>
      </c>
      <c r="E41" s="61" t="s">
        <v>3</v>
      </c>
      <c r="F41" s="62" t="s">
        <v>3</v>
      </c>
      <c r="G41" s="91"/>
      <c r="H41" s="75" t="str">
        <f>HYPERLINK(CONCATENATE(BASE_URL,"0x05f-Testing-Local-Authentication.md#testing-confirm-credentials-mstg-auth-1-and-mstg-storage-11"),"Testing Confirm Credentials (MSTG-AUTH-1 and MSTG-STORAGE-11)")</f>
        <v>Testing Confirm Credentials (MSTG-AUTH-1 and MSTG-STORAGE-11)</v>
      </c>
      <c r="I41" s="64"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41" s="64" t="str">
        <f>HYPERLINK(CONCATENATE(BASE_URL,"0x04e-Testing-Authentication-and-Session-Management.md#testing-oauth-20-flows-mstg-auth-1-and-mstg-auth-3"),"Testing OAuth 2.0 Flows (MSTG-AUTH-1 and MSTG-AUTH-3)")</f>
        <v>Testing OAuth 2.0 Flows (MSTG-AUTH-1 and MSTG-AUTH-3)</v>
      </c>
      <c r="K41" s="92"/>
    </row>
    <row r="42" spans="2:12" ht="29">
      <c r="B42" s="58" t="s">
        <v>44</v>
      </c>
      <c r="C42" s="59" t="s">
        <v>251</v>
      </c>
      <c r="D42" s="60" t="s">
        <v>132</v>
      </c>
      <c r="E42" s="61" t="s">
        <v>3</v>
      </c>
      <c r="F42" s="62" t="s">
        <v>3</v>
      </c>
      <c r="G42" s="91"/>
      <c r="H42" s="75" t="str">
        <f>HYPERLINK(CONCATENATE(BASE_URL,"0x04e-Testing-Authentication-and-Session-Management.md#testing-stateful-session-management-mstg-auth-2"),"Testing Stateful Session Management (MSTG-AUTH-2)")</f>
        <v>Testing Stateful Session Management (MSTG-AUTH-2)</v>
      </c>
      <c r="I42" s="60"/>
      <c r="J42" s="60"/>
      <c r="K42" s="92"/>
    </row>
    <row r="43" spans="2:12" ht="29">
      <c r="B43" s="58" t="s">
        <v>45</v>
      </c>
      <c r="C43" s="59" t="s">
        <v>252</v>
      </c>
      <c r="D43" s="60" t="s">
        <v>133</v>
      </c>
      <c r="E43" s="61" t="s">
        <v>3</v>
      </c>
      <c r="F43" s="62" t="s">
        <v>3</v>
      </c>
      <c r="G43" s="91"/>
      <c r="H43" s="64" t="str">
        <f>HYPERLINK(CONCATENATE(BASE_URL,"0x04e-Testing-Authentication-and-Session-Management.md#testing-stateless-token-based-authentication-mstg-auth-3"),"Testing Stateless (Token-Based) Authentication (MSTG-AUTH-3)")</f>
        <v>Testing Stateless (Token-Based) Authentication (MSTG-AUTH-3)</v>
      </c>
      <c r="I43" s="64" t="str">
        <f>HYPERLINK(CONCATENATE(BASE_URL,"0x04e-Testing-Authentication-and-Session-Management.md#testing-oauth-20-flows-mstg-auth-1-and-mstg-auth-3"),"Testing OAuth 2.0 Flows (MSTG-AUTH-1 and MSTG-AUTH-3)")</f>
        <v>Testing OAuth 2.0 Flows (MSTG-AUTH-1 and MSTG-AUTH-3)</v>
      </c>
      <c r="J43" s="60"/>
      <c r="K43" s="92"/>
      <c r="L43" s="76"/>
    </row>
    <row r="44" spans="2:12" ht="14.5">
      <c r="B44" s="58" t="s">
        <v>23</v>
      </c>
      <c r="C44" s="59" t="s">
        <v>253</v>
      </c>
      <c r="D44" s="60" t="s">
        <v>134</v>
      </c>
      <c r="E44" s="61"/>
      <c r="F44" s="62"/>
      <c r="G44" s="91"/>
      <c r="H44" s="75" t="str">
        <f>HYPERLINK(CONCATENATE(BASE_URL,"0x04e-Testing-Authentication-and-Session-Management.md#testing-user-logout-mstg-auth-4"),"Testing User Logout (MSTG-AUTH-4)")</f>
        <v>Testing User Logout (MSTG-AUTH-4)</v>
      </c>
      <c r="I44" s="60"/>
      <c r="J44" s="60"/>
      <c r="K44" s="92"/>
      <c r="L44" s="76"/>
    </row>
    <row r="45" spans="2:12" ht="14.5">
      <c r="B45" s="58" t="s">
        <v>24</v>
      </c>
      <c r="C45" s="59" t="s">
        <v>254</v>
      </c>
      <c r="D45" s="60" t="s">
        <v>135</v>
      </c>
      <c r="E45" s="61" t="s">
        <v>3</v>
      </c>
      <c r="F45" s="62" t="s">
        <v>3</v>
      </c>
      <c r="G45" s="91"/>
      <c r="H45" s="75" t="str">
        <f>HYPERLINK(CONCATENATE(BASE_URL,"0x04e-Testing-Authentication-and-Session-Management.md#testing-best-practices-for-passwords-mstg-auth-5-and-mstg-auth-6"),"Testing Best Practices for Passwords (MSTG-AUTH-5 and MSTG-AUTH-6)")</f>
        <v>Testing Best Practices for Passwords (MSTG-AUTH-5 and MSTG-AUTH-6)</v>
      </c>
      <c r="I45" s="60"/>
      <c r="J45" s="60"/>
      <c r="K45" s="92"/>
    </row>
    <row r="46" spans="2:12" ht="32" customHeight="1">
      <c r="B46" s="58" t="s">
        <v>46</v>
      </c>
      <c r="C46" s="59" t="s">
        <v>255</v>
      </c>
      <c r="D46" s="60" t="s">
        <v>136</v>
      </c>
      <c r="E46" s="61" t="s">
        <v>3</v>
      </c>
      <c r="F46" s="62" t="s">
        <v>3</v>
      </c>
      <c r="G46" s="91"/>
      <c r="H46" s="75" t="str">
        <f>HYPERLINK(CONCATENATE(BASE_URL,"0x04e-Testing-Authentication-and-Session-Management.md#testing-best-practices-for-passwords-mstg-auth-5-and-mstg-auth-6"),"Testing Best Practices for Passwords (MSTG-AUTH-5 and MSTG-AUTH-6)")</f>
        <v>Testing Best Practices for Passwords (MSTG-AUTH-5 and MSTG-AUTH-6)</v>
      </c>
      <c r="I46" s="64" t="str">
        <f>HYPERLINK(CONCATENATE(BASE_URL,"0x04e-Testing-Authentication-and-Session-Management.md#dynamic-testing-mstg-auth-6"),"Dynamic Testing (MSTG-AUTH-6)")</f>
        <v>Dynamic Testing (MSTG-AUTH-6)</v>
      </c>
      <c r="J46" s="60"/>
      <c r="K46" s="92"/>
    </row>
    <row r="47" spans="2:12" ht="14.5">
      <c r="B47" s="58" t="s">
        <v>47</v>
      </c>
      <c r="C47" s="59" t="s">
        <v>256</v>
      </c>
      <c r="D47" s="60" t="s">
        <v>137</v>
      </c>
      <c r="E47" s="61" t="s">
        <v>3</v>
      </c>
      <c r="F47" s="62" t="s">
        <v>3</v>
      </c>
      <c r="G47" s="91"/>
      <c r="H47" s="75" t="str">
        <f>HYPERLINK(CONCATENATE(BASE_URL,"0x04e-Testing-Authentication-and-Session-Management.md#testing-session-timeout-mstg-auth-7"),"Testing Session Timeout (MSTG-AUTH-7)")</f>
        <v>Testing Session Timeout (MSTG-AUTH-7)</v>
      </c>
      <c r="I47" s="76"/>
      <c r="J47" s="76"/>
      <c r="K47" s="92"/>
    </row>
    <row r="48" spans="2:12" ht="29">
      <c r="B48" s="58" t="s">
        <v>25</v>
      </c>
      <c r="C48" s="59" t="s">
        <v>257</v>
      </c>
      <c r="D48" s="60" t="s">
        <v>332</v>
      </c>
      <c r="E48" s="60"/>
      <c r="F48" s="62" t="s">
        <v>3</v>
      </c>
      <c r="G48" s="91" t="s">
        <v>64</v>
      </c>
      <c r="H48" s="75" t="str">
        <f>HYPERLINK(CONCATENATE(BASE_URL,"0x05f-Testing-Local-Authentication.md#testing-biometric-authentication-mstg-auth-8"),"Testing Biometric Authentication (MSTG-AUTH-8)")</f>
        <v>Testing Biometric Authentication (MSTG-AUTH-8)</v>
      </c>
      <c r="I48" s="60"/>
      <c r="J48" s="60"/>
      <c r="K48" s="92"/>
    </row>
    <row r="49" spans="2:11" ht="14.5">
      <c r="B49" s="58" t="s">
        <v>26</v>
      </c>
      <c r="C49" s="59" t="s">
        <v>258</v>
      </c>
      <c r="D49" s="60" t="s">
        <v>333</v>
      </c>
      <c r="E49" s="60"/>
      <c r="F49" s="62" t="s">
        <v>3</v>
      </c>
      <c r="G49" s="91" t="s">
        <v>64</v>
      </c>
      <c r="H49" s="75"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60"/>
      <c r="J49" s="60"/>
      <c r="K49" s="92"/>
    </row>
    <row r="50" spans="2:11" ht="14.5">
      <c r="B50" s="58" t="s">
        <v>27</v>
      </c>
      <c r="C50" s="59" t="s">
        <v>259</v>
      </c>
      <c r="D50" s="60" t="s">
        <v>334</v>
      </c>
      <c r="E50" s="60"/>
      <c r="F50" s="62" t="s">
        <v>3</v>
      </c>
      <c r="G50" s="91" t="s">
        <v>64</v>
      </c>
      <c r="H50" s="75"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50" s="60"/>
      <c r="J50" s="60"/>
      <c r="K50" s="92"/>
    </row>
    <row r="51" spans="2:11" ht="29">
      <c r="B51" s="58" t="s">
        <v>93</v>
      </c>
      <c r="C51" s="59" t="s">
        <v>260</v>
      </c>
      <c r="D51" s="60" t="s">
        <v>335</v>
      </c>
      <c r="E51" s="60"/>
      <c r="F51" s="62" t="s">
        <v>3</v>
      </c>
      <c r="G51" s="91" t="s">
        <v>64</v>
      </c>
      <c r="H51" s="77" t="str">
        <f>HYPERLINK(CONCATENATE(BASE_URL,"0x04e-Testing-Authentication-and-Session-Management.md#testing-login-activity-and-device-blocking-mstg-auth-11"),"Testing Login Activity and Device Blocking (MSTG-AUTH-11)")</f>
        <v>Testing Login Activity and Device Blocking (MSTG-AUTH-11)</v>
      </c>
      <c r="I51" s="60"/>
      <c r="J51" s="60"/>
      <c r="K51" s="92"/>
    </row>
    <row r="52" spans="2:11" ht="14.5">
      <c r="B52" s="58" t="s">
        <v>330</v>
      </c>
      <c r="C52" s="59" t="s">
        <v>331</v>
      </c>
      <c r="D52" s="60" t="s">
        <v>336</v>
      </c>
      <c r="E52" s="61" t="s">
        <v>3</v>
      </c>
      <c r="F52" s="62" t="s">
        <v>3</v>
      </c>
      <c r="G52" s="91"/>
      <c r="H52" s="77"/>
      <c r="I52" s="60"/>
      <c r="J52" s="60"/>
      <c r="K52" s="92"/>
    </row>
    <row r="53" spans="2:11" ht="14.5">
      <c r="B53" s="67" t="s">
        <v>28</v>
      </c>
      <c r="C53" s="68"/>
      <c r="D53" s="69" t="s">
        <v>116</v>
      </c>
      <c r="E53" s="70"/>
      <c r="F53" s="68"/>
      <c r="G53" s="70"/>
      <c r="H53" s="70"/>
      <c r="I53" s="70"/>
      <c r="J53" s="70"/>
      <c r="K53" s="71"/>
    </row>
    <row r="54" spans="2:11" ht="14.5">
      <c r="B54" s="58" t="s">
        <v>29</v>
      </c>
      <c r="C54" s="59" t="s">
        <v>261</v>
      </c>
      <c r="D54" s="60" t="s">
        <v>138</v>
      </c>
      <c r="E54" s="61" t="s">
        <v>3</v>
      </c>
      <c r="F54" s="62" t="s">
        <v>3</v>
      </c>
      <c r="G54" s="91"/>
      <c r="H54" s="75"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4" s="60"/>
      <c r="J54" s="60"/>
      <c r="K54" s="92"/>
    </row>
    <row r="55" spans="2:11" ht="29">
      <c r="B55" s="58" t="s">
        <v>48</v>
      </c>
      <c r="C55" s="59" t="s">
        <v>262</v>
      </c>
      <c r="D55" s="60" t="s">
        <v>337</v>
      </c>
      <c r="E55" s="61" t="s">
        <v>3</v>
      </c>
      <c r="F55" s="62" t="s">
        <v>3</v>
      </c>
      <c r="G55" s="91"/>
      <c r="H55" s="75"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5" s="60"/>
      <c r="J55" s="60"/>
      <c r="K55" s="92"/>
    </row>
    <row r="56" spans="2:11" ht="29">
      <c r="B56" s="58" t="s">
        <v>30</v>
      </c>
      <c r="C56" s="59" t="s">
        <v>263</v>
      </c>
      <c r="D56" s="60" t="s">
        <v>338</v>
      </c>
      <c r="E56" s="61" t="s">
        <v>3</v>
      </c>
      <c r="F56" s="62" t="s">
        <v>3</v>
      </c>
      <c r="G56" s="91"/>
      <c r="H56" s="75" t="str">
        <f>HYPERLINK(CONCATENATE(BASE_URL,"0x05g-Testing-Network-Communication.md#testing-endpoint-identify-verification-mstg-network-3"),"Testing Endpoint Identify Verification (MSTG-NETWORK-3)")</f>
        <v>Testing Endpoint Identify Verification (MSTG-NETWORK-3)</v>
      </c>
      <c r="I56" s="64"/>
      <c r="J56" s="64"/>
      <c r="K56" s="92"/>
    </row>
    <row r="57" spans="2:11" ht="43.5">
      <c r="B57" s="58" t="s">
        <v>49</v>
      </c>
      <c r="C57" s="59" t="s">
        <v>264</v>
      </c>
      <c r="D57" s="60" t="s">
        <v>339</v>
      </c>
      <c r="E57" s="60"/>
      <c r="F57" s="62" t="s">
        <v>3</v>
      </c>
      <c r="G57" s="91" t="s">
        <v>64</v>
      </c>
      <c r="H57" s="75" t="str">
        <f>HYPERLINK(CONCATENATE(BASE_URL,"0x05g-Testing-Network-Communication.md#testing-custom-certificate-stores-and-certificate-pinning-mstg-network-4"),"Testing Custom Certificate Stores and Certificate Pinning (MSTG-NETWORK-4)")</f>
        <v>Testing Custom Certificate Stores and Certificate Pinning (MSTG-NETWORK-4)</v>
      </c>
      <c r="I57" s="75" t="str">
        <f>HYPERLINK(CONCATENATE(BASE_URL,"0x05g-Testing-Network-Communication.md#testing-the-network-security-configuration-settings-mstg-network-4"),"Testing the Network Security Configuration Settings (MSTG-NETWORK-4)")</f>
        <v>Testing the Network Security Configuration Settings (MSTG-NETWORK-4)</v>
      </c>
      <c r="J57" s="60"/>
      <c r="K57" s="92"/>
    </row>
    <row r="58" spans="2:11" ht="29">
      <c r="B58" s="58" t="s">
        <v>31</v>
      </c>
      <c r="C58" s="59" t="s">
        <v>265</v>
      </c>
      <c r="D58" s="60" t="s">
        <v>340</v>
      </c>
      <c r="E58" s="60"/>
      <c r="F58" s="62" t="s">
        <v>3</v>
      </c>
      <c r="G58" s="91" t="s">
        <v>64</v>
      </c>
      <c r="H58" s="75"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8" s="60"/>
      <c r="J58" s="60"/>
      <c r="K58" s="92"/>
    </row>
    <row r="59" spans="2:11" ht="14.5">
      <c r="B59" s="58" t="s">
        <v>218</v>
      </c>
      <c r="C59" s="59" t="s">
        <v>266</v>
      </c>
      <c r="D59" s="60" t="s">
        <v>139</v>
      </c>
      <c r="E59" s="60"/>
      <c r="F59" s="62" t="s">
        <v>3</v>
      </c>
      <c r="G59" s="91" t="s">
        <v>64</v>
      </c>
      <c r="H59" s="75" t="str">
        <f>HYPERLINK(CONCATENATE(BASE_URL,"0x05g-Testing-Network-Communication.md#testing-the-security-provider-mstg-network-6"),"Testing the Security Provider (MSTG-NETWORK-6)")</f>
        <v>Testing the Security Provider (MSTG-NETWORK-6)</v>
      </c>
      <c r="I59" s="60"/>
      <c r="J59" s="60"/>
      <c r="K59" s="92"/>
    </row>
    <row r="60" spans="2:11" ht="14.5">
      <c r="B60" s="67" t="s">
        <v>32</v>
      </c>
      <c r="C60" s="68"/>
      <c r="D60" s="69" t="s">
        <v>117</v>
      </c>
      <c r="E60" s="70"/>
      <c r="F60" s="68"/>
      <c r="G60" s="70"/>
      <c r="H60" s="70"/>
      <c r="I60" s="70"/>
      <c r="J60" s="70"/>
      <c r="K60" s="71"/>
    </row>
    <row r="61" spans="2:11" ht="14.5">
      <c r="B61" s="58" t="s">
        <v>50</v>
      </c>
      <c r="C61" s="59" t="s">
        <v>267</v>
      </c>
      <c r="D61" s="60" t="s">
        <v>347</v>
      </c>
      <c r="E61" s="61" t="s">
        <v>3</v>
      </c>
      <c r="F61" s="62" t="s">
        <v>3</v>
      </c>
      <c r="G61" s="91"/>
      <c r="H61" s="75" t="str">
        <f>HYPERLINK(CONCATENATE(BASE_URL,"0x05h-Testing-Platform-Interaction.md#testing-app-permissions-mstg-platform-1"),"Testing App Permissions (MSTG-PLATFORM-1)")</f>
        <v>Testing App Permissions (MSTG-PLATFORM-1)</v>
      </c>
      <c r="I61" s="60"/>
      <c r="J61" s="60"/>
      <c r="K61" s="92"/>
    </row>
    <row r="62" spans="2:11" ht="29">
      <c r="B62" s="58" t="s">
        <v>51</v>
      </c>
      <c r="C62" s="59" t="s">
        <v>268</v>
      </c>
      <c r="D62" s="60" t="s">
        <v>348</v>
      </c>
      <c r="E62" s="61" t="s">
        <v>3</v>
      </c>
      <c r="F62" s="62" t="s">
        <v>3</v>
      </c>
      <c r="G62" s="91"/>
      <c r="H62" s="75" t="str">
        <f>HYPERLINK(CONCATENATE(BASE_URL,"0x04h-Testing-Code-Quality.md#testing-for-injection-flaws-mstg-platform-2"),"Testing for Injection Flaws (MSTG-PLATFORM-2)")</f>
        <v>Testing for Injection Flaws (MSTG-PLATFORM-2)</v>
      </c>
      <c r="I62" s="75" t="str">
        <f>HYPERLINK(CONCATENATE(BASE_URL,"0x04h-Testing-Code-Quality.md#testing-for-fragment-injection-mstg-platform-2"),"Testing for Fragment Injection (MSTG-PLATFORM-2)")</f>
        <v>Testing for Fragment Injection (MSTG-PLATFORM-2)</v>
      </c>
      <c r="J62" s="60"/>
      <c r="K62" s="92"/>
    </row>
    <row r="63" spans="2:11" ht="29">
      <c r="B63" s="58" t="s">
        <v>52</v>
      </c>
      <c r="C63" s="59" t="s">
        <v>269</v>
      </c>
      <c r="D63" s="60" t="s">
        <v>349</v>
      </c>
      <c r="E63" s="61" t="s">
        <v>3</v>
      </c>
      <c r="F63" s="62" t="s">
        <v>3</v>
      </c>
      <c r="G63" s="91"/>
      <c r="H63" s="75" t="str">
        <f>HYPERLINK(CONCATENATE(BASE_URL,"0x05h-Testing-Platform-Interaction.md#testing-custom-url-schemes-mstg-platform-3"),"Testing Custom URL Schemes (MSTG-PLATFORM-3)")</f>
        <v>Testing Custom URL Schemes (MSTG-PLATFORM-3)</v>
      </c>
      <c r="I63" s="60"/>
      <c r="J63" s="60"/>
      <c r="K63" s="92"/>
    </row>
    <row r="64" spans="2:11" ht="29">
      <c r="B64" s="58" t="s">
        <v>53</v>
      </c>
      <c r="C64" s="59" t="s">
        <v>270</v>
      </c>
      <c r="D64" s="60" t="s">
        <v>350</v>
      </c>
      <c r="E64" s="61" t="s">
        <v>3</v>
      </c>
      <c r="F64" s="62" t="s">
        <v>3</v>
      </c>
      <c r="G64" s="91"/>
      <c r="H64" s="75" t="str">
        <f>HYPERLINK(CONCATENATE(BASE_URL,"0x05h-Testing-Platform-Interaction.md#testing-for-sensitive-functionality-exposure-through-ipc-mstg-platform-4"),"Testing for Sensitive Functionality Exposure Through IPC (MSTG-PLATFORM-4)")</f>
        <v>Testing for Sensitive Functionality Exposure Through IPC (MSTG-PLATFORM-4)</v>
      </c>
      <c r="I64" s="60"/>
      <c r="J64" s="60"/>
      <c r="K64" s="92"/>
    </row>
    <row r="65" spans="2:11" ht="14.5">
      <c r="B65" s="58" t="s">
        <v>54</v>
      </c>
      <c r="C65" s="59" t="s">
        <v>271</v>
      </c>
      <c r="D65" s="60" t="s">
        <v>140</v>
      </c>
      <c r="E65" s="61" t="s">
        <v>3</v>
      </c>
      <c r="F65" s="62" t="s">
        <v>3</v>
      </c>
      <c r="G65" s="91"/>
      <c r="H65" s="75" t="str">
        <f>HYPERLINK(CONCATENATE(BASE_URL,"0x05h-Testing-Platform-Interaction.md#testing-javascript-execution-in-webviews-mstg-platform-5"),"Testing JavaScript Execution in WebViews (MSTG-PLATFORM-5)")</f>
        <v>Testing JavaScript Execution in WebViews (MSTG-PLATFORM-5)</v>
      </c>
      <c r="I65" s="60"/>
      <c r="J65" s="60"/>
      <c r="K65" s="92"/>
    </row>
    <row r="66" spans="2:11" ht="29">
      <c r="B66" s="58" t="s">
        <v>55</v>
      </c>
      <c r="C66" s="59" t="s">
        <v>272</v>
      </c>
      <c r="D66" s="60" t="s">
        <v>351</v>
      </c>
      <c r="E66" s="61" t="s">
        <v>3</v>
      </c>
      <c r="F66" s="62" t="s">
        <v>3</v>
      </c>
      <c r="G66" s="91"/>
      <c r="H66" s="75" t="str">
        <f>HYPERLINK(CONCATENATE(BASE_URL,"0x05h-Testing-Platform-Interaction.md#testing-webview-protocol-handlers-mstg-platform-6"),"Testing WebView Protocol Handlers (MSTG-PLATFORM-6)")</f>
        <v>Testing WebView Protocol Handlers (MSTG-PLATFORM-6)</v>
      </c>
      <c r="I66" s="60"/>
      <c r="J66" s="60"/>
      <c r="K66" s="92"/>
    </row>
    <row r="67" spans="2:11" ht="32" customHeight="1">
      <c r="B67" s="58" t="s">
        <v>219</v>
      </c>
      <c r="C67" s="59" t="s">
        <v>273</v>
      </c>
      <c r="D67" s="60" t="s">
        <v>352</v>
      </c>
      <c r="E67" s="61" t="s">
        <v>3</v>
      </c>
      <c r="F67" s="62" t="s">
        <v>3</v>
      </c>
      <c r="G67" s="91"/>
      <c r="H67" s="75" t="str">
        <f>HYPERLINK(CONCATENATE(BASE_URL,"0x05h-Testing-Platform-Interaction.md#determining-whether-java-objects-are-exposed-through-webviews-mstg-platform-7"),"Determining Whether Java Objects Are Exposed Through WebViews (MSTG-PLATFORM-7)")</f>
        <v>Determining Whether Java Objects Are Exposed Through WebViews (MSTG-PLATFORM-7)</v>
      </c>
      <c r="I67" s="60"/>
      <c r="J67" s="60"/>
      <c r="K67" s="92"/>
    </row>
    <row r="68" spans="2:11" ht="14.5">
      <c r="B68" s="58" t="s">
        <v>220</v>
      </c>
      <c r="C68" s="59" t="s">
        <v>274</v>
      </c>
      <c r="D68" s="60" t="s">
        <v>353</v>
      </c>
      <c r="E68" s="61" t="s">
        <v>3</v>
      </c>
      <c r="F68" s="62" t="s">
        <v>3</v>
      </c>
      <c r="G68" s="91"/>
      <c r="H68" s="75" t="str">
        <f>HYPERLINK(CONCATENATE(BASE_URL,"0x05h-Testing-Platform-Interaction.md#testing-object-persistence-mstg-platform-8"),"Testing Object Persistence (MSTG-PLATFORM-8)")</f>
        <v>Testing Object Persistence (MSTG-PLATFORM-8)</v>
      </c>
      <c r="I68" s="60"/>
      <c r="J68" s="60"/>
      <c r="K68" s="92"/>
    </row>
    <row r="69" spans="2:11" ht="14.5">
      <c r="B69" s="58" t="s">
        <v>341</v>
      </c>
      <c r="C69" s="59" t="s">
        <v>344</v>
      </c>
      <c r="D69" s="60" t="s">
        <v>354</v>
      </c>
      <c r="E69" s="90"/>
      <c r="F69" s="62" t="s">
        <v>3</v>
      </c>
      <c r="G69" s="91" t="s">
        <v>64</v>
      </c>
      <c r="H69" s="75"/>
      <c r="I69" s="60"/>
      <c r="J69" s="60"/>
      <c r="K69" s="92"/>
    </row>
    <row r="70" spans="2:11" ht="29">
      <c r="B70" s="58" t="s">
        <v>342</v>
      </c>
      <c r="C70" s="59" t="s">
        <v>345</v>
      </c>
      <c r="D70" s="60" t="s">
        <v>355</v>
      </c>
      <c r="E70" s="90"/>
      <c r="F70" s="62" t="s">
        <v>3</v>
      </c>
      <c r="G70" s="91" t="s">
        <v>64</v>
      </c>
      <c r="H70" s="75"/>
      <c r="I70" s="60"/>
      <c r="J70" s="60"/>
      <c r="K70" s="92"/>
    </row>
    <row r="71" spans="2:11" ht="14.5">
      <c r="B71" s="58" t="s">
        <v>343</v>
      </c>
      <c r="C71" s="59" t="s">
        <v>346</v>
      </c>
      <c r="D71" s="60" t="s">
        <v>356</v>
      </c>
      <c r="E71" s="90"/>
      <c r="F71" s="62" t="s">
        <v>3</v>
      </c>
      <c r="G71" s="91" t="s">
        <v>64</v>
      </c>
      <c r="H71" s="75"/>
      <c r="I71" s="60"/>
      <c r="J71" s="60"/>
      <c r="K71" s="92"/>
    </row>
    <row r="72" spans="2:11" ht="14.5">
      <c r="B72" s="67" t="s">
        <v>33</v>
      </c>
      <c r="C72" s="68"/>
      <c r="D72" s="69" t="s">
        <v>118</v>
      </c>
      <c r="E72" s="70"/>
      <c r="F72" s="68"/>
      <c r="G72" s="70"/>
      <c r="H72" s="70"/>
      <c r="I72" s="70"/>
      <c r="J72" s="70"/>
      <c r="K72" s="71"/>
    </row>
    <row r="73" spans="2:11" ht="30.65" customHeight="1">
      <c r="B73" s="58" t="s">
        <v>56</v>
      </c>
      <c r="C73" s="59" t="s">
        <v>275</v>
      </c>
      <c r="D73" s="60" t="s">
        <v>357</v>
      </c>
      <c r="E73" s="61" t="s">
        <v>3</v>
      </c>
      <c r="F73" s="62" t="s">
        <v>3</v>
      </c>
      <c r="G73" s="91"/>
      <c r="H73" s="75" t="str">
        <f>HYPERLINK(CONCATENATE(BASE_URL,"0x05i-Testing-Code-Quality-and-Build-Settings.md#making-sure-that-the-app-is-properly-signed-mstg-code-1"),"Making Sure That the App is Properly Signed (MSTG-CODE-1)")</f>
        <v>Making Sure That the App is Properly Signed (MSTG-CODE-1)</v>
      </c>
      <c r="I73" s="60"/>
      <c r="J73" s="60"/>
      <c r="K73" s="92"/>
    </row>
    <row r="74" spans="2:11" ht="30.65" customHeight="1">
      <c r="B74" s="58" t="s">
        <v>34</v>
      </c>
      <c r="C74" s="59" t="s">
        <v>276</v>
      </c>
      <c r="D74" s="60" t="s">
        <v>358</v>
      </c>
      <c r="E74" s="61" t="s">
        <v>3</v>
      </c>
      <c r="F74" s="62" t="s">
        <v>3</v>
      </c>
      <c r="G74" s="91"/>
      <c r="H74" s="75" t="str">
        <f>HYPERLINK(CONCATENATE(BASE_URL,"0x05i-Testing-Code-Quality-and-Build-Settings.md#testing-whether-the-app-is-debuggable-mstg-code-2"),"Testing Whether the App is Debuggable (MSTG-CODE-2)")</f>
        <v>Testing Whether the App is Debuggable (MSTG-CODE-2)</v>
      </c>
      <c r="I74" s="60"/>
      <c r="J74" s="60"/>
      <c r="K74" s="92"/>
    </row>
    <row r="75" spans="2:11" ht="14.5">
      <c r="B75" s="58" t="s">
        <v>57</v>
      </c>
      <c r="C75" s="59" t="s">
        <v>277</v>
      </c>
      <c r="D75" s="60" t="s">
        <v>359</v>
      </c>
      <c r="E75" s="61" t="s">
        <v>3</v>
      </c>
      <c r="F75" s="62" t="s">
        <v>3</v>
      </c>
      <c r="G75" s="91"/>
      <c r="H75" s="75" t="str">
        <f>HYPERLINK(CONCATENATE(BASE_URL,"0x05i-Testing-Code-Quality-and-Build-Settings.md#testing-for-debugging-symbols-mstg-code-3"),"Testing for Debugging Symbols (MSTG-CODE-3)")</f>
        <v>Testing for Debugging Symbols (MSTG-CODE-3)</v>
      </c>
      <c r="I75" s="60"/>
      <c r="J75" s="60"/>
      <c r="K75" s="92"/>
    </row>
    <row r="76" spans="2:11" ht="29">
      <c r="B76" s="58" t="s">
        <v>58</v>
      </c>
      <c r="C76" s="59" t="s">
        <v>278</v>
      </c>
      <c r="D76" s="60" t="s">
        <v>360</v>
      </c>
      <c r="E76" s="61" t="s">
        <v>3</v>
      </c>
      <c r="F76" s="62" t="s">
        <v>3</v>
      </c>
      <c r="G76" s="91"/>
      <c r="H76" s="75" t="str">
        <f>HYPERLINK(CONCATENATE(BASE_URL,"0x05i-Testing-Code-Quality-and-Build-Settings.md#testing-for-debugging-code-and-verbose-error-logging-mstg-code-4"),"Testing for Debugging Code and Verbose Error Logging (MSTG-CODE-4)")</f>
        <v>Testing for Debugging Code and Verbose Error Logging (MSTG-CODE-4)</v>
      </c>
      <c r="I76" s="60"/>
      <c r="J76" s="60"/>
      <c r="K76" s="92"/>
    </row>
    <row r="77" spans="2:11" ht="14.5">
      <c r="B77" s="58" t="s">
        <v>59</v>
      </c>
      <c r="C77" s="59" t="s">
        <v>279</v>
      </c>
      <c r="D77" s="60" t="s">
        <v>361</v>
      </c>
      <c r="E77" s="61" t="s">
        <v>3</v>
      </c>
      <c r="F77" s="62" t="s">
        <v>3</v>
      </c>
      <c r="G77" s="91"/>
      <c r="H77" s="77" t="str">
        <f>HYPERLINK(CONCATENATE(BASE_URL,"0x05i-Testing-Code-Quality-and-Build-Settings.md#checking-for-weaknesses-in-third-party-libraries-mstg-code-5"),"Checking for Weaknesses in Third Party Libraries (MSTG-CODE-5)")</f>
        <v>Checking for Weaknesses in Third Party Libraries (MSTG-CODE-5)</v>
      </c>
      <c r="I77" s="60"/>
      <c r="J77" s="60"/>
      <c r="K77" s="92"/>
    </row>
    <row r="78" spans="2:11" ht="14.5">
      <c r="B78" s="58" t="s">
        <v>35</v>
      </c>
      <c r="C78" s="59" t="s">
        <v>280</v>
      </c>
      <c r="D78" s="60" t="s">
        <v>362</v>
      </c>
      <c r="E78" s="61" t="s">
        <v>3</v>
      </c>
      <c r="F78" s="62" t="s">
        <v>3</v>
      </c>
      <c r="G78" s="91"/>
      <c r="H78" s="75" t="str">
        <f>HYPERLINK(CONCATENATE(BASE_URL,"0x05i-Testing-Code-Quality-and-Build-Settings.md#testing-exception-handling-mstg-code-6-and-mstg-code-7"),"Testing Exception Handling (MSTG-CODE-6 and MSTG-CODE-7)")</f>
        <v>Testing Exception Handling (MSTG-CODE-6 and MSTG-CODE-7)</v>
      </c>
      <c r="I78" s="60"/>
      <c r="J78" s="60"/>
      <c r="K78" s="92"/>
    </row>
    <row r="79" spans="2:11" ht="14.5">
      <c r="B79" s="58" t="s">
        <v>36</v>
      </c>
      <c r="C79" s="59" t="s">
        <v>281</v>
      </c>
      <c r="D79" s="60" t="s">
        <v>141</v>
      </c>
      <c r="E79" s="61" t="s">
        <v>3</v>
      </c>
      <c r="F79" s="62" t="s">
        <v>3</v>
      </c>
      <c r="G79" s="91"/>
      <c r="H79" s="75" t="str">
        <f>HYPERLINK(CONCATENATE(BASE_URL,"0x05i-Testing-Code-Quality-and-Build-Settings.md#testing-exception-handling-mstg-code-6-and-mstg-code-7"),"Testing Exception Handling (MSTG-CODE-6 and MSTG-CODE-7)")</f>
        <v>Testing Exception Handling (MSTG-CODE-6 and MSTG-CODE-7)</v>
      </c>
      <c r="I79" s="60"/>
      <c r="J79" s="60"/>
      <c r="K79" s="92"/>
    </row>
    <row r="80" spans="2:11" ht="14.5">
      <c r="B80" s="58" t="s">
        <v>37</v>
      </c>
      <c r="C80" s="59" t="s">
        <v>282</v>
      </c>
      <c r="D80" s="60" t="s">
        <v>363</v>
      </c>
      <c r="E80" s="61" t="s">
        <v>3</v>
      </c>
      <c r="F80" s="62" t="s">
        <v>3</v>
      </c>
      <c r="G80" s="91"/>
      <c r="H80" s="75" t="str">
        <f>HYPERLINK(CONCATENATE(BASE_URL,"0x04h-Testing-Code-Quality.md#memory-corruption-bugs-mstg-code-8"),"Memory Corruption Bugs (MSTG-CODE-8)")</f>
        <v>Memory Corruption Bugs (MSTG-CODE-8)</v>
      </c>
      <c r="I80" s="60"/>
      <c r="J80" s="60"/>
      <c r="K80" s="92"/>
    </row>
    <row r="81" spans="2:11" ht="29">
      <c r="B81" s="58" t="s">
        <v>95</v>
      </c>
      <c r="C81" s="59" t="s">
        <v>283</v>
      </c>
      <c r="D81" s="60" t="s">
        <v>364</v>
      </c>
      <c r="E81" s="61" t="s">
        <v>3</v>
      </c>
      <c r="F81" s="62" t="s">
        <v>3</v>
      </c>
      <c r="G81" s="91"/>
      <c r="H81" s="75" t="str">
        <f>HYPERLINK(CONCATENATE(BASE_URL,"0x05i-Testing-Code-Quality-and-Build-Settings.md#make-sure-that-free-security-features-are-activated-mstg-code-9"),"Make Sure That Free Security Features Are Activated (MSTG-CODE-9)")</f>
        <v>Make Sure That Free Security Features Are Activated (MSTG-CODE-9)</v>
      </c>
      <c r="I81" s="60"/>
      <c r="J81" s="60"/>
      <c r="K81" s="92"/>
    </row>
    <row r="82" spans="2:11" ht="14.5">
      <c r="B82" s="78"/>
      <c r="C82" s="79"/>
      <c r="D82" s="80"/>
      <c r="E82" s="79"/>
      <c r="F82" s="79"/>
      <c r="G82" s="79"/>
      <c r="H82" s="79"/>
      <c r="I82" s="79"/>
      <c r="J82" s="79"/>
      <c r="K82" s="81"/>
    </row>
    <row r="83" spans="2:11" ht="14.5">
      <c r="B83" s="82"/>
      <c r="C83" s="82"/>
      <c r="D83" s="83"/>
      <c r="E83" s="82"/>
      <c r="F83" s="82"/>
      <c r="G83" s="82"/>
      <c r="H83" s="82"/>
      <c r="I83" s="82"/>
      <c r="J83" s="82"/>
      <c r="K83" s="82"/>
    </row>
    <row r="84" spans="2:11" ht="14.5">
      <c r="B84" s="82"/>
      <c r="C84" s="82"/>
      <c r="D84" s="60"/>
      <c r="E84" s="82"/>
      <c r="F84" s="82"/>
      <c r="G84" s="82"/>
      <c r="H84" s="82"/>
      <c r="I84" s="82"/>
      <c r="J84" s="82"/>
      <c r="K84" s="82"/>
    </row>
    <row r="85" spans="2:11" ht="14.5">
      <c r="B85" s="82"/>
      <c r="C85" s="82"/>
      <c r="D85" s="83"/>
      <c r="E85" s="82"/>
      <c r="F85" s="82"/>
      <c r="G85" s="82"/>
      <c r="H85" s="82"/>
      <c r="I85" s="82"/>
      <c r="J85" s="82"/>
      <c r="K85" s="82"/>
    </row>
    <row r="86" spans="2:11" ht="14.5">
      <c r="B86" s="84" t="s">
        <v>176</v>
      </c>
      <c r="C86" s="84"/>
      <c r="D86" s="83"/>
      <c r="E86" s="82"/>
      <c r="F86" s="82"/>
      <c r="G86" s="82"/>
      <c r="H86" s="82"/>
      <c r="I86" s="82"/>
      <c r="J86" s="82"/>
      <c r="K86" s="82"/>
    </row>
    <row r="87" spans="2:11" ht="14.5">
      <c r="B87" s="85" t="s">
        <v>181</v>
      </c>
      <c r="C87" s="85"/>
      <c r="D87" s="85" t="s">
        <v>177</v>
      </c>
      <c r="E87" s="82"/>
      <c r="F87" s="82"/>
      <c r="G87" s="82"/>
      <c r="H87" s="82"/>
      <c r="I87" s="82"/>
      <c r="J87" s="82"/>
      <c r="K87" s="82"/>
    </row>
    <row r="88" spans="2:11" ht="14.5">
      <c r="B88" s="23" t="s">
        <v>71</v>
      </c>
      <c r="C88" s="39"/>
      <c r="D88" s="28" t="s">
        <v>178</v>
      </c>
      <c r="E88" s="82"/>
      <c r="F88" s="82"/>
      <c r="G88" s="82"/>
      <c r="H88" s="82"/>
      <c r="I88" s="82"/>
      <c r="J88" s="82"/>
      <c r="K88" s="82"/>
    </row>
    <row r="89" spans="2:11" ht="14.5">
      <c r="B89" s="23" t="s">
        <v>72</v>
      </c>
      <c r="C89" s="39"/>
      <c r="D89" s="28" t="s">
        <v>179</v>
      </c>
      <c r="E89" s="82"/>
      <c r="F89" s="82"/>
      <c r="G89" s="82"/>
      <c r="H89" s="82"/>
      <c r="I89" s="82"/>
      <c r="J89" s="82"/>
      <c r="K89" s="82"/>
    </row>
    <row r="90" spans="2:11" ht="14.5">
      <c r="B90" s="23" t="s">
        <v>64</v>
      </c>
      <c r="C90" s="39"/>
      <c r="D90" s="28" t="s">
        <v>180</v>
      </c>
      <c r="E90" s="82"/>
      <c r="F90" s="82"/>
      <c r="G90" s="82"/>
      <c r="H90" s="82"/>
      <c r="I90" s="82"/>
      <c r="J90" s="82"/>
      <c r="K90" s="82"/>
    </row>
    <row r="91" spans="2:11" ht="14.5">
      <c r="B91" s="82"/>
      <c r="C91" s="82"/>
      <c r="D91" s="83"/>
      <c r="E91" s="82"/>
      <c r="F91" s="82"/>
      <c r="G91" s="82"/>
      <c r="H91" s="82"/>
      <c r="I91" s="86"/>
      <c r="J91" s="86"/>
      <c r="K91" s="87"/>
    </row>
    <row r="92" spans="2:11" ht="14.5">
      <c r="B92" s="82"/>
      <c r="C92" s="82"/>
      <c r="D92" s="83"/>
      <c r="E92" s="82"/>
      <c r="F92" s="82"/>
      <c r="G92" s="82"/>
      <c r="H92" s="82"/>
      <c r="I92" s="86"/>
      <c r="J92" s="86"/>
      <c r="K92" s="87"/>
    </row>
    <row r="93" spans="2:11" ht="14.5">
      <c r="B93" s="82"/>
      <c r="C93" s="82"/>
      <c r="D93" s="83"/>
      <c r="E93" s="82"/>
      <c r="F93" s="82"/>
      <c r="G93" s="82"/>
      <c r="H93" s="82"/>
      <c r="I93" s="86"/>
      <c r="J93" s="86"/>
      <c r="K93" s="87"/>
    </row>
    <row r="94" spans="2:11">
      <c r="B94" s="87"/>
      <c r="C94" s="87"/>
      <c r="D94" s="88"/>
      <c r="E94" s="87"/>
      <c r="F94" s="87"/>
      <c r="G94" s="87"/>
      <c r="H94" s="86"/>
      <c r="I94" s="86"/>
      <c r="J94" s="86"/>
      <c r="K94" s="87"/>
    </row>
  </sheetData>
  <mergeCells count="3">
    <mergeCell ref="B1:I1"/>
    <mergeCell ref="H4:I4"/>
    <mergeCell ref="H3:J3"/>
  </mergeCells>
  <phoneticPr fontId="41"/>
  <dataValidations count="2">
    <dataValidation type="list" allowBlank="1" showInputMessage="1" showErrorMessage="1" sqref="G83:G1048576 I83:K1048576" xr:uid="{00000000-0002-0000-0200-000000000000}">
      <formula1>"Yes,No,N/A"</formula1>
    </dataValidation>
    <dataValidation type="list" allowBlank="1" showInputMessage="1" showErrorMessage="1" sqref="G34:G39 G5:G16 G41:G52 G54:G59 G73:G81 G61:G71 G18:G32" xr:uid="{00000000-0002-0000-0200-000001000000}">
      <formula1>"Pass,Fail,N/A"</formula1>
    </dataValidation>
  </dataValidation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31"/>
  <sheetViews>
    <sheetView zoomScaleNormal="100" zoomScalePageLayoutView="130" workbookViewId="0"/>
  </sheetViews>
  <sheetFormatPr defaultColWidth="11" defaultRowHeight="14"/>
  <cols>
    <col min="1" max="1" width="1.6640625" style="46" customWidth="1"/>
    <col min="2" max="2" width="7.1640625" style="46" customWidth="1"/>
    <col min="3" max="3" width="18.6640625" style="46" customWidth="1"/>
    <col min="4" max="4" width="93.1640625" style="46" customWidth="1"/>
    <col min="5" max="6" width="11" style="46"/>
    <col min="7" max="7" width="69.1640625" style="46" customWidth="1"/>
    <col min="8" max="8" width="30.6640625" style="46" customWidth="1"/>
    <col min="9" max="16384" width="11" style="46"/>
  </cols>
  <sheetData>
    <row r="1" spans="2:8" ht="18.5">
      <c r="B1" s="99" t="s">
        <v>147</v>
      </c>
      <c r="C1" s="93"/>
      <c r="D1" s="87"/>
      <c r="E1" s="87"/>
      <c r="F1" s="87"/>
      <c r="G1" s="86"/>
      <c r="H1" s="87"/>
    </row>
    <row r="2" spans="2:8">
      <c r="B2" s="87"/>
      <c r="C2" s="87"/>
      <c r="D2" s="87"/>
      <c r="E2" s="87"/>
      <c r="F2" s="87"/>
      <c r="G2" s="86"/>
      <c r="H2" s="87"/>
    </row>
    <row r="3" spans="2:8" ht="14.5">
      <c r="B3" s="94" t="s">
        <v>120</v>
      </c>
      <c r="C3" s="50" t="s">
        <v>221</v>
      </c>
      <c r="D3" s="51" t="s">
        <v>119</v>
      </c>
      <c r="E3" s="50" t="s">
        <v>38</v>
      </c>
      <c r="F3" s="52" t="s">
        <v>184</v>
      </c>
      <c r="G3" s="96" t="s">
        <v>298</v>
      </c>
      <c r="H3" s="53" t="s">
        <v>186</v>
      </c>
    </row>
    <row r="4" spans="2:8" ht="14.5">
      <c r="B4" s="67"/>
      <c r="C4" s="68"/>
      <c r="D4" s="69" t="s">
        <v>146</v>
      </c>
      <c r="E4" s="70"/>
      <c r="F4" s="70"/>
      <c r="G4" s="70"/>
      <c r="H4" s="71"/>
    </row>
    <row r="5" spans="2:8" ht="29">
      <c r="B5" s="58" t="s">
        <v>201</v>
      </c>
      <c r="C5" s="59" t="s">
        <v>284</v>
      </c>
      <c r="D5" s="60" t="s">
        <v>142</v>
      </c>
      <c r="E5" s="95" t="s">
        <v>3</v>
      </c>
      <c r="F5" s="91" t="s">
        <v>64</v>
      </c>
      <c r="G5" s="75" t="str">
        <f>HYPERLINK(CONCATENATE(BASE_URL,"0x05j-Testing-Resiliency-Against-Reverse-Engineering.md#testing-root-detection-mstg-resilience-1"),"Testing Root Detection (MSTG-RESILIENCE-1)")</f>
        <v>Testing Root Detection (MSTG-RESILIENCE-1)</v>
      </c>
      <c r="H5" s="92"/>
    </row>
    <row r="6" spans="2:8" ht="32" customHeight="1">
      <c r="B6" s="58" t="s">
        <v>202</v>
      </c>
      <c r="C6" s="59" t="s">
        <v>295</v>
      </c>
      <c r="D6" s="60" t="s">
        <v>367</v>
      </c>
      <c r="E6" s="95" t="s">
        <v>3</v>
      </c>
      <c r="F6" s="91" t="s">
        <v>64</v>
      </c>
      <c r="G6" s="64" t="str">
        <f>HYPERLINK(CONCATENATE(BASE_URL,"0x05j-Testing-Resiliency-Against-Reverse-Engineering.md#testing-anti-debugging-detection-mstg-resilience-2"),"Testing Anti-Debugging Detection (MSTG-RESILIENCE-2)")</f>
        <v>Testing Anti-Debugging Detection (MSTG-RESILIENCE-2)</v>
      </c>
      <c r="H6" s="92"/>
    </row>
    <row r="7" spans="2:8" ht="14.5">
      <c r="B7" s="58" t="s">
        <v>203</v>
      </c>
      <c r="C7" s="59" t="s">
        <v>285</v>
      </c>
      <c r="D7" s="60" t="s">
        <v>368</v>
      </c>
      <c r="E7" s="95" t="s">
        <v>3</v>
      </c>
      <c r="F7" s="91" t="s">
        <v>64</v>
      </c>
      <c r="G7" s="75" t="str">
        <f>HYPERLINK(CONCATENATE(BASE_URL,"0x05j-Testing-Resiliency-Against-Reverse-Engineering.md#testing-file-integrity-checks-mstg-resilience-3"),"Testing File Integrity Checks (MSTG-RESILIENCE-3)")</f>
        <v>Testing File Integrity Checks (MSTG-RESILIENCE-3)</v>
      </c>
      <c r="H7" s="92"/>
    </row>
    <row r="8" spans="2:8" ht="14.5">
      <c r="B8" s="58" t="s">
        <v>204</v>
      </c>
      <c r="C8" s="59" t="s">
        <v>286</v>
      </c>
      <c r="D8" s="60" t="s">
        <v>369</v>
      </c>
      <c r="E8" s="95" t="s">
        <v>3</v>
      </c>
      <c r="F8" s="91" t="s">
        <v>64</v>
      </c>
      <c r="G8" s="75" t="str">
        <f>HYPERLINK(CONCATENATE(BASE_URL,"0x05j-Testing-Resiliency-Against-Reverse-Engineering.md#testing-reverse-engineering-tools-detection-mstg-resilience-4"),"Testing Reverse Engineering Tools Detection (MSTG-RESILIENCE-4)")</f>
        <v>Testing Reverse Engineering Tools Detection (MSTG-RESILIENCE-4)</v>
      </c>
      <c r="H8" s="92"/>
    </row>
    <row r="9" spans="2:8" ht="14.5">
      <c r="B9" s="58" t="s">
        <v>205</v>
      </c>
      <c r="C9" s="59" t="s">
        <v>287</v>
      </c>
      <c r="D9" s="60" t="s">
        <v>370</v>
      </c>
      <c r="E9" s="95" t="s">
        <v>3</v>
      </c>
      <c r="F9" s="91" t="s">
        <v>64</v>
      </c>
      <c r="G9" s="75" t="str">
        <f>HYPERLINK(CONCATENATE(BASE_URL,"0x05j-Testing-Resiliency-Against-Reverse-Engineering.md#testing-emulator-detection-mstg-resilience-5"),"Testing Emulator Detection (MSTG-RESILIENCE-5)")</f>
        <v>Testing Emulator Detection (MSTG-RESILIENCE-5)</v>
      </c>
      <c r="H9" s="92"/>
    </row>
    <row r="10" spans="2:8" ht="14.5">
      <c r="B10" s="58" t="s">
        <v>206</v>
      </c>
      <c r="C10" s="59" t="s">
        <v>288</v>
      </c>
      <c r="D10" s="60" t="s">
        <v>143</v>
      </c>
      <c r="E10" s="95" t="s">
        <v>3</v>
      </c>
      <c r="F10" s="91" t="s">
        <v>64</v>
      </c>
      <c r="G10" s="75" t="str">
        <f>HYPERLINK(CONCATENATE(BASE_URL,"0x05j-Testing-Resiliency-Against-Reverse-Engineering.md#testing-run-time-integrity-checks-mstg-resilience-6"),"Testing Run Time Integrity Checks (MSTG-RESILIENCE-6)")</f>
        <v>Testing Run Time Integrity Checks (MSTG-RESILIENCE-6)</v>
      </c>
      <c r="H10" s="92"/>
    </row>
    <row r="11" spans="2:8" ht="29">
      <c r="B11" s="58" t="s">
        <v>207</v>
      </c>
      <c r="C11" s="59" t="s">
        <v>289</v>
      </c>
      <c r="D11" s="60" t="s">
        <v>371</v>
      </c>
      <c r="E11" s="95" t="s">
        <v>3</v>
      </c>
      <c r="F11" s="91" t="s">
        <v>64</v>
      </c>
      <c r="G11" s="97" t="s">
        <v>299</v>
      </c>
      <c r="H11" s="92"/>
    </row>
    <row r="12" spans="2:8" ht="32" customHeight="1">
      <c r="B12" s="58" t="s">
        <v>208</v>
      </c>
      <c r="C12" s="59" t="s">
        <v>290</v>
      </c>
      <c r="D12" s="60" t="s">
        <v>372</v>
      </c>
      <c r="E12" s="95" t="s">
        <v>3</v>
      </c>
      <c r="F12" s="91" t="s">
        <v>64</v>
      </c>
      <c r="G12" s="98" t="s">
        <v>81</v>
      </c>
      <c r="H12" s="92"/>
    </row>
    <row r="13" spans="2:8" ht="14.5">
      <c r="B13" s="58" t="s">
        <v>97</v>
      </c>
      <c r="C13" s="59" t="s">
        <v>291</v>
      </c>
      <c r="D13" s="60" t="s">
        <v>373</v>
      </c>
      <c r="E13" s="95" t="s">
        <v>3</v>
      </c>
      <c r="F13" s="91" t="s">
        <v>64</v>
      </c>
      <c r="G13" s="75" t="str">
        <f>HYPERLINK(CONCATENATE(BASE_URL,"0x05j-Testing-Resiliency-Against-Reverse-Engineering.md#testing-obfuscation-mstg-resilience-9"),"Testing Obfuscation (MSTG-RESILIENCE-9)")</f>
        <v>Testing Obfuscation (MSTG-RESILIENCE-9)</v>
      </c>
      <c r="H13" s="92"/>
    </row>
    <row r="14" spans="2:8" ht="14.5">
      <c r="B14" s="67"/>
      <c r="C14" s="68"/>
      <c r="D14" s="69" t="s">
        <v>144</v>
      </c>
      <c r="E14" s="70"/>
      <c r="F14" s="70"/>
      <c r="G14" s="70"/>
      <c r="H14" s="71"/>
    </row>
    <row r="15" spans="2:8" ht="29">
      <c r="B15" s="58" t="s">
        <v>60</v>
      </c>
      <c r="C15" s="59" t="s">
        <v>292</v>
      </c>
      <c r="D15" s="60" t="s">
        <v>374</v>
      </c>
      <c r="E15" s="95" t="s">
        <v>3</v>
      </c>
      <c r="F15" s="91" t="s">
        <v>64</v>
      </c>
      <c r="G15" s="75" t="str">
        <f>HYPERLINK(CONCATENATE(BASE_URL,"0x05j-Testing-Resiliency-Against-Reverse-Engineering.md#testing-device-binding-mstg-resilience-10"),"Testing Device Binding (MSTG-RESILIENCE-10)")</f>
        <v>Testing Device Binding (MSTG-RESILIENCE-10)</v>
      </c>
      <c r="H15" s="92"/>
    </row>
    <row r="16" spans="2:8" ht="14.5">
      <c r="B16" s="67"/>
      <c r="C16" s="68"/>
      <c r="D16" s="69" t="s">
        <v>145</v>
      </c>
      <c r="E16" s="70"/>
      <c r="F16" s="70"/>
      <c r="G16" s="70"/>
      <c r="H16" s="71"/>
    </row>
    <row r="17" spans="2:8" ht="43.5">
      <c r="B17" s="58" t="s">
        <v>209</v>
      </c>
      <c r="C17" s="59" t="s">
        <v>293</v>
      </c>
      <c r="D17" s="60" t="s">
        <v>375</v>
      </c>
      <c r="E17" s="95" t="s">
        <v>3</v>
      </c>
      <c r="F17" s="91" t="s">
        <v>64</v>
      </c>
      <c r="G17" s="75" t="str">
        <f>HYPERLINK(CONCATENATE(BASE_URL,"0x05j-Testing-Resiliency-Against-Reverse-Engineering.md#testing-obfuscation-mstg-resilience-9"),"Testing Obfuscation (MSTG-RESILIENCE-9)")</f>
        <v>Testing Obfuscation (MSTG-RESILIENCE-9)</v>
      </c>
      <c r="H17" s="92"/>
    </row>
    <row r="18" spans="2:8" ht="58">
      <c r="B18" s="58" t="s">
        <v>210</v>
      </c>
      <c r="C18" s="59" t="s">
        <v>294</v>
      </c>
      <c r="D18" s="60" t="s">
        <v>376</v>
      </c>
      <c r="E18" s="95" t="s">
        <v>3</v>
      </c>
      <c r="F18" s="91" t="s">
        <v>64</v>
      </c>
      <c r="G18" s="98" t="s">
        <v>299</v>
      </c>
      <c r="H18" s="92"/>
    </row>
    <row r="19" spans="2:8" ht="14.5">
      <c r="B19" s="67"/>
      <c r="C19" s="68"/>
      <c r="D19" s="70" t="s">
        <v>378</v>
      </c>
      <c r="E19" s="70"/>
      <c r="F19" s="70"/>
      <c r="G19" s="70"/>
      <c r="H19" s="71"/>
    </row>
    <row r="20" spans="2:8" ht="43.5">
      <c r="B20" s="58" t="s">
        <v>365</v>
      </c>
      <c r="C20" s="59" t="s">
        <v>366</v>
      </c>
      <c r="D20" s="60" t="s">
        <v>377</v>
      </c>
      <c r="E20" s="95" t="s">
        <v>3</v>
      </c>
      <c r="F20" s="91" t="s">
        <v>64</v>
      </c>
      <c r="G20" s="98" t="s">
        <v>299</v>
      </c>
      <c r="H20" s="92"/>
    </row>
    <row r="21" spans="2:8" ht="14.5">
      <c r="B21" s="78"/>
      <c r="C21" s="79"/>
      <c r="D21" s="80"/>
      <c r="E21" s="79"/>
      <c r="F21" s="79"/>
      <c r="G21" s="79"/>
      <c r="H21" s="81"/>
    </row>
    <row r="22" spans="2:8" ht="14.5">
      <c r="B22" s="82"/>
      <c r="C22" s="82"/>
      <c r="D22" s="82"/>
      <c r="E22" s="82"/>
      <c r="F22" s="82"/>
      <c r="G22" s="82"/>
      <c r="H22" s="82"/>
    </row>
    <row r="23" spans="2:8" ht="14.5">
      <c r="B23" s="82"/>
      <c r="C23" s="82"/>
      <c r="D23" s="82"/>
      <c r="E23" s="82"/>
      <c r="F23" s="82"/>
      <c r="G23" s="82"/>
      <c r="H23" s="82"/>
    </row>
    <row r="24" spans="2:8" ht="14.5">
      <c r="B24" s="84" t="s">
        <v>176</v>
      </c>
      <c r="C24" s="84"/>
      <c r="D24" s="83"/>
      <c r="E24" s="82"/>
      <c r="F24" s="82"/>
      <c r="G24" s="82"/>
      <c r="H24" s="82"/>
    </row>
    <row r="25" spans="2:8" ht="14.5">
      <c r="B25" s="85" t="s">
        <v>181</v>
      </c>
      <c r="C25" s="85"/>
      <c r="D25" s="85" t="s">
        <v>177</v>
      </c>
      <c r="E25" s="82"/>
      <c r="F25" s="82"/>
      <c r="G25" s="82"/>
      <c r="H25" s="82"/>
    </row>
    <row r="26" spans="2:8" ht="14.5">
      <c r="B26" s="23" t="s">
        <v>71</v>
      </c>
      <c r="C26" s="39"/>
      <c r="D26" s="28" t="s">
        <v>178</v>
      </c>
      <c r="E26" s="82"/>
      <c r="F26" s="82"/>
      <c r="G26" s="82"/>
      <c r="H26" s="82"/>
    </row>
    <row r="27" spans="2:8" ht="14.5">
      <c r="B27" s="23" t="s">
        <v>72</v>
      </c>
      <c r="C27" s="39"/>
      <c r="D27" s="28" t="s">
        <v>179</v>
      </c>
      <c r="E27" s="82"/>
      <c r="F27" s="82"/>
      <c r="G27" s="82"/>
      <c r="H27" s="82"/>
    </row>
    <row r="28" spans="2:8" ht="14.5">
      <c r="B28" s="23" t="s">
        <v>64</v>
      </c>
      <c r="C28" s="39"/>
      <c r="D28" s="28" t="s">
        <v>180</v>
      </c>
      <c r="E28" s="82"/>
      <c r="F28" s="82"/>
      <c r="G28" s="82"/>
      <c r="H28" s="82"/>
    </row>
    <row r="29" spans="2:8">
      <c r="B29" s="87"/>
      <c r="C29" s="87"/>
      <c r="D29" s="87"/>
      <c r="E29" s="87"/>
      <c r="F29" s="87"/>
      <c r="G29" s="86"/>
      <c r="H29" s="87"/>
    </row>
    <row r="30" spans="2:8">
      <c r="B30" s="87"/>
      <c r="C30" s="87"/>
      <c r="D30" s="87"/>
      <c r="E30" s="87"/>
      <c r="F30" s="87"/>
      <c r="G30" s="86"/>
      <c r="H30" s="87"/>
    </row>
    <row r="31" spans="2:8">
      <c r="B31" s="87"/>
      <c r="C31" s="87"/>
      <c r="D31" s="87"/>
      <c r="E31" s="87"/>
      <c r="F31" s="87"/>
      <c r="G31" s="86"/>
      <c r="H31" s="87"/>
    </row>
  </sheetData>
  <phoneticPr fontId="41"/>
  <dataValidations count="1">
    <dataValidation type="list" allowBlank="1" showInputMessage="1" showErrorMessage="1" sqref="F5:F13 F15 F17:F18 F20" xr:uid="{00000000-0002-0000-0300-000000000000}">
      <formula1>"Pass,Fail,N/A"</formula1>
    </dataValidation>
  </dataValidation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L94"/>
  <sheetViews>
    <sheetView zoomScaleNormal="100" zoomScaleSheetLayoutView="98" zoomScalePageLayoutView="130" workbookViewId="0"/>
  </sheetViews>
  <sheetFormatPr defaultColWidth="11" defaultRowHeight="14"/>
  <cols>
    <col min="1" max="1" width="1.6640625" style="46" customWidth="1"/>
    <col min="2" max="2" width="8" style="46" customWidth="1"/>
    <col min="3" max="3" width="17.1640625" style="46" customWidth="1"/>
    <col min="4" max="4" width="97.1640625" style="46" customWidth="1"/>
    <col min="5" max="7" width="11" style="46"/>
    <col min="8" max="8" width="91.58203125" style="46" customWidth="1"/>
    <col min="9" max="10" width="75.4140625" style="46" customWidth="1"/>
    <col min="11" max="11" width="30.6640625" style="46" customWidth="1"/>
    <col min="12" max="13" width="10.6640625" style="46" customWidth="1"/>
    <col min="14" max="16384" width="11" style="46"/>
  </cols>
  <sheetData>
    <row r="1" spans="2:11" ht="18.5">
      <c r="B1" s="100" t="s">
        <v>149</v>
      </c>
      <c r="C1" s="100"/>
      <c r="D1" s="47"/>
      <c r="E1" s="47"/>
      <c r="F1" s="47"/>
      <c r="G1" s="47"/>
      <c r="H1" s="47"/>
      <c r="I1" s="47"/>
      <c r="J1" s="45"/>
      <c r="K1" s="47"/>
    </row>
    <row r="2" spans="2:11" ht="15.5">
      <c r="B2" s="47"/>
      <c r="C2" s="47"/>
      <c r="D2" s="47"/>
      <c r="E2" s="47"/>
      <c r="F2" s="47"/>
      <c r="G2" s="47"/>
      <c r="H2" s="47"/>
      <c r="I2" s="47"/>
      <c r="J2" s="47"/>
      <c r="K2" s="47"/>
    </row>
    <row r="3" spans="2:11" ht="14.5">
      <c r="B3" s="49" t="s">
        <v>0</v>
      </c>
      <c r="C3" s="50" t="s">
        <v>221</v>
      </c>
      <c r="D3" s="51" t="s">
        <v>111</v>
      </c>
      <c r="E3" s="52" t="s">
        <v>182</v>
      </c>
      <c r="F3" s="52" t="s">
        <v>183</v>
      </c>
      <c r="G3" s="52" t="s">
        <v>184</v>
      </c>
      <c r="H3" s="165" t="s">
        <v>185</v>
      </c>
      <c r="I3" s="165"/>
      <c r="J3" s="165"/>
      <c r="K3" s="53" t="s">
        <v>186</v>
      </c>
    </row>
    <row r="4" spans="2:11" ht="14.5">
      <c r="B4" s="54" t="s">
        <v>1</v>
      </c>
      <c r="C4" s="55"/>
      <c r="D4" s="56" t="s">
        <v>112</v>
      </c>
      <c r="E4" s="55"/>
      <c r="F4" s="55"/>
      <c r="G4" s="55"/>
      <c r="H4" s="164"/>
      <c r="I4" s="164"/>
      <c r="J4" s="55"/>
      <c r="K4" s="57"/>
    </row>
    <row r="5" spans="2:11" ht="14.5">
      <c r="B5" s="58" t="s">
        <v>2</v>
      </c>
      <c r="C5" s="59" t="s">
        <v>222</v>
      </c>
      <c r="D5" s="60" t="s">
        <v>121</v>
      </c>
      <c r="E5" s="61" t="s">
        <v>3</v>
      </c>
      <c r="F5" s="62" t="s">
        <v>3</v>
      </c>
      <c r="G5" s="91"/>
      <c r="H5" s="63" t="str">
        <f>HYPERLINK(CONCATENATE(
BASE_URL,
"0x04b-Mobile-App-Security-Testing.md#architectural-information"),
"Architectural Information")</f>
        <v>Architectural Information</v>
      </c>
      <c r="I5" s="60"/>
      <c r="J5" s="60"/>
      <c r="K5" s="101"/>
    </row>
    <row r="6" spans="2:11" ht="14.5">
      <c r="B6" s="58" t="s">
        <v>211</v>
      </c>
      <c r="C6" s="59" t="s">
        <v>223</v>
      </c>
      <c r="D6" s="60" t="s">
        <v>198</v>
      </c>
      <c r="E6" s="61" t="s">
        <v>3</v>
      </c>
      <c r="F6" s="62" t="s">
        <v>3</v>
      </c>
      <c r="G6" s="91"/>
      <c r="H6" s="63" t="str">
        <f>HYPERLINK(CONCATENATE(
BASE_URL,
"0x04h-Testing-Code-Quality.md#injection-flaws-mstg-arch-2-and-mstg-platform-2"),
"Injection Flaws (MSTG-ARCH-2 and MSTG-PLATFORM-2)")</f>
        <v>Injection Flaws (MSTG-ARCH-2 and MSTG-PLATFORM-2)</v>
      </c>
      <c r="I6" s="75"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65"/>
      <c r="K6" s="101"/>
    </row>
    <row r="7" spans="2:11" ht="14.5">
      <c r="B7" s="58" t="s">
        <v>212</v>
      </c>
      <c r="C7" s="59" t="s">
        <v>231</v>
      </c>
      <c r="D7" s="60" t="s">
        <v>122</v>
      </c>
      <c r="E7" s="61" t="s">
        <v>3</v>
      </c>
      <c r="F7" s="62" t="s">
        <v>3</v>
      </c>
      <c r="G7" s="91"/>
      <c r="H7" s="63" t="str">
        <f>HYPERLINK(CONCATENATE(
BASE_URL,
"0x04b-Mobile-App-Security-Testing.md#architectural-information"),
"Architectural Information")</f>
        <v>Architectural Information</v>
      </c>
      <c r="I7" s="60"/>
      <c r="J7" s="60"/>
      <c r="K7" s="101"/>
    </row>
    <row r="8" spans="2:11" ht="14.5">
      <c r="B8" s="58" t="s">
        <v>213</v>
      </c>
      <c r="C8" s="59" t="s">
        <v>224</v>
      </c>
      <c r="D8" s="60" t="s">
        <v>123</v>
      </c>
      <c r="E8" s="61" t="s">
        <v>3</v>
      </c>
      <c r="F8" s="62" t="s">
        <v>3</v>
      </c>
      <c r="G8" s="91"/>
      <c r="H8" s="63" t="str">
        <f>HYPERLINK(CONCATENATE(
BASE_URL,
"0x04b-Mobile-App-Security-Testing.md#identifying-sensitive-data"),
"Identifying Sensitive Data")</f>
        <v>Identifying Sensitive Data</v>
      </c>
      <c r="I8" s="60"/>
      <c r="J8" s="60"/>
      <c r="K8" s="101"/>
    </row>
    <row r="9" spans="2:11" ht="29">
      <c r="B9" s="58" t="s">
        <v>214</v>
      </c>
      <c r="C9" s="59" t="s">
        <v>225</v>
      </c>
      <c r="D9" s="60" t="s">
        <v>124</v>
      </c>
      <c r="E9" s="60"/>
      <c r="F9" s="62" t="s">
        <v>3</v>
      </c>
      <c r="G9" s="91" t="s">
        <v>64</v>
      </c>
      <c r="H9" s="63" t="str">
        <f>HYPERLINK(CONCATENATE(
BASE_URL,
"0x04b-Mobile-App-Security-Testing.md#environmental-information"),
"Environmental Information")</f>
        <v>Environmental Information</v>
      </c>
      <c r="I9" s="60"/>
      <c r="J9" s="60"/>
      <c r="K9" s="101"/>
    </row>
    <row r="10" spans="2:11" ht="29">
      <c r="B10" s="58" t="s">
        <v>215</v>
      </c>
      <c r="C10" s="59" t="s">
        <v>226</v>
      </c>
      <c r="D10" s="60" t="s">
        <v>125</v>
      </c>
      <c r="E10" s="60"/>
      <c r="F10" s="62" t="s">
        <v>3</v>
      </c>
      <c r="G10" s="91" t="s">
        <v>64</v>
      </c>
      <c r="H10" s="63" t="str">
        <f>HYPERLINK(CONCATENATE(
BASE_URL,
"0x04b-Mobile-App-Security-Testing.md#mapping-the-application"),
"Mapping the Application")</f>
        <v>Mapping the Application</v>
      </c>
      <c r="I10" s="60"/>
      <c r="J10" s="60"/>
      <c r="K10" s="101"/>
    </row>
    <row r="11" spans="2:11" ht="14.5">
      <c r="B11" s="58" t="s">
        <v>4</v>
      </c>
      <c r="C11" s="59" t="s">
        <v>227</v>
      </c>
      <c r="D11" s="60" t="s">
        <v>304</v>
      </c>
      <c r="E11" s="66"/>
      <c r="F11" s="62" t="s">
        <v>3</v>
      </c>
      <c r="G11" s="91" t="s">
        <v>64</v>
      </c>
      <c r="H11" s="63" t="str">
        <f>HYPERLINK(CONCATENATE(
BASE_URL,
"0x04b-Mobile-App-Security-Testing.md#principles-of-testing"),
"Principles of Testing")</f>
        <v>Principles of Testing</v>
      </c>
      <c r="I11" s="64" t="str">
        <f>HYPERLINK(CONCATENATE(
BASE_URL,
"0x04b-Mobile-App-Security-Testing.md#penetration-testing-aka-pentesting"),
"Penetration Testing (a.k.a. Pentesting)")</f>
        <v>Penetration Testing (a.k.a. Pentesting)</v>
      </c>
      <c r="J11" s="64"/>
      <c r="K11" s="101"/>
    </row>
    <row r="12" spans="2:11" ht="29">
      <c r="B12" s="58" t="s">
        <v>216</v>
      </c>
      <c r="C12" s="59" t="s">
        <v>228</v>
      </c>
      <c r="D12" s="60" t="s">
        <v>305</v>
      </c>
      <c r="E12" s="60"/>
      <c r="F12" s="62" t="s">
        <v>3</v>
      </c>
      <c r="G12" s="91" t="s">
        <v>64</v>
      </c>
      <c r="H12" s="63" t="str">
        <f>HYPERLINK(CONCATENATE(
BASE_URL,
"0x04g-Testing-Cryptography.md#cryptographic-policy"),
"Cryptographic policy")</f>
        <v>Cryptographic policy</v>
      </c>
      <c r="I12" s="60"/>
      <c r="J12" s="60"/>
      <c r="K12" s="101"/>
    </row>
    <row r="13" spans="2:11" ht="14.5">
      <c r="B13" s="58" t="s">
        <v>217</v>
      </c>
      <c r="C13" s="59" t="s">
        <v>229</v>
      </c>
      <c r="D13" s="60" t="s">
        <v>306</v>
      </c>
      <c r="E13" s="60"/>
      <c r="F13" s="62" t="s">
        <v>3</v>
      </c>
      <c r="G13" s="91" t="s">
        <v>64</v>
      </c>
      <c r="H13" s="63" t="str">
        <f>HYPERLINK(CONCATENATE(
BASE_URL,
"0x06h-Testing-Platform-Interaction.md#testing-enforced-updating-mstg-arch-9"),
"Testing enforced updating (MSTG-ARCH-9)")</f>
        <v>Testing enforced updating (MSTG-ARCH-9)</v>
      </c>
      <c r="I13" s="60"/>
      <c r="J13" s="60"/>
      <c r="K13" s="101"/>
    </row>
    <row r="14" spans="2:11" ht="29">
      <c r="B14" s="58" t="s">
        <v>5</v>
      </c>
      <c r="C14" s="59" t="s">
        <v>230</v>
      </c>
      <c r="D14" s="60" t="s">
        <v>307</v>
      </c>
      <c r="E14" s="60"/>
      <c r="F14" s="62" t="s">
        <v>3</v>
      </c>
      <c r="G14" s="91" t="s">
        <v>64</v>
      </c>
      <c r="H14" s="63" t="str">
        <f>HYPERLINK(CONCATENATE(
BASE_URL,
"0x04b-Mobile-App-Security-Testing.md#security-testing-and-the-sdlc"),
"Security Testing and the SDLC")</f>
        <v>Security Testing and the SDLC</v>
      </c>
      <c r="I14" s="60"/>
      <c r="J14" s="60"/>
      <c r="K14" s="101"/>
    </row>
    <row r="15" spans="2:11" ht="14.5">
      <c r="B15" s="58" t="s">
        <v>300</v>
      </c>
      <c r="C15" s="59" t="s">
        <v>302</v>
      </c>
      <c r="D15" s="60" t="s">
        <v>308</v>
      </c>
      <c r="E15" s="60"/>
      <c r="F15" s="62" t="s">
        <v>3</v>
      </c>
      <c r="G15" s="91" t="s">
        <v>64</v>
      </c>
      <c r="H15" s="63"/>
      <c r="I15" s="60"/>
      <c r="J15" s="60"/>
      <c r="K15" s="101"/>
    </row>
    <row r="16" spans="2:11" ht="14.5">
      <c r="B16" s="58" t="s">
        <v>301</v>
      </c>
      <c r="C16" s="59" t="s">
        <v>303</v>
      </c>
      <c r="D16" s="60" t="s">
        <v>309</v>
      </c>
      <c r="E16" s="61" t="s">
        <v>3</v>
      </c>
      <c r="F16" s="62" t="s">
        <v>3</v>
      </c>
      <c r="G16" s="91"/>
      <c r="H16" s="63"/>
      <c r="I16" s="60"/>
      <c r="J16" s="60"/>
      <c r="K16" s="101"/>
    </row>
    <row r="17" spans="2:11" ht="14.5">
      <c r="B17" s="67" t="s">
        <v>6</v>
      </c>
      <c r="C17" s="68"/>
      <c r="D17" s="69" t="s">
        <v>113</v>
      </c>
      <c r="E17" s="70"/>
      <c r="F17" s="68"/>
      <c r="G17" s="70"/>
      <c r="H17" s="70"/>
      <c r="I17" s="70"/>
      <c r="J17" s="70"/>
      <c r="K17" s="71"/>
    </row>
    <row r="18" spans="2:11" ht="29">
      <c r="B18" s="72" t="s">
        <v>7</v>
      </c>
      <c r="C18" s="73" t="s">
        <v>232</v>
      </c>
      <c r="D18" s="60" t="s">
        <v>316</v>
      </c>
      <c r="E18" s="61" t="s">
        <v>3</v>
      </c>
      <c r="F18" s="62" t="s">
        <v>3</v>
      </c>
      <c r="G18" s="91"/>
      <c r="H18" s="75" t="str">
        <f>HYPERLINK(CONCATENATE(BASE_URL,"0x06d-Testing-Data-Storage.md#testing-local-data-storage-mstg-storage-1-and-mstg-storage-2"),"Testing Local Data Storage (MSTG-STORAGE-1 and MSTG-STORAGE-2)")</f>
        <v>Testing Local Data Storage (MSTG-STORAGE-1 and MSTG-STORAGE-2)</v>
      </c>
      <c r="I18" s="60"/>
      <c r="J18" s="60"/>
      <c r="K18" s="101"/>
    </row>
    <row r="19" spans="2:11" ht="29">
      <c r="B19" s="72" t="s">
        <v>39</v>
      </c>
      <c r="C19" s="73" t="s">
        <v>233</v>
      </c>
      <c r="D19" s="60" t="s">
        <v>199</v>
      </c>
      <c r="E19" s="61" t="s">
        <v>3</v>
      </c>
      <c r="F19" s="62" t="s">
        <v>3</v>
      </c>
      <c r="G19" s="91"/>
      <c r="H19" s="75" t="str">
        <f>HYPERLINK(CONCATENATE(BASE_URL,"0x06d-Testing-Data-Storage.md#testing-local-data-storage-mstg-storage-1-and-mstg-storage-2"),"Testing Local Data Storage (MSTG-STORAGE-1 and MSTG-STORAGE-2)")</f>
        <v>Testing Local Data Storage (MSTG-STORAGE-1 and MSTG-STORAGE-2)</v>
      </c>
      <c r="I19" s="60"/>
      <c r="J19" s="60"/>
      <c r="K19" s="101"/>
    </row>
    <row r="20" spans="2:11" ht="14.5">
      <c r="B20" s="72" t="s">
        <v>40</v>
      </c>
      <c r="C20" s="73" t="s">
        <v>234</v>
      </c>
      <c r="D20" s="60" t="s">
        <v>317</v>
      </c>
      <c r="E20" s="61" t="s">
        <v>3</v>
      </c>
      <c r="F20" s="62" t="s">
        <v>3</v>
      </c>
      <c r="G20" s="91"/>
      <c r="H20" s="75" t="str">
        <f>HYPERLINK(CONCATENATE(BASE_URL,"0x06d-Testing-Data-Storage.md#checking-logs-for-sensitive-data-mstg-storage-3"),"Checking Logs for Sensitive Data (MSTG-STORAGE-3)")</f>
        <v>Checking Logs for Sensitive Data (MSTG-STORAGE-3)</v>
      </c>
      <c r="I20" s="60"/>
      <c r="J20" s="60"/>
      <c r="K20" s="101"/>
    </row>
    <row r="21" spans="2:11" ht="14.5">
      <c r="B21" s="72" t="s">
        <v>8</v>
      </c>
      <c r="C21" s="73" t="s">
        <v>235</v>
      </c>
      <c r="D21" s="60" t="s">
        <v>126</v>
      </c>
      <c r="E21" s="61" t="s">
        <v>3</v>
      </c>
      <c r="F21" s="62" t="s">
        <v>3</v>
      </c>
      <c r="G21" s="91"/>
      <c r="H21" s="75" t="str">
        <f>HYPERLINK(CONCATENATE(BASE_URL,"0x06d-Testing-Data-Storage.md#determining-whether-sensitive-data-is-sent-to-third-parties-mstg-storage-4"),"Determining Whether Sensitive Data Is Sent to Third Parties (MSTG-STORAGE-4)")</f>
        <v>Determining Whether Sensitive Data Is Sent to Third Parties (MSTG-STORAGE-4)</v>
      </c>
      <c r="I21" s="60"/>
      <c r="J21" s="60"/>
      <c r="K21" s="101"/>
    </row>
    <row r="22" spans="2:11" ht="14.5">
      <c r="B22" s="72" t="s">
        <v>41</v>
      </c>
      <c r="C22" s="73" t="s">
        <v>236</v>
      </c>
      <c r="D22" s="60" t="s">
        <v>318</v>
      </c>
      <c r="E22" s="61" t="s">
        <v>3</v>
      </c>
      <c r="F22" s="62" t="s">
        <v>3</v>
      </c>
      <c r="G22" s="91"/>
      <c r="H22" s="75" t="str">
        <f>HYPERLINK(CONCATENATE(BASE_URL,"0x06d-Testing-Data-Storage.md#finding-sensitive-data-in-the-keyboard-cache-mstg-storage-5"),"Finding Sensitive Data in the Keyboard Cache (MSTG-STORAGE-5)")</f>
        <v>Finding Sensitive Data in the Keyboard Cache (MSTG-STORAGE-5)</v>
      </c>
      <c r="I22" s="60"/>
      <c r="J22" s="60"/>
      <c r="K22" s="101"/>
    </row>
    <row r="23" spans="2:11" ht="14.5">
      <c r="B23" s="72" t="s">
        <v>9</v>
      </c>
      <c r="C23" s="73" t="s">
        <v>237</v>
      </c>
      <c r="D23" s="60" t="s">
        <v>319</v>
      </c>
      <c r="E23" s="61" t="s">
        <v>3</v>
      </c>
      <c r="F23" s="62" t="s">
        <v>3</v>
      </c>
      <c r="G23" s="91"/>
      <c r="H23" s="64" t="str">
        <f>HYPERLINK(CONCATENATE(BASE_URL,"0x06d-Testing-Data-Storage.md#determining-whether-sensitive-data-is-exposed-via-ipc-mechanisms-mstg-storage-6"),"Determining Whether Sensitive Data Is Exposed via IPC Mechanisms (MSTG-STORAGE-6)")</f>
        <v>Determining Whether Sensitive Data Is Exposed via IPC Mechanisms (MSTG-STORAGE-6)</v>
      </c>
      <c r="I23" s="60"/>
      <c r="J23" s="60"/>
      <c r="K23" s="101"/>
    </row>
    <row r="24" spans="2:11" ht="29">
      <c r="B24" s="72" t="s">
        <v>10</v>
      </c>
      <c r="C24" s="73" t="s">
        <v>238</v>
      </c>
      <c r="D24" s="60" t="s">
        <v>127</v>
      </c>
      <c r="E24" s="61" t="s">
        <v>3</v>
      </c>
      <c r="F24" s="62" t="s">
        <v>3</v>
      </c>
      <c r="G24" s="91"/>
      <c r="H24" s="75" t="str">
        <f>HYPERLINK(CONCATENATE(BASE_URL,"0x06d-Testing-Data-Storage.md#checking-for-sensitive-data-disclosed-through-the-user-interface-mstg-storage-7"),"Checking for Sensitive Data Disclosed Through the User Interface (MSTG-STORAGE-7)")</f>
        <v>Checking for Sensitive Data Disclosed Through the User Interface (MSTG-STORAGE-7)</v>
      </c>
      <c r="I24" s="60"/>
      <c r="J24" s="60"/>
      <c r="K24" s="101"/>
    </row>
    <row r="25" spans="2:11" ht="14.5">
      <c r="B25" s="72" t="s">
        <v>11</v>
      </c>
      <c r="C25" s="73" t="s">
        <v>239</v>
      </c>
      <c r="D25" s="60" t="s">
        <v>320</v>
      </c>
      <c r="E25" s="60"/>
      <c r="F25" s="62" t="s">
        <v>3</v>
      </c>
      <c r="G25" s="91" t="s">
        <v>64</v>
      </c>
      <c r="H25" s="75" t="str">
        <f>HYPERLINK(CONCATENATE(BASE_URL,"0x06d-Testing-Data-Storage.md#testing-backups-for-sensitive-data-mstg-storage-8"),"Testing Backups for Sensitive Data (MSTG-STORAGE-8)")</f>
        <v>Testing Backups for Sensitive Data (MSTG-STORAGE-8)</v>
      </c>
      <c r="I25" s="60"/>
      <c r="J25" s="60"/>
      <c r="K25" s="101"/>
    </row>
    <row r="26" spans="2:11" ht="14.5">
      <c r="B26" s="72" t="s">
        <v>12</v>
      </c>
      <c r="C26" s="73" t="s">
        <v>240</v>
      </c>
      <c r="D26" s="60" t="s">
        <v>321</v>
      </c>
      <c r="E26" s="60"/>
      <c r="F26" s="62" t="s">
        <v>3</v>
      </c>
      <c r="G26" s="91" t="s">
        <v>64</v>
      </c>
      <c r="H26" s="75" t="str">
        <f>HYPERLINK(CONCATENATE(BASE_URL,"0x06d-Testing-Data-Storage.md#testing-auto-generated-screenshots-for-sensitive-information-mstg-storage-9"),"Testing Auto-Generated Screenshots for Sensitive Information (MSTG-STORAGE-9)")</f>
        <v>Testing Auto-Generated Screenshots for Sensitive Information (MSTG-STORAGE-9)</v>
      </c>
      <c r="I26" s="60"/>
      <c r="J26" s="60"/>
      <c r="K26" s="101"/>
    </row>
    <row r="27" spans="2:11" ht="14.5">
      <c r="B27" s="72" t="s">
        <v>42</v>
      </c>
      <c r="C27" s="73" t="s">
        <v>241</v>
      </c>
      <c r="D27" s="60" t="s">
        <v>322</v>
      </c>
      <c r="E27" s="60"/>
      <c r="F27" s="62" t="s">
        <v>3</v>
      </c>
      <c r="G27" s="91" t="s">
        <v>64</v>
      </c>
      <c r="H27" s="75" t="str">
        <f>HYPERLINK(CONCATENATE(BASE_URL,"0x06d-Testing-Data-Storage.md#testing-memory-for-sensitive-data-mstg-storage-10"),"Testing Memory for Sensitive Data (MSTG-STORAGE-10)")</f>
        <v>Testing Memory for Sensitive Data (MSTG-STORAGE-10)</v>
      </c>
      <c r="I27" s="60"/>
      <c r="J27" s="60"/>
      <c r="K27" s="101"/>
    </row>
    <row r="28" spans="2:11" ht="29">
      <c r="B28" s="72" t="s">
        <v>43</v>
      </c>
      <c r="C28" s="73" t="s">
        <v>242</v>
      </c>
      <c r="D28" s="60" t="s">
        <v>128</v>
      </c>
      <c r="E28" s="60"/>
      <c r="F28" s="62" t="s">
        <v>3</v>
      </c>
      <c r="G28" s="91" t="s">
        <v>64</v>
      </c>
      <c r="H28" s="75" t="str">
        <f>HYPERLINK(CONCATENATE(BASE_URL,"0x06f-Testing-Local-Authentication.md#testing-local-authentication-mstg-auth-8-and-mstg-storage-11"),"Testing Local Authentication (MSTG-AUTH-8 and MSTG-STORAGE-11)")</f>
        <v>Testing Local Authentication (MSTG-AUTH-8 and MSTG-STORAGE-11)</v>
      </c>
      <c r="I28" s="60"/>
      <c r="J28" s="60"/>
      <c r="K28" s="101"/>
    </row>
    <row r="29" spans="2:11" ht="29">
      <c r="B29" s="72" t="s">
        <v>13</v>
      </c>
      <c r="C29" s="73" t="s">
        <v>243</v>
      </c>
      <c r="D29" s="60" t="s">
        <v>200</v>
      </c>
      <c r="E29" s="60"/>
      <c r="F29" s="62" t="s">
        <v>3</v>
      </c>
      <c r="G29" s="91" t="s">
        <v>64</v>
      </c>
      <c r="H29" s="77" t="str">
        <f>HYPERLINK(CONCATENATE(BASE_URL,"0x04i-Testing-user-interaction.md#testing-user-education-mstg-storage-12"),"Testing User Education (MSTG-STORAGE-12)")</f>
        <v>Testing User Education (MSTG-STORAGE-12)</v>
      </c>
      <c r="I29" s="60"/>
      <c r="J29" s="60"/>
      <c r="K29" s="101"/>
    </row>
    <row r="30" spans="2:11" ht="29">
      <c r="B30" s="72" t="s">
        <v>310</v>
      </c>
      <c r="C30" s="73" t="s">
        <v>313</v>
      </c>
      <c r="D30" s="60" t="s">
        <v>323</v>
      </c>
      <c r="E30" s="60"/>
      <c r="F30" s="62" t="s">
        <v>3</v>
      </c>
      <c r="G30" s="91" t="s">
        <v>64</v>
      </c>
      <c r="H30" s="77"/>
      <c r="I30" s="60"/>
      <c r="J30" s="60"/>
      <c r="K30" s="101"/>
    </row>
    <row r="31" spans="2:11" ht="29">
      <c r="B31" s="72" t="s">
        <v>311</v>
      </c>
      <c r="C31" s="73" t="s">
        <v>314</v>
      </c>
      <c r="D31" s="60" t="s">
        <v>324</v>
      </c>
      <c r="E31" s="60"/>
      <c r="F31" s="62" t="s">
        <v>3</v>
      </c>
      <c r="G31" s="91" t="s">
        <v>64</v>
      </c>
      <c r="H31" s="77"/>
      <c r="I31" s="60"/>
      <c r="J31" s="60"/>
      <c r="K31" s="101"/>
    </row>
    <row r="32" spans="2:11" ht="14.5">
      <c r="B32" s="72" t="s">
        <v>312</v>
      </c>
      <c r="C32" s="73" t="s">
        <v>315</v>
      </c>
      <c r="D32" s="60" t="s">
        <v>325</v>
      </c>
      <c r="E32" s="60"/>
      <c r="F32" s="62" t="s">
        <v>3</v>
      </c>
      <c r="G32" s="91" t="s">
        <v>64</v>
      </c>
      <c r="H32" s="77"/>
      <c r="I32" s="60"/>
      <c r="J32" s="60"/>
      <c r="K32" s="101"/>
    </row>
    <row r="33" spans="2:12" ht="14.5">
      <c r="B33" s="67" t="s">
        <v>14</v>
      </c>
      <c r="C33" s="68"/>
      <c r="D33" s="69" t="s">
        <v>114</v>
      </c>
      <c r="E33" s="70"/>
      <c r="F33" s="68"/>
      <c r="G33" s="70"/>
      <c r="H33" s="70"/>
      <c r="I33" s="70"/>
      <c r="J33" s="70"/>
      <c r="K33" s="71"/>
    </row>
    <row r="34" spans="2:12" ht="29">
      <c r="B34" s="72" t="s">
        <v>15</v>
      </c>
      <c r="C34" s="73" t="s">
        <v>244</v>
      </c>
      <c r="D34" s="60" t="s">
        <v>326</v>
      </c>
      <c r="E34" s="61" t="s">
        <v>3</v>
      </c>
      <c r="F34" s="62" t="s">
        <v>3</v>
      </c>
      <c r="G34" s="91"/>
      <c r="H34" s="75" t="str">
        <f>HYPERLINK(CONCATENATE(BASE_URL,"0x06e-Testing-Cryptography.md#testing-key-management-mstg-crypto-1-and-mstg-crypto-5"),"Testing Key Management (MSTG-CRYPTO-1 and MSTG-CRYPTO-5)")</f>
        <v>Testing Key Management (MSTG-CRYPTO-1 and MSTG-CRYPTO-5)</v>
      </c>
      <c r="I34" s="60"/>
      <c r="J34" s="60"/>
      <c r="K34" s="101"/>
    </row>
    <row r="35" spans="2:12" ht="14.5">
      <c r="B35" s="72" t="s">
        <v>16</v>
      </c>
      <c r="C35" s="73" t="s">
        <v>245</v>
      </c>
      <c r="D35" s="60" t="s">
        <v>129</v>
      </c>
      <c r="E35" s="61" t="s">
        <v>3</v>
      </c>
      <c r="F35" s="62" t="s">
        <v>3</v>
      </c>
      <c r="G35" s="91"/>
      <c r="H35" s="64"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5" s="60"/>
      <c r="J35" s="60"/>
      <c r="K35" s="101"/>
    </row>
    <row r="36" spans="2:12" ht="29">
      <c r="B36" s="72" t="s">
        <v>17</v>
      </c>
      <c r="C36" s="73" t="s">
        <v>246</v>
      </c>
      <c r="D36" s="60" t="s">
        <v>327</v>
      </c>
      <c r="E36" s="61" t="s">
        <v>3</v>
      </c>
      <c r="F36" s="62" t="s">
        <v>3</v>
      </c>
      <c r="G36" s="91"/>
      <c r="H36" s="64"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6" s="60"/>
      <c r="J36" s="60"/>
      <c r="K36" s="101"/>
    </row>
    <row r="37" spans="2:12" ht="14.5">
      <c r="B37" s="72" t="s">
        <v>18</v>
      </c>
      <c r="C37" s="73" t="s">
        <v>247</v>
      </c>
      <c r="D37" s="60" t="s">
        <v>328</v>
      </c>
      <c r="E37" s="61" t="s">
        <v>3</v>
      </c>
      <c r="F37" s="62" t="s">
        <v>3</v>
      </c>
      <c r="G37" s="91"/>
      <c r="H37" s="75"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7" s="60"/>
      <c r="J37" s="60"/>
      <c r="K37" s="101"/>
    </row>
    <row r="38" spans="2:12" ht="14.5">
      <c r="B38" s="72" t="s">
        <v>19</v>
      </c>
      <c r="C38" s="73" t="s">
        <v>248</v>
      </c>
      <c r="D38" s="60" t="s">
        <v>130</v>
      </c>
      <c r="E38" s="61" t="s">
        <v>3</v>
      </c>
      <c r="F38" s="62" t="s">
        <v>3</v>
      </c>
      <c r="G38" s="91"/>
      <c r="H38" s="75" t="str">
        <f>HYPERLINK(CONCATENATE(BASE_URL,"0x06e-Testing-Cryptography.md#testing-key-management-mstg-crypto-1-and-mstg-crypto-5"),"Testing Key Management (MSTG-CRYPTO-1 and MSTG-CRYPTO-5)")</f>
        <v>Testing Key Management (MSTG-CRYPTO-1 and MSTG-CRYPTO-5)</v>
      </c>
      <c r="I38" s="60"/>
      <c r="J38" s="60"/>
      <c r="K38" s="101"/>
    </row>
    <row r="39" spans="2:12" ht="14.5">
      <c r="B39" s="72" t="s">
        <v>20</v>
      </c>
      <c r="C39" s="73" t="s">
        <v>249</v>
      </c>
      <c r="D39" s="60" t="s">
        <v>329</v>
      </c>
      <c r="E39" s="61" t="s">
        <v>3</v>
      </c>
      <c r="F39" s="62" t="s">
        <v>3</v>
      </c>
      <c r="G39" s="91"/>
      <c r="H39" s="75" t="str">
        <f>HYPERLINK(CONCATENATE(BASE_URL,"0x06e-Testing-Cryptography.md#testing-random-number-generation-mstg-crypto-6")," Testing Random Number Generation (MSTG-CRYPTO-6)")</f>
        <v xml:space="preserve"> Testing Random Number Generation (MSTG-CRYPTO-6)</v>
      </c>
      <c r="I39" s="60"/>
      <c r="J39" s="60"/>
      <c r="K39" s="101"/>
    </row>
    <row r="40" spans="2:12" ht="14.5">
      <c r="B40" s="67" t="s">
        <v>21</v>
      </c>
      <c r="C40" s="68"/>
      <c r="D40" s="69" t="s">
        <v>115</v>
      </c>
      <c r="E40" s="70"/>
      <c r="F40" s="68"/>
      <c r="G40" s="70"/>
      <c r="H40" s="70"/>
      <c r="I40" s="70"/>
      <c r="J40" s="70"/>
      <c r="K40" s="71"/>
    </row>
    <row r="41" spans="2:12" ht="29">
      <c r="B41" s="58" t="s">
        <v>22</v>
      </c>
      <c r="C41" s="59" t="s">
        <v>250</v>
      </c>
      <c r="D41" s="60" t="s">
        <v>131</v>
      </c>
      <c r="E41" s="61" t="s">
        <v>3</v>
      </c>
      <c r="F41" s="62" t="s">
        <v>3</v>
      </c>
      <c r="G41" s="91"/>
      <c r="H41" s="75"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I41" s="75" t="str">
        <f>HYPERLINK(CONCATENATE(BASE_URL,"0x04e-Testing-Authentication-and-Session-Management.md#verifying-that-appropriate-authentication-is-in-place-mstg-arch-2-and-mstg-auth-1"),"Testing OAuth 2.0 Flows (MSTG-AUTH-1 and MSTG-AUTH-3)")</f>
        <v>Testing OAuth 2.0 Flows (MSTG-AUTH-1 and MSTG-AUTH-3)</v>
      </c>
      <c r="J41" s="75"/>
      <c r="K41" s="101"/>
    </row>
    <row r="42" spans="2:12" ht="29">
      <c r="B42" s="58" t="s">
        <v>44</v>
      </c>
      <c r="C42" s="59" t="s">
        <v>251</v>
      </c>
      <c r="D42" s="60" t="s">
        <v>132</v>
      </c>
      <c r="E42" s="61" t="s">
        <v>3</v>
      </c>
      <c r="F42" s="62" t="s">
        <v>3</v>
      </c>
      <c r="G42" s="91"/>
      <c r="H42" s="75" t="str">
        <f>HYPERLINK(CONCATENATE(BASE_URL,"0x04e-Testing-Authentication-and-Session-Management.md#testing-stateful-session-management-mstg-auth-2"),"Testing Stateful Session Management (MSTG-AUTH-2)")</f>
        <v>Testing Stateful Session Management (MSTG-AUTH-2)</v>
      </c>
      <c r="I42" s="60"/>
      <c r="J42" s="60"/>
      <c r="K42" s="101"/>
    </row>
    <row r="43" spans="2:12" ht="29">
      <c r="B43" s="58" t="s">
        <v>45</v>
      </c>
      <c r="C43" s="59" t="s">
        <v>252</v>
      </c>
      <c r="D43" s="60" t="s">
        <v>133</v>
      </c>
      <c r="E43" s="61" t="s">
        <v>3</v>
      </c>
      <c r="F43" s="62" t="s">
        <v>3</v>
      </c>
      <c r="G43" s="91"/>
      <c r="H43" s="75" t="str">
        <f>HYPERLINK(CONCATENATE(BASE_URL,"0x04e-Testing-Authentication-and-Session-Management.md#testing-stateless-token-based-authentication-mstg-auth-3"),"Testing Stateless (Token-Based) Authentication (MSTG-AUTH-3)")</f>
        <v>Testing Stateless (Token-Based) Authentication (MSTG-AUTH-3)</v>
      </c>
      <c r="I43" s="75" t="str">
        <f>HYPERLINK(CONCATENATE(BASE_URL,"0x04e-Testing-Authentication-and-Session-Management.md#verifying-that-appropriate-authentication-is-in-place-mstg-arch-2-and-mstg-auth-1"),"Testing OAuth 2.0 Flows (MSTG-AUTH-1 and MSTG-AUTH-3)")</f>
        <v>Testing OAuth 2.0 Flows (MSTG-AUTH-1 and MSTG-AUTH-3)</v>
      </c>
      <c r="J43" s="75"/>
      <c r="K43" s="101"/>
    </row>
    <row r="44" spans="2:12" ht="14.5">
      <c r="B44" s="58" t="s">
        <v>23</v>
      </c>
      <c r="C44" s="59" t="s">
        <v>253</v>
      </c>
      <c r="D44" s="60" t="s">
        <v>134</v>
      </c>
      <c r="E44" s="61"/>
      <c r="F44" s="62"/>
      <c r="G44" s="91"/>
      <c r="H44" s="75" t="str">
        <f>HYPERLINK(CONCATENATE(BASE_URL,"0x04e-Testing-Authentication-and-Session-Management.md#testing-user-logout-mstg-auth-4"),"Testing User Logout (MSTG-AUTH-4)")</f>
        <v>Testing User Logout (MSTG-AUTH-4)</v>
      </c>
      <c r="I44" s="60"/>
      <c r="J44" s="60"/>
      <c r="K44" s="101"/>
      <c r="L44" s="76"/>
    </row>
    <row r="45" spans="2:12" ht="14.5">
      <c r="B45" s="58" t="s">
        <v>24</v>
      </c>
      <c r="C45" s="59" t="s">
        <v>254</v>
      </c>
      <c r="D45" s="60" t="s">
        <v>135</v>
      </c>
      <c r="E45" s="61" t="s">
        <v>3</v>
      </c>
      <c r="F45" s="62" t="s">
        <v>3</v>
      </c>
      <c r="G45" s="91"/>
      <c r="H45" s="75" t="str">
        <f>HYPERLINK(CONCATENATE(BASE_URL,"0x04e-Testing-Authentication-and-Session-Management.md#testing-best-practices-for-passwords-mstg-auth-5-and-mstg-auth-6"),"Testing Best Practices for Passwords (MSTG-AUTH-5 and MSTG-AUTH-6)")</f>
        <v>Testing Best Practices for Passwords (MSTG-AUTH-5 and MSTG-AUTH-6)</v>
      </c>
      <c r="I45" s="60"/>
      <c r="J45" s="60"/>
      <c r="K45" s="101"/>
      <c r="L45" s="76"/>
    </row>
    <row r="46" spans="2:12" ht="14.5">
      <c r="B46" s="58" t="s">
        <v>46</v>
      </c>
      <c r="C46" s="59" t="s">
        <v>255</v>
      </c>
      <c r="D46" s="60" t="s">
        <v>136</v>
      </c>
      <c r="E46" s="61" t="s">
        <v>3</v>
      </c>
      <c r="F46" s="62" t="s">
        <v>3</v>
      </c>
      <c r="G46" s="91"/>
      <c r="H46" s="75" t="str">
        <f>HYPERLINK(CONCATENATE(BASE_URL,"0x04e-Testing-Authentication-and-Session-Management.md#testing-best-practices-for-passwords-mstg-auth-5-and-mstg-auth-6"),"Testing Best Practices for Passwords (MSTG-AUTH-5 and MSTG-AUTH-6)")</f>
        <v>Testing Best Practices for Passwords (MSTG-AUTH-5 and MSTG-AUTH-6)</v>
      </c>
      <c r="I46" s="75" t="str">
        <f>HYPERLINK(CONCATENATE(BASE_URL,"0x04e-Testing-Authentication-and-Session-Management.md#dynamic-testing-mstg-auth-6"),"Dynamic Testing (MSTG-AUTH-6)")</f>
        <v>Dynamic Testing (MSTG-AUTH-6)</v>
      </c>
      <c r="J46" s="75"/>
      <c r="K46" s="101"/>
    </row>
    <row r="47" spans="2:12" ht="14.5">
      <c r="B47" s="58" t="s">
        <v>47</v>
      </c>
      <c r="C47" s="59" t="s">
        <v>256</v>
      </c>
      <c r="D47" s="60" t="s">
        <v>137</v>
      </c>
      <c r="E47" s="61" t="s">
        <v>3</v>
      </c>
      <c r="F47" s="62" t="s">
        <v>3</v>
      </c>
      <c r="G47" s="91"/>
      <c r="H47" s="75" t="str">
        <f>HYPERLINK(CONCATENATE(BASE_URL,"0x04e-Testing-Authentication-and-Session-Management.md#testing-session-timeout-mstg-auth-7"),"Testing Session Timeout (MSTG-AUTH-7)")</f>
        <v>Testing Session Timeout (MSTG-AUTH-7)</v>
      </c>
      <c r="I47" s="76"/>
      <c r="J47" s="76"/>
      <c r="K47" s="101"/>
    </row>
    <row r="48" spans="2:12" ht="29">
      <c r="B48" s="58" t="s">
        <v>25</v>
      </c>
      <c r="C48" s="59" t="s">
        <v>257</v>
      </c>
      <c r="D48" s="60" t="s">
        <v>332</v>
      </c>
      <c r="E48" s="60"/>
      <c r="F48" s="62" t="s">
        <v>3</v>
      </c>
      <c r="G48" s="91" t="s">
        <v>64</v>
      </c>
      <c r="H48" s="75" t="str">
        <f>HYPERLINK(CONCATENATE(BASE_URL,"0x06f-Testing-Local-Authentication.md#testing-local-authentication-mstg-auth-8-and-mstg-storage-11"),"Testing Local Authentication (MSTG-AUTH-8 and MSTG-STORAGE-11)")</f>
        <v>Testing Local Authentication (MSTG-AUTH-8 and MSTG-STORAGE-11)</v>
      </c>
      <c r="I48" s="75"/>
      <c r="J48" s="75"/>
      <c r="K48" s="101"/>
    </row>
    <row r="49" spans="2:11" ht="14.5">
      <c r="B49" s="58" t="s">
        <v>26</v>
      </c>
      <c r="C49" s="59" t="s">
        <v>258</v>
      </c>
      <c r="D49" s="60" t="s">
        <v>333</v>
      </c>
      <c r="E49" s="60"/>
      <c r="F49" s="62" t="s">
        <v>3</v>
      </c>
      <c r="G49" s="91" t="s">
        <v>64</v>
      </c>
      <c r="H49" s="64"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60"/>
      <c r="J49" s="60"/>
      <c r="K49" s="101"/>
    </row>
    <row r="50" spans="2:11" ht="14.5">
      <c r="B50" s="58" t="s">
        <v>27</v>
      </c>
      <c r="C50" s="59" t="s">
        <v>259</v>
      </c>
      <c r="D50" s="60" t="s">
        <v>334</v>
      </c>
      <c r="E50" s="60"/>
      <c r="F50" s="62" t="s">
        <v>3</v>
      </c>
      <c r="G50" s="91" t="s">
        <v>64</v>
      </c>
      <c r="H50" s="64"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50" s="60"/>
      <c r="J50" s="60"/>
      <c r="K50" s="101"/>
    </row>
    <row r="51" spans="2:11" ht="29">
      <c r="B51" s="58" t="s">
        <v>93</v>
      </c>
      <c r="C51" s="59" t="s">
        <v>260</v>
      </c>
      <c r="D51" s="60" t="s">
        <v>335</v>
      </c>
      <c r="E51" s="60"/>
      <c r="F51" s="62" t="s">
        <v>3</v>
      </c>
      <c r="G51" s="91" t="s">
        <v>64</v>
      </c>
      <c r="H51" s="77" t="str">
        <f>HYPERLINK(CONCATENATE(
BASE_URL,
"0x04e-Testing-Authentication-and-Session-Management.md#testing-login-activity-and-device-blocking-mstg-auth-11"),
"Testing Login Activity and Device Blocking (MSTG-AUTH-11)")</f>
        <v>Testing Login Activity and Device Blocking (MSTG-AUTH-11)</v>
      </c>
      <c r="I51" s="60"/>
      <c r="J51" s="60"/>
      <c r="K51" s="101"/>
    </row>
    <row r="52" spans="2:11" ht="14.5">
      <c r="B52" s="58" t="s">
        <v>330</v>
      </c>
      <c r="C52" s="59" t="s">
        <v>331</v>
      </c>
      <c r="D52" s="60" t="s">
        <v>336</v>
      </c>
      <c r="E52" s="61" t="s">
        <v>3</v>
      </c>
      <c r="F52" s="62" t="s">
        <v>3</v>
      </c>
      <c r="G52" s="91"/>
      <c r="H52" s="77"/>
      <c r="I52" s="60"/>
      <c r="J52" s="60"/>
      <c r="K52" s="101"/>
    </row>
    <row r="53" spans="2:11" ht="14.5">
      <c r="B53" s="67" t="s">
        <v>28</v>
      </c>
      <c r="C53" s="68"/>
      <c r="D53" s="69" t="s">
        <v>116</v>
      </c>
      <c r="E53" s="70"/>
      <c r="F53" s="68"/>
      <c r="G53" s="70"/>
      <c r="H53" s="70"/>
      <c r="I53" s="70"/>
      <c r="J53" s="70"/>
      <c r="K53" s="71"/>
    </row>
    <row r="54" spans="2:11" ht="14.5">
      <c r="B54" s="58" t="s">
        <v>29</v>
      </c>
      <c r="C54" s="59" t="s">
        <v>261</v>
      </c>
      <c r="D54" s="60" t="s">
        <v>138</v>
      </c>
      <c r="E54" s="61" t="s">
        <v>3</v>
      </c>
      <c r="F54" s="62" t="s">
        <v>3</v>
      </c>
      <c r="G54" s="91"/>
      <c r="H54" s="64"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4" s="64"/>
      <c r="J54" s="64"/>
      <c r="K54" s="101"/>
    </row>
    <row r="55" spans="2:11" ht="29">
      <c r="B55" s="58" t="s">
        <v>48</v>
      </c>
      <c r="C55" s="59" t="s">
        <v>262</v>
      </c>
      <c r="D55" s="60" t="s">
        <v>337</v>
      </c>
      <c r="E55" s="61" t="s">
        <v>3</v>
      </c>
      <c r="F55" s="62" t="s">
        <v>3</v>
      </c>
      <c r="G55" s="91"/>
      <c r="H55" s="64"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5" s="64" t="str">
        <f>HYPERLINK(CONCATENATE(BASE_URL,"0x06g-Testing-Network-Communication.md#app-transport-security-mstg-network-2"),"App Transport Security (MSTG-NETWORK-2)")</f>
        <v>App Transport Security (MSTG-NETWORK-2)</v>
      </c>
      <c r="J55" s="64"/>
      <c r="K55" s="101"/>
    </row>
    <row r="56" spans="2:11" ht="29">
      <c r="B56" s="58" t="s">
        <v>30</v>
      </c>
      <c r="C56" s="59" t="s">
        <v>263</v>
      </c>
      <c r="D56" s="60" t="s">
        <v>338</v>
      </c>
      <c r="E56" s="61" t="s">
        <v>3</v>
      </c>
      <c r="F56" s="62" t="s">
        <v>3</v>
      </c>
      <c r="G56" s="91"/>
      <c r="H56" s="75"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6" s="60"/>
      <c r="J56" s="60"/>
      <c r="K56" s="101"/>
    </row>
    <row r="57" spans="2:11" ht="43.5">
      <c r="B57" s="58" t="s">
        <v>49</v>
      </c>
      <c r="C57" s="59" t="s">
        <v>264</v>
      </c>
      <c r="D57" s="60" t="s">
        <v>339</v>
      </c>
      <c r="E57" s="60"/>
      <c r="F57" s="62" t="s">
        <v>3</v>
      </c>
      <c r="G57" s="91" t="s">
        <v>64</v>
      </c>
      <c r="H57" s="75"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7" s="60"/>
      <c r="J57" s="60"/>
      <c r="K57" s="101"/>
    </row>
    <row r="58" spans="2:11" ht="29">
      <c r="B58" s="58" t="s">
        <v>31</v>
      </c>
      <c r="C58" s="59" t="s">
        <v>265</v>
      </c>
      <c r="D58" s="60" t="s">
        <v>340</v>
      </c>
      <c r="E58" s="60"/>
      <c r="F58" s="62" t="s">
        <v>3</v>
      </c>
      <c r="G58" s="91" t="s">
        <v>64</v>
      </c>
      <c r="H58" s="64"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8" s="60"/>
      <c r="J58" s="60"/>
      <c r="K58" s="101"/>
    </row>
    <row r="59" spans="2:11" ht="14.5">
      <c r="B59" s="58" t="s">
        <v>218</v>
      </c>
      <c r="C59" s="59" t="s">
        <v>266</v>
      </c>
      <c r="D59" s="60" t="s">
        <v>139</v>
      </c>
      <c r="E59" s="60"/>
      <c r="F59" s="62" t="s">
        <v>3</v>
      </c>
      <c r="G59" s="91" t="s">
        <v>64</v>
      </c>
      <c r="H59" s="75" t="str">
        <f>HYPERLINK(CONCATENATE(
BASE_URL,
"0x06i-Testing-Code-Quality-and-Build-Settings.md#checking-for-weaknesses-in-third-party-libraries-mstg-code-5"),
"Checking for Weaknesses in Third Party Libraries (MSTG-CODE-5)")</f>
        <v>Checking for Weaknesses in Third Party Libraries (MSTG-CODE-5)</v>
      </c>
      <c r="I59" s="60"/>
      <c r="J59" s="60"/>
      <c r="K59" s="101"/>
    </row>
    <row r="60" spans="2:11" ht="14.5">
      <c r="B60" s="67" t="s">
        <v>32</v>
      </c>
      <c r="C60" s="68"/>
      <c r="D60" s="69" t="s">
        <v>117</v>
      </c>
      <c r="E60" s="70"/>
      <c r="F60" s="68"/>
      <c r="G60" s="70"/>
      <c r="H60" s="70"/>
      <c r="I60" s="70"/>
      <c r="J60" s="70"/>
      <c r="K60" s="71"/>
    </row>
    <row r="61" spans="2:11" ht="14.5">
      <c r="B61" s="58" t="s">
        <v>50</v>
      </c>
      <c r="C61" s="59" t="s">
        <v>267</v>
      </c>
      <c r="D61" s="60" t="s">
        <v>347</v>
      </c>
      <c r="E61" s="61" t="s">
        <v>3</v>
      </c>
      <c r="F61" s="62" t="s">
        <v>3</v>
      </c>
      <c r="G61" s="91"/>
      <c r="H61" s="75" t="str">
        <f>HYPERLINK(CONCATENATE(BASE_URL,"0x06h-Testing-Platform-Interaction.md#testing-app-permissions-mstg-platform-1"),"Testing App Permissions (MSTG-PLATFORM-1)")</f>
        <v>Testing App Permissions (MSTG-PLATFORM-1)</v>
      </c>
      <c r="I61" s="60"/>
      <c r="J61" s="60"/>
      <c r="K61" s="101"/>
    </row>
    <row r="62" spans="2:11" ht="29">
      <c r="B62" s="58" t="s">
        <v>51</v>
      </c>
      <c r="C62" s="59" t="s">
        <v>268</v>
      </c>
      <c r="D62" s="60" t="s">
        <v>348</v>
      </c>
      <c r="E62" s="61" t="s">
        <v>3</v>
      </c>
      <c r="F62" s="62" t="s">
        <v>3</v>
      </c>
      <c r="G62" s="91"/>
      <c r="H62" s="75" t="str">
        <f>HYPERLINK(CONCATENATE(BASE_URL,"0x04h-Testing-Code-Quality.md#injection-flaws-mstg-arch-2-and-mstg-platform-2"),"Injection Flaws (MSTG-ARCH-2 and MSTG-PLATFORM-2)")</f>
        <v>Injection Flaws (MSTG-ARCH-2 and MSTG-PLATFORM-2)</v>
      </c>
      <c r="I62" s="60"/>
      <c r="J62" s="60"/>
      <c r="K62" s="101"/>
    </row>
    <row r="63" spans="2:11" ht="29">
      <c r="B63" s="58" t="s">
        <v>52</v>
      </c>
      <c r="C63" s="59" t="s">
        <v>269</v>
      </c>
      <c r="D63" s="60" t="s">
        <v>349</v>
      </c>
      <c r="E63" s="61" t="s">
        <v>3</v>
      </c>
      <c r="F63" s="62" t="s">
        <v>3</v>
      </c>
      <c r="G63" s="91"/>
      <c r="H63" s="75" t="str">
        <f>HYPERLINK(CONCATENATE(BASE_URL,"0x06h-Testing-Platform-Interaction.md#testing-custom-url-schemes-mstg-platform-3"),"Testing Custom URL Schemes (MSTG-PLATFORM-3)")</f>
        <v>Testing Custom URL Schemes (MSTG-PLATFORM-3)</v>
      </c>
      <c r="I63" s="60"/>
      <c r="J63" s="60"/>
      <c r="K63" s="101"/>
    </row>
    <row r="64" spans="2:11" ht="29">
      <c r="B64" s="58" t="s">
        <v>53</v>
      </c>
      <c r="C64" s="59" t="s">
        <v>270</v>
      </c>
      <c r="D64" s="60" t="s">
        <v>350</v>
      </c>
      <c r="E64" s="61" t="s">
        <v>3</v>
      </c>
      <c r="F64" s="62" t="s">
        <v>3</v>
      </c>
      <c r="G64" s="91"/>
      <c r="H64" s="63" t="str">
        <f>HYPERLINK(CONCATENATE(
BASE_URL,
"0x06h-Testing-Platform-Interaction.md#testing-for-sensitive-functionality-exposure-through-ipc-mstg-platform-4"),
"Testing for Sensitive Functionality Exposure Through IPC (MSTG-PLATFORM-4)")</f>
        <v>Testing for Sensitive Functionality Exposure Through IPC (MSTG-PLATFORM-4)</v>
      </c>
      <c r="I64" s="60"/>
      <c r="J64" s="60"/>
      <c r="K64" s="101"/>
    </row>
    <row r="65" spans="2:11" ht="14.5">
      <c r="B65" s="58" t="s">
        <v>54</v>
      </c>
      <c r="C65" s="59" t="s">
        <v>271</v>
      </c>
      <c r="D65" s="60" t="s">
        <v>140</v>
      </c>
      <c r="E65" s="61" t="s">
        <v>3</v>
      </c>
      <c r="F65" s="62" t="s">
        <v>3</v>
      </c>
      <c r="G65" s="91"/>
      <c r="H65" s="75" t="str">
        <f>HYPERLINK(CONCATENATE(BASE_URL,"0x06h-Testing-Platform-Interaction.md#testing-ios-webviews-mstg-platform-5"),"Testing iOS WebViews (MSTG-PLATFORM-5)")</f>
        <v>Testing iOS WebViews (MSTG-PLATFORM-5)</v>
      </c>
      <c r="I65" s="60"/>
      <c r="J65" s="60"/>
      <c r="K65" s="101"/>
    </row>
    <row r="66" spans="2:11" ht="29">
      <c r="B66" s="58" t="s">
        <v>55</v>
      </c>
      <c r="C66" s="59" t="s">
        <v>272</v>
      </c>
      <c r="D66" s="60" t="s">
        <v>351</v>
      </c>
      <c r="E66" s="61" t="s">
        <v>3</v>
      </c>
      <c r="F66" s="62" t="s">
        <v>3</v>
      </c>
      <c r="G66" s="91"/>
      <c r="H66" s="75" t="str">
        <f>HYPERLINK(CONCATENATE(BASE_URL,"0x06h-Testing-Platform-Interaction.md#testing-webview-protocol-handlers-mstg-platform-6"),"Testing WebView Protocol Handlers (MSTG-PLATFORM-6)")</f>
        <v>Testing WebView Protocol Handlers (MSTG-PLATFORM-6)</v>
      </c>
      <c r="I66" s="60"/>
      <c r="J66" s="60"/>
      <c r="K66" s="101"/>
    </row>
    <row r="67" spans="2:11" ht="29">
      <c r="B67" s="58" t="s">
        <v>219</v>
      </c>
      <c r="C67" s="59" t="s">
        <v>273</v>
      </c>
      <c r="D67" s="60" t="s">
        <v>352</v>
      </c>
      <c r="E67" s="61" t="s">
        <v>3</v>
      </c>
      <c r="F67" s="62" t="s">
        <v>3</v>
      </c>
      <c r="G67" s="91"/>
      <c r="H67" s="75" t="str">
        <f>HYPERLINK(CONCATENATE(BASE_URL,"0x06h-Testing-Platform-Interaction.md#determining-whether-native-methods-are-exposed-through-webviews-mstg-platform-7"),"Determining Whether Native Methods Are Exposed Through WebViews (MSTG-PLATFORM-7)")</f>
        <v>Determining Whether Native Methods Are Exposed Through WebViews (MSTG-PLATFORM-7)</v>
      </c>
      <c r="I67" s="60"/>
      <c r="J67" s="60"/>
      <c r="K67" s="101"/>
    </row>
    <row r="68" spans="2:11" ht="14.5">
      <c r="B68" s="58" t="s">
        <v>220</v>
      </c>
      <c r="C68" s="59" t="s">
        <v>274</v>
      </c>
      <c r="D68" s="60" t="s">
        <v>353</v>
      </c>
      <c r="E68" s="61" t="s">
        <v>3</v>
      </c>
      <c r="F68" s="62" t="s">
        <v>3</v>
      </c>
      <c r="G68" s="91"/>
      <c r="H68" s="75" t="str">
        <f>HYPERLINK(CONCATENATE(BASE_URL,"0x06h-Testing-Platform-Interaction.md#testing-object-persistence-mstg-platform-8"),"Testing Object Persistence (MSTG-PLATFORM-8)")</f>
        <v>Testing Object Persistence (MSTG-PLATFORM-8)</v>
      </c>
      <c r="I68" s="60"/>
      <c r="J68" s="60"/>
      <c r="K68" s="101"/>
    </row>
    <row r="69" spans="2:11" ht="14.5">
      <c r="B69" s="58" t="s">
        <v>341</v>
      </c>
      <c r="C69" s="59" t="s">
        <v>344</v>
      </c>
      <c r="D69" s="60" t="s">
        <v>354</v>
      </c>
      <c r="E69" s="90"/>
      <c r="F69" s="62" t="s">
        <v>3</v>
      </c>
      <c r="G69" s="91" t="s">
        <v>64</v>
      </c>
      <c r="H69" s="75"/>
      <c r="I69" s="60"/>
      <c r="J69" s="60"/>
      <c r="K69" s="101"/>
    </row>
    <row r="70" spans="2:11" ht="29">
      <c r="B70" s="58" t="s">
        <v>342</v>
      </c>
      <c r="C70" s="59" t="s">
        <v>345</v>
      </c>
      <c r="D70" s="60" t="s">
        <v>355</v>
      </c>
      <c r="E70" s="90"/>
      <c r="F70" s="62" t="s">
        <v>3</v>
      </c>
      <c r="G70" s="91" t="s">
        <v>64</v>
      </c>
      <c r="H70" s="75"/>
      <c r="I70" s="60"/>
      <c r="J70" s="60"/>
      <c r="K70" s="101"/>
    </row>
    <row r="71" spans="2:11" ht="14.5">
      <c r="B71" s="58" t="s">
        <v>343</v>
      </c>
      <c r="C71" s="59" t="s">
        <v>346</v>
      </c>
      <c r="D71" s="60" t="s">
        <v>356</v>
      </c>
      <c r="E71" s="90"/>
      <c r="F71" s="62" t="s">
        <v>3</v>
      </c>
      <c r="G71" s="91" t="s">
        <v>64</v>
      </c>
      <c r="H71" s="75"/>
      <c r="I71" s="60"/>
      <c r="J71" s="60"/>
      <c r="K71" s="101"/>
    </row>
    <row r="72" spans="2:11" ht="14.5">
      <c r="B72" s="67" t="s">
        <v>33</v>
      </c>
      <c r="C72" s="68"/>
      <c r="D72" s="69" t="s">
        <v>118</v>
      </c>
      <c r="E72" s="70"/>
      <c r="F72" s="68"/>
      <c r="G72" s="70"/>
      <c r="H72" s="70"/>
      <c r="I72" s="70"/>
      <c r="J72" s="70"/>
      <c r="K72" s="71"/>
    </row>
    <row r="73" spans="2:11" ht="14.5">
      <c r="B73" s="58" t="s">
        <v>56</v>
      </c>
      <c r="C73" s="59" t="s">
        <v>275</v>
      </c>
      <c r="D73" s="60" t="s">
        <v>357</v>
      </c>
      <c r="E73" s="61" t="s">
        <v>3</v>
      </c>
      <c r="F73" s="62" t="s">
        <v>3</v>
      </c>
      <c r="G73" s="91"/>
      <c r="H73" s="75" t="str">
        <f>HYPERLINK(CONCATENATE(BASE_URL,"0x06i-Testing-Code-Quality-and-Build-Settings.md#making-sure-that-the-app-is-properly-signed-mstg-code-1"),"Making Sure that the App Is Properly Signed (MSTG-CODE-1)")</f>
        <v>Making Sure that the App Is Properly Signed (MSTG-CODE-1)</v>
      </c>
      <c r="I73" s="60"/>
      <c r="J73" s="60"/>
      <c r="K73" s="101"/>
    </row>
    <row r="74" spans="2:11" ht="29">
      <c r="B74" s="58" t="s">
        <v>34</v>
      </c>
      <c r="C74" s="59" t="s">
        <v>276</v>
      </c>
      <c r="D74" s="60" t="s">
        <v>358</v>
      </c>
      <c r="E74" s="61" t="s">
        <v>3</v>
      </c>
      <c r="F74" s="62" t="s">
        <v>3</v>
      </c>
      <c r="G74" s="91"/>
      <c r="H74" s="75" t="str">
        <f>HYPERLINK(CONCATENATE(BASE_URL,"0x06i-Testing-Code-Quality-and-Build-Settings.md#determining-whether-the-app-is-debuggable-mstg-code-2"),"Determining Whether the App is Debuggable (MSTG-CODE-2)")</f>
        <v>Determining Whether the App is Debuggable (MSTG-CODE-2)</v>
      </c>
      <c r="I74" s="60"/>
      <c r="J74" s="60"/>
      <c r="K74" s="101"/>
    </row>
    <row r="75" spans="2:11" ht="14.5">
      <c r="B75" s="58" t="s">
        <v>57</v>
      </c>
      <c r="C75" s="59" t="s">
        <v>277</v>
      </c>
      <c r="D75" s="60" t="s">
        <v>359</v>
      </c>
      <c r="E75" s="61" t="s">
        <v>3</v>
      </c>
      <c r="F75" s="62" t="s">
        <v>3</v>
      </c>
      <c r="G75" s="91"/>
      <c r="H75" s="75" t="str">
        <f>HYPERLINK(CONCATENATE(BASE_URL,"0x06i-Testing-Code-Quality-and-Build-Settings.md#finding-debugging-symbols-mstg-code-3"),"Finding Debugging Symbols (MSTG-CODE-3)")</f>
        <v>Finding Debugging Symbols (MSTG-CODE-3)</v>
      </c>
      <c r="I75" s="60"/>
      <c r="J75" s="60"/>
      <c r="K75" s="101"/>
    </row>
    <row r="76" spans="2:11" ht="29">
      <c r="B76" s="58" t="s">
        <v>58</v>
      </c>
      <c r="C76" s="59" t="s">
        <v>278</v>
      </c>
      <c r="D76" s="60" t="s">
        <v>360</v>
      </c>
      <c r="E76" s="61" t="s">
        <v>3</v>
      </c>
      <c r="F76" s="62" t="s">
        <v>3</v>
      </c>
      <c r="G76" s="91"/>
      <c r="H76" s="75" t="str">
        <f>HYPERLINK(CONCATENATE(BASE_URL,"0x06i-Testing-Code-Quality-and-Build-Settings.md#finding-debugging-code-and-verbose-error-logging-mstg-code-4"),"Finding Debugging Code and Verbose Error Logging (MSTG-CODE-4)")</f>
        <v>Finding Debugging Code and Verbose Error Logging (MSTG-CODE-4)</v>
      </c>
      <c r="I76" s="60"/>
      <c r="J76" s="60"/>
      <c r="K76" s="101"/>
    </row>
    <row r="77" spans="2:11" ht="14.5">
      <c r="B77" s="58" t="s">
        <v>59</v>
      </c>
      <c r="C77" s="59" t="s">
        <v>279</v>
      </c>
      <c r="D77" s="60" t="s">
        <v>361</v>
      </c>
      <c r="E77" s="61" t="s">
        <v>3</v>
      </c>
      <c r="F77" s="62" t="s">
        <v>3</v>
      </c>
      <c r="G77" s="91"/>
      <c r="H77" s="77" t="str">
        <f>HYPERLINK(CONCATENATE(BASE_URL,"0x06i-Testing-Code-Quality-and-Build-Settings.md#checking-for-weaknesses-in-third-party-libraries-mstg-code-5"),"Checking for Weaknesses in Third Party Libraries (MSTG-CODE-5)")</f>
        <v>Checking for Weaknesses in Third Party Libraries (MSTG-CODE-5)</v>
      </c>
      <c r="I77" s="60"/>
      <c r="J77" s="60"/>
      <c r="K77" s="101"/>
    </row>
    <row r="78" spans="2:11" ht="14.5">
      <c r="B78" s="58" t="s">
        <v>35</v>
      </c>
      <c r="C78" s="59" t="s">
        <v>280</v>
      </c>
      <c r="D78" s="60" t="s">
        <v>362</v>
      </c>
      <c r="E78" s="61" t="s">
        <v>3</v>
      </c>
      <c r="F78" s="62" t="s">
        <v>3</v>
      </c>
      <c r="G78" s="91"/>
      <c r="H78" s="75" t="str">
        <f>HYPERLINK(CONCATENATE(BASE_URL,"0x06i-Testing-Code-Quality-and-Build-Settings.md#testing-exception-handling-mstg-code-6"),"Testing Exception Handling (MSTG-CODE-6)")</f>
        <v>Testing Exception Handling (MSTG-CODE-6)</v>
      </c>
      <c r="I78" s="60"/>
      <c r="J78" s="60"/>
      <c r="K78" s="101"/>
    </row>
    <row r="79" spans="2:11" ht="14.5">
      <c r="B79" s="58" t="s">
        <v>36</v>
      </c>
      <c r="C79" s="59" t="s">
        <v>281</v>
      </c>
      <c r="D79" s="60" t="s">
        <v>141</v>
      </c>
      <c r="E79" s="61" t="s">
        <v>3</v>
      </c>
      <c r="F79" s="62" t="s">
        <v>3</v>
      </c>
      <c r="G79" s="91"/>
      <c r="H79" s="75" t="str">
        <f>HYPERLINK(CONCATENATE(BASE_URL,"0x06i-Testing-Code-Quality-and-Build-Settings.md#testing-exception-handling-mstg-code-6"),"Testing Exception Handling (MSTG-CODE-6)")</f>
        <v>Testing Exception Handling (MSTG-CODE-6)</v>
      </c>
      <c r="I79" s="60"/>
      <c r="J79" s="60"/>
      <c r="K79" s="101"/>
    </row>
    <row r="80" spans="2:11" ht="14.5">
      <c r="B80" s="58" t="s">
        <v>37</v>
      </c>
      <c r="C80" s="59" t="s">
        <v>282</v>
      </c>
      <c r="D80" s="60" t="s">
        <v>363</v>
      </c>
      <c r="E80" s="61" t="s">
        <v>3</v>
      </c>
      <c r="F80" s="62" t="s">
        <v>3</v>
      </c>
      <c r="G80" s="91"/>
      <c r="H80" s="75" t="str">
        <f>HYPERLINK(CONCATENATE(BASE_URL,"0x06i-Testing-Code-Quality-and-Build-Settings.md#memory-corruption-bugs-mstg-code-8"),"Memory Corruption Bugs (MSTG-CODE-8)")</f>
        <v>Memory Corruption Bugs (MSTG-CODE-8)</v>
      </c>
      <c r="I80" s="60"/>
      <c r="J80" s="60"/>
      <c r="K80" s="101"/>
    </row>
    <row r="81" spans="2:11" ht="29">
      <c r="B81" s="58" t="s">
        <v>95</v>
      </c>
      <c r="C81" s="59" t="s">
        <v>283</v>
      </c>
      <c r="D81" s="60" t="s">
        <v>364</v>
      </c>
      <c r="E81" s="61" t="s">
        <v>3</v>
      </c>
      <c r="F81" s="62" t="s">
        <v>3</v>
      </c>
      <c r="G81" s="91"/>
      <c r="H81" s="75" t="str">
        <f>HYPERLINK(CONCATENATE(BASE_URL,"0x06i-Testing-Code-Quality-and-Build-Settings.md#make-sure-that-free-security-features-are-activated-mstg-code-9"),"Make Sure That Free Security Features Are Activated (MSTG-CODE-9)")</f>
        <v>Make Sure That Free Security Features Are Activated (MSTG-CODE-9)</v>
      </c>
      <c r="I81" s="60"/>
      <c r="J81" s="60"/>
      <c r="K81" s="101"/>
    </row>
    <row r="82" spans="2:11" ht="14.5">
      <c r="B82" s="78"/>
      <c r="C82" s="79"/>
      <c r="D82" s="80"/>
      <c r="E82" s="79"/>
      <c r="F82" s="79"/>
      <c r="G82" s="79"/>
      <c r="H82" s="79"/>
      <c r="I82" s="79"/>
      <c r="J82" s="79"/>
      <c r="K82" s="81"/>
    </row>
    <row r="83" spans="2:11" ht="14.5">
      <c r="B83" s="82"/>
      <c r="C83" s="82"/>
      <c r="D83" s="82"/>
      <c r="E83" s="82"/>
      <c r="F83" s="82"/>
      <c r="G83" s="82"/>
      <c r="H83" s="82"/>
      <c r="I83" s="82"/>
      <c r="J83" s="82"/>
      <c r="K83" s="82"/>
    </row>
    <row r="84" spans="2:11" ht="14.5">
      <c r="B84" s="82"/>
      <c r="C84" s="82"/>
      <c r="D84" s="82"/>
      <c r="E84" s="82"/>
      <c r="F84" s="82"/>
      <c r="G84" s="82"/>
      <c r="H84" s="82"/>
      <c r="I84" s="82"/>
      <c r="J84" s="82"/>
      <c r="K84" s="82"/>
    </row>
    <row r="85" spans="2:11" ht="14.5">
      <c r="B85" s="82"/>
      <c r="C85" s="82"/>
      <c r="D85" s="82"/>
      <c r="E85" s="82"/>
      <c r="F85" s="82"/>
      <c r="G85" s="82"/>
      <c r="H85" s="82"/>
      <c r="I85" s="82"/>
      <c r="J85" s="82"/>
      <c r="K85" s="82"/>
    </row>
    <row r="86" spans="2:11" ht="14.5">
      <c r="B86" s="84" t="s">
        <v>176</v>
      </c>
      <c r="C86" s="84"/>
      <c r="D86" s="83"/>
      <c r="E86" s="82"/>
      <c r="F86" s="82"/>
      <c r="G86" s="82"/>
      <c r="H86" s="82"/>
      <c r="I86" s="82"/>
      <c r="J86" s="82"/>
      <c r="K86" s="82"/>
    </row>
    <row r="87" spans="2:11" ht="14.5">
      <c r="B87" s="85" t="s">
        <v>181</v>
      </c>
      <c r="C87" s="85"/>
      <c r="D87" s="85" t="s">
        <v>177</v>
      </c>
      <c r="E87" s="82"/>
      <c r="F87" s="82"/>
      <c r="G87" s="82"/>
      <c r="H87" s="82"/>
      <c r="I87" s="82"/>
      <c r="J87" s="82"/>
      <c r="K87" s="82"/>
    </row>
    <row r="88" spans="2:11" ht="14.5">
      <c r="B88" s="23" t="s">
        <v>71</v>
      </c>
      <c r="C88" s="39"/>
      <c r="D88" s="28" t="s">
        <v>178</v>
      </c>
      <c r="E88" s="82"/>
      <c r="F88" s="82"/>
      <c r="G88" s="82"/>
      <c r="H88" s="82"/>
      <c r="I88" s="82"/>
      <c r="J88" s="82"/>
      <c r="K88" s="82"/>
    </row>
    <row r="89" spans="2:11" ht="14.5">
      <c r="B89" s="23" t="s">
        <v>72</v>
      </c>
      <c r="C89" s="39"/>
      <c r="D89" s="28" t="s">
        <v>179</v>
      </c>
      <c r="E89" s="82"/>
      <c r="F89" s="82"/>
      <c r="G89" s="82"/>
      <c r="H89" s="82"/>
      <c r="I89" s="82"/>
      <c r="J89" s="82"/>
      <c r="K89" s="82"/>
    </row>
    <row r="90" spans="2:11" ht="14.5">
      <c r="B90" s="23" t="s">
        <v>64</v>
      </c>
      <c r="C90" s="39"/>
      <c r="D90" s="28" t="s">
        <v>180</v>
      </c>
      <c r="E90" s="82"/>
      <c r="F90" s="82"/>
      <c r="G90" s="82"/>
      <c r="H90" s="82"/>
      <c r="I90" s="82"/>
      <c r="J90" s="82"/>
      <c r="K90" s="82"/>
    </row>
    <row r="91" spans="2:11" ht="14.5">
      <c r="B91" s="87"/>
      <c r="C91" s="87"/>
      <c r="D91" s="87"/>
      <c r="E91" s="87"/>
      <c r="F91" s="87"/>
      <c r="G91" s="87"/>
      <c r="H91" s="82"/>
      <c r="I91" s="86"/>
      <c r="J91" s="86"/>
      <c r="K91" s="87"/>
    </row>
    <row r="92" spans="2:11" ht="14.5">
      <c r="B92" s="87"/>
      <c r="C92" s="87"/>
      <c r="D92" s="87"/>
      <c r="E92" s="87"/>
      <c r="F92" s="87"/>
      <c r="G92" s="87"/>
      <c r="H92" s="82"/>
      <c r="I92" s="86"/>
      <c r="J92" s="86"/>
      <c r="K92" s="87"/>
    </row>
    <row r="93" spans="2:11" ht="14.5">
      <c r="B93" s="87"/>
      <c r="C93" s="87"/>
      <c r="D93" s="87"/>
      <c r="E93" s="87"/>
      <c r="F93" s="87"/>
      <c r="G93" s="87"/>
      <c r="H93" s="82"/>
      <c r="I93" s="86"/>
      <c r="J93" s="86"/>
      <c r="K93" s="87"/>
    </row>
    <row r="94" spans="2:11">
      <c r="B94" s="87"/>
      <c r="C94" s="87"/>
      <c r="D94" s="87"/>
      <c r="E94" s="87"/>
      <c r="F94" s="87"/>
      <c r="G94" s="87"/>
      <c r="H94" s="86"/>
      <c r="I94" s="86"/>
      <c r="J94" s="86"/>
      <c r="K94" s="87"/>
    </row>
  </sheetData>
  <mergeCells count="2">
    <mergeCell ref="H4:I4"/>
    <mergeCell ref="H3:J3"/>
  </mergeCells>
  <phoneticPr fontId="41"/>
  <conditionalFormatting sqref="H5:H28 H33:H81">
    <cfRule type="containsText" dxfId="8" priority="1" operator="containsText" text="0x05">
      <formula>NOT(ISERROR(SEARCH("0x05",H5)))</formula>
    </cfRule>
  </conditionalFormatting>
  <dataValidations count="2">
    <dataValidation type="list" allowBlank="1" showInputMessage="1" showErrorMessage="1" sqref="G83:G1048576 I83:K1048576" xr:uid="{00000000-0002-0000-0400-000000000000}">
      <formula1>"Yes,No,N/A"</formula1>
    </dataValidation>
    <dataValidation type="list" allowBlank="1" showInputMessage="1" showErrorMessage="1" sqref="G5:G16 G34:G39 G41:G52 G54:G59 G73:G81 G61:G71 G18:G32" xr:uid="{00000000-0002-0000-0400-000001000000}">
      <formula1>"Pass,Fail,N/A"</formula1>
    </dataValidation>
  </dataValidations>
  <pageMargins left="0.75" right="0.75" top="1" bottom="1" header="0.5" footer="0.5"/>
  <pageSetup paperSize="9"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H34"/>
  <sheetViews>
    <sheetView zoomScaleNormal="100" zoomScalePageLayoutView="130" workbookViewId="0"/>
  </sheetViews>
  <sheetFormatPr defaultColWidth="11" defaultRowHeight="14"/>
  <cols>
    <col min="1" max="1" width="1.6640625" style="46" customWidth="1"/>
    <col min="2" max="2" width="7.1640625" style="46" customWidth="1"/>
    <col min="3" max="3" width="17.83203125" style="46" customWidth="1"/>
    <col min="4" max="4" width="99.6640625" style="46" customWidth="1"/>
    <col min="5" max="6" width="11" style="46"/>
    <col min="7" max="7" width="61.83203125" style="46" customWidth="1"/>
    <col min="8" max="8" width="30.6640625" style="46" customWidth="1"/>
    <col min="9" max="16384" width="11" style="46"/>
  </cols>
  <sheetData>
    <row r="1" spans="2:8" ht="18.5">
      <c r="B1" s="99" t="s">
        <v>150</v>
      </c>
      <c r="C1" s="93"/>
      <c r="G1" s="86"/>
      <c r="H1" s="87"/>
    </row>
    <row r="2" spans="2:8">
      <c r="G2" s="86"/>
      <c r="H2" s="87"/>
    </row>
    <row r="3" spans="2:8" ht="14.5">
      <c r="B3" s="49" t="s">
        <v>0</v>
      </c>
      <c r="C3" s="50" t="s">
        <v>221</v>
      </c>
      <c r="D3" s="51" t="s">
        <v>119</v>
      </c>
      <c r="E3" s="50" t="s">
        <v>38</v>
      </c>
      <c r="F3" s="52" t="s">
        <v>184</v>
      </c>
      <c r="G3" s="96" t="s">
        <v>298</v>
      </c>
      <c r="H3" s="53" t="s">
        <v>186</v>
      </c>
    </row>
    <row r="4" spans="2:8" ht="14.5">
      <c r="B4" s="67" t="s">
        <v>120</v>
      </c>
      <c r="C4" s="68"/>
      <c r="D4" s="69" t="s">
        <v>146</v>
      </c>
      <c r="E4" s="70"/>
      <c r="F4" s="70"/>
      <c r="G4" s="70"/>
      <c r="H4" s="71"/>
    </row>
    <row r="5" spans="2:8" ht="29">
      <c r="B5" s="58" t="s">
        <v>201</v>
      </c>
      <c r="C5" s="59" t="s">
        <v>284</v>
      </c>
      <c r="D5" s="60" t="s">
        <v>142</v>
      </c>
      <c r="E5" s="95" t="s">
        <v>3</v>
      </c>
      <c r="F5" s="91" t="s">
        <v>64</v>
      </c>
      <c r="G5" s="75" t="str">
        <f>HYPERLINK(CONCATENATE(BASE_URL,"0x06j-Testing-Resiliency-Against-Reverse-Engineering.md#jailbreak-detection-mstg-resilience-1"),"Jailbreak Detection (MSTG-RESILIENCE-1)")</f>
        <v>Jailbreak Detection (MSTG-RESILIENCE-1)</v>
      </c>
      <c r="H5" s="92"/>
    </row>
    <row r="6" spans="2:8" ht="14.5">
      <c r="B6" s="58" t="s">
        <v>202</v>
      </c>
      <c r="C6" s="59" t="s">
        <v>295</v>
      </c>
      <c r="D6" s="60" t="s">
        <v>367</v>
      </c>
      <c r="E6" s="95" t="s">
        <v>3</v>
      </c>
      <c r="F6" s="91" t="s">
        <v>64</v>
      </c>
      <c r="G6" s="75" t="str">
        <f>HYPERLINK(CONCATENATE(BASE_URL,"0x06j-Testing-Resiliency-Against-Reverse-Engineering.md#anti-debugging-checks-mstg-resilience-2"),"Anti-Debugging Checks (MSTG-RESILIENCE-2)")</f>
        <v>Anti-Debugging Checks (MSTG-RESILIENCE-2)</v>
      </c>
      <c r="H6" s="92"/>
    </row>
    <row r="7" spans="2:8" ht="14.5">
      <c r="B7" s="58" t="s">
        <v>203</v>
      </c>
      <c r="C7" s="59" t="s">
        <v>285</v>
      </c>
      <c r="D7" s="60" t="s">
        <v>368</v>
      </c>
      <c r="E7" s="95" t="s">
        <v>3</v>
      </c>
      <c r="F7" s="91" t="s">
        <v>64</v>
      </c>
      <c r="G7" s="75" t="str">
        <f>HYPERLINK(CONCATENATE(BASE_URL,"0x06j-Testing-Resiliency-Against-Reverse-Engineering.md#file-integrity-checks-mstg-resilience-3-and-mstg-resilience-11"),"File Integrity Checks (MSTG-RESILIENCE-3 and MSTG-RESILIENCE-11)")</f>
        <v>File Integrity Checks (MSTG-RESILIENCE-3 and MSTG-RESILIENCE-11)</v>
      </c>
      <c r="H7" s="92"/>
    </row>
    <row r="8" spans="2:8" ht="14.5">
      <c r="B8" s="58" t="s">
        <v>204</v>
      </c>
      <c r="C8" s="59" t="s">
        <v>286</v>
      </c>
      <c r="D8" s="60" t="s">
        <v>369</v>
      </c>
      <c r="E8" s="95" t="s">
        <v>3</v>
      </c>
      <c r="F8" s="91" t="s">
        <v>64</v>
      </c>
      <c r="G8" s="102" t="s">
        <v>81</v>
      </c>
      <c r="H8" s="92"/>
    </row>
    <row r="9" spans="2:8" ht="14.5">
      <c r="B9" s="58" t="s">
        <v>205</v>
      </c>
      <c r="C9" s="59" t="s">
        <v>287</v>
      </c>
      <c r="D9" s="60" t="s">
        <v>370</v>
      </c>
      <c r="E9" s="95" t="s">
        <v>3</v>
      </c>
      <c r="F9" s="91" t="s">
        <v>64</v>
      </c>
      <c r="G9" s="102" t="s">
        <v>81</v>
      </c>
      <c r="H9" s="92"/>
    </row>
    <row r="10" spans="2:8" ht="14.5">
      <c r="B10" s="58" t="s">
        <v>206</v>
      </c>
      <c r="C10" s="59" t="s">
        <v>288</v>
      </c>
      <c r="D10" s="60" t="s">
        <v>143</v>
      </c>
      <c r="E10" s="95" t="s">
        <v>3</v>
      </c>
      <c r="F10" s="91" t="s">
        <v>64</v>
      </c>
      <c r="G10" s="102" t="s">
        <v>81</v>
      </c>
      <c r="H10" s="92"/>
    </row>
    <row r="11" spans="2:8" ht="29">
      <c r="B11" s="58" t="s">
        <v>207</v>
      </c>
      <c r="C11" s="59" t="s">
        <v>289</v>
      </c>
      <c r="D11" s="60" t="s">
        <v>371</v>
      </c>
      <c r="E11" s="95" t="s">
        <v>3</v>
      </c>
      <c r="F11" s="91" t="s">
        <v>64</v>
      </c>
      <c r="G11" s="98" t="s">
        <v>81</v>
      </c>
      <c r="H11" s="92"/>
    </row>
    <row r="12" spans="2:8" ht="14.5">
      <c r="B12" s="58" t="s">
        <v>208</v>
      </c>
      <c r="C12" s="59" t="s">
        <v>290</v>
      </c>
      <c r="D12" s="60" t="s">
        <v>372</v>
      </c>
      <c r="E12" s="95" t="s">
        <v>3</v>
      </c>
      <c r="F12" s="91" t="s">
        <v>64</v>
      </c>
      <c r="G12" s="98" t="s">
        <v>81</v>
      </c>
      <c r="H12" s="92"/>
    </row>
    <row r="13" spans="2:8" ht="14.5">
      <c r="B13" s="58" t="s">
        <v>97</v>
      </c>
      <c r="C13" s="59" t="s">
        <v>291</v>
      </c>
      <c r="D13" s="60" t="s">
        <v>373</v>
      </c>
      <c r="E13" s="95" t="s">
        <v>3</v>
      </c>
      <c r="F13" s="91" t="s">
        <v>64</v>
      </c>
      <c r="G13" s="102" t="s">
        <v>81</v>
      </c>
      <c r="H13" s="92"/>
    </row>
    <row r="14" spans="2:8" ht="14.5">
      <c r="B14" s="67"/>
      <c r="C14" s="68"/>
      <c r="D14" s="69" t="s">
        <v>144</v>
      </c>
      <c r="E14" s="70"/>
      <c r="F14" s="70"/>
      <c r="G14" s="70"/>
      <c r="H14" s="71"/>
    </row>
    <row r="15" spans="2:8" ht="29">
      <c r="B15" s="58" t="s">
        <v>60</v>
      </c>
      <c r="C15" s="59" t="s">
        <v>292</v>
      </c>
      <c r="D15" s="60" t="s">
        <v>374</v>
      </c>
      <c r="E15" s="95" t="s">
        <v>3</v>
      </c>
      <c r="F15" s="91" t="s">
        <v>64</v>
      </c>
      <c r="G15" s="75" t="str">
        <f>HYPERLINK(CONCATENATE(BASE_URL,"0x06j-Testing-Resiliency-Against-Reverse-Engineering.md#device-binding-mstg-resilience-10"),"Device Binding (MSTG-RESILIENCE-10)")</f>
        <v>Device Binding (MSTG-RESILIENCE-10)</v>
      </c>
      <c r="H15" s="92"/>
    </row>
    <row r="16" spans="2:8" ht="14.5">
      <c r="B16" s="67"/>
      <c r="C16" s="68"/>
      <c r="D16" s="69" t="s">
        <v>145</v>
      </c>
      <c r="E16" s="70"/>
      <c r="F16" s="70"/>
      <c r="G16" s="70"/>
      <c r="H16" s="71"/>
    </row>
    <row r="17" spans="2:8" ht="43.5">
      <c r="B17" s="58" t="s">
        <v>209</v>
      </c>
      <c r="C17" s="59" t="s">
        <v>293</v>
      </c>
      <c r="D17" s="60" t="s">
        <v>375</v>
      </c>
      <c r="E17" s="95" t="s">
        <v>3</v>
      </c>
      <c r="F17" s="91" t="s">
        <v>64</v>
      </c>
      <c r="G17" s="77" t="str">
        <f>HYPERLINK(CONCATENATE(BASE_URL,"0x06j-Testing-Resiliency-Against-Reverse-Engineering.md#file-integrity-checks-mstg-resilience-3-and-mstg-resilience-11"),"File Integrity Checks (MSTG-RESILIENCE-3 and MSTG-RESILIENCE-11)")</f>
        <v>File Integrity Checks (MSTG-RESILIENCE-3 and MSTG-RESILIENCE-11)</v>
      </c>
      <c r="H17" s="92"/>
    </row>
    <row r="18" spans="2:8" ht="58">
      <c r="B18" s="58" t="s">
        <v>210</v>
      </c>
      <c r="C18" s="59" t="s">
        <v>294</v>
      </c>
      <c r="D18" s="60" t="s">
        <v>376</v>
      </c>
      <c r="E18" s="95" t="s">
        <v>3</v>
      </c>
      <c r="F18" s="91" t="s">
        <v>64</v>
      </c>
      <c r="G18" s="98" t="s">
        <v>81</v>
      </c>
      <c r="H18" s="92"/>
    </row>
    <row r="19" spans="2:8" ht="14.5">
      <c r="B19" s="67"/>
      <c r="C19" s="68"/>
      <c r="D19" s="70" t="s">
        <v>378</v>
      </c>
      <c r="E19" s="70"/>
      <c r="F19" s="70"/>
      <c r="G19" s="70"/>
      <c r="H19" s="71"/>
    </row>
    <row r="20" spans="2:8" ht="29">
      <c r="B20" s="58" t="s">
        <v>365</v>
      </c>
      <c r="C20" s="59" t="s">
        <v>366</v>
      </c>
      <c r="D20" s="60" t="s">
        <v>377</v>
      </c>
      <c r="E20" s="95" t="s">
        <v>3</v>
      </c>
      <c r="F20" s="91" t="s">
        <v>64</v>
      </c>
      <c r="G20" s="98"/>
      <c r="H20" s="92"/>
    </row>
    <row r="21" spans="2:8" ht="14.5">
      <c r="B21" s="78"/>
      <c r="C21" s="79"/>
      <c r="D21" s="80"/>
      <c r="E21" s="79"/>
      <c r="F21" s="79"/>
      <c r="G21" s="79"/>
      <c r="H21" s="81"/>
    </row>
    <row r="22" spans="2:8" ht="14.5">
      <c r="B22" s="82"/>
      <c r="C22" s="82"/>
      <c r="D22" s="82"/>
      <c r="E22" s="82"/>
      <c r="F22" s="82"/>
      <c r="G22" s="82"/>
      <c r="H22" s="82"/>
    </row>
    <row r="23" spans="2:8" ht="14.5">
      <c r="B23" s="82"/>
      <c r="C23" s="82"/>
      <c r="D23" s="82"/>
      <c r="E23" s="82"/>
      <c r="F23" s="82"/>
      <c r="G23" s="82"/>
      <c r="H23" s="82"/>
    </row>
    <row r="24" spans="2:8" ht="14.5">
      <c r="B24" s="84" t="s">
        <v>176</v>
      </c>
      <c r="C24" s="84"/>
      <c r="D24" s="83"/>
      <c r="E24" s="82"/>
      <c r="F24" s="82"/>
      <c r="G24" s="82"/>
      <c r="H24" s="82"/>
    </row>
    <row r="25" spans="2:8" ht="14.5">
      <c r="B25" s="85" t="s">
        <v>181</v>
      </c>
      <c r="C25" s="85"/>
      <c r="D25" s="85" t="s">
        <v>177</v>
      </c>
      <c r="E25" s="82"/>
      <c r="F25" s="82"/>
      <c r="G25" s="82"/>
      <c r="H25" s="82"/>
    </row>
    <row r="26" spans="2:8" ht="14.5">
      <c r="B26" s="23" t="s">
        <v>71</v>
      </c>
      <c r="C26" s="39"/>
      <c r="D26" s="28" t="s">
        <v>178</v>
      </c>
      <c r="E26" s="82"/>
      <c r="F26" s="82"/>
      <c r="G26" s="82"/>
      <c r="H26" s="82"/>
    </row>
    <row r="27" spans="2:8" ht="14.5">
      <c r="B27" s="23" t="s">
        <v>72</v>
      </c>
      <c r="C27" s="39"/>
      <c r="D27" s="28" t="s">
        <v>179</v>
      </c>
      <c r="E27" s="82"/>
      <c r="F27" s="82"/>
      <c r="G27" s="82"/>
      <c r="H27" s="82"/>
    </row>
    <row r="28" spans="2:8" ht="14.5">
      <c r="B28" s="23" t="s">
        <v>64</v>
      </c>
      <c r="C28" s="39"/>
      <c r="D28" s="28" t="s">
        <v>180</v>
      </c>
      <c r="E28" s="82"/>
      <c r="F28" s="82"/>
      <c r="G28" s="82"/>
      <c r="H28" s="82"/>
    </row>
    <row r="29" spans="2:8" ht="14.5">
      <c r="B29" s="82"/>
      <c r="C29" s="82"/>
      <c r="D29" s="82"/>
      <c r="E29" s="82"/>
      <c r="F29" s="82"/>
      <c r="G29" s="86"/>
      <c r="H29" s="87"/>
    </row>
    <row r="30" spans="2:8" ht="14.5">
      <c r="B30" s="82"/>
      <c r="C30" s="82"/>
      <c r="D30" s="82"/>
      <c r="E30" s="82"/>
      <c r="F30" s="82"/>
      <c r="G30" s="86"/>
      <c r="H30" s="87"/>
    </row>
    <row r="31" spans="2:8" ht="14.5">
      <c r="B31" s="82"/>
      <c r="C31" s="82"/>
      <c r="D31" s="82"/>
      <c r="E31" s="82"/>
      <c r="F31" s="82"/>
      <c r="G31" s="86"/>
      <c r="H31" s="87"/>
    </row>
    <row r="32" spans="2:8" ht="14.5">
      <c r="B32" s="82"/>
      <c r="C32" s="82"/>
      <c r="D32" s="82"/>
      <c r="E32" s="82"/>
      <c r="F32" s="82"/>
    </row>
    <row r="33" spans="2:6" ht="14.5">
      <c r="B33" s="82"/>
      <c r="C33" s="82"/>
      <c r="D33" s="82"/>
      <c r="E33" s="82"/>
      <c r="F33" s="82"/>
    </row>
    <row r="34" spans="2:6" ht="14.5">
      <c r="B34" s="82"/>
      <c r="C34" s="82"/>
      <c r="D34" s="82"/>
      <c r="E34" s="82"/>
      <c r="F34" s="82"/>
    </row>
  </sheetData>
  <phoneticPr fontId="41"/>
  <conditionalFormatting sqref="G8">
    <cfRule type="containsText" dxfId="7" priority="8" operator="containsText" text="0x05">
      <formula>NOT(ISERROR(SEARCH("0x05",G8)))</formula>
    </cfRule>
  </conditionalFormatting>
  <conditionalFormatting sqref="G9">
    <cfRule type="containsText" dxfId="6" priority="7" operator="containsText" text="0x05">
      <formula>NOT(ISERROR(SEARCH("0x05",G9)))</formula>
    </cfRule>
  </conditionalFormatting>
  <conditionalFormatting sqref="G10">
    <cfRule type="containsText" dxfId="5" priority="6" operator="containsText" text="0x05">
      <formula>NOT(ISERROR(SEARCH("0x05",G10)))</formula>
    </cfRule>
  </conditionalFormatting>
  <conditionalFormatting sqref="G11">
    <cfRule type="containsText" dxfId="4" priority="5" operator="containsText" text="0x05">
      <formula>NOT(ISERROR(SEARCH("0x05",G11)))</formula>
    </cfRule>
  </conditionalFormatting>
  <conditionalFormatting sqref="G12">
    <cfRule type="containsText" dxfId="3" priority="4" operator="containsText" text="0x05">
      <formula>NOT(ISERROR(SEARCH("0x05",G12)))</formula>
    </cfRule>
  </conditionalFormatting>
  <conditionalFormatting sqref="G13">
    <cfRule type="containsText" dxfId="2" priority="3" operator="containsText" text="0x05">
      <formula>NOT(ISERROR(SEARCH("0x05",G13)))</formula>
    </cfRule>
  </conditionalFormatting>
  <conditionalFormatting sqref="G17">
    <cfRule type="containsText" dxfId="1" priority="2" operator="containsText" text="0x05">
      <formula>NOT(ISERROR(SEARCH("0x05",G17)))</formula>
    </cfRule>
  </conditionalFormatting>
  <conditionalFormatting sqref="G18 G20">
    <cfRule type="containsText" dxfId="0" priority="1" operator="containsText" text="0x05">
      <formula>NOT(ISERROR(SEARCH("0x05",G18)))</formula>
    </cfRule>
  </conditionalFormatting>
  <dataValidations count="1">
    <dataValidation type="list" allowBlank="1" showInputMessage="1" showErrorMessage="1" sqref="F15 F5:F13 F17:F18 F20" xr:uid="{00000000-0002-0000-0500-000000000000}">
      <formula1>"Pass,Fail,N/A"</formula1>
    </dataValidation>
  </dataValidation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6"/>
  <sheetViews>
    <sheetView showGridLines="0" zoomScaleNormal="100" workbookViewId="0">
      <selection sqref="A1:B1"/>
    </sheetView>
  </sheetViews>
  <sheetFormatPr defaultColWidth="11" defaultRowHeight="14"/>
  <cols>
    <col min="1" max="1" width="30.1640625" style="46" bestFit="1" customWidth="1"/>
    <col min="2" max="2" width="11" style="46"/>
    <col min="3" max="3" width="14.08203125" style="46" bestFit="1" customWidth="1"/>
    <col min="4" max="4" width="11" style="46"/>
    <col min="5" max="5" width="129.6640625" style="46" customWidth="1"/>
    <col min="6" max="16384" width="11" style="46"/>
  </cols>
  <sheetData>
    <row r="1" spans="1:5" ht="15.5">
      <c r="A1" s="166" t="s">
        <v>61</v>
      </c>
      <c r="B1" s="166"/>
      <c r="C1" s="104"/>
      <c r="D1" s="47"/>
      <c r="E1" s="47"/>
    </row>
    <row r="2" spans="1:5" ht="15.5">
      <c r="A2" s="105" t="s">
        <v>83</v>
      </c>
      <c r="B2" s="105" t="s">
        <v>65</v>
      </c>
      <c r="C2" s="106" t="s">
        <v>381</v>
      </c>
      <c r="D2" s="105" t="s">
        <v>84</v>
      </c>
      <c r="E2" s="107" t="s">
        <v>70</v>
      </c>
    </row>
    <row r="3" spans="1:5" ht="15.5">
      <c r="A3" s="32" t="s">
        <v>62</v>
      </c>
      <c r="B3" s="108">
        <v>0.1</v>
      </c>
      <c r="C3" s="109"/>
      <c r="D3" s="30">
        <v>42765</v>
      </c>
      <c r="E3" s="32" t="s">
        <v>85</v>
      </c>
    </row>
    <row r="4" spans="1:5" ht="15.5">
      <c r="A4" s="32" t="s">
        <v>63</v>
      </c>
      <c r="B4" s="108">
        <v>0.2</v>
      </c>
      <c r="C4" s="109"/>
      <c r="D4" s="30">
        <v>42766</v>
      </c>
      <c r="E4" s="32" t="s">
        <v>86</v>
      </c>
    </row>
    <row r="5" spans="1:5" ht="15.5">
      <c r="A5" s="32" t="s">
        <v>79</v>
      </c>
      <c r="B5" s="108">
        <v>0.3</v>
      </c>
      <c r="C5" s="109"/>
      <c r="D5" s="30">
        <v>42778</v>
      </c>
      <c r="E5" s="32" t="s">
        <v>87</v>
      </c>
    </row>
    <row r="6" spans="1:5" ht="15.5">
      <c r="A6" s="32" t="s">
        <v>80</v>
      </c>
      <c r="B6" s="108" t="s">
        <v>82</v>
      </c>
      <c r="C6" s="109"/>
      <c r="D6" s="30">
        <v>42780</v>
      </c>
      <c r="E6" s="32" t="s">
        <v>88</v>
      </c>
    </row>
    <row r="7" spans="1:5" ht="15.5">
      <c r="A7" s="32" t="s">
        <v>63</v>
      </c>
      <c r="B7" s="110" t="s">
        <v>89</v>
      </c>
      <c r="C7" s="111"/>
      <c r="D7" s="30">
        <v>42781</v>
      </c>
      <c r="E7" s="32" t="s">
        <v>90</v>
      </c>
    </row>
    <row r="8" spans="1:5" ht="15.5">
      <c r="A8" s="32" t="s">
        <v>80</v>
      </c>
      <c r="B8" s="110" t="s">
        <v>91</v>
      </c>
      <c r="C8" s="111"/>
      <c r="D8" s="30">
        <v>42829</v>
      </c>
      <c r="E8" s="32" t="s">
        <v>92</v>
      </c>
    </row>
    <row r="9" spans="1:5" ht="15.5">
      <c r="A9" s="32" t="s">
        <v>63</v>
      </c>
      <c r="B9" s="110" t="s">
        <v>91</v>
      </c>
      <c r="C9" s="111"/>
      <c r="D9" s="30">
        <v>42919</v>
      </c>
      <c r="E9" s="32" t="s">
        <v>94</v>
      </c>
    </row>
    <row r="10" spans="1:5" ht="15.5">
      <c r="A10" s="32" t="s">
        <v>63</v>
      </c>
      <c r="B10" s="110" t="s">
        <v>98</v>
      </c>
      <c r="C10" s="111"/>
      <c r="D10" s="30">
        <v>42963</v>
      </c>
      <c r="E10" s="32" t="s">
        <v>96</v>
      </c>
    </row>
    <row r="11" spans="1:5" ht="15.5">
      <c r="A11" s="32" t="s">
        <v>63</v>
      </c>
      <c r="B11" s="29" t="s">
        <v>99</v>
      </c>
      <c r="C11" s="103"/>
      <c r="D11" s="30">
        <v>43113</v>
      </c>
      <c r="E11" s="32" t="s">
        <v>100</v>
      </c>
    </row>
    <row r="12" spans="1:5" ht="15.5">
      <c r="A12" s="32" t="s">
        <v>175</v>
      </c>
      <c r="B12" s="29" t="s">
        <v>188</v>
      </c>
      <c r="C12" s="103"/>
      <c r="D12" s="30">
        <v>43266</v>
      </c>
      <c r="E12" s="31" t="s">
        <v>187</v>
      </c>
    </row>
    <row r="13" spans="1:5" ht="15.5">
      <c r="A13" s="32" t="s">
        <v>193</v>
      </c>
      <c r="B13" s="29" t="s">
        <v>195</v>
      </c>
      <c r="C13" s="103"/>
      <c r="D13" s="30">
        <v>43641</v>
      </c>
      <c r="E13" s="31" t="s">
        <v>192</v>
      </c>
    </row>
    <row r="14" spans="1:5" ht="14.25" customHeight="1">
      <c r="A14" s="42" t="s">
        <v>193</v>
      </c>
      <c r="B14" s="41" t="s">
        <v>196</v>
      </c>
      <c r="C14" s="41"/>
      <c r="D14" s="40">
        <v>43642</v>
      </c>
      <c r="E14" s="112" t="s">
        <v>197</v>
      </c>
    </row>
    <row r="15" spans="1:5" ht="42">
      <c r="A15" s="43" t="s">
        <v>193</v>
      </c>
      <c r="B15" s="109" t="s">
        <v>2</v>
      </c>
      <c r="C15" s="109" t="s">
        <v>382</v>
      </c>
      <c r="D15" s="113">
        <v>43685</v>
      </c>
      <c r="E15" s="114" t="s">
        <v>296</v>
      </c>
    </row>
    <row r="16" spans="1:5" ht="196">
      <c r="A16" s="114" t="s">
        <v>379</v>
      </c>
      <c r="B16" s="115" t="s">
        <v>380</v>
      </c>
      <c r="C16" s="109">
        <v>1.2</v>
      </c>
      <c r="D16" s="113">
        <v>43950</v>
      </c>
      <c r="E16" s="114" t="s">
        <v>383</v>
      </c>
    </row>
  </sheetData>
  <mergeCells count="1">
    <mergeCell ref="A1:B1"/>
  </mergeCells>
  <phoneticPr fontId="41"/>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3</vt:i4>
      </vt:variant>
    </vt:vector>
  </HeadingPairs>
  <TitlesOfParts>
    <vt:vector size="10" baseType="lpstr">
      <vt:lpstr>Dashboard</vt:lpstr>
      <vt:lpstr>Management Summary</vt:lpstr>
      <vt:lpstr>Security Requirements - Android</vt:lpstr>
      <vt:lpstr>Anti-RE - Android</vt:lpstr>
      <vt:lpstr>Security Requirements - iOS</vt:lpstr>
      <vt:lpstr>Anti-RE - iOS</vt:lpstr>
      <vt:lpstr>Version history</vt:lpstr>
      <vt:lpstr>BASE_URL</vt:lpstr>
      <vt:lpstr>MASVS_VERSION</vt:lpstr>
      <vt:lpstr>MSTG_VERSION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coky</cp:lastModifiedBy>
  <dcterms:created xsi:type="dcterms:W3CDTF">2017-01-25T17:37:15Z</dcterms:created>
  <dcterms:modified xsi:type="dcterms:W3CDTF">2020-05-11T11:36:32Z</dcterms:modified>
</cp:coreProperties>
</file>