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91A89D34-CED5-4A57-95F0-AEB2CEAF2507}" xr6:coauthVersionLast="43" xr6:coauthVersionMax="43" xr10:uidLastSave="{00000000-0000-0000-0000-000000000000}"/>
  <bookViews>
    <workbookView xWindow="-110" yWindow="-110" windowWidth="19420" windowHeight="10420" tabRatio="500" firstSheet="4"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Android'!$B$3:$J$72</definedName>
    <definedName name="BASE_URL">Dashboard!$D$14</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 name="MASVS_VERSION" localSheetId="7">[1]Dashboard!$D$11</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13" i="1" l="1"/>
  <c r="H5" i="1" l="1"/>
  <c r="I6" i="1"/>
  <c r="H10" i="1"/>
  <c r="H9" i="1"/>
  <c r="H8" i="1"/>
  <c r="H7" i="1"/>
  <c r="H6" i="1"/>
  <c r="I11" i="1"/>
  <c r="H11" i="1"/>
  <c r="H12" i="1"/>
  <c r="H14" i="1"/>
  <c r="H14" i="10"/>
  <c r="H13" i="10"/>
  <c r="H12" i="10"/>
  <c r="I11" i="10"/>
  <c r="H11" i="10"/>
  <c r="H10" i="10"/>
  <c r="H9" i="10"/>
  <c r="H8" i="10"/>
  <c r="H7" i="10"/>
  <c r="I6" i="10"/>
  <c r="H6" i="10"/>
  <c r="H5" i="10"/>
  <c r="G15" i="3" l="1"/>
  <c r="G7" i="3"/>
  <c r="G6" i="3"/>
  <c r="G5" i="3"/>
  <c r="H72" i="1"/>
  <c r="H71" i="1"/>
  <c r="H70" i="1"/>
  <c r="H69" i="1"/>
  <c r="H68" i="1"/>
  <c r="H67" i="1"/>
  <c r="H66" i="1"/>
  <c r="H65" i="1"/>
  <c r="H64" i="1"/>
  <c r="H62" i="1"/>
  <c r="H61" i="1"/>
  <c r="H60" i="1"/>
  <c r="H59" i="1"/>
  <c r="H58" i="1"/>
  <c r="H57" i="1"/>
  <c r="H56" i="1"/>
  <c r="H55" i="1"/>
  <c r="H53" i="1"/>
  <c r="H52" i="1"/>
  <c r="H51" i="1"/>
  <c r="H50" i="1"/>
  <c r="I49" i="1"/>
  <c r="H49" i="1"/>
  <c r="I48" i="1"/>
  <c r="H48" i="1"/>
  <c r="H46" i="1"/>
  <c r="H45" i="1"/>
  <c r="H44" i="1"/>
  <c r="H43" i="1"/>
  <c r="H42" i="1"/>
  <c r="H41" i="1"/>
  <c r="H40" i="1"/>
  <c r="H39" i="1"/>
  <c r="H38" i="1"/>
  <c r="H37" i="1"/>
  <c r="H36" i="1"/>
  <c r="H34" i="1"/>
  <c r="H33" i="1"/>
  <c r="H32" i="1"/>
  <c r="H31" i="1"/>
  <c r="H30" i="1"/>
  <c r="H29" i="1"/>
  <c r="H27" i="1"/>
  <c r="H26" i="1"/>
  <c r="H25" i="1"/>
  <c r="H24" i="1"/>
  <c r="H23" i="1"/>
  <c r="H22" i="1"/>
  <c r="H21" i="1"/>
  <c r="H20" i="1"/>
  <c r="H19" i="1"/>
  <c r="H18" i="1"/>
  <c r="H17" i="1"/>
  <c r="H16" i="1"/>
  <c r="G17" i="11"/>
  <c r="G15" i="11"/>
  <c r="G13" i="11"/>
  <c r="G10" i="11"/>
  <c r="G9" i="11"/>
  <c r="G8" i="11"/>
  <c r="G7" i="11"/>
  <c r="G6" i="11"/>
  <c r="G5" i="11"/>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41" i="10"/>
  <c r="H40" i="10"/>
  <c r="H39" i="10"/>
  <c r="H38" i="10"/>
  <c r="H37" i="10"/>
  <c r="H36" i="10"/>
  <c r="H34" i="10"/>
  <c r="H33" i="10"/>
  <c r="H32" i="10"/>
  <c r="H31" i="10"/>
  <c r="H30" i="10"/>
  <c r="H29" i="10"/>
  <c r="H27" i="10"/>
  <c r="H26" i="10"/>
  <c r="H25" i="10"/>
  <c r="H24" i="10"/>
  <c r="H23" i="10"/>
  <c r="H22" i="10"/>
  <c r="H21" i="10"/>
  <c r="H20" i="10"/>
  <c r="H19" i="10"/>
  <c r="H18" i="10"/>
  <c r="H17" i="10"/>
  <c r="H16" i="10"/>
  <c r="D12" i="6"/>
  <c r="D14" i="6"/>
  <c r="D43" i="7"/>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alcChain>
</file>

<file path=xl/sharedStrings.xml><?xml version="1.0" encoding="utf-8"?>
<sst xmlns="http://schemas.openxmlformats.org/spreadsheetml/2006/main" count="1020" uniqueCount="384">
  <si>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</si>
  <si>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</si>
  <si>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</si>
  <si>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</si>
  <si>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</si>
  <si>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</si>
  <si>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</si>
  <si>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</si>
  <si>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</si>
  <si>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</si>
  <si>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</si>
  <si>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</si>
  <si>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</si>
  <si>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</si>
  <si>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</si>
  <si>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</si>
  <si>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</si>
  <si>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</si>
  <si>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</si>
  <si>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</si>
  <si>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</si>
  <si>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</si>
  <si>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</si>
  <si>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</si>
  <si>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</si>
  <si>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</si>
  <si>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</si>
  <si>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</si>
  <si>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</si>
  <si>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</si>
  <si>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</si>
  <si>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</si>
  <si>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</si>
  <si>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</si>
  <si>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</si>
  <si>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</si>
  <si>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</si>
  <si>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</si>
  <si>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</si>
  <si>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</si>
  <si>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</si>
  <si>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</si>
  <si>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</si>
  <si>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</si>
  <si>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</si>
  <si>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</si>
  <si>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</si>
  <si>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</si>
  <si>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</si>
  <si>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</si>
  <si>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</si>
  <si>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</si>
  <si>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</si>
  <si>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</si>
  <si>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</si>
  <si>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</si>
  <si>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</si>
  <si>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</si>
  <si>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</si>
  <si>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</si>
  <si>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</si>
  <si>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</si>
  <si>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</si>
  <si>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</si>
  <si>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</si>
  <si>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</si>
  <si>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</si>
  <si>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</si>
  <si>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</si>
  <si>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</si>
  <si>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</si>
  <si>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</si>
  <si>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</si>
  <si>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</si>
  <si>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</si>
  <si>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</si>
  <si>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</si>
  <si>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</si>
  <si>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</si>
  <si>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</si>
  <si>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</si>
  <si>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</si>
  <si>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</si>
  <si>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</si>
  <si>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</si>
  <si>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</si>
  <si>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</si>
  <si>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</si>
  <si>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</si>
  <si>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</si>
  <si>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</si>
  <si>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</si>
  <si>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</si>
  <si>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</si>
  <si>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</si>
  <si>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</si>
  <si>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</si>
  <si>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</si>
  <si>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</si>
  <si>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</si>
  <si>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</si>
  <si>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</si>
  <si>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</si>
  <si>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</si>
  <si>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</si>
  <si>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</si>
  <si>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</si>
  <si>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</si>
  <si>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</si>
  <si>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</si>
  <si>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</si>
  <si>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</si>
  <si>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</si>
  <si>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</si>
  <si>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</si>
  <si>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</si>
  <si>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</si>
  <si>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</si>
  <si>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</si>
  <si>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</si>
  <si>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</si>
  <si>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</si>
  <si>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</si>
  <si>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</si>
  <si>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</si>
  <si>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</si>
  <si>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</si>
  <si>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</si>
  <si>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</si>
  <si>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</si>
  <si>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</si>
  <si>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</si>
  <si>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</si>
  <si>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</si>
  <si>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</si>
  <si>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</si>
  <si>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</si>
  <si>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</si>
  <si>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2"/>
  </si>
  <si>
    <r>
      <t xml:space="preserve">OWASP モバイルアプリケーションセキュリティチェックリスト
</t>
    </r>
    <r>
      <rPr>
        <sz val="14"/>
        <rFont val="Calibri"/>
        <family val="3"/>
        <charset val="128"/>
        <scheme val="minor"/>
      </rPr>
      <t xml:space="preserve">
OWASP モバイルアプリケーションセキュリティ検証標準ベース</t>
    </r>
    <rPh sb="58" eb="60">
      <t>ケンショウ</t>
    </rPh>
    <rPh sb="60" eb="62">
      <t>ヒョウジュン</t>
    </rPh>
    <phoneticPr fontId="12"/>
  </si>
  <si>
    <t>MASVS バージョン</t>
    <phoneticPr fontId="12"/>
  </si>
  <si>
    <t>オンライン版MSTG</t>
    <rPh sb="5" eb="6">
      <t>バン</t>
    </rPh>
    <phoneticPr fontId="12"/>
  </si>
  <si>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2"/>
  </si>
  <si>
    <t>顧客企業名</t>
    <rPh sb="0" eb="2">
      <t>コキャク</t>
    </rPh>
    <rPh sb="2" eb="4">
      <t>キギョウ</t>
    </rPh>
    <rPh sb="4" eb="5">
      <t>メイ</t>
    </rPh>
    <phoneticPr fontId="12"/>
  </si>
  <si>
    <t>テスト場所</t>
    <rPh sb="3" eb="5">
      <t>バショ</t>
    </rPh>
    <phoneticPr fontId="12"/>
  </si>
  <si>
    <t>開始日</t>
    <rPh sb="0" eb="3">
      <t>カイシビ</t>
    </rPh>
    <phoneticPr fontId="12"/>
  </si>
  <si>
    <t>終了日</t>
    <rPh sb="0" eb="3">
      <t>シュウリョウビ</t>
    </rPh>
    <phoneticPr fontId="12"/>
  </si>
  <si>
    <t>テスト実施者名</t>
    <rPh sb="3" eb="6">
      <t>ジッシシャ</t>
    </rPh>
    <rPh sb="6" eb="7">
      <t>メイ</t>
    </rPh>
    <phoneticPr fontId="12"/>
  </si>
  <si>
    <t>テストスコープ</t>
    <phoneticPr fontId="12"/>
  </si>
  <si>
    <t>&lt;アプリ名&gt;アプリで利用可能なすべての機能</t>
    <phoneticPr fontId="12"/>
  </si>
  <si>
    <t>検証レベル</t>
    <rPh sb="0" eb="2">
      <t>ケンショウ</t>
    </rPh>
    <phoneticPr fontId="12"/>
  </si>
  <si>
    <t>テスト情報 Android</t>
    <rPh sb="3" eb="5">
      <t>ジョウホウ</t>
    </rPh>
    <phoneticPr fontId="12"/>
  </si>
  <si>
    <t>アプリケーション名</t>
    <rPh sb="8" eb="9">
      <t>メイ</t>
    </rPh>
    <phoneticPr fontId="12"/>
  </si>
  <si>
    <t>ファイル名</t>
    <rPh sb="4" eb="5">
      <t>メイ</t>
    </rPh>
    <phoneticPr fontId="12"/>
  </si>
  <si>
    <t>バージョン</t>
    <phoneticPr fontId="12"/>
  </si>
  <si>
    <t>APK の SHA256 ハッシュ
(shasum, openssl, sha256sum を使用して取得)</t>
    <rPh sb="47" eb="49">
      <t>シヨウ</t>
    </rPh>
    <rPh sb="51" eb="53">
      <t>シュトク</t>
    </rPh>
    <phoneticPr fontId="12"/>
  </si>
  <si>
    <t>テスト情報 iOS</t>
    <rPh sb="3" eb="5">
      <t>ジョウホウ</t>
    </rPh>
    <phoneticPr fontId="12"/>
  </si>
  <si>
    <t>App Store リンク</t>
    <phoneticPr fontId="12"/>
  </si>
  <si>
    <t>Google Play Store リンク</t>
    <phoneticPr fontId="12"/>
  </si>
  <si>
    <t>IPA の SHA256 ハッシュ
(shasum, openssl, sha256sum を使用して取得)</t>
    <rPh sb="47" eb="49">
      <t>シヨウ</t>
    </rPh>
    <rPh sb="51" eb="53">
      <t>シュトク</t>
    </rPh>
    <phoneticPr fontId="12"/>
  </si>
  <si>
    <t>顧客代表者および連絡先情報</t>
    <rPh sb="0" eb="2">
      <t>コキャク</t>
    </rPh>
    <rPh sb="2" eb="5">
      <t>ダイヒョウシャ</t>
    </rPh>
    <rPh sb="8" eb="11">
      <t>レンラクサキ</t>
    </rPh>
    <rPh sb="11" eb="13">
      <t>ジョウホウ</t>
    </rPh>
    <phoneticPr fontId="12"/>
  </si>
  <si>
    <t>氏名</t>
    <rPh sb="0" eb="2">
      <t>シメイ</t>
    </rPh>
    <phoneticPr fontId="12"/>
  </si>
  <si>
    <t>所属</t>
    <rPh sb="0" eb="2">
      <t>ショゾク</t>
    </rPh>
    <phoneticPr fontId="12"/>
  </si>
  <si>
    <t>役職</t>
    <rPh sb="0" eb="2">
      <t>ヤクショク</t>
    </rPh>
    <phoneticPr fontId="12"/>
  </si>
  <si>
    <t>電話番号</t>
    <rPh sb="0" eb="2">
      <t>デンワ</t>
    </rPh>
    <rPh sb="2" eb="4">
      <t>バンゴウ</t>
    </rPh>
    <phoneticPr fontId="12"/>
  </si>
  <si>
    <t>電子メールアドレス</t>
    <rPh sb="0" eb="2">
      <t>デンシ</t>
    </rPh>
    <phoneticPr fontId="12"/>
  </si>
  <si>
    <t>管理者向けサマリー</t>
    <rPh sb="0" eb="3">
      <t>カンリシャ</t>
    </rPh>
    <rPh sb="3" eb="4">
      <t>ム</t>
    </rPh>
    <phoneticPr fontId="12"/>
  </si>
  <si>
    <t>MASVS 準拠スコア ( / 5)</t>
    <rPh sb="6" eb="8">
      <t>ジュンキョ</t>
    </rPh>
    <phoneticPr fontId="12"/>
  </si>
  <si>
    <t>V1: アーキテクチャ、設計、脅威モデリング</t>
    <rPh sb="12" eb="14">
      <t>セッケイ</t>
    </rPh>
    <rPh sb="15" eb="17">
      <t>キョウイ</t>
    </rPh>
    <phoneticPr fontId="3"/>
  </si>
  <si>
    <t>V2: データストレージとプライバシー</t>
  </si>
  <si>
    <t>V3: 暗号化</t>
    <rPh sb="4" eb="7">
      <t>アンゴウカ</t>
    </rPh>
    <phoneticPr fontId="3"/>
  </si>
  <si>
    <t>V4: 認証とセッション管理</t>
    <rPh sb="4" eb="6">
      <t>ニンショウ</t>
    </rPh>
    <rPh sb="12" eb="14">
      <t>カンリ</t>
    </rPh>
    <phoneticPr fontId="3"/>
  </si>
  <si>
    <t>V5: ネットワーク通信</t>
    <rPh sb="10" eb="12">
      <t>ツウシン</t>
    </rPh>
    <phoneticPr fontId="3"/>
  </si>
  <si>
    <t>V6: プラットフォーム連携</t>
    <rPh sb="12" eb="14">
      <t>レンケイ</t>
    </rPh>
    <phoneticPr fontId="3"/>
  </si>
  <si>
    <t>V7: コード品質とビルド設定</t>
    <rPh sb="7" eb="9">
      <t>ヒンシツ</t>
    </rPh>
    <rPh sb="13" eb="15">
      <t>セッテイ</t>
    </rPh>
    <phoneticPr fontId="3"/>
  </si>
  <si>
    <t>V8: リバースエンジニアリングに対する耐性</t>
    <rPh sb="17" eb="18">
      <t>タイ</t>
    </rPh>
    <rPh sb="20" eb="22">
      <t>タイセイ</t>
    </rPh>
    <phoneticPr fontId="3"/>
  </si>
  <si>
    <t>Koki Takeyama</t>
    <phoneticPr fontId="12"/>
  </si>
  <si>
    <t>1.1</t>
    <phoneticPr fontId="12"/>
  </si>
  <si>
    <t>1.0</t>
    <phoneticPr fontId="12"/>
  </si>
  <si>
    <t>モバイルアプリケーションセキュリティ要件 - Android</t>
    <rPh sb="18" eb="20">
      <t>ヨウケン</t>
    </rPh>
    <phoneticPr fontId="12"/>
  </si>
  <si>
    <t>検証要件の内容</t>
    <rPh sb="0" eb="2">
      <t>ケンショウ</t>
    </rPh>
    <rPh sb="2" eb="4">
      <t>ヨウケン</t>
    </rPh>
    <rPh sb="5" eb="7">
      <t>ナイヨウ</t>
    </rPh>
    <phoneticPr fontId="3"/>
  </si>
  <si>
    <t>レベル1</t>
  </si>
  <si>
    <t>レベル2</t>
  </si>
  <si>
    <t>結果</t>
    <rPh sb="0" eb="2">
      <t>ケッカ</t>
    </rPh>
    <phoneticPr fontId="3"/>
  </si>
  <si>
    <t>テスト手順</t>
    <rPh sb="3" eb="5">
      <t>テジュン</t>
    </rPh>
    <phoneticPr fontId="12"/>
  </si>
  <si>
    <t>備考</t>
    <rPh sb="0" eb="2">
      <t>ビコウ</t>
    </rPh>
    <phoneticPr fontId="12"/>
  </si>
  <si>
    <t>アーキテクチャ、設計、脅威モデリング</t>
    <rPh sb="8" eb="10">
      <t>セッケイ</t>
    </rPh>
    <rPh sb="11" eb="13">
      <t>キョウイ</t>
    </rPh>
    <phoneticPr fontId="3"/>
  </si>
  <si>
    <t>データストレージとプライバシー</t>
  </si>
  <si>
    <t>1.1.0</t>
    <phoneticPr fontId="12"/>
  </si>
  <si>
    <t>暗号化</t>
    <rPh sb="0" eb="3">
      <t>アンゴウカ</t>
    </rPh>
    <phoneticPr fontId="3"/>
  </si>
  <si>
    <t>認証とセッション管理</t>
    <rPh sb="0" eb="2">
      <t>ニンショウ</t>
    </rPh>
    <rPh sb="8" eb="10">
      <t>カンリ</t>
    </rPh>
    <phoneticPr fontId="3"/>
  </si>
  <si>
    <t>ネットワーク通信</t>
    <rPh sb="6" eb="8">
      <t>ツウシン</t>
    </rPh>
    <phoneticPr fontId="3"/>
  </si>
  <si>
    <t>プラットフォーム連携</t>
    <rPh sb="8" eb="10">
      <t>レンケイ</t>
    </rPh>
    <phoneticPr fontId="3"/>
  </si>
  <si>
    <t>コード品質とビルド設定</t>
    <rPh sb="3" eb="5">
      <t>ヒンシツ</t>
    </rPh>
    <rPh sb="9" eb="11">
      <t>セッテイ</t>
    </rPh>
    <phoneticPr fontId="3"/>
  </si>
  <si>
    <t>リバースエンジニアリングに対する耐性 - Android</t>
    <rPh sb="13" eb="14">
      <t>タイ</t>
    </rPh>
    <rPh sb="16" eb="18">
      <t>タイセイ</t>
    </rPh>
    <phoneticPr fontId="12"/>
  </si>
  <si>
    <t>リバースエンジニアリングに対する耐性の要件</t>
    <rPh sb="13" eb="14">
      <t>タイ</t>
    </rPh>
    <rPh sb="16" eb="18">
      <t>タイセイ</t>
    </rPh>
    <rPh sb="19" eb="21">
      <t>ヨウケン</t>
    </rPh>
    <phoneticPr fontId="3"/>
  </si>
  <si>
    <t>テスト手順</t>
    <rPh sb="3" eb="5">
      <t>テジュン</t>
    </rPh>
    <phoneticPr fontId="3"/>
  </si>
  <si>
    <t>動的解析と改竄の阻止</t>
    <rPh sb="0" eb="2">
      <t>ドウテキ</t>
    </rPh>
    <rPh sb="2" eb="4">
      <t>カイセキ</t>
    </rPh>
    <rPh sb="5" eb="7">
      <t>カイザン</t>
    </rPh>
    <rPh sb="8" eb="10">
      <t>ソシ</t>
    </rPh>
    <phoneticPr fontId="3"/>
  </si>
  <si>
    <t>デバイスバインディング</t>
  </si>
  <si>
    <t>理解の阻止</t>
    <rPh sb="0" eb="2">
      <t>リカイ</t>
    </rPh>
    <rPh sb="3" eb="5">
      <t>ソシ</t>
    </rPh>
    <phoneticPr fontId="3"/>
  </si>
  <si>
    <t>記録内容</t>
    <rPh sb="0" eb="2">
      <t>キロク</t>
    </rPh>
    <rPh sb="2" eb="4">
      <t>ナイヨウ</t>
    </rPh>
    <phoneticPr fontId="3"/>
  </si>
  <si>
    <t>シンボル</t>
  </si>
  <si>
    <t>説明</t>
    <rPh sb="0" eb="2">
      <t>セツメイ</t>
    </rPh>
    <phoneticPr fontId="3"/>
  </si>
  <si>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3"/>
  </si>
  <si>
    <t>要件はモバイルアプリに適用可能ですが充足していません。</t>
    <rPh sb="0" eb="2">
      <t>ヨウケン</t>
    </rPh>
    <rPh sb="11" eb="13">
      <t>テキヨウ</t>
    </rPh>
    <rPh sb="13" eb="15">
      <t>カノウ</t>
    </rPh>
    <rPh sb="18" eb="20">
      <t>ジュウソク</t>
    </rPh>
    <phoneticPr fontId="3"/>
  </si>
  <si>
    <t>要件はモバイルアプリに適用可能ではありません。</t>
    <rPh sb="0" eb="2">
      <t>ヨウケン</t>
    </rPh>
    <rPh sb="11" eb="13">
      <t>テキヨウ</t>
    </rPh>
    <rPh sb="13" eb="15">
      <t>カノウ</t>
    </rPh>
    <phoneticPr fontId="3"/>
  </si>
  <si>
    <t>モバイルアプリケーションセキュリティ要件 - iOS</t>
    <rPh sb="18" eb="20">
      <t>ヨウケン</t>
    </rPh>
    <phoneticPr fontId="12"/>
  </si>
  <si>
    <t>リバースエンジニアリングに対する耐性 - iOS</t>
    <rPh sb="13" eb="14">
      <t>タイ</t>
    </rPh>
    <rPh sb="16" eb="18">
      <t>タイセイ</t>
    </rPh>
    <phoneticPr fontId="12"/>
  </si>
  <si>
    <t>備考</t>
    <rPh sb="0" eb="2">
      <t>ビコウ</t>
    </rPh>
    <phoneticPr fontId="3"/>
  </si>
  <si>
    <t>XLS Version History (Japanese Translation)</t>
    <phoneticPr fontId="12"/>
  </si>
  <si>
    <t>translate ver. 1.1 into Japanese</t>
    <phoneticPr fontId="12"/>
  </si>
  <si>
    <t>translate ver. 1.1.0.7 into Japanese</t>
    <phoneticPr fontId="12"/>
  </si>
  <si>
    <t>1.1.1.1</t>
  </si>
  <si>
    <t>1.1.4</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</si>
  <si>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</si>
  <si>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</si>
  <si>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Correcting the Link to the MSTG repo and adding a link to the MASVS repo</t>
  </si>
  <si>
    <t>オンライン版MASVS</t>
    <rPh sb="5" eb="6">
      <t>バン</t>
    </rPh>
    <phoneticPr fontId="12"/>
  </si>
  <si>
    <t>MSTG バージョン</t>
    <phoneticPr fontId="12"/>
  </si>
  <si>
    <t>1.1.4</t>
    <phoneticPr fontId="12"/>
  </si>
  <si>
    <t>1.1.2</t>
    <phoneticPr fontId="12"/>
  </si>
  <si>
    <t>1.1.4</t>
    <phoneticPr fontId="12"/>
  </si>
  <si>
    <t>translate ver. 1.1.1.2 into Japanese</t>
    <phoneticPr fontId="12"/>
  </si>
  <si>
    <t>1.1.1.3</t>
  </si>
  <si>
    <t>Synchronizing the requirements wording in excel with the MASVS
changes:
2.9</t>
  </si>
  <si>
    <t xml:space="preserve">Updating the link 2.12 for IOS </t>
  </si>
  <si>
    <t>バックグラウンドへ移動した際にアプリはビューから機密データを削除している。</t>
    <phoneticPr fontId="3"/>
  </si>
  <si>
    <t>translate ver. 1.1.1.3 into Japanese</t>
    <phoneticPr fontId="12"/>
  </si>
  <si>
    <t>&lt;顧客企業名&gt;との協議の結果、&lt;レベル1の要件のみ&gt;を&lt;アプリ名&gt;に適用することに決定した。
レベル1：標準セキュリティ
レベル2：多層防御
レベルR：リバースエンジニアリングに対する耐性</t>
    <phoneticPr fontId="12"/>
  </si>
  <si>
    <t>Ensure that tiles are in sync on Excel and MSTG</t>
  </si>
  <si>
    <t>translate ver. 1.1.1.3 - "Ensure that tiles are in sync on Excel and MSTG" into Japanese</t>
    <phoneticPr fontId="12"/>
  </si>
  <si>
    <t>アプリのすべてのコンポーネントを把握し、それらが必要とされている。</t>
    <phoneticPr fontId="3"/>
  </si>
  <si>
    <t>セキュリティコントロールはクライアント側だけではなくそれぞれのリモートエンドポイントで実施されている。</t>
    <phoneticPr fontId="3"/>
  </si>
  <si>
    <t>モバイルアプリと接続されるすべてのリモートサービスの高次のアーキテクチャが定義され、そのアーキテクチャにセキュリティが対応されている。</t>
    <phoneticPr fontId="3"/>
  </si>
  <si>
    <t>モバイルアプリのコンテキストで機密とみなされるデータが明確に特定されている。</t>
    <phoneticPr fontId="3"/>
  </si>
  <si>
    <t>アプリのすべてのコンポーネントは提供する業務上の機能やセキュリティ上の機能の観点で定義されている。</t>
    <phoneticPr fontId="3"/>
  </si>
  <si>
    <t>モバイルアプリとそれに関連するリモートサービスの脅威モデルが作られ、潜在的な脅威と対策を特定している。</t>
    <phoneticPr fontId="3"/>
  </si>
  <si>
    <t>すべてのセキュリティコントロールは集約実装されている。</t>
    <phoneticPr fontId="3"/>
  </si>
  <si>
    <t xml:space="preserve">暗号鍵が（もしあれば）どのように管理されるかについての明確な方針があり、暗号鍵のライフサイクルが施行されている。 NIST SP 800-57 などの鍵管理標準に準拠することが理想的である。 </t>
    <phoneticPr fontId="3"/>
  </si>
  <si>
    <t>モバイルアプリの更新を強制するメカニズムが存在している。</t>
    <phoneticPr fontId="3"/>
  </si>
  <si>
    <t>セキュリティはソフトウェア開発ライフサイクルのあらゆる部分で対処されている。</t>
    <phoneticPr fontId="3"/>
  </si>
  <si>
    <t>個人識別情報、ユーザー資格情報、暗号化鍵などの機密データを格納するために、システムの資格情報保存機能が適切に使用されている。</t>
    <phoneticPr fontId="3"/>
  </si>
  <si>
    <t>機密データはアプリコンテナまたはシステムの資格情報保存機能の外部に保存されていない。</t>
    <phoneticPr fontId="3"/>
  </si>
  <si>
    <t>機密データはアプリケーションログに書き込まれていない。</t>
    <phoneticPr fontId="3"/>
  </si>
  <si>
    <t>機密データはアーキテクチャに必要な部分でない限りサードパーティと共有されていない。</t>
    <phoneticPr fontId="3"/>
  </si>
  <si>
    <t>機密データを処理するテキスト入力では、キーボードキャッシュが無効にされている。</t>
    <phoneticPr fontId="3"/>
  </si>
  <si>
    <t>機密データはIPCメカニズムを介して公開されていない。</t>
    <phoneticPr fontId="3"/>
  </si>
  <si>
    <t>パスワードやピンなどの機密データは、ユーザーインタフェースを介して公開されていない。</t>
    <phoneticPr fontId="3"/>
  </si>
  <si>
    <t>機密データはモバイルオペレーティングシステムにより生成されるバックアップに含まれていない。</t>
    <phoneticPr fontId="3"/>
  </si>
  <si>
    <t>アプリは必要以上に長くメモリ内に機密データを保持せず、使用後は明示的にメモリがクリアされている。</t>
    <phoneticPr fontId="3"/>
  </si>
  <si>
    <t>アプリは最低限のデバイスアクセスセキュリティポリシーを適用しており、ユーザーにデバイスパスコードを設定することなどを必要としている。</t>
    <phoneticPr fontId="3"/>
  </si>
  <si>
    <t>アプリは処理される個人識別情報の種類をユーザーに通知しており、同様にユーザーがアプリを使用する際に従うべきセキュリティのベストプラクティスについて通知している。</t>
    <phoneticPr fontId="3"/>
  </si>
  <si>
    <t>アプリは暗号化の唯一の方法としてハードコードされた鍵による対称暗号化に依存していない。</t>
    <phoneticPr fontId="3"/>
  </si>
  <si>
    <t>アプリは実績のある暗号化プリミティブの実装を使用している。</t>
    <phoneticPr fontId="3"/>
  </si>
  <si>
    <t>アプリは特定のユースケースに適した暗号化プリミティブを使用している。業界のベストプラクティスに基づくパラメータで構成されている。</t>
    <phoneticPr fontId="3"/>
  </si>
  <si>
    <t>アプリはセキュリティ上の目的で広く非推奨と考えられる暗号プロトコルやアルゴリズムを使用していない。</t>
    <phoneticPr fontId="3"/>
  </si>
  <si>
    <t>アプリは複数の目的のために同じ暗号化鍵を再利用していない。</t>
    <phoneticPr fontId="3"/>
  </si>
  <si>
    <t>すべての乱数値は十分にセキュアな乱数生成器を用いて生成されている。</t>
    <phoneticPr fontId="3"/>
  </si>
  <si>
    <t>アプリがユーザーにリモートサービスへのアクセスを提供する場合、ユーザー名/パスワード認証など何らかの形態の認証がリモートエンドポイントで実行されている。</t>
    <phoneticPr fontId="3"/>
  </si>
  <si>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3"/>
  </si>
  <si>
    <t>ステートレスなトークンベースの認証を使用する場合、サーバーはセキュアなアルゴリズムを使用して署名されたトークンを提供している。</t>
    <phoneticPr fontId="3"/>
  </si>
  <si>
    <t>ユーザーがログアウトする際に、リモートエンドポイントは既存のセッションを終了している。</t>
    <phoneticPr fontId="3"/>
  </si>
  <si>
    <t>パスワードポリシーが存在し、リモートエンドポイントで実施されている。</t>
    <phoneticPr fontId="3"/>
  </si>
  <si>
    <t>リモートエンドポイントは過度な資格情報の送信に対する保護を実装している。</t>
    <phoneticPr fontId="3"/>
  </si>
  <si>
    <t>事前に定義された非アクティブ期間およびアクセストークンの有効期限が切れた後に、セッションはリモートエンドポイントで無効にしている。</t>
    <phoneticPr fontId="3"/>
  </si>
  <si>
    <t>生体認証が使用される場合は（単に「true」や「false」を返すAPIを使うなどの）イベントバインディングは使用しない。代わりに、キーチェーンやキーストアのアンロックに基づいている。</t>
    <phoneticPr fontId="3"/>
  </si>
  <si>
    <t>リモートエンドポイントに二要素認証が存在し、リモートエンドポイントで二要素認証要件が一貫して適用されている。</t>
    <phoneticPr fontId="3"/>
  </si>
  <si>
    <t>機密トランザクションはステップアップ認証を必要としている。</t>
    <phoneticPr fontId="3"/>
  </si>
  <si>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t>
    <phoneticPr fontId="3"/>
  </si>
  <si>
    <t>データはネットワーク上でTLSを使用して暗号化されている。セキュアチャネルがアプリ全体を通して一貫して使用されている。</t>
    <phoneticPr fontId="3"/>
  </si>
  <si>
    <t>TLS 設定は現在のベストプラクティスと一致している。モバイルオペレーティングシステムが推奨される標準規格をサポートしていない場合には可能な限り近い状態である。</t>
    <phoneticPr fontId="3"/>
  </si>
  <si>
    <t>セキュアチャネルが確立されたときに、アプリはリモートエンドポイントのX.509証明書を検証している。信頼されたCAにより署名された証明書のみが受け入れられている。</t>
    <phoneticPr fontId="3"/>
  </si>
  <si>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phoneticPr fontId="3"/>
  </si>
  <si>
    <t>アプリは登録やアカウントリカバリーなどの重要な操作において（電子メールやSMSなどの）単方向のセキュアでない通信チャネルに依存していない。</t>
    <phoneticPr fontId="3"/>
  </si>
  <si>
    <t>アプリは最新の接続ライブラリとセキュリティライブラリにのみ依存している。</t>
    <phoneticPr fontId="3"/>
  </si>
  <si>
    <t>アプリは必要となる最低限のパーミッションのみを要求している。</t>
    <phoneticPr fontId="3"/>
  </si>
  <si>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phoneticPr fontId="3"/>
  </si>
  <si>
    <t>アプリはメカニズムが適切に保護されていない限り、カスタムURLスキームを介して機密な機能をエクスポートしていない。</t>
    <phoneticPr fontId="3"/>
  </si>
  <si>
    <t>アプリはメカニズムが適切に保護されていない限り、IPC機構を通じて機密な機能をエクスポートしていない。</t>
    <phoneticPr fontId="3"/>
  </si>
  <si>
    <t>明示的に必要でない限りWebViewでJavaScriptが無効化されている。</t>
    <phoneticPr fontId="3"/>
  </si>
  <si>
    <t>WebViewは最低限必要のプロトコルハンドラのセットのみを許可するよう構成されている（理想的には、httpsのみがサポートされている）。file, tel, app-id などの潜在的に危険なハンドラは無効化されている。</t>
    <phoneticPr fontId="3"/>
  </si>
  <si>
    <t>アプリのネイティブメソッドがWebViewに公開されている場合、WebViewはアプリパッケージ内に含まれるJavaScriptのみをレンダリングしている。</t>
    <phoneticPr fontId="3"/>
  </si>
  <si>
    <t>オブジェクトのデシリアライゼーションは、もしあれば、安全なシリアライゼーションAPIを使用して実装されている。</t>
    <phoneticPr fontId="3"/>
  </si>
  <si>
    <t>アプリは有効な証明書で署名およびプロビジョニングされている。その秘密鍵は適切に保護されている。</t>
    <phoneticPr fontId="3"/>
  </si>
  <si>
    <t>アプリはリリースモードでビルドされている。リリースビルドに適した設定である（デバッグ不可など）。</t>
    <phoneticPr fontId="3"/>
  </si>
  <si>
    <t>デバッグシンボルはネイティブバイナリから削除されている。</t>
    <phoneticPr fontId="3"/>
  </si>
  <si>
    <t>デバッグコードは削除されており、アプリは詳細なエラーやデバッグメッセージをログ出力していない。</t>
    <phoneticPr fontId="3"/>
  </si>
  <si>
    <t>モバイルアプリで使用されるライブラリ、フレームワークなどのすべてのサードパーティコンポーネントを把握し、既知の脆弱性を確認している。</t>
    <phoneticPr fontId="3"/>
  </si>
  <si>
    <t>アプリは可能性のある例外をキャッチし処理している。</t>
    <phoneticPr fontId="3"/>
  </si>
  <si>
    <t>セキュリティコントロールのエラー処理ロジックはデフォルトでアクセスを拒否している。</t>
    <phoneticPr fontId="3"/>
  </si>
  <si>
    <t>アンマネージドコードでは、メモリはセキュアに割り当て、解放、使用されている。</t>
    <phoneticPr fontId="3"/>
  </si>
  <si>
    <t>バイトコードの軽量化、スタック保護、PIEサポート、自動参照カウントなどツールチェーンにより提供されるフリーのセキュリティ機能が有効化されている。</t>
    <phoneticPr fontId="3"/>
  </si>
  <si>
    <t>アプリはユーザーに警告するかアプリを終了することでルート化デバイスや脱獄済みデバイスの存在を検知し応答している。</t>
    <phoneticPr fontId="3"/>
  </si>
  <si>
    <t>アプリはデバッグを防止し、デバッガのアタッチを検知し応答している。利用可能なすべてのデバッグプロトコルを網羅している必要がある。</t>
    <phoneticPr fontId="3"/>
  </si>
  <si>
    <t>アプリはそのデバイスで広く使用されるリバースエンジニアリングツールやフレームワークの存在を検知し応答している。</t>
    <phoneticPr fontId="3"/>
  </si>
  <si>
    <t>アプリは任意の方法を使用してエミュレータ内で動作しているかどうかを検知し応答している。</t>
    <phoneticPr fontId="3"/>
  </si>
  <si>
    <t>アプリはそれ自身のメモリ空間内のコードとデータの改竄を検知し応答している。</t>
    <phoneticPr fontId="3"/>
  </si>
  <si>
    <t>アプリは各防御カテゴリ(8.1から8.6)で複数のメカニズムを実装している。耐性は使用されるメカニズムのオリジナリティの量、多様性と比例することに注意する。</t>
    <phoneticPr fontId="3"/>
  </si>
  <si>
    <t>検知メカニズムは遅延応答やステルス応答を含むさまざまな種類の応答をトリガーしている。</t>
    <phoneticPr fontId="3"/>
  </si>
  <si>
    <t>難読化はプログラムの防御に適用されており、動的解析による逆難読化を妨げている。</t>
    <phoneticPr fontId="3"/>
  </si>
  <si>
    <t>アプリはデバイスに固有の複数のプロパティから由来するデバイスフィンガープリントを使用して「デバイスバインディング」機能を実装している。</t>
    <phoneticPr fontId="3"/>
  </si>
  <si>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phoneticPr fontId="3"/>
  </si>
  <si>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phoneticPr fontId="3"/>
  </si>
  <si>
    <t xml:space="preserve"> 機密トランザクションはステップアップ認証を必要としている。</t>
    <phoneticPr fontId="3"/>
  </si>
  <si>
    <t>アプリはそれ自身のサンドボックス内の実行ファイルや重要なデータの改竄を検知し応答している。</t>
    <phoneticPr fontId="3"/>
  </si>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</sst>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font>
      <sz val="12"/>
      <color theme="1"/>
      <name val="Calibri"/>
      <family val="2"/>
      <scheme val="minor"/>
    </font>
    <font>
      <u/>
      <sz val="12"/>
      <color theme="10"/>
      <name val="Calibri"/>
      <family val="2"/>
      <scheme val="minor"/>
    </font>
    <font>
      <u/>
      <sz val="12"/>
      <color theme="11"/>
      <name val="Calibri"/>
      <family val="2"/>
      <scheme val="minor"/>
    </font>
    <font>
      <b/>
      <sz val="10"/>
      <name val="Trebuchet MS"/>
      <family val="2"/>
    </font>
    <font>
      <sz val="12"/>
      <color theme="1"/>
      <name val="Calibri"/>
    </font>
    <font>
      <b/>
      <sz val="12"/>
      <color theme="1"/>
      <name val="Calibri"/>
    </font>
    <font>
      <b/>
      <sz val="12"/>
      <color theme="1"/>
      <name val="Calibri"/>
      <family val="2"/>
      <scheme val="minor"/>
    </font>
    <font>
      <b/>
      <sz val="12"/>
      <color rgb="FF000000"/>
      <name val="Calibri"/>
    </font>
    <font>
      <sz val="12"/>
      <color theme="1"/>
      <name val="Calibri"/>
      <family val="2"/>
      <scheme val="minor"/>
    </font>
    <font>
      <b/>
      <sz val="12"/>
      <color theme="1"/>
      <name val="Calibri"/>
      <family val="2"/>
    </font>
    <font>
      <sz val="12"/>
      <color theme="1"/>
      <name val="Calibri"/>
      <family val="2"/>
    </font>
    <font>
      <sz val="12"/>
      <name val="Calibri"/>
      <family val="2"/>
    </font>
    <font>
      <sz val="6"/>
      <name val="Calibri"/>
      <family val="3"/>
      <charset val="128"/>
      <scheme val="minor"/>
    </font>
    <font>
      <sz val="12"/>
      <color theme="1"/>
      <name val="Calibri"/>
      <family val="3"/>
      <charset val="128"/>
      <scheme val="minor"/>
    </font>
    <font>
      <b/>
      <sz val="14"/>
      <name val="Calibri"/>
      <family val="3"/>
      <charset val="128"/>
      <scheme val="minor"/>
    </font>
    <font>
      <sz val="14"/>
      <name val="Calibri"/>
      <family val="3"/>
      <charset val="128"/>
      <scheme val="minor"/>
    </font>
    <font>
      <b/>
      <sz val="10"/>
      <name val="Calibri"/>
      <family val="3"/>
      <charset val="128"/>
      <scheme val="minor"/>
    </font>
    <font>
      <sz val="10"/>
      <name val="Calibri"/>
      <family val="3"/>
      <charset val="128"/>
      <scheme val="minor"/>
    </font>
    <font>
      <u/>
      <sz val="12"/>
      <color theme="10"/>
      <name val="Calibri"/>
      <family val="3"/>
      <charset val="128"/>
      <scheme val="minor"/>
    </font>
    <font>
      <sz val="10"/>
      <color theme="1"/>
      <name val="Calibri"/>
      <family val="3"/>
      <charset val="128"/>
      <scheme val="minor"/>
    </font>
    <font>
      <sz val="11"/>
      <color theme="1"/>
      <name val="Calibri"/>
      <family val="3"/>
      <charset val="128"/>
      <scheme val="minor"/>
    </font>
    <font>
      <b/>
      <sz val="10"/>
      <color theme="1"/>
      <name val="Calibri"/>
      <family val="3"/>
      <charset val="128"/>
      <scheme val="minor"/>
    </font>
    <font>
      <b/>
      <sz val="10"/>
      <color rgb="FFFFFFFF"/>
      <name val="Calibri"/>
      <family val="3"/>
      <charset val="128"/>
      <scheme val="minor"/>
    </font>
    <font>
      <sz val="72"/>
      <color theme="1"/>
      <name val="Calibri"/>
      <family val="3"/>
      <charset val="128"/>
      <scheme val="minor"/>
    </font>
    <font>
      <u/>
      <sz val="11"/>
      <color theme="0"/>
      <name val="Calibri"/>
      <family val="3"/>
      <charset val="128"/>
      <scheme val="minor"/>
    </font>
    <font>
      <b/>
      <sz val="14"/>
      <color theme="1"/>
      <name val="Calibri"/>
      <family val="3"/>
      <charset val="128"/>
      <scheme val="minor"/>
    </font>
    <font>
      <b/>
      <sz val="11"/>
      <color rgb="FFFFFFFF"/>
      <name val="Calibri"/>
      <family val="3"/>
      <charset val="128"/>
      <scheme val="minor"/>
    </font>
    <font>
      <b/>
      <sz val="11"/>
      <color rgb="FF000000"/>
      <name val="Calibri"/>
      <family val="3"/>
      <charset val="128"/>
      <scheme val="minor"/>
    </font>
    <font>
      <sz val="11"/>
      <name val="Calibri"/>
      <family val="3"/>
      <charset val="128"/>
      <scheme val="minor"/>
    </font>
    <font>
      <b/>
      <sz val="11"/>
      <name val="Calibri"/>
      <family val="3"/>
      <charset val="128"/>
      <scheme val="minor"/>
    </font>
    <font>
      <b/>
      <i/>
      <u/>
      <sz val="11"/>
      <name val="Calibri"/>
      <family val="3"/>
      <charset val="128"/>
      <scheme val="minor"/>
    </font>
    <font>
      <u/>
      <sz val="11"/>
      <color theme="10"/>
      <name val="Calibri"/>
      <family val="3"/>
      <charset val="128"/>
      <scheme val="minor"/>
    </font>
    <font>
      <sz val="12"/>
      <color rgb="FFFF0000"/>
      <name val="Calibri"/>
      <family val="3"/>
      <charset val="128"/>
      <scheme val="minor"/>
    </font>
    <font>
      <b/>
      <sz val="11"/>
      <color theme="1"/>
      <name val="Calibri"/>
      <family val="3"/>
      <charset val="128"/>
      <scheme val="minor"/>
    </font>
    <font>
      <b/>
      <sz val="12"/>
      <color rgb="FF000000"/>
      <name val="Calibri"/>
      <family val="3"/>
      <charset val="128"/>
      <scheme val="minor"/>
    </font>
    <font>
      <b/>
      <sz val="12"/>
      <color theme="1"/>
      <name val="Calibri"/>
      <family val="3"/>
      <charset val="128"/>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cellStyleXfs>
  <cellXfs count="168">
    <xf numFmtId="0" fontId="0" fillId="0" borderId="0" xfId="0"/>
    <xf numFmtId="0" fontId="4" fillId="0" borderId="0" xfId="0" applyFont="1"/>
    <xf numFmtId="0" fontId="4" fillId="0" borderId="2" xfId="0" applyFont="1" applyBorder="1"/>
    <xf numFmtId="0" fontId="4" fillId="0" borderId="2" xfId="0" applyFont="1" applyBorder="1" applyAlignment="1"/>
    <xf numFmtId="14" fontId="4" fillId="0" borderId="2" xfId="0" applyNumberFormat="1" applyFont="1" applyBorder="1"/>
    <xf numFmtId="0" fontId="6" fillId="0" borderId="2" xfId="0" applyFont="1" applyBorder="1"/>
    <xf numFmtId="0" fontId="5" fillId="0" borderId="2" xfId="0" applyFont="1" applyBorder="1"/>
    <xf numFmtId="0" fontId="0" fillId="0" borderId="2" xfId="0" applyBorder="1" applyAlignment="1">
      <alignment horizontal="center"/>
    </xf>
    <xf numFmtId="0" fontId="4" fillId="0" borderId="2" xfId="0" applyFont="1" applyBorder="1" applyAlignment="1">
      <alignment horizontal="center"/>
    </xf>
    <xf numFmtId="0" fontId="4" fillId="0" borderId="2" xfId="0" quotePrefix="1" applyFont="1" applyBorder="1" applyAlignment="1">
      <alignment horizontal="center"/>
    </xf>
    <xf numFmtId="0" fontId="7" fillId="0" borderId="0" xfId="0" applyFont="1" applyBorder="1" applyAlignment="1">
      <alignment horizontal="left"/>
    </xf>
    <xf numFmtId="0" fontId="10" fillId="0" borderId="2" xfId="0" applyFont="1" applyBorder="1" applyAlignment="1">
      <alignment wrapText="1"/>
    </xf>
    <xf numFmtId="0" fontId="10" fillId="0" borderId="2" xfId="0" applyFont="1" applyBorder="1"/>
    <xf numFmtId="0" fontId="11" fillId="0" borderId="2" xfId="0" quotePrefix="1" applyFont="1" applyBorder="1" applyAlignment="1">
      <alignment horizontal="center"/>
    </xf>
    <xf numFmtId="14" fontId="10" fillId="0" borderId="2" xfId="0" applyNumberFormat="1" applyFont="1" applyBorder="1"/>
    <xf numFmtId="0" fontId="11" fillId="0" borderId="2" xfId="0" applyFont="1" applyBorder="1"/>
    <xf numFmtId="14" fontId="11" fillId="0" borderId="2" xfId="0" applyNumberFormat="1" applyFont="1" applyBorder="1"/>
    <xf numFmtId="0" fontId="0" fillId="0" borderId="2" xfId="0" applyBorder="1"/>
    <xf numFmtId="0" fontId="0" fillId="0" borderId="2" xfId="0" applyBorder="1" applyAlignment="1">
      <alignment wrapText="1"/>
    </xf>
    <xf numFmtId="0" fontId="13" fillId="0" borderId="0" xfId="0" applyFont="1"/>
    <xf numFmtId="0" fontId="16" fillId="9" borderId="13" xfId="0" applyFont="1" applyFill="1" applyBorder="1" applyAlignment="1" applyProtection="1">
      <alignment vertical="center"/>
    </xf>
    <xf numFmtId="0" fontId="16" fillId="9" borderId="11" xfId="0" applyFont="1" applyFill="1" applyBorder="1" applyAlignment="1" applyProtection="1">
      <alignment vertical="center"/>
    </xf>
    <xf numFmtId="0" fontId="16" fillId="9" borderId="12" xfId="0" applyFont="1" applyFill="1" applyBorder="1" applyAlignment="1" applyProtection="1">
      <alignment vertical="center"/>
    </xf>
    <xf numFmtId="0" fontId="17" fillId="0" borderId="15" xfId="0" applyFont="1"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9" fillId="0" borderId="12" xfId="0" applyFont="1" applyBorder="1" applyAlignment="1" applyProtection="1">
      <alignment vertical="center" wrapText="1"/>
      <protection locked="0"/>
    </xf>
    <xf numFmtId="164" fontId="19" fillId="0" borderId="12" xfId="0" applyNumberFormat="1" applyFont="1" applyBorder="1" applyAlignment="1" applyProtection="1">
      <alignment vertical="center" wrapText="1"/>
      <protection locked="0"/>
    </xf>
    <xf numFmtId="0" fontId="20" fillId="0" borderId="0" xfId="0" applyFont="1"/>
    <xf numFmtId="0" fontId="21" fillId="0" borderId="0" xfId="0" applyFont="1"/>
    <xf numFmtId="0" fontId="16" fillId="9" borderId="16" xfId="0" applyFont="1" applyFill="1" applyBorder="1" applyAlignment="1" applyProtection="1">
      <alignment vertical="center"/>
    </xf>
    <xf numFmtId="0" fontId="19" fillId="0" borderId="0" xfId="0" applyFont="1"/>
    <xf numFmtId="0" fontId="22" fillId="13" borderId="0" xfId="0" applyFont="1" applyFill="1" applyBorder="1" applyAlignment="1">
      <alignment horizontal="center" vertical="center" wrapText="1"/>
    </xf>
    <xf numFmtId="0" fontId="19" fillId="11" borderId="0" xfId="0" applyFont="1" applyFill="1" applyBorder="1" applyAlignment="1">
      <alignment horizontal="left" wrapText="1"/>
    </xf>
    <xf numFmtId="0" fontId="19" fillId="11" borderId="0" xfId="0" applyFont="1" applyFill="1" applyBorder="1"/>
    <xf numFmtId="0" fontId="19" fillId="11" borderId="0" xfId="0" applyFont="1" applyFill="1" applyBorder="1" applyAlignment="1" applyProtection="1">
      <alignment horizontal="center" vertical="center"/>
    </xf>
    <xf numFmtId="0" fontId="17" fillId="11" borderId="0" xfId="0" applyFont="1" applyFill="1" applyBorder="1" applyAlignment="1">
      <alignment horizontal="center" vertical="center" wrapText="1"/>
    </xf>
    <xf numFmtId="9" fontId="19" fillId="11" borderId="0" xfId="0" applyNumberFormat="1" applyFont="1" applyFill="1" applyBorder="1" applyAlignment="1">
      <alignment horizontal="right" vertical="center" indent="1"/>
    </xf>
    <xf numFmtId="0" fontId="20" fillId="0" borderId="0" xfId="0" applyFont="1" applyBorder="1"/>
    <xf numFmtId="0" fontId="20" fillId="0" borderId="2" xfId="0" applyFont="1" applyBorder="1" applyAlignment="1">
      <alignment horizontal="center"/>
    </xf>
    <xf numFmtId="0" fontId="24" fillId="12" borderId="18" xfId="9" applyFont="1" applyFill="1" applyBorder="1" applyAlignment="1">
      <alignment vertical="center"/>
    </xf>
    <xf numFmtId="0" fontId="20" fillId="0" borderId="2" xfId="0" applyFont="1" applyFill="1" applyBorder="1"/>
    <xf numFmtId="0" fontId="20" fillId="0" borderId="18" xfId="0" applyFont="1" applyFill="1" applyBorder="1"/>
    <xf numFmtId="10" fontId="20" fillId="0" borderId="2" xfId="0" applyNumberFormat="1" applyFont="1" applyBorder="1"/>
    <xf numFmtId="0" fontId="20" fillId="0" borderId="2" xfId="0" applyFont="1" applyBorder="1"/>
    <xf numFmtId="0" fontId="20" fillId="0" borderId="18" xfId="0" applyFont="1" applyBorder="1"/>
    <xf numFmtId="0" fontId="13" fillId="0" borderId="0" xfId="0" applyFont="1" applyBorder="1"/>
    <xf numFmtId="49" fontId="13" fillId="0" borderId="0" xfId="0" applyNumberFormat="1" applyFont="1" applyBorder="1"/>
    <xf numFmtId="0" fontId="13" fillId="0" borderId="0" xfId="0" applyFont="1" applyBorder="1" applyAlignment="1">
      <alignment horizontal="left" vertical="top" wrapText="1"/>
    </xf>
    <xf numFmtId="49" fontId="26" fillId="2" borderId="34" xfId="0" applyNumberFormat="1" applyFont="1" applyFill="1" applyBorder="1" applyAlignment="1">
      <alignment horizontal="center" vertical="center" wrapText="1"/>
    </xf>
    <xf numFmtId="0" fontId="26" fillId="2" borderId="32" xfId="0" applyFont="1" applyFill="1" applyBorder="1" applyAlignment="1">
      <alignment horizontal="left" vertical="top" wrapText="1"/>
    </xf>
    <xf numFmtId="0" fontId="26" fillId="2" borderId="32" xfId="0" applyFont="1" applyFill="1" applyBorder="1" applyAlignment="1">
      <alignment horizontal="center" vertical="center" wrapText="1"/>
    </xf>
    <xf numFmtId="0" fontId="26" fillId="2" borderId="33" xfId="0" applyFont="1" applyFill="1" applyBorder="1" applyAlignment="1">
      <alignment horizontal="left" vertical="top" wrapText="1"/>
    </xf>
    <xf numFmtId="49" fontId="27" fillId="3" borderId="35" xfId="0" applyNumberFormat="1" applyFont="1" applyFill="1" applyBorder="1" applyAlignment="1">
      <alignment horizontal="center" vertical="center" wrapText="1"/>
    </xf>
    <xf numFmtId="0" fontId="27" fillId="3" borderId="0" xfId="0" applyFont="1" applyFill="1" applyBorder="1" applyAlignment="1">
      <alignment horizontal="left" vertical="top" wrapText="1"/>
    </xf>
    <xf numFmtId="0" fontId="27" fillId="3" borderId="0" xfId="0" applyFont="1" applyFill="1" applyBorder="1" applyAlignment="1">
      <alignment horizontal="center" vertical="center" wrapText="1"/>
    </xf>
    <xf numFmtId="0" fontId="27" fillId="3" borderId="7" xfId="0" applyFont="1" applyFill="1" applyBorder="1" applyAlignment="1">
      <alignment horizontal="left" vertical="top" wrapText="1"/>
    </xf>
    <xf numFmtId="0" fontId="28" fillId="0" borderId="0" xfId="62" applyFont="1" applyBorder="1" applyAlignment="1">
      <alignment horizontal="left" vertical="top" wrapText="1"/>
    </xf>
    <xf numFmtId="0" fontId="28" fillId="7" borderId="0" xfId="0" applyFont="1" applyFill="1" applyBorder="1" applyAlignment="1">
      <alignment horizontal="center" vertical="center" wrapText="1"/>
    </xf>
    <xf numFmtId="0" fontId="28" fillId="6" borderId="0" xfId="0" applyFont="1" applyFill="1" applyBorder="1" applyAlignment="1">
      <alignment horizontal="center" vertical="center" wrapText="1"/>
    </xf>
    <xf numFmtId="0" fontId="28" fillId="0" borderId="0" xfId="0" applyFont="1" applyBorder="1" applyAlignment="1">
      <alignment horizontal="center" vertical="center" wrapText="1"/>
    </xf>
    <xf numFmtId="0" fontId="20" fillId="0" borderId="0" xfId="0" applyFont="1" applyBorder="1" applyAlignment="1">
      <alignment horizontal="left" vertical="top" wrapText="1"/>
    </xf>
    <xf numFmtId="0" fontId="28" fillId="0" borderId="7" xfId="0" applyFont="1" applyBorder="1" applyAlignment="1">
      <alignment horizontal="left" vertical="top" wrapText="1"/>
    </xf>
    <xf numFmtId="0" fontId="28" fillId="0" borderId="0" xfId="0" applyFont="1" applyBorder="1" applyAlignment="1">
      <alignment vertical="center" wrapText="1"/>
    </xf>
    <xf numFmtId="0" fontId="28" fillId="0" borderId="0" xfId="0" applyFont="1" applyFill="1" applyBorder="1" applyAlignment="1">
      <alignment vertical="center" wrapText="1"/>
    </xf>
    <xf numFmtId="49" fontId="29" fillId="3" borderId="35" xfId="0" applyNumberFormat="1" applyFont="1" applyFill="1" applyBorder="1" applyAlignment="1">
      <alignment horizontal="center" vertical="center" wrapText="1"/>
    </xf>
    <xf numFmtId="0" fontId="29" fillId="3" borderId="0" xfId="0" applyFont="1" applyFill="1" applyBorder="1" applyAlignment="1">
      <alignment horizontal="left" vertical="top" wrapText="1"/>
    </xf>
    <xf numFmtId="0" fontId="29" fillId="3" borderId="0" xfId="0" applyFont="1" applyFill="1" applyBorder="1" applyAlignment="1">
      <alignment vertical="center" wrapText="1"/>
    </xf>
    <xf numFmtId="0" fontId="29" fillId="3" borderId="0" xfId="0" applyFont="1" applyFill="1" applyBorder="1" applyAlignment="1">
      <alignment horizontal="center" vertical="center" wrapText="1"/>
    </xf>
    <xf numFmtId="0" fontId="29" fillId="3" borderId="7" xfId="0" applyFont="1" applyFill="1" applyBorder="1" applyAlignment="1">
      <alignment horizontal="left" vertical="top" wrapText="1"/>
    </xf>
    <xf numFmtId="0" fontId="18" fillId="0" borderId="0" xfId="9" applyFont="1" applyFill="1" applyBorder="1" applyAlignment="1">
      <alignment horizontal="left" vertical="top" wrapText="1"/>
    </xf>
    <xf numFmtId="0" fontId="18" fillId="0" borderId="0" xfId="9" applyFont="1" applyFill="1" applyAlignment="1">
      <alignment horizontal="left" vertical="top" wrapText="1"/>
    </xf>
    <xf numFmtId="0" fontId="30" fillId="0" borderId="7" xfId="0" applyFont="1" applyBorder="1" applyAlignment="1">
      <alignment horizontal="left" vertical="top" wrapText="1"/>
    </xf>
    <xf numFmtId="0" fontId="28" fillId="0" borderId="0" xfId="0" applyFont="1" applyBorder="1" applyAlignment="1">
      <alignment wrapText="1"/>
    </xf>
    <xf numFmtId="0" fontId="28" fillId="0" borderId="0" xfId="0" applyFont="1" applyBorder="1" applyAlignment="1">
      <alignment horizontal="left" vertical="top" wrapText="1"/>
    </xf>
    <xf numFmtId="0" fontId="31" fillId="0" borderId="0" xfId="9" applyFont="1" applyBorder="1" applyAlignment="1">
      <alignment horizontal="left" wrapText="1"/>
    </xf>
    <xf numFmtId="0" fontId="31" fillId="0" borderId="7" xfId="9" applyFont="1" applyBorder="1" applyAlignment="1">
      <alignment horizontal="left" vertical="top" wrapText="1"/>
    </xf>
    <xf numFmtId="0" fontId="18" fillId="0" borderId="0" xfId="9" applyFont="1" applyBorder="1" applyAlignment="1">
      <alignment horizontal="left" vertical="top" wrapText="1"/>
    </xf>
    <xf numFmtId="0" fontId="18" fillId="0" borderId="7" xfId="9" applyFont="1" applyBorder="1" applyAlignment="1">
      <alignment horizontal="left" vertical="top" wrapText="1"/>
    </xf>
    <xf numFmtId="0" fontId="32" fillId="0" borderId="7" xfId="0" applyFont="1" applyBorder="1" applyAlignment="1">
      <alignment horizontal="left" vertical="top" wrapText="1"/>
    </xf>
    <xf numFmtId="0" fontId="32" fillId="0" borderId="0" xfId="0" applyFont="1" applyBorder="1"/>
    <xf numFmtId="49" fontId="26" fillId="2" borderId="21" xfId="0" applyNumberFormat="1" applyFont="1" applyFill="1" applyBorder="1" applyAlignment="1">
      <alignment horizontal="center" vertical="center" wrapText="1"/>
    </xf>
    <xf numFmtId="0" fontId="26" fillId="2" borderId="20" xfId="0" applyFont="1" applyFill="1" applyBorder="1" applyAlignment="1">
      <alignment horizontal="left" vertical="top" wrapText="1"/>
    </xf>
    <xf numFmtId="0" fontId="26" fillId="2" borderId="20" xfId="0" applyFont="1" applyFill="1" applyBorder="1" applyAlignment="1">
      <alignment horizontal="center" vertical="center" wrapText="1"/>
    </xf>
    <xf numFmtId="0" fontId="26" fillId="2" borderId="22" xfId="0" applyFont="1" applyFill="1" applyBorder="1" applyAlignment="1">
      <alignment horizontal="left" vertical="top" wrapText="1"/>
    </xf>
    <xf numFmtId="49" fontId="20" fillId="0" borderId="0" xfId="0" applyNumberFormat="1" applyFont="1" applyBorder="1"/>
    <xf numFmtId="49" fontId="33" fillId="0" borderId="0" xfId="0" applyNumberFormat="1" applyFont="1" applyBorder="1" applyAlignment="1">
      <alignment horizontal="left"/>
    </xf>
    <xf numFmtId="49" fontId="26" fillId="2" borderId="1" xfId="0" applyNumberFormat="1" applyFont="1" applyFill="1" applyBorder="1" applyAlignment="1">
      <alignment vertical="center" wrapText="1"/>
    </xf>
    <xf numFmtId="0" fontId="26" fillId="2" borderId="1" xfId="0" applyFont="1" applyFill="1" applyBorder="1" applyAlignment="1">
      <alignment horizontal="left" vertical="top" wrapText="1"/>
    </xf>
    <xf numFmtId="49" fontId="20" fillId="0" borderId="2" xfId="0" applyNumberFormat="1" applyFont="1" applyBorder="1" applyAlignment="1">
      <alignment vertical="top" wrapText="1"/>
    </xf>
    <xf numFmtId="0" fontId="20" fillId="0" borderId="2" xfId="0" applyFont="1" applyBorder="1" applyAlignment="1">
      <alignment horizontal="left" vertical="top" wrapText="1"/>
    </xf>
    <xf numFmtId="49" fontId="25" fillId="0" borderId="0" xfId="0" applyNumberFormat="1" applyFont="1" applyBorder="1"/>
    <xf numFmtId="0" fontId="28" fillId="5" borderId="0" xfId="0" applyFont="1" applyFill="1" applyBorder="1" applyAlignment="1">
      <alignment horizontal="center" vertical="center" wrapText="1"/>
    </xf>
    <xf numFmtId="49" fontId="25" fillId="0" borderId="0" xfId="0" applyNumberFormat="1" applyFont="1"/>
    <xf numFmtId="0" fontId="13" fillId="0" borderId="0" xfId="0" applyFont="1" applyAlignment="1">
      <alignment horizontal="left" vertical="top" wrapText="1"/>
    </xf>
    <xf numFmtId="49" fontId="13" fillId="0" borderId="0" xfId="0" applyNumberFormat="1" applyFont="1"/>
    <xf numFmtId="0" fontId="13" fillId="0" borderId="0" xfId="0" applyFont="1" applyAlignment="1">
      <alignment wrapText="1"/>
    </xf>
    <xf numFmtId="0" fontId="31" fillId="0" borderId="0" xfId="9" applyFont="1" applyBorder="1" applyAlignment="1">
      <alignment horizontal="left" vertical="top" wrapText="1"/>
    </xf>
    <xf numFmtId="0" fontId="26" fillId="2" borderId="0" xfId="0" applyFont="1" applyFill="1" applyBorder="1" applyAlignment="1">
      <alignment horizontal="left" vertical="top" wrapText="1"/>
    </xf>
    <xf numFmtId="0" fontId="26" fillId="2" borderId="7" xfId="0" applyFont="1" applyFill="1" applyBorder="1" applyAlignment="1">
      <alignment horizontal="left" vertical="top" wrapText="1"/>
    </xf>
    <xf numFmtId="49" fontId="20" fillId="0" borderId="0" xfId="0" applyNumberFormat="1" applyFont="1"/>
    <xf numFmtId="0" fontId="20" fillId="0" borderId="0" xfId="0" applyFont="1" applyAlignment="1">
      <alignment horizontal="left" vertical="top" wrapText="1"/>
    </xf>
    <xf numFmtId="49" fontId="33" fillId="0" borderId="0" xfId="0" applyNumberFormat="1" applyFont="1" applyAlignment="1">
      <alignment horizontal="left"/>
    </xf>
    <xf numFmtId="0" fontId="35" fillId="0" borderId="2" xfId="0" applyFont="1" applyBorder="1"/>
    <xf numFmtId="14" fontId="13" fillId="0" borderId="2" xfId="0" applyNumberFormat="1" applyFont="1" applyBorder="1"/>
    <xf numFmtId="0" fontId="13" fillId="0" borderId="2" xfId="0" applyFont="1" applyBorder="1"/>
    <xf numFmtId="0" fontId="13" fillId="0" borderId="2" xfId="0" quotePrefix="1" applyFont="1" applyBorder="1" applyAlignment="1">
      <alignment horizontal="center"/>
    </xf>
    <xf numFmtId="49" fontId="26" fillId="4" borderId="35" xfId="0" applyNumberFormat="1" applyFont="1" applyFill="1" applyBorder="1" applyAlignment="1">
      <alignment horizontal="center" vertical="top" wrapText="1"/>
    </xf>
    <xf numFmtId="49" fontId="26" fillId="4" borderId="35" xfId="0" quotePrefix="1" applyNumberFormat="1" applyFont="1" applyFill="1" applyBorder="1" applyAlignment="1">
      <alignment horizontal="center" vertical="top" wrapText="1"/>
    </xf>
    <xf numFmtId="0" fontId="34" fillId="0" borderId="0" xfId="0" applyFont="1" applyBorder="1" applyAlignment="1">
      <alignment horizontal="left"/>
    </xf>
    <xf numFmtId="0" fontId="10" fillId="0" borderId="2" xfId="0" quotePrefix="1" applyFont="1" applyBorder="1" applyAlignment="1">
      <alignment horizontal="center"/>
    </xf>
    <xf numFmtId="0" fontId="1" fillId="0" borderId="15" xfId="9" applyBorder="1" applyAlignment="1" applyProtection="1">
      <alignment horizontal="left" vertical="center" wrapText="1"/>
      <protection locked="0"/>
    </xf>
    <xf numFmtId="49" fontId="26" fillId="2" borderId="32" xfId="0" applyNumberFormat="1" applyFont="1" applyFill="1" applyBorder="1" applyAlignment="1">
      <alignment horizontal="center" vertical="center" wrapText="1"/>
    </xf>
    <xf numFmtId="49" fontId="27" fillId="3" borderId="0" xfId="0" applyNumberFormat="1" applyFont="1" applyFill="1" applyBorder="1" applyAlignment="1">
      <alignment horizontal="center" vertical="center" wrapText="1"/>
    </xf>
    <xf numFmtId="49" fontId="26" fillId="4" borderId="0" xfId="0" applyNumberFormat="1" applyFont="1" applyFill="1" applyBorder="1" applyAlignment="1">
      <alignment horizontal="center" vertical="top" wrapText="1"/>
    </xf>
    <xf numFmtId="49" fontId="26" fillId="4" borderId="0" xfId="0" quotePrefix="1" applyNumberFormat="1" applyFont="1" applyFill="1" applyBorder="1" applyAlignment="1">
      <alignment horizontal="center" vertical="top" wrapText="1"/>
    </xf>
    <xf numFmtId="49" fontId="29" fillId="3" borderId="0" xfId="0" applyNumberFormat="1" applyFont="1" applyFill="1" applyBorder="1" applyAlignment="1">
      <alignment horizontal="center" vertical="center" wrapText="1"/>
    </xf>
    <xf numFmtId="49" fontId="26" fillId="2" borderId="20" xfId="0" applyNumberFormat="1" applyFont="1" applyFill="1" applyBorder="1" applyAlignment="1">
      <alignment horizontal="center" vertical="center" wrapText="1"/>
    </xf>
    <xf numFmtId="0" fontId="1" fillId="0" borderId="0" xfId="9" applyBorder="1" applyAlignment="1">
      <alignment horizontal="left" vertical="top" wrapText="1"/>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6" fillId="0" borderId="13" xfId="0" applyFont="1" applyBorder="1" applyAlignment="1" applyProtection="1">
      <alignment horizontal="left" vertical="center"/>
    </xf>
    <xf numFmtId="0" fontId="16" fillId="0" borderId="14" xfId="0" applyFont="1" applyBorder="1" applyAlignment="1" applyProtection="1">
      <alignment horizontal="left" vertical="center"/>
    </xf>
    <xf numFmtId="0" fontId="14" fillId="8" borderId="3" xfId="0" applyFont="1" applyFill="1" applyBorder="1" applyAlignment="1" applyProtection="1">
      <alignment horizontal="left" vertical="top" wrapText="1"/>
    </xf>
    <xf numFmtId="0" fontId="14" fillId="8" borderId="4" xfId="0" applyFont="1" applyFill="1" applyBorder="1" applyAlignment="1" applyProtection="1">
      <alignment horizontal="left" vertical="top"/>
    </xf>
    <xf numFmtId="0" fontId="14" fillId="8" borderId="5" xfId="0" applyFont="1" applyFill="1" applyBorder="1" applyAlignment="1" applyProtection="1">
      <alignment horizontal="left" vertical="top"/>
    </xf>
    <xf numFmtId="0" fontId="14" fillId="8" borderId="6" xfId="0" applyFont="1" applyFill="1" applyBorder="1" applyAlignment="1" applyProtection="1">
      <alignment horizontal="left" vertical="top"/>
    </xf>
    <xf numFmtId="0" fontId="14" fillId="8" borderId="0" xfId="0" applyFont="1" applyFill="1" applyBorder="1" applyAlignment="1" applyProtection="1">
      <alignment horizontal="left" vertical="top"/>
    </xf>
    <xf numFmtId="0" fontId="14" fillId="8" borderId="7" xfId="0" applyFont="1" applyFill="1" applyBorder="1" applyAlignment="1" applyProtection="1">
      <alignment horizontal="left" vertical="top"/>
    </xf>
    <xf numFmtId="0" fontId="14" fillId="8" borderId="8" xfId="0" applyFont="1" applyFill="1" applyBorder="1" applyAlignment="1" applyProtection="1">
      <alignment horizontal="left" vertical="top"/>
    </xf>
    <xf numFmtId="0" fontId="14" fillId="8" borderId="9" xfId="0" applyFont="1" applyFill="1" applyBorder="1" applyAlignment="1" applyProtection="1">
      <alignment horizontal="left" vertical="top"/>
    </xf>
    <xf numFmtId="0" fontId="14" fillId="8" borderId="10" xfId="0" applyFont="1" applyFill="1" applyBorder="1" applyAlignment="1" applyProtection="1">
      <alignment horizontal="left" vertical="top"/>
    </xf>
    <xf numFmtId="0" fontId="13" fillId="0" borderId="11" xfId="0" quotePrefix="1" applyFont="1" applyBorder="1" applyAlignment="1" applyProtection="1">
      <alignment horizontal="center"/>
    </xf>
    <xf numFmtId="0" fontId="13" fillId="0" borderId="11" xfId="0" applyFont="1" applyBorder="1" applyAlignment="1" applyProtection="1">
      <alignment horizontal="center"/>
    </xf>
    <xf numFmtId="0" fontId="13" fillId="0" borderId="12" xfId="0" applyFont="1" applyBorder="1" applyAlignment="1" applyProtection="1">
      <alignment horizontal="center"/>
    </xf>
    <xf numFmtId="0" fontId="16" fillId="0" borderId="13"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0" fontId="16" fillId="0" borderId="12" xfId="0" applyFont="1" applyBorder="1" applyAlignment="1" applyProtection="1">
      <alignment horizontal="left" vertical="center" wrapText="1"/>
    </xf>
    <xf numFmtId="0" fontId="13" fillId="10" borderId="13" xfId="0" applyFont="1" applyFill="1" applyBorder="1" applyAlignment="1" applyProtection="1">
      <alignment horizontal="center" vertical="center"/>
    </xf>
    <xf numFmtId="0" fontId="13" fillId="10" borderId="11" xfId="0" applyFont="1" applyFill="1" applyBorder="1" applyAlignment="1" applyProtection="1">
      <alignment horizontal="center" vertical="center"/>
    </xf>
    <xf numFmtId="0" fontId="13" fillId="10" borderId="12" xfId="0" applyFont="1" applyFill="1" applyBorder="1" applyAlignment="1" applyProtection="1">
      <alignment horizontal="center" vertical="center"/>
    </xf>
    <xf numFmtId="0" fontId="16" fillId="0" borderId="12" xfId="0" applyFont="1" applyBorder="1" applyAlignment="1" applyProtection="1">
      <alignment horizontal="left" vertical="center"/>
    </xf>
    <xf numFmtId="0" fontId="16" fillId="0" borderId="13" xfId="0" applyFont="1" applyBorder="1" applyAlignment="1" applyProtection="1">
      <alignment vertical="center" wrapText="1"/>
    </xf>
    <xf numFmtId="0" fontId="19" fillId="0" borderId="30" xfId="0" applyFont="1" applyBorder="1" applyAlignment="1">
      <alignment horizontal="center"/>
    </xf>
    <xf numFmtId="0" fontId="19" fillId="0" borderId="31" xfId="0" applyFont="1" applyBorder="1" applyAlignment="1">
      <alignment horizontal="center"/>
    </xf>
    <xf numFmtId="0" fontId="19" fillId="0" borderId="17" xfId="0" applyFont="1" applyBorder="1" applyAlignment="1">
      <alignment horizontal="center"/>
    </xf>
    <xf numFmtId="1" fontId="23" fillId="0" borderId="23" xfId="0" applyNumberFormat="1" applyFont="1" applyBorder="1" applyAlignment="1">
      <alignment horizontal="center" vertical="center"/>
    </xf>
    <xf numFmtId="1" fontId="23" fillId="0" borderId="19" xfId="0" applyNumberFormat="1" applyFont="1" applyBorder="1" applyAlignment="1">
      <alignment horizontal="center" vertical="center"/>
    </xf>
    <xf numFmtId="1" fontId="23" fillId="0" borderId="24" xfId="0" applyNumberFormat="1" applyFont="1" applyBorder="1" applyAlignment="1">
      <alignment horizontal="center" vertical="center"/>
    </xf>
    <xf numFmtId="1" fontId="23" fillId="0" borderId="25" xfId="0" applyNumberFormat="1" applyFont="1" applyBorder="1" applyAlignment="1">
      <alignment horizontal="center" vertical="center"/>
    </xf>
    <xf numFmtId="1" fontId="23" fillId="0" borderId="0" xfId="0" applyNumberFormat="1" applyFont="1" applyBorder="1" applyAlignment="1">
      <alignment horizontal="center" vertical="center"/>
    </xf>
    <xf numFmtId="1" fontId="23" fillId="0" borderId="26" xfId="0" applyNumberFormat="1" applyFont="1" applyBorder="1" applyAlignment="1">
      <alignment horizontal="center" vertical="center"/>
    </xf>
    <xf numFmtId="1" fontId="23" fillId="0" borderId="27" xfId="0" applyNumberFormat="1" applyFont="1" applyBorder="1" applyAlignment="1">
      <alignment horizontal="center" vertical="center"/>
    </xf>
    <xf numFmtId="1" fontId="23" fillId="0" borderId="28" xfId="0" applyNumberFormat="1" applyFont="1" applyBorder="1" applyAlignment="1">
      <alignment horizontal="center" vertical="center"/>
    </xf>
    <xf numFmtId="1" fontId="23" fillId="0" borderId="29" xfId="0" applyNumberFormat="1" applyFont="1" applyBorder="1" applyAlignment="1">
      <alignment horizontal="center" vertical="center"/>
    </xf>
    <xf numFmtId="0" fontId="22" fillId="13" borderId="0" xfId="0" applyFont="1" applyFill="1" applyBorder="1" applyAlignment="1">
      <alignment horizontal="center" vertical="center" wrapText="1"/>
    </xf>
    <xf numFmtId="0" fontId="24" fillId="12" borderId="21" xfId="9" applyFont="1" applyFill="1" applyBorder="1" applyAlignment="1">
      <alignment horizontal="center" vertical="center"/>
    </xf>
    <xf numFmtId="0" fontId="24" fillId="12" borderId="20" xfId="9" applyFont="1" applyFill="1" applyBorder="1" applyAlignment="1">
      <alignment horizontal="center" vertical="center"/>
    </xf>
    <xf numFmtId="0" fontId="24" fillId="12" borderId="22" xfId="9" applyFont="1" applyFill="1" applyBorder="1" applyAlignment="1">
      <alignment horizontal="center" vertical="center"/>
    </xf>
    <xf numFmtId="0" fontId="19" fillId="0" borderId="0" xfId="0" applyFont="1"/>
    <xf numFmtId="0" fontId="25" fillId="0" borderId="0" xfId="0" applyFont="1" applyBorder="1" applyAlignment="1">
      <alignment horizontal="left" vertical="top"/>
    </xf>
    <xf numFmtId="0" fontId="26" fillId="2" borderId="32" xfId="0" applyFont="1" applyFill="1" applyBorder="1" applyAlignment="1">
      <alignment horizontal="center" vertical="top" wrapText="1"/>
    </xf>
    <xf numFmtId="0" fontId="26" fillId="2" borderId="33" xfId="0" applyFont="1" applyFill="1" applyBorder="1" applyAlignment="1">
      <alignment horizontal="center" vertical="top" wrapText="1"/>
    </xf>
    <xf numFmtId="0" fontId="7" fillId="0" borderId="20" xfId="0" applyFont="1" applyBorder="1" applyAlignment="1">
      <alignment horizontal="left"/>
    </xf>
    <xf numFmtId="0" fontId="34" fillId="0" borderId="20" xfId="0" applyFont="1" applyBorder="1" applyAlignment="1">
      <alignment horizontal="left"/>
    </xf>
    <xf numFmtId="0" fontId="0" fillId="0" borderId="36" xfId="0" applyBorder="1" applyAlignment="1">
      <alignment horizontal="center"/>
    </xf>
    <xf numFmtId="14" fontId="0" fillId="0" borderId="36" xfId="0" applyNumberFormat="1" applyBorder="1"/>
    <xf numFmtId="0" fontId="0" fillId="0" borderId="36" xfId="0" applyBorder="1" applyAlignment="1">
      <alignment wrapText="1"/>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zoomScaleNormal="100" zoomScalePageLayoutView="120" workbookViewId="0"/>
  </sheetViews>
  <sheetFormatPr baseColWidth="10" defaultColWidth="8.6640625" defaultRowHeight="15.5"/>
  <cols>
    <col min="1" max="1" width="1.9140625" style="19" customWidth="1"/>
    <col min="2" max="2" width="8.6640625" style="19"/>
    <col min="3" max="3" width="13.6640625" style="19" customWidth="1"/>
    <col min="4" max="4" width="70.58203125" style="19" customWidth="1"/>
    <col min="5" max="16384" width="8.6640625" style="19"/>
  </cols>
  <sheetData>
    <row r="1" spans="2:4" ht="8" customHeight="1"/>
    <row r="2" spans="2:4">
      <c r="B2" s="123" t="s">
        <v>139</v>
      </c>
      <c r="C2" s="124"/>
      <c r="D2" s="125"/>
    </row>
    <row r="3" spans="2:4">
      <c r="B3" s="126"/>
      <c r="C3" s="127"/>
      <c r="D3" s="128"/>
    </row>
    <row r="4" spans="2:4">
      <c r="B4" s="126"/>
      <c r="C4" s="127"/>
      <c r="D4" s="128"/>
    </row>
    <row r="5" spans="2:4">
      <c r="B5" s="126"/>
      <c r="C5" s="127"/>
      <c r="D5" s="128"/>
    </row>
    <row r="6" spans="2:4">
      <c r="B6" s="126"/>
      <c r="C6" s="127"/>
      <c r="D6" s="128"/>
    </row>
    <row r="7" spans="2:4">
      <c r="B7" s="126"/>
      <c r="C7" s="127"/>
      <c r="D7" s="128"/>
    </row>
    <row r="8" spans="2:4" hidden="1">
      <c r="B8" s="129"/>
      <c r="C8" s="130"/>
      <c r="D8" s="131"/>
    </row>
    <row r="9" spans="2:4">
      <c r="B9" s="132" t="s">
        <v>66</v>
      </c>
      <c r="C9" s="133"/>
      <c r="D9" s="134"/>
    </row>
    <row r="10" spans="2:4">
      <c r="B10" s="20" t="s">
        <v>138</v>
      </c>
      <c r="C10" s="21"/>
      <c r="D10" s="22"/>
    </row>
    <row r="11" spans="2:4">
      <c r="B11" s="119" t="s">
        <v>140</v>
      </c>
      <c r="C11" s="120"/>
      <c r="D11" s="23" t="s">
        <v>219</v>
      </c>
    </row>
    <row r="12" spans="2:4">
      <c r="B12" s="119" t="s">
        <v>217</v>
      </c>
      <c r="C12" s="120"/>
      <c r="D12" s="111" t="str">
        <f>HYPERLINK(CONCATENATE(
"https://github.com/OWASP/owasp-masvs/blob/",
MASVS_VERSION,
"/Document/"))</f>
        <v>https://github.com/OWASP/owasp-masvs/blob/1.1.4/Document/</v>
      </c>
    </row>
    <row r="13" spans="2:4">
      <c r="B13" s="119" t="s">
        <v>218</v>
      </c>
      <c r="C13" s="120"/>
      <c r="D13" s="23" t="s">
        <v>220</v>
      </c>
    </row>
    <row r="14" spans="2:4">
      <c r="B14" s="119" t="s">
        <v>141</v>
      </c>
      <c r="C14" s="120"/>
      <c r="D14" s="111" t="str">
        <f>HYPERLINK(CONCATENATE(
"https://github.com/OWASP/owasp-mstg/blob/",
MSTG_VERSION,
"/Document/"))</f>
        <v>https://github.com/OWASP/owasp-mstg/blob/1.1.2/Document/</v>
      </c>
    </row>
    <row r="15" spans="2:4" ht="32" customHeight="1">
      <c r="B15" s="135" t="s">
        <v>142</v>
      </c>
      <c r="C15" s="136"/>
      <c r="D15" s="137"/>
    </row>
    <row r="16" spans="2:4">
      <c r="B16" s="119" t="s">
        <v>143</v>
      </c>
      <c r="C16" s="120"/>
      <c r="D16" s="23"/>
    </row>
    <row r="17" spans="2:4">
      <c r="B17" s="121" t="s">
        <v>144</v>
      </c>
      <c r="C17" s="122"/>
      <c r="D17" s="23"/>
    </row>
    <row r="18" spans="2:4">
      <c r="B18" s="119" t="s">
        <v>145</v>
      </c>
      <c r="C18" s="120"/>
      <c r="D18" s="23"/>
    </row>
    <row r="19" spans="2:4">
      <c r="B19" s="119" t="s">
        <v>146</v>
      </c>
      <c r="C19" s="120"/>
      <c r="D19" s="23"/>
    </row>
    <row r="20" spans="2:4">
      <c r="B20" s="119" t="s">
        <v>147</v>
      </c>
      <c r="C20" s="120"/>
      <c r="D20" s="23"/>
    </row>
    <row r="21" spans="2:4">
      <c r="B21" s="119" t="s">
        <v>148</v>
      </c>
      <c r="C21" s="120"/>
      <c r="D21" s="23" t="s">
        <v>149</v>
      </c>
    </row>
    <row r="22" spans="2:4" ht="70.5" customHeight="1">
      <c r="B22" s="119" t="s">
        <v>150</v>
      </c>
      <c r="C22" s="120"/>
      <c r="D22" s="23" t="s">
        <v>228</v>
      </c>
    </row>
    <row r="23" spans="2:4">
      <c r="B23" s="133"/>
      <c r="C23" s="133"/>
      <c r="D23" s="134"/>
    </row>
    <row r="24" spans="2:4">
      <c r="B24" s="20" t="s">
        <v>151</v>
      </c>
      <c r="C24" s="21"/>
      <c r="D24" s="22"/>
    </row>
    <row r="25" spans="2:4">
      <c r="B25" s="24" t="s">
        <v>152</v>
      </c>
      <c r="C25" s="25"/>
      <c r="D25" s="23"/>
    </row>
    <row r="26" spans="2:4">
      <c r="B26" s="119" t="s">
        <v>158</v>
      </c>
      <c r="C26" s="120"/>
      <c r="D26" s="23"/>
    </row>
    <row r="27" spans="2:4">
      <c r="B27" s="119" t="s">
        <v>153</v>
      </c>
      <c r="C27" s="120"/>
      <c r="D27" s="23"/>
    </row>
    <row r="28" spans="2:4">
      <c r="B28" s="119" t="s">
        <v>154</v>
      </c>
      <c r="C28" s="120"/>
      <c r="D28" s="23"/>
    </row>
    <row r="29" spans="2:4" ht="52" customHeight="1">
      <c r="B29" s="142" t="s">
        <v>155</v>
      </c>
      <c r="C29" s="120"/>
      <c r="D29" s="23"/>
    </row>
    <row r="30" spans="2:4">
      <c r="B30" s="133"/>
      <c r="C30" s="133"/>
      <c r="D30" s="134"/>
    </row>
    <row r="31" spans="2:4">
      <c r="B31" s="20" t="s">
        <v>156</v>
      </c>
      <c r="C31" s="21"/>
      <c r="D31" s="22"/>
    </row>
    <row r="32" spans="2:4">
      <c r="B32" s="24" t="s">
        <v>152</v>
      </c>
      <c r="C32" s="25"/>
      <c r="D32" s="23"/>
    </row>
    <row r="33" spans="2:4">
      <c r="B33" s="119" t="s">
        <v>157</v>
      </c>
      <c r="C33" s="120"/>
      <c r="D33" s="23"/>
    </row>
    <row r="34" spans="2:4">
      <c r="B34" s="119" t="s">
        <v>153</v>
      </c>
      <c r="C34" s="120"/>
      <c r="D34" s="23"/>
    </row>
    <row r="35" spans="2:4">
      <c r="B35" s="119" t="s">
        <v>154</v>
      </c>
      <c r="C35" s="120"/>
      <c r="D35" s="23"/>
    </row>
    <row r="36" spans="2:4" ht="52" customHeight="1">
      <c r="B36" s="142" t="s">
        <v>159</v>
      </c>
      <c r="C36" s="120"/>
      <c r="D36" s="23"/>
    </row>
    <row r="37" spans="2:4">
      <c r="B37" s="133"/>
      <c r="C37" s="133"/>
      <c r="D37" s="134"/>
    </row>
    <row r="38" spans="2:4">
      <c r="B38" s="20" t="s">
        <v>160</v>
      </c>
      <c r="C38" s="21"/>
      <c r="D38" s="22"/>
    </row>
    <row r="39" spans="2:4">
      <c r="B39" s="138"/>
      <c r="C39" s="139"/>
      <c r="D39" s="140"/>
    </row>
    <row r="40" spans="2:4">
      <c r="B40" s="121" t="s">
        <v>161</v>
      </c>
      <c r="C40" s="141"/>
      <c r="D40" s="26"/>
    </row>
    <row r="41" spans="2:4">
      <c r="B41" s="121" t="s">
        <v>162</v>
      </c>
      <c r="C41" s="141"/>
      <c r="D41" s="26"/>
    </row>
    <row r="42" spans="2:4">
      <c r="B42" s="121" t="s">
        <v>163</v>
      </c>
      <c r="C42" s="141"/>
      <c r="D42" s="26"/>
    </row>
    <row r="43" spans="2:4">
      <c r="B43" s="121" t="s">
        <v>164</v>
      </c>
      <c r="C43" s="141"/>
      <c r="D43" s="27"/>
    </row>
    <row r="44" spans="2:4">
      <c r="B44" s="121" t="s">
        <v>165</v>
      </c>
      <c r="C44" s="141"/>
      <c r="D44" s="26"/>
    </row>
    <row r="45" spans="2:4">
      <c r="B45" s="138"/>
      <c r="C45" s="139"/>
      <c r="D45" s="140"/>
    </row>
    <row r="46" spans="2:4">
      <c r="B46" s="121" t="s">
        <v>161</v>
      </c>
      <c r="C46" s="141"/>
      <c r="D46" s="26"/>
    </row>
    <row r="47" spans="2:4">
      <c r="B47" s="121" t="s">
        <v>162</v>
      </c>
      <c r="C47" s="141"/>
      <c r="D47" s="26"/>
    </row>
    <row r="48" spans="2:4">
      <c r="B48" s="121" t="s">
        <v>163</v>
      </c>
      <c r="C48" s="141"/>
      <c r="D48" s="26"/>
    </row>
    <row r="49" spans="2:4">
      <c r="B49" s="121" t="s">
        <v>164</v>
      </c>
      <c r="C49" s="141"/>
      <c r="D49" s="27"/>
    </row>
    <row r="50" spans="2:4">
      <c r="B50" s="121" t="s">
        <v>165</v>
      </c>
      <c r="C50" s="141"/>
      <c r="D50" s="26"/>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1:C11"/>
    <mergeCell ref="B18:C18"/>
    <mergeCell ref="B20:C20"/>
    <mergeCell ref="B16:C16"/>
    <mergeCell ref="B15:D15"/>
    <mergeCell ref="B12:C12"/>
    <mergeCell ref="B13:C13"/>
    <mergeCell ref="B14:C14"/>
  </mergeCells>
  <phoneticPr fontId="12"/>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baseColWidth="10" defaultColWidth="8.6640625" defaultRowHeight="14.5"/>
  <cols>
    <col min="1" max="1" width="1.5" style="28" customWidth="1"/>
    <col min="2" max="2" width="9.4140625" style="28" customWidth="1"/>
    <col min="3" max="3" width="35.58203125" style="28" customWidth="1"/>
    <col min="4" max="11" width="9" style="28" customWidth="1"/>
    <col min="12" max="21" width="4.6640625" style="28" customWidth="1"/>
    <col min="22" max="16384" width="8.6640625" style="28"/>
  </cols>
  <sheetData>
    <row r="1" spans="2:24" ht="15" thickBot="1"/>
    <row r="2" spans="2:24" ht="15" thickBot="1">
      <c r="B2" s="29"/>
      <c r="C2" s="30" t="s">
        <v>166</v>
      </c>
      <c r="D2" s="31"/>
      <c r="E2" s="31"/>
      <c r="F2" s="31"/>
    </row>
    <row r="3" spans="2:24">
      <c r="B3" s="31"/>
      <c r="C3" s="31"/>
      <c r="D3" s="31"/>
      <c r="E3" s="31"/>
      <c r="F3" s="31"/>
    </row>
    <row r="4" spans="2:24">
      <c r="B4" s="159"/>
      <c r="C4" s="159"/>
      <c r="D4" s="159"/>
      <c r="E4" s="159"/>
      <c r="F4" s="159"/>
    </row>
    <row r="5" spans="2:24" ht="16" customHeight="1" thickBot="1">
      <c r="B5" s="32"/>
      <c r="C5" s="32"/>
      <c r="D5" s="32"/>
      <c r="E5" s="32"/>
      <c r="F5" s="32"/>
    </row>
    <row r="6" spans="2:24" ht="19" customHeight="1" thickBot="1">
      <c r="B6" s="33"/>
      <c r="C6" s="33"/>
      <c r="D6" s="33"/>
      <c r="E6" s="33"/>
      <c r="F6" s="33"/>
      <c r="G6" s="143" t="s">
        <v>167</v>
      </c>
      <c r="H6" s="144"/>
      <c r="I6" s="145"/>
      <c r="V6" s="143" t="s">
        <v>76</v>
      </c>
      <c r="W6" s="144"/>
      <c r="X6" s="145"/>
    </row>
    <row r="7" spans="2:24" ht="15" thickBot="1">
      <c r="B7" s="34"/>
      <c r="C7" s="34"/>
      <c r="D7" s="34"/>
      <c r="E7" s="34"/>
      <c r="F7" s="34"/>
    </row>
    <row r="8" spans="2:24" ht="16" customHeight="1">
      <c r="B8" s="32"/>
      <c r="C8" s="32"/>
      <c r="D8" s="32"/>
      <c r="E8" s="32"/>
      <c r="F8" s="32"/>
      <c r="G8" s="146">
        <f>AVERAGE(G43:G50)*5</f>
        <v>0</v>
      </c>
      <c r="H8" s="147"/>
      <c r="I8" s="148"/>
      <c r="V8" s="146">
        <f>AVERAGE(K43:K50)*5</f>
        <v>0</v>
      </c>
      <c r="W8" s="147"/>
      <c r="X8" s="148"/>
    </row>
    <row r="9" spans="2:24" ht="91" customHeight="1">
      <c r="B9" s="33"/>
      <c r="C9" s="33"/>
      <c r="D9" s="33"/>
      <c r="E9" s="33"/>
      <c r="F9" s="33"/>
      <c r="G9" s="149"/>
      <c r="H9" s="150"/>
      <c r="I9" s="151"/>
      <c r="V9" s="149"/>
      <c r="W9" s="150"/>
      <c r="X9" s="151"/>
    </row>
    <row r="10" spans="2:24" ht="16.5" customHeight="1">
      <c r="B10" s="34"/>
      <c r="C10" s="34"/>
      <c r="D10" s="34"/>
      <c r="E10" s="34"/>
      <c r="F10" s="34"/>
      <c r="G10" s="149"/>
      <c r="H10" s="150"/>
      <c r="I10" s="151"/>
      <c r="V10" s="149"/>
      <c r="W10" s="150"/>
      <c r="X10" s="151"/>
    </row>
    <row r="11" spans="2:24" ht="17.25" customHeight="1" thickBot="1">
      <c r="B11" s="34"/>
      <c r="C11" s="34"/>
      <c r="D11" s="34"/>
      <c r="E11" s="34"/>
      <c r="F11" s="34"/>
      <c r="G11" s="152"/>
      <c r="H11" s="153"/>
      <c r="I11" s="154"/>
      <c r="V11" s="152"/>
      <c r="W11" s="153"/>
      <c r="X11" s="154"/>
    </row>
    <row r="12" spans="2:24" ht="16" customHeight="1">
      <c r="B12" s="155"/>
      <c r="C12" s="155"/>
      <c r="D12" s="155"/>
      <c r="E12" s="155"/>
      <c r="F12" s="155"/>
    </row>
    <row r="13" spans="2:24">
      <c r="B13" s="35"/>
      <c r="C13" s="35"/>
      <c r="D13" s="35"/>
      <c r="E13" s="35"/>
      <c r="F13" s="35"/>
    </row>
    <row r="14" spans="2:24">
      <c r="B14" s="36"/>
      <c r="C14" s="36"/>
      <c r="D14" s="36"/>
      <c r="E14" s="36"/>
      <c r="F14" s="37"/>
    </row>
    <row r="15" spans="2:24">
      <c r="B15" s="34"/>
      <c r="C15" s="34"/>
      <c r="D15" s="34"/>
      <c r="E15" s="34"/>
      <c r="F15" s="34"/>
    </row>
    <row r="16" spans="2:24" ht="16" customHeight="1">
      <c r="B16" s="155"/>
      <c r="C16" s="155"/>
      <c r="D16" s="155"/>
      <c r="E16" s="155"/>
      <c r="F16" s="155"/>
    </row>
    <row r="17" spans="2:6">
      <c r="B17" s="35"/>
      <c r="C17" s="35"/>
      <c r="D17" s="35"/>
      <c r="E17" s="35"/>
      <c r="F17" s="35"/>
    </row>
    <row r="18" spans="2:6">
      <c r="B18" s="36"/>
      <c r="C18" s="36"/>
      <c r="D18" s="36"/>
      <c r="E18" s="36"/>
      <c r="F18" s="37"/>
    </row>
    <row r="23" spans="2:6">
      <c r="C23" s="38"/>
    </row>
    <row r="24" spans="2:6">
      <c r="C24" s="38"/>
    </row>
    <row r="25" spans="2:6">
      <c r="C25" s="38"/>
    </row>
    <row r="26" spans="2:6">
      <c r="C26" s="38"/>
    </row>
    <row r="27" spans="2:6">
      <c r="C27" s="38"/>
    </row>
    <row r="28" spans="2:6">
      <c r="C28" s="38"/>
    </row>
    <row r="29" spans="2:6">
      <c r="C29" s="38"/>
    </row>
    <row r="30" spans="2:6">
      <c r="C30" s="38"/>
    </row>
    <row r="31" spans="2:6">
      <c r="C31" s="38"/>
    </row>
    <row r="32" spans="2:6">
      <c r="C32" s="38"/>
    </row>
    <row r="35" spans="3:11" ht="15.75" customHeight="1"/>
    <row r="41" spans="3:11">
      <c r="D41" s="156" t="s">
        <v>74</v>
      </c>
      <c r="E41" s="157"/>
      <c r="F41" s="157"/>
      <c r="G41" s="158"/>
      <c r="H41" s="156" t="s">
        <v>75</v>
      </c>
      <c r="I41" s="157"/>
      <c r="J41" s="157"/>
      <c r="K41" s="158"/>
    </row>
    <row r="42" spans="3:11">
      <c r="D42" s="39" t="s">
        <v>70</v>
      </c>
      <c r="E42" s="39" t="s">
        <v>71</v>
      </c>
      <c r="F42" s="39" t="s">
        <v>72</v>
      </c>
      <c r="G42" s="39" t="s">
        <v>73</v>
      </c>
      <c r="H42" s="39" t="s">
        <v>70</v>
      </c>
      <c r="I42" s="39" t="s">
        <v>71</v>
      </c>
      <c r="J42" s="39" t="s">
        <v>72</v>
      </c>
      <c r="K42" s="39" t="s">
        <v>73</v>
      </c>
    </row>
    <row r="43" spans="3:11">
      <c r="C43" s="40" t="s">
        <v>168</v>
      </c>
      <c r="D43" s="41">
        <f>COUNTIFS('Security Requirements - Android'!G5:G14,'Security Requirements - Android'!B79)</f>
        <v>0</v>
      </c>
      <c r="E43" s="41">
        <f>COUNTIFS('Security Requirements - Android'!G5:G14,'Security Requirements - Android'!B80)</f>
        <v>0</v>
      </c>
      <c r="F43" s="42">
        <f>COUNTIFS('Security Requirements - Android'!G5:G14,'Security Requirements - Android'!B81)</f>
        <v>6</v>
      </c>
      <c r="G43" s="43">
        <f t="shared" ref="G43:G49" si="0">IF(D43+E43=0, 0, D43/(E43+D43))</f>
        <v>0</v>
      </c>
      <c r="H43" s="44">
        <f>COUNTIFS('Security Requirements - iOS'!G5:G14,'Security Requirements - Android'!B79)</f>
        <v>0</v>
      </c>
      <c r="I43" s="44">
        <f>COUNTIFS('Security Requirements - iOS'!G5:G14,'Security Requirements - Android'!B80)</f>
        <v>0</v>
      </c>
      <c r="J43" s="45">
        <f>COUNTIFS('Security Requirements - iOS'!G5:G14,'Security Requirements - Android'!B81)</f>
        <v>6</v>
      </c>
      <c r="K43" s="43">
        <f t="shared" ref="K43:K49" si="1">IF(H43+I43=0, 0, H43/(H43+I43))</f>
        <v>0</v>
      </c>
    </row>
    <row r="44" spans="3:11">
      <c r="C44" s="40" t="s">
        <v>169</v>
      </c>
      <c r="D44" s="41">
        <f>COUNTIFS('Security Requirements - Android'!G16:G27,'Security Requirements - Android'!B79)</f>
        <v>0</v>
      </c>
      <c r="E44" s="41">
        <f>COUNTIFS('Security Requirements - Android'!G16:G27,'Security Requirements - Android'!B80)</f>
        <v>0</v>
      </c>
      <c r="F44" s="41">
        <f>COUNTIFS('Security Requirements - Android'!G16:G27,'Security Requirements - Android'!B81)</f>
        <v>5</v>
      </c>
      <c r="G44" s="43">
        <f t="shared" si="0"/>
        <v>0</v>
      </c>
      <c r="H44" s="44">
        <f>COUNTIFS('Security Requirements - iOS'!G16:G27,'Security Requirements - Android'!B79)</f>
        <v>0</v>
      </c>
      <c r="I44" s="44">
        <f>COUNTIFS('Security Requirements - iOS'!G16:G27,'Security Requirements - Android'!B80)</f>
        <v>0</v>
      </c>
      <c r="J44" s="44">
        <f>COUNTIFS('Security Requirements - iOS'!G16:G27,'Security Requirements - Android'!B81)</f>
        <v>5</v>
      </c>
      <c r="K44" s="43">
        <f t="shared" si="1"/>
        <v>0</v>
      </c>
    </row>
    <row r="45" spans="3:11">
      <c r="C45" s="40" t="s">
        <v>170</v>
      </c>
      <c r="D45" s="41">
        <f>COUNTIFS('Security Requirements - Android'!G29:G34,'Security Requirements - Android'!B79)</f>
        <v>0</v>
      </c>
      <c r="E45" s="41">
        <f>COUNTIFS('Security Requirements - Android'!G29:G34,'Security Requirements - Android'!B80)</f>
        <v>0</v>
      </c>
      <c r="F45" s="41">
        <f>COUNTIFS('Security Requirements - Android'!G29:G34,'Security Requirements - Android'!B81)</f>
        <v>0</v>
      </c>
      <c r="G45" s="43">
        <f t="shared" si="0"/>
        <v>0</v>
      </c>
      <c r="H45" s="44">
        <f>COUNTIFS('Security Requirements - iOS'!G29:G34,'Security Requirements - Android'!B79)</f>
        <v>0</v>
      </c>
      <c r="I45" s="44">
        <f>COUNTIFS('Security Requirements - iOS'!G29:G34,'Security Requirements - Android'!B80)</f>
        <v>0</v>
      </c>
      <c r="J45" s="44">
        <f>COUNTIFS('Security Requirements - iOS'!G29:G34,'Security Requirements - Android'!B81)</f>
        <v>0</v>
      </c>
      <c r="K45" s="43">
        <f t="shared" si="1"/>
        <v>0</v>
      </c>
    </row>
    <row r="46" spans="3:11">
      <c r="C46" s="40" t="s">
        <v>171</v>
      </c>
      <c r="D46" s="41">
        <f>COUNTIFS('Security Requirements - Android'!G36:G46,'Security Requirements - Android'!B79)</f>
        <v>0</v>
      </c>
      <c r="E46" s="41">
        <f>COUNTIFS('Security Requirements - Android'!G36:G46,'Security Requirements - Android'!B80)</f>
        <v>0</v>
      </c>
      <c r="F46" s="41">
        <f>COUNTIFS('Security Requirements - Android'!G36:G46,'Security Requirements - Android'!B81)</f>
        <v>4</v>
      </c>
      <c r="G46" s="43">
        <f t="shared" si="0"/>
        <v>0</v>
      </c>
      <c r="H46" s="44">
        <f>COUNTIFS('Security Requirements - iOS'!G36:G46,'Security Requirements - Android'!B79)</f>
        <v>0</v>
      </c>
      <c r="I46" s="44">
        <f>COUNTIFS('Security Requirements - iOS'!G36:G46,'Security Requirements - Android'!B80)</f>
        <v>0</v>
      </c>
      <c r="J46" s="44">
        <f>COUNTIFS('Security Requirements - iOS'!G36:G46,'Security Requirements - Android'!B81)</f>
        <v>4</v>
      </c>
      <c r="K46" s="43">
        <f t="shared" si="1"/>
        <v>0</v>
      </c>
    </row>
    <row r="47" spans="3:11">
      <c r="C47" s="40" t="s">
        <v>172</v>
      </c>
      <c r="D47" s="41">
        <f>COUNTIFS('Security Requirements - Android'!G48:G53,'Security Requirements - Android'!B79)</f>
        <v>0</v>
      </c>
      <c r="E47" s="41">
        <f>COUNTIFS('Security Requirements - Android'!G48:G53,'Security Requirements - Android'!B80)</f>
        <v>0</v>
      </c>
      <c r="F47" s="41">
        <f>COUNTIFS('Security Requirements - Android'!G48:G53,'Security Requirements - Android'!B81)</f>
        <v>3</v>
      </c>
      <c r="G47" s="43">
        <f t="shared" si="0"/>
        <v>0</v>
      </c>
      <c r="H47" s="44">
        <f>COUNTIFS('Security Requirements - iOS'!G48:G53,'Security Requirements - Android'!B79)</f>
        <v>0</v>
      </c>
      <c r="I47" s="44">
        <f>COUNTIFS('Security Requirements - iOS'!G48:G53,'Security Requirements - Android'!B80)</f>
        <v>0</v>
      </c>
      <c r="J47" s="44">
        <f>COUNTIFS('Security Requirements - iOS'!G48:G53,'Security Requirements - Android'!B81)</f>
        <v>3</v>
      </c>
      <c r="K47" s="43">
        <f t="shared" si="1"/>
        <v>0</v>
      </c>
    </row>
    <row r="48" spans="3:11">
      <c r="C48" s="40" t="s">
        <v>173</v>
      </c>
      <c r="D48" s="41">
        <f>COUNTIFS('Security Requirements - Android'!G55:G62,'Security Requirements - Android'!B79)</f>
        <v>0</v>
      </c>
      <c r="E48" s="41">
        <f>COUNTIFS('Security Requirements - Android'!G55:G62,'Security Requirements - Android'!B80)</f>
        <v>0</v>
      </c>
      <c r="F48" s="41">
        <f>COUNTIFS('Security Requirements - Android'!G55:G62,'Security Requirements - Android'!B81)</f>
        <v>0</v>
      </c>
      <c r="G48" s="43">
        <f t="shared" si="0"/>
        <v>0</v>
      </c>
      <c r="H48" s="44">
        <f>COUNTIFS('Security Requirements - iOS'!G55:G62,'Security Requirements - Android'!B79)</f>
        <v>0</v>
      </c>
      <c r="I48" s="44">
        <f>COUNTIFS('Security Requirements - iOS'!G55:G62,'Security Requirements - Android'!B80)</f>
        <v>0</v>
      </c>
      <c r="J48" s="44">
        <f>COUNTIFS('Security Requirements - iOS'!G55:G62,'Security Requirements - Android'!B81)</f>
        <v>0</v>
      </c>
      <c r="K48" s="43">
        <f t="shared" si="1"/>
        <v>0</v>
      </c>
    </row>
    <row r="49" spans="3:11">
      <c r="C49" s="40" t="s">
        <v>174</v>
      </c>
      <c r="D49" s="44">
        <f>COUNTIFS('Security Requirements - Android'!G64:G72,'Security Requirements - Android'!B79)</f>
        <v>0</v>
      </c>
      <c r="E49" s="44">
        <f>COUNTIFS('Security Requirements - Android'!G64:G72,'Security Requirements - Android'!B80)</f>
        <v>0</v>
      </c>
      <c r="F49" s="44">
        <f>COUNTIFS('Security Requirements - Android'!G64:G72,'Security Requirements - Android'!B81)</f>
        <v>0</v>
      </c>
      <c r="G49" s="43">
        <f t="shared" si="0"/>
        <v>0</v>
      </c>
      <c r="H49" s="44">
        <f>COUNTIFS('Security Requirements - iOS'!G64:G72,'Security Requirements - Android'!B79)</f>
        <v>0</v>
      </c>
      <c r="I49" s="44">
        <f>COUNTIFS('Security Requirements - iOS'!G64:G72,'Security Requirements - Android'!B80)</f>
        <v>0</v>
      </c>
      <c r="J49" s="44">
        <f>COUNTIFS('Security Requirements - iOS'!G64:G72,'Security Requirements - Android'!B81)</f>
        <v>0</v>
      </c>
      <c r="K49" s="43">
        <f t="shared" si="1"/>
        <v>0</v>
      </c>
    </row>
    <row r="50" spans="3:11">
      <c r="C50" s="40" t="s">
        <v>175</v>
      </c>
      <c r="D50" s="41">
        <f>COUNTIFS('Anti-RE - Android'!F4:F18,'Security Requirements - Android'!B79)</f>
        <v>0</v>
      </c>
      <c r="E50" s="41">
        <f>COUNTIFS('Anti-RE - Android'!F4:F18,'Security Requirements - Android'!B80)</f>
        <v>0</v>
      </c>
      <c r="F50" s="41">
        <f>COUNTIFS('Anti-RE - Android'!F4:F18,'Security Requirements - Android'!B81)</f>
        <v>12</v>
      </c>
      <c r="G50" s="43">
        <f>IF(D50+E50=0, 0, D50/(E50+D50))</f>
        <v>0</v>
      </c>
      <c r="H50" s="44">
        <f>COUNTIFS('Anti-RE - iOS'!F4:F18,'Security Requirements - Android'!B79)</f>
        <v>0</v>
      </c>
      <c r="I50" s="44">
        <f>COUNTIFS('Anti-RE - iOS'!F4:F18,'Security Requirements - Android'!B80)</f>
        <v>0</v>
      </c>
      <c r="J50" s="44">
        <f>COUNTIFS('Anti-RE - iOS'!F4:F18,'Security Requirements - Android'!B81)</f>
        <v>12</v>
      </c>
      <c r="K50" s="43">
        <f>IF(H50+I50=0, 0, H50/(H50+I50))</f>
        <v>0</v>
      </c>
    </row>
  </sheetData>
  <mergeCells count="9">
    <mergeCell ref="B4:F4"/>
    <mergeCell ref="G8:I11"/>
    <mergeCell ref="G6:I6"/>
    <mergeCell ref="V6:X6"/>
    <mergeCell ref="V8:X11"/>
    <mergeCell ref="B12:F12"/>
    <mergeCell ref="B16:F16"/>
    <mergeCell ref="D41:G41"/>
    <mergeCell ref="H41:K41"/>
  </mergeCells>
  <phoneticPr fontId="12"/>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L85"/>
  <sheetViews>
    <sheetView showGridLines="0" topLeftCell="E9" zoomScaleNormal="100" zoomScalePageLayoutView="130" workbookViewId="0">
      <selection activeCell="H14" sqref="H14"/>
    </sheetView>
  </sheetViews>
  <sheetFormatPr baseColWidth="10" defaultColWidth="10.9140625" defaultRowHeight="15.5"/>
  <cols>
    <col min="1" max="1" width="1.5" style="46" customWidth="1"/>
    <col min="2" max="2" width="7.9140625" style="47" customWidth="1"/>
    <col min="3" max="3" width="18.33203125" style="47" customWidth="1"/>
    <col min="4" max="4" width="97.1640625" style="48" customWidth="1"/>
    <col min="5" max="6" width="6.58203125" style="46" customWidth="1"/>
    <col min="7" max="7" width="5.6640625" style="46" customWidth="1"/>
    <col min="8" max="8" width="60.1640625" style="48" customWidth="1"/>
    <col min="9" max="9" width="63.58203125" style="48" customWidth="1"/>
    <col min="10" max="10" width="30.6640625" style="48" customWidth="1"/>
    <col min="11" max="11" width="10.9140625" style="46"/>
    <col min="12" max="13" width="10.6640625" style="46" customWidth="1"/>
    <col min="14" max="16384" width="10.9140625" style="46"/>
  </cols>
  <sheetData>
    <row r="1" spans="2:10" ht="18.5">
      <c r="B1" s="160" t="s">
        <v>179</v>
      </c>
      <c r="C1" s="160"/>
      <c r="D1" s="160"/>
      <c r="E1" s="160"/>
      <c r="F1" s="160"/>
      <c r="G1" s="160"/>
      <c r="H1" s="160"/>
      <c r="I1" s="160"/>
      <c r="J1" s="160"/>
    </row>
    <row r="3" spans="2:10" ht="29">
      <c r="B3" s="49" t="s">
        <v>0</v>
      </c>
      <c r="C3" s="112" t="s">
        <v>305</v>
      </c>
      <c r="D3" s="50" t="s">
        <v>180</v>
      </c>
      <c r="E3" s="51" t="s">
        <v>181</v>
      </c>
      <c r="F3" s="51" t="s">
        <v>182</v>
      </c>
      <c r="G3" s="51" t="s">
        <v>183</v>
      </c>
      <c r="H3" s="161" t="s">
        <v>184</v>
      </c>
      <c r="I3" s="161"/>
      <c r="J3" s="52" t="s">
        <v>185</v>
      </c>
    </row>
    <row r="4" spans="2:10">
      <c r="B4" s="53" t="s">
        <v>1</v>
      </c>
      <c r="C4" s="113"/>
      <c r="D4" s="54" t="s">
        <v>186</v>
      </c>
      <c r="E4" s="55"/>
      <c r="F4" s="55"/>
      <c r="G4" s="55"/>
      <c r="H4" s="54"/>
      <c r="I4" s="54"/>
      <c r="J4" s="56"/>
    </row>
    <row r="5" spans="2:10">
      <c r="B5" s="107" t="s">
        <v>2</v>
      </c>
      <c r="C5" s="114" t="s">
        <v>306</v>
      </c>
      <c r="D5" s="57" t="s">
        <v>231</v>
      </c>
      <c r="E5" s="58" t="s">
        <v>3</v>
      </c>
      <c r="F5" s="59" t="s">
        <v>3</v>
      </c>
      <c r="G5" s="60"/>
      <c r="H5" s="118" t="str">
        <f>HYPERLINK(CONCATENATE(
BASE_URL,
"0x04b-Mobile-App-Security-Testing.md#architectural-information"),
"Architectural Information")</f>
        <v>Architectural Information</v>
      </c>
      <c r="I5" s="61"/>
      <c r="J5" s="62"/>
    </row>
    <row r="6" spans="2:10">
      <c r="B6" s="107" t="s">
        <v>112</v>
      </c>
      <c r="C6" s="114" t="s">
        <v>307</v>
      </c>
      <c r="D6" s="57" t="s">
        <v>232</v>
      </c>
      <c r="E6" s="58" t="s">
        <v>3</v>
      </c>
      <c r="F6" s="59" t="s">
        <v>3</v>
      </c>
      <c r="G6" s="60"/>
      <c r="H6" s="118" t="str">
        <f>HYPERLINK(CONCATENATE(
BASE_URL,
"0x04h-Testing-Code-Quality.md#injection-flaws"),
"Injection Flaws")</f>
        <v>Injection Flaws</v>
      </c>
      <c r="I6" s="118" t="str">
        <f>HYPERLINK(CONCATENATE(
BASE_URL,
"0x04h-Testing-Code-Quality.md#cross-site-scripting-flaws"),
"Cross-Site Scripting Flaws")</f>
        <v>Cross-Site Scripting Flaws</v>
      </c>
      <c r="J6" s="62"/>
    </row>
    <row r="7" spans="2:10" ht="29">
      <c r="B7" s="107" t="s">
        <v>111</v>
      </c>
      <c r="C7" s="114" t="s">
        <v>308</v>
      </c>
      <c r="D7" s="57" t="s">
        <v>233</v>
      </c>
      <c r="E7" s="58" t="s">
        <v>3</v>
      </c>
      <c r="F7" s="59" t="s">
        <v>3</v>
      </c>
      <c r="G7" s="60"/>
      <c r="H7" s="118" t="str">
        <f>HYPERLINK(CONCATENATE(
BASE_URL,
"0x04b-Mobile-App-Security-Testing.md#architectural-information"),
"Architectural Information")</f>
        <v>Architectural Information</v>
      </c>
      <c r="I7" s="61"/>
      <c r="J7" s="62"/>
    </row>
    <row r="8" spans="2:10">
      <c r="B8" s="107" t="s">
        <v>110</v>
      </c>
      <c r="C8" s="114" t="s">
        <v>309</v>
      </c>
      <c r="D8" s="57" t="s">
        <v>234</v>
      </c>
      <c r="E8" s="58" t="s">
        <v>3</v>
      </c>
      <c r="F8" s="59" t="s">
        <v>3</v>
      </c>
      <c r="G8" s="60"/>
      <c r="H8" s="118" t="str">
        <f>HYPERLINK(CONCATENATE(
BASE_URL,
"0x04b-Mobile-App-Security-Testing.md#identifying-sensitive-data"),
"Identifying Sensitive Data")</f>
        <v>Identifying Sensitive Data</v>
      </c>
      <c r="I8" s="61"/>
      <c r="J8" s="62"/>
    </row>
    <row r="9" spans="2:10">
      <c r="B9" s="107" t="s">
        <v>109</v>
      </c>
      <c r="C9" s="114" t="s">
        <v>310</v>
      </c>
      <c r="D9" s="57" t="s">
        <v>235</v>
      </c>
      <c r="E9" s="63"/>
      <c r="F9" s="59" t="s">
        <v>3</v>
      </c>
      <c r="G9" s="60" t="s">
        <v>64</v>
      </c>
      <c r="H9" s="118" t="str">
        <f>HYPERLINK(CONCATENATE(
BASE_URL,
"0x04b-Mobile-App-Security-Testing.md#environmental-information"),
"Environmental Information")</f>
        <v>Environmental Information</v>
      </c>
      <c r="I9" s="61"/>
      <c r="J9" s="62"/>
    </row>
    <row r="10" spans="2:10">
      <c r="B10" s="107" t="s">
        <v>108</v>
      </c>
      <c r="C10" s="114" t="s">
        <v>311</v>
      </c>
      <c r="D10" s="57" t="s">
        <v>236</v>
      </c>
      <c r="E10" s="63"/>
      <c r="F10" s="59" t="s">
        <v>3</v>
      </c>
      <c r="G10" s="60" t="s">
        <v>64</v>
      </c>
      <c r="H10" s="118" t="str">
        <f>HYPERLINK(CONCATENATE(
BASE_URL,
"0x04b-Mobile-App-Security-Testing.md#mapping-the-application"),
"Mapping the Application")</f>
        <v>Mapping the Application</v>
      </c>
      <c r="I10" s="61"/>
      <c r="J10" s="62"/>
    </row>
    <row r="11" spans="2:10">
      <c r="B11" s="107" t="s">
        <v>4</v>
      </c>
      <c r="C11" s="114" t="s">
        <v>312</v>
      </c>
      <c r="D11" s="57" t="s">
        <v>237</v>
      </c>
      <c r="E11" s="64"/>
      <c r="F11" s="59" t="s">
        <v>3</v>
      </c>
      <c r="G11" s="60" t="s">
        <v>64</v>
      </c>
      <c r="H11" s="118" t="str">
        <f>HYPERLINK(CONCATENATE(
BASE_URL,
"0x04b-Mobile-App-Security-Testing.md#principles-of-testing"),
"Principles of Testing")</f>
        <v>Principles of Testing</v>
      </c>
      <c r="I11" s="118" t="str">
        <f>HYPERLINK(CONCATENATE(
BASE_URL,
"0x04b-Mobile-App-Security-Testing.md#penetration-testing-aka-pentesting"),
"Penetration Testing (a.k.a. Pentesting)")</f>
        <v>Penetration Testing (a.k.a. Pentesting)</v>
      </c>
      <c r="J11" s="62"/>
    </row>
    <row r="12" spans="2:10" ht="29">
      <c r="B12" s="107" t="s">
        <v>107</v>
      </c>
      <c r="C12" s="114" t="s">
        <v>313</v>
      </c>
      <c r="D12" s="57" t="s">
        <v>238</v>
      </c>
      <c r="E12" s="63"/>
      <c r="F12" s="59" t="s">
        <v>3</v>
      </c>
      <c r="G12" s="60" t="s">
        <v>64</v>
      </c>
      <c r="H12" s="118" t="str">
        <f>HYPERLINK(CONCATENATE(
BASE_URL,
"0x04g-Testing-Cryptography.md#cryptographic-policy"),
"Cryptographic policy")</f>
        <v>Cryptographic policy</v>
      </c>
      <c r="I12" s="61"/>
      <c r="J12" s="62"/>
    </row>
    <row r="13" spans="2:10">
      <c r="B13" s="107" t="s">
        <v>106</v>
      </c>
      <c r="C13" s="114" t="s">
        <v>314</v>
      </c>
      <c r="D13" s="57" t="s">
        <v>239</v>
      </c>
      <c r="E13" s="63"/>
      <c r="F13" s="59" t="s">
        <v>3</v>
      </c>
      <c r="G13" s="60" t="s">
        <v>64</v>
      </c>
      <c r="H13" s="118" t="str">
        <f>HYPERLINK(CONCATENATE(
BASE_URL,
"0x05h-Testing-Platform-Interaction.md#testing-enforced-updating"),
"Testing enforced updating")</f>
        <v>Testing enforced updating</v>
      </c>
      <c r="I13" s="61"/>
      <c r="J13" s="62"/>
    </row>
    <row r="14" spans="2:10">
      <c r="B14" s="108" t="s">
        <v>5</v>
      </c>
      <c r="C14" s="115" t="s">
        <v>315</v>
      </c>
      <c r="D14" s="57" t="s">
        <v>240</v>
      </c>
      <c r="E14" s="63"/>
      <c r="F14" s="59" t="s">
        <v>3</v>
      </c>
      <c r="G14" s="60" t="s">
        <v>64</v>
      </c>
      <c r="H14" s="118" t="str">
        <f>HYPERLINK(CONCATENATE(
BASE_URL,
"0x04b-Mobile-App-Security-Testing.md#security-testing-and-the-sdlc"),
"Security Testing and the SDLC")</f>
        <v>Security Testing and the SDLC</v>
      </c>
      <c r="I14" s="61"/>
      <c r="J14" s="62"/>
    </row>
    <row r="15" spans="2:10">
      <c r="B15" s="65" t="s">
        <v>6</v>
      </c>
      <c r="C15" s="116"/>
      <c r="D15" s="66" t="s">
        <v>187</v>
      </c>
      <c r="E15" s="67"/>
      <c r="F15" s="68"/>
      <c r="G15" s="67"/>
      <c r="H15" s="66"/>
      <c r="I15" s="66"/>
      <c r="J15" s="69"/>
    </row>
    <row r="16" spans="2:10" ht="29">
      <c r="B16" s="107" t="s">
        <v>7</v>
      </c>
      <c r="C16" s="114" t="s">
        <v>316</v>
      </c>
      <c r="D16" s="57" t="s">
        <v>241</v>
      </c>
      <c r="E16" s="58" t="s">
        <v>3</v>
      </c>
      <c r="F16" s="59" t="s">
        <v>3</v>
      </c>
      <c r="G16" s="60"/>
      <c r="H16" s="70" t="str">
        <f>HYPERLINK(CONCATENATE(
BASE_URL,
"0x05d-Testing-Data-Storage.md#testing-local-storage-for-sensitive-data"),
"Testing Local Storage for Sensitive Data")</f>
        <v>Testing Local Storage for Sensitive Data</v>
      </c>
      <c r="I16" s="70"/>
      <c r="J16" s="62"/>
    </row>
    <row r="17" spans="2:10">
      <c r="B17" s="107" t="s">
        <v>39</v>
      </c>
      <c r="C17" s="114" t="s">
        <v>317</v>
      </c>
      <c r="D17" s="57" t="s">
        <v>242</v>
      </c>
      <c r="E17" s="58"/>
      <c r="F17" s="59"/>
      <c r="G17" s="60"/>
      <c r="H17" s="71" t="str">
        <f>HYPERLINK(CONCATENATE(
BASE_URL,
"0x05d-Testing-Data-Storage.md#testing-local-storage-for-sensitive-data"),
"Testing Local Storage for Sensitive Data")</f>
        <v>Testing Local Storage for Sensitive Data</v>
      </c>
      <c r="I17" s="71"/>
      <c r="J17" s="72"/>
    </row>
    <row r="18" spans="2:10">
      <c r="B18" s="107" t="s">
        <v>40</v>
      </c>
      <c r="C18" s="114" t="s">
        <v>318</v>
      </c>
      <c r="D18" s="57" t="s">
        <v>243</v>
      </c>
      <c r="E18" s="58" t="s">
        <v>3</v>
      </c>
      <c r="F18" s="59" t="s">
        <v>3</v>
      </c>
      <c r="G18" s="60"/>
      <c r="H18" s="70" t="str">
        <f>HYPERLINK(CONCATENATE(
BASE_URL,
"0x05d-Testing-Data-Storage.md#testing-logs-for-sensitive-data"),
"Testing Logs for Sensitive Data")</f>
        <v>Testing Logs for Sensitive Data</v>
      </c>
      <c r="I18" s="70"/>
      <c r="J18" s="62"/>
    </row>
    <row r="19" spans="2:10">
      <c r="B19" s="107" t="s">
        <v>8</v>
      </c>
      <c r="C19" s="114" t="s">
        <v>319</v>
      </c>
      <c r="D19" s="57" t="s">
        <v>244</v>
      </c>
      <c r="E19" s="58" t="s">
        <v>3</v>
      </c>
      <c r="F19" s="59" t="s">
        <v>3</v>
      </c>
      <c r="G19" s="60"/>
      <c r="H19" s="70" t="str">
        <f>HYPERLINK(CONCATENATE(
BASE_URL,
"0x05d-Testing-Data-Storage.md#determining-whether-sensitive-data-is-sent-to-third-parties"),
"Determining Whether Sensitive Data is Sent to Third Parties")</f>
        <v>Determining Whether Sensitive Data is Sent to Third Parties</v>
      </c>
      <c r="I19" s="70"/>
      <c r="J19" s="62"/>
    </row>
    <row r="20" spans="2:10" ht="31">
      <c r="B20" s="107" t="s">
        <v>41</v>
      </c>
      <c r="C20" s="114" t="s">
        <v>320</v>
      </c>
      <c r="D20" s="57" t="s">
        <v>245</v>
      </c>
      <c r="E20" s="58" t="s">
        <v>3</v>
      </c>
      <c r="F20" s="59" t="s">
        <v>3</v>
      </c>
      <c r="G20" s="60"/>
      <c r="H20" s="70" t="str">
        <f>HYPERLINK(CONCATENATE(
BASE_URL,
"0x05d-Testing-Data-Storage.md#determining-whether-the-keyboard-cache-is-disabled-for-text-input-fields"),
"Determining Whether the Keyboard Cache Is Disabled for Text Input Fields")</f>
        <v>Determining Whether the Keyboard Cache Is Disabled for Text Input Fields</v>
      </c>
      <c r="I20" s="70"/>
      <c r="J20" s="62"/>
    </row>
    <row r="21" spans="2:10" ht="31">
      <c r="B21" s="107" t="s">
        <v>9</v>
      </c>
      <c r="C21" s="114" t="s">
        <v>321</v>
      </c>
      <c r="D21" s="57" t="s">
        <v>246</v>
      </c>
      <c r="E21" s="58" t="s">
        <v>3</v>
      </c>
      <c r="F21" s="59" t="s">
        <v>3</v>
      </c>
      <c r="G21" s="60"/>
      <c r="H21" s="70" t="str">
        <f>HYPERLINK(CONCATENATE(
BASE_URL,
"0x05d-Testing-Data-Storage.md#determining-whether-sensitive-stored-data-has-been-exposed-via-ipc-mechanisms"),
"Determining Whether Sensitive Stored Data Has Been Exposed via IPC Mechanisms")</f>
        <v>Determining Whether Sensitive Stored Data Has Been Exposed via IPC Mechanisms</v>
      </c>
      <c r="I21" s="70"/>
      <c r="J21" s="62"/>
    </row>
    <row r="22" spans="2:10">
      <c r="B22" s="107" t="s">
        <v>10</v>
      </c>
      <c r="C22" s="114" t="s">
        <v>322</v>
      </c>
      <c r="D22" s="57" t="s">
        <v>247</v>
      </c>
      <c r="E22" s="58" t="s">
        <v>3</v>
      </c>
      <c r="F22" s="59" t="s">
        <v>3</v>
      </c>
      <c r="G22" s="60"/>
      <c r="H22" s="70" t="str">
        <f>HYPERLINK(CONCATENATE(
BASE_URL,
"0x05d-Testing-Data-Storage.md#checking-for-sensitive-data-disclosure-through-the-user-interface"),
"Checking for Sensitive Data Disclosure Through the User Interface")</f>
        <v>Checking for Sensitive Data Disclosure Through the User Interface</v>
      </c>
      <c r="I22" s="70"/>
      <c r="J22" s="62"/>
    </row>
    <row r="23" spans="2:10">
      <c r="B23" s="107" t="s">
        <v>11</v>
      </c>
      <c r="C23" s="114" t="s">
        <v>323</v>
      </c>
      <c r="D23" s="57" t="s">
        <v>248</v>
      </c>
      <c r="E23" s="73"/>
      <c r="F23" s="59" t="s">
        <v>3</v>
      </c>
      <c r="G23" s="60" t="s">
        <v>64</v>
      </c>
      <c r="H23" s="70" t="str">
        <f>HYPERLINK(CONCATENATE(
BASE_URL,
"0x05d-Testing-Data-Storage.md#testing-backups-for-sensitive-data"),
"Testing Backups for Sensitive Data")</f>
        <v>Testing Backups for Sensitive Data</v>
      </c>
      <c r="I23" s="70"/>
      <c r="J23" s="62"/>
    </row>
    <row r="24" spans="2:10">
      <c r="B24" s="107" t="s">
        <v>12</v>
      </c>
      <c r="C24" s="114" t="s">
        <v>324</v>
      </c>
      <c r="D24" s="57" t="s">
        <v>226</v>
      </c>
      <c r="E24" s="73"/>
      <c r="F24" s="59" t="s">
        <v>3</v>
      </c>
      <c r="G24" s="60" t="s">
        <v>64</v>
      </c>
      <c r="H24" s="70" t="str">
        <f>HYPERLINK(CONCATENATE(
BASE_URL,
"0x05d-Testing-Data-Storage.md#finding-sensitive-information-in-auto-generated-screenshots"),
"Finding Sensitive Information in Auto-Generated Screenshots")</f>
        <v>Finding Sensitive Information in Auto-Generated Screenshots</v>
      </c>
      <c r="I24" s="70"/>
      <c r="J24" s="62"/>
    </row>
    <row r="25" spans="2:10">
      <c r="B25" s="107" t="s">
        <v>42</v>
      </c>
      <c r="C25" s="114" t="s">
        <v>325</v>
      </c>
      <c r="D25" s="57" t="s">
        <v>249</v>
      </c>
      <c r="E25" s="73"/>
      <c r="F25" s="59" t="s">
        <v>3</v>
      </c>
      <c r="G25" s="60" t="s">
        <v>64</v>
      </c>
      <c r="H25" s="70" t="str">
        <f>HYPERLINK(CONCATENATE(
BASE_URL,
"0x05d-Testing-Data-Storage.md#checking-memory-for-sensitive-data"),
"Checking Memory for Sensitive Data")</f>
        <v>Checking Memory for Sensitive Data</v>
      </c>
      <c r="I25" s="70"/>
      <c r="J25" s="62"/>
    </row>
    <row r="26" spans="2:10" ht="29">
      <c r="B26" s="107" t="s">
        <v>43</v>
      </c>
      <c r="C26" s="114" t="s">
        <v>326</v>
      </c>
      <c r="D26" s="57" t="s">
        <v>250</v>
      </c>
      <c r="E26" s="73"/>
      <c r="F26" s="59" t="s">
        <v>3</v>
      </c>
      <c r="G26" s="60" t="s">
        <v>64</v>
      </c>
      <c r="H26" s="70" t="str">
        <f>HYPERLINK(CONCATENATE(
BASE_URL,
"0x05d-Testing-Data-Storage.md#testing-the-device-access-security-policy"),
"Testing the Device-Access-Security Policy")</f>
        <v>Testing the Device-Access-Security Policy</v>
      </c>
      <c r="I26" s="70"/>
      <c r="J26" s="62"/>
    </row>
    <row r="27" spans="2:10" ht="29">
      <c r="B27" s="107" t="s">
        <v>13</v>
      </c>
      <c r="C27" s="114" t="s">
        <v>327</v>
      </c>
      <c r="D27" s="57" t="s">
        <v>251</v>
      </c>
      <c r="E27" s="73"/>
      <c r="F27" s="59" t="s">
        <v>3</v>
      </c>
      <c r="G27" s="60" t="s">
        <v>64</v>
      </c>
      <c r="H27" s="70" t="str">
        <f>HYPERLINK(CONCATENATE(
BASE_URL,
"0x04i-Testing-user-interaction.md#testing-user-education"),
"Testing User Education")</f>
        <v>Testing User Education</v>
      </c>
      <c r="I27" s="70"/>
      <c r="J27" s="62"/>
    </row>
    <row r="28" spans="2:10">
      <c r="B28" s="65" t="s">
        <v>14</v>
      </c>
      <c r="C28" s="116"/>
      <c r="D28" s="66" t="s">
        <v>189</v>
      </c>
      <c r="E28" s="67"/>
      <c r="F28" s="68"/>
      <c r="G28" s="67"/>
      <c r="H28" s="66"/>
      <c r="I28" s="66"/>
      <c r="J28" s="69"/>
    </row>
    <row r="29" spans="2:10">
      <c r="B29" s="107" t="s">
        <v>15</v>
      </c>
      <c r="C29" s="114" t="s">
        <v>328</v>
      </c>
      <c r="D29" s="57" t="s">
        <v>252</v>
      </c>
      <c r="E29" s="58" t="s">
        <v>3</v>
      </c>
      <c r="F29" s="59" t="s">
        <v>3</v>
      </c>
      <c r="G29" s="60"/>
      <c r="H29" s="70" t="str">
        <f>HYPERLINK(CONCATENATE(
BASE_URL,
"0x05e-Testing-Cryptography.md#testing-key-management"),
"Testing Key Management")</f>
        <v>Testing Key Management</v>
      </c>
      <c r="I29" s="70"/>
      <c r="J29" s="62"/>
    </row>
    <row r="30" spans="2:10">
      <c r="B30" s="107" t="s">
        <v>16</v>
      </c>
      <c r="C30" s="114" t="s">
        <v>329</v>
      </c>
      <c r="D30" s="57" t="s">
        <v>253</v>
      </c>
      <c r="E30" s="58" t="s">
        <v>3</v>
      </c>
      <c r="F30" s="59" t="s">
        <v>3</v>
      </c>
      <c r="G30" s="60"/>
      <c r="H30" s="70" t="str">
        <f>HYPERLINK(CONCATENATE(
BASE_URL,
"0x04g-Testing-Cryptography.md#cryptography-for-mobile-apps"),
"Cryptography for Mobile Apps")</f>
        <v>Cryptography for Mobile Apps</v>
      </c>
      <c r="I30" s="70"/>
      <c r="J30" s="62"/>
    </row>
    <row r="31" spans="2:10" ht="29">
      <c r="B31" s="107" t="s">
        <v>17</v>
      </c>
      <c r="C31" s="114" t="s">
        <v>330</v>
      </c>
      <c r="D31" s="57" t="s">
        <v>254</v>
      </c>
      <c r="E31" s="58" t="s">
        <v>3</v>
      </c>
      <c r="F31" s="59" t="s">
        <v>3</v>
      </c>
      <c r="G31" s="60"/>
      <c r="H31" s="70" t="str">
        <f>HYPERLINK(CONCATENATE(
BASE_URL,
"0x05e-Testing-Cryptography.md#verifying-the-configuration-of-cryptographic-standard-algorithms"),
"Verifying the Configuration of Cryptographic Standard Algorithms")</f>
        <v>Verifying the Configuration of Cryptographic Standard Algorithms</v>
      </c>
      <c r="I31" s="70"/>
      <c r="J31" s="62"/>
    </row>
    <row r="32" spans="2:10">
      <c r="B32" s="107" t="s">
        <v>18</v>
      </c>
      <c r="C32" s="114" t="s">
        <v>331</v>
      </c>
      <c r="D32" s="57" t="s">
        <v>255</v>
      </c>
      <c r="E32" s="58" t="s">
        <v>3</v>
      </c>
      <c r="F32" s="59" t="s">
        <v>3</v>
      </c>
      <c r="G32" s="60"/>
      <c r="H32" s="70" t="str">
        <f>HYPERLINK(CONCATENATE(
BASE_URL,
"0x04g-Testing-Cryptography.md#identifying-insecure-andor-deprecated-cryptographic-algorithms"),
"Identifying Insecure and/or Deprecated Cryptographic Algorithms")</f>
        <v>Identifying Insecure and/or Deprecated Cryptographic Algorithms</v>
      </c>
      <c r="I32" s="70"/>
      <c r="J32" s="62"/>
    </row>
    <row r="33" spans="2:12">
      <c r="B33" s="107" t="s">
        <v>19</v>
      </c>
      <c r="C33" s="114" t="s">
        <v>333</v>
      </c>
      <c r="D33" s="57" t="s">
        <v>256</v>
      </c>
      <c r="E33" s="58" t="s">
        <v>3</v>
      </c>
      <c r="F33" s="59" t="s">
        <v>3</v>
      </c>
      <c r="G33" s="60"/>
      <c r="H33" s="70" t="str">
        <f>HYPERLINK(CONCATENATE(
BASE_URL,
"0x05e-Testing-Cryptography.md#testing-key-management"),
"Testing Key Management")</f>
        <v>Testing Key Management</v>
      </c>
      <c r="I33" s="70"/>
      <c r="J33" s="62"/>
    </row>
    <row r="34" spans="2:12">
      <c r="B34" s="107" t="s">
        <v>20</v>
      </c>
      <c r="C34" s="114" t="s">
        <v>332</v>
      </c>
      <c r="D34" s="57" t="s">
        <v>257</v>
      </c>
      <c r="E34" s="58" t="s">
        <v>3</v>
      </c>
      <c r="F34" s="59" t="s">
        <v>3</v>
      </c>
      <c r="G34" s="60"/>
      <c r="H34" s="70" t="str">
        <f>HYPERLINK(CONCATENATE(
BASE_URL,
"0x05e-Testing-Cryptography.md#testing-random-number-generation"),
"Testing Random Number Generation")</f>
        <v>Testing Random Number Generation</v>
      </c>
      <c r="I34" s="70"/>
      <c r="J34" s="62"/>
    </row>
    <row r="35" spans="2:12">
      <c r="B35" s="65" t="s">
        <v>21</v>
      </c>
      <c r="C35" s="116"/>
      <c r="D35" s="66" t="s">
        <v>190</v>
      </c>
      <c r="E35" s="67"/>
      <c r="F35" s="68"/>
      <c r="G35" s="67"/>
      <c r="H35" s="66"/>
      <c r="I35" s="66"/>
      <c r="J35" s="69"/>
    </row>
    <row r="36" spans="2:12" ht="29">
      <c r="B36" s="107" t="s">
        <v>22</v>
      </c>
      <c r="C36" s="114" t="s">
        <v>334</v>
      </c>
      <c r="D36" s="74" t="s">
        <v>258</v>
      </c>
      <c r="E36" s="58" t="s">
        <v>3</v>
      </c>
      <c r="F36" s="59" t="s">
        <v>3</v>
      </c>
      <c r="G36" s="60"/>
      <c r="H36" s="70" t="str">
        <f>HYPERLINK(CONCATENATE(
BASE_URL,
"0x04e-Testing-Authentication-and-Session-Management.md#testing-authentication"),
"Testing Authentication")</f>
        <v>Testing Authentication</v>
      </c>
      <c r="I36" s="70"/>
      <c r="J36" s="62"/>
    </row>
    <row r="37" spans="2:12" ht="29">
      <c r="B37" s="107" t="s">
        <v>44</v>
      </c>
      <c r="C37" s="114" t="s">
        <v>335</v>
      </c>
      <c r="D37" s="74" t="s">
        <v>259</v>
      </c>
      <c r="E37" s="58" t="s">
        <v>3</v>
      </c>
      <c r="F37" s="59" t="s">
        <v>3</v>
      </c>
      <c r="G37" s="60"/>
      <c r="H37" s="70" t="str">
        <f>HYPERLINK(CONCATENATE(
BASE_URL,
"0x04e-Testing-Authentication-and-Session-Management.md#testing-stateful-session-management"),
"Testing Stateful Session Management")</f>
        <v>Testing Stateful Session Management</v>
      </c>
      <c r="I37" s="70"/>
      <c r="J37" s="62"/>
    </row>
    <row r="38" spans="2:12" ht="29">
      <c r="B38" s="107" t="s">
        <v>45</v>
      </c>
      <c r="C38" s="114" t="s">
        <v>336</v>
      </c>
      <c r="D38" s="74" t="s">
        <v>260</v>
      </c>
      <c r="E38" s="58" t="s">
        <v>3</v>
      </c>
      <c r="F38" s="59" t="s">
        <v>3</v>
      </c>
      <c r="G38" s="60"/>
      <c r="H38" s="70" t="str">
        <f>HYPERLINK(CONCATENATE(
BASE_URL,
"0x04e-Testing-Authentication-and-Session-Management.md#testing-stateless-token-based-authentication"),
"Testing Stateless (Token-Based) Authentication")</f>
        <v>Testing Stateless (Token-Based) Authentication</v>
      </c>
      <c r="I38" s="70"/>
      <c r="J38" s="62"/>
      <c r="L38" s="75"/>
    </row>
    <row r="39" spans="2:12">
      <c r="B39" s="107" t="s">
        <v>23</v>
      </c>
      <c r="C39" s="114" t="s">
        <v>337</v>
      </c>
      <c r="D39" s="74" t="s">
        <v>261</v>
      </c>
      <c r="E39" s="58"/>
      <c r="F39" s="59"/>
      <c r="G39" s="60"/>
      <c r="H39" s="70" t="str">
        <f>HYPERLINK(CONCATENATE(
BASE_URL,
"0x04e-Testing-Authentication-and-Session-Management.md#user-logout-and-session-timeouts"),
"User Logout and Session Timeouts")</f>
        <v>User Logout and Session Timeouts</v>
      </c>
      <c r="I39" s="70"/>
      <c r="J39" s="62"/>
      <c r="L39" s="75"/>
    </row>
    <row r="40" spans="2:12">
      <c r="B40" s="107" t="s">
        <v>24</v>
      </c>
      <c r="C40" s="114" t="s">
        <v>338</v>
      </c>
      <c r="D40" s="74" t="s">
        <v>262</v>
      </c>
      <c r="E40" s="58" t="s">
        <v>3</v>
      </c>
      <c r="F40" s="59" t="s">
        <v>3</v>
      </c>
      <c r="G40" s="60"/>
      <c r="H40" s="70" t="str">
        <f>HYPERLINK(CONCATENATE(
BASE_URL,
"0x04e-Testing-Authentication-and-Session-Management.md#best-practices-for-passwords"),
"Best Practices for Passwords")</f>
        <v>Best Practices for Passwords</v>
      </c>
      <c r="I40" s="70"/>
      <c r="J40" s="62"/>
    </row>
    <row r="41" spans="2:12">
      <c r="B41" s="107" t="s">
        <v>46</v>
      </c>
      <c r="C41" s="114" t="s">
        <v>339</v>
      </c>
      <c r="D41" s="74" t="s">
        <v>263</v>
      </c>
      <c r="E41" s="58" t="s">
        <v>3</v>
      </c>
      <c r="F41" s="59" t="s">
        <v>3</v>
      </c>
      <c r="G41" s="60"/>
      <c r="H41" s="70" t="str">
        <f>HYPERLINK(CONCATENATE(
BASE_URL,
"0x04e-Testing-Authentication-and-Session-Management.md#running-a-password-dictionary-attack"),
"Running a Password Dictionary Attack")</f>
        <v>Running a Password Dictionary Attack</v>
      </c>
      <c r="I41" s="70"/>
      <c r="J41" s="62"/>
    </row>
    <row r="42" spans="2:12" ht="29">
      <c r="B42" s="107" t="s">
        <v>47</v>
      </c>
      <c r="C42" s="114" t="s">
        <v>340</v>
      </c>
      <c r="D42" s="74" t="s">
        <v>264</v>
      </c>
      <c r="E42" s="58" t="s">
        <v>3</v>
      </c>
      <c r="F42" s="59" t="s">
        <v>3</v>
      </c>
      <c r="G42" s="60"/>
      <c r="H42" s="70" t="str">
        <f>HYPERLINK(CONCATENATE(
BASE_URL,
"0x04e-Testing-Authentication-and-Session-Management.md#session-timeout"),
"Session Timeout")</f>
        <v>Session Timeout</v>
      </c>
      <c r="I42" s="70"/>
      <c r="J42" s="76"/>
    </row>
    <row r="43" spans="2:12" ht="29">
      <c r="B43" s="107" t="s">
        <v>25</v>
      </c>
      <c r="C43" s="114" t="s">
        <v>341</v>
      </c>
      <c r="D43" s="74" t="s">
        <v>265</v>
      </c>
      <c r="E43" s="73"/>
      <c r="F43" s="59" t="s">
        <v>3</v>
      </c>
      <c r="G43" s="60" t="s">
        <v>64</v>
      </c>
      <c r="H43" s="70" t="str">
        <f>HYPERLINK(CONCATENATE(
BASE_URL,
"0x05f-Testing-Local-Authentication.md#testing-biometric-authentication"),
"Testing Biometric Authentication")</f>
        <v>Testing Biometric Authentication</v>
      </c>
      <c r="I43" s="70"/>
      <c r="J43" s="62"/>
    </row>
    <row r="44" spans="2:12" ht="29">
      <c r="B44" s="107" t="s">
        <v>26</v>
      </c>
      <c r="C44" s="114" t="s">
        <v>342</v>
      </c>
      <c r="D44" s="74" t="s">
        <v>266</v>
      </c>
      <c r="E44" s="73"/>
      <c r="F44" s="59" t="s">
        <v>3</v>
      </c>
      <c r="G44" s="60" t="s">
        <v>64</v>
      </c>
      <c r="H44" s="70" t="str">
        <f>HYPERLINK(CONCATENATE(
BASE_URL,
"0x04e-Testing-Authentication-and-Session-Management.md#verifying-that-2fa-is-enforced"),
"Verifying that 2FA is Enforced")</f>
        <v>Verifying that 2FA is Enforced</v>
      </c>
      <c r="I44" s="70"/>
      <c r="J44" s="62"/>
    </row>
    <row r="45" spans="2:12">
      <c r="B45" s="107" t="s">
        <v>27</v>
      </c>
      <c r="C45" s="114" t="s">
        <v>343</v>
      </c>
      <c r="D45" s="74" t="s">
        <v>267</v>
      </c>
      <c r="E45" s="73"/>
      <c r="F45" s="59" t="s">
        <v>3</v>
      </c>
      <c r="G45" s="60" t="s">
        <v>64</v>
      </c>
      <c r="H45" s="70" t="str">
        <f>HYPERLINK(CONCATENATE(
BASE_URL,
"0x04e-Testing-Authentication-and-Session-Management.md#2-factor-authentication-and-step-up-authentication"),
"2-Factor Authentication and Step-up Authentication")</f>
        <v>2-Factor Authentication and Step-up Authentication</v>
      </c>
      <c r="I45" s="70"/>
      <c r="J45" s="62"/>
    </row>
    <row r="46" spans="2:12" ht="29">
      <c r="B46" s="107" t="s">
        <v>91</v>
      </c>
      <c r="C46" s="114" t="s">
        <v>344</v>
      </c>
      <c r="D46" s="74" t="s">
        <v>268</v>
      </c>
      <c r="E46" s="73"/>
      <c r="F46" s="59" t="s">
        <v>3</v>
      </c>
      <c r="G46" s="60" t="s">
        <v>64</v>
      </c>
      <c r="H46" s="70" t="str">
        <f>HYPERLINK(
CONCATENATE(
BASE_URL,
"0x04e-Testing-Authentication-and-Session-Management.md#login-activity-and-device-blocking"),
"Login Activity and Device Blocking")</f>
        <v>Login Activity and Device Blocking</v>
      </c>
      <c r="I46" s="70"/>
      <c r="J46" s="62"/>
    </row>
    <row r="47" spans="2:12">
      <c r="B47" s="65" t="s">
        <v>28</v>
      </c>
      <c r="C47" s="116"/>
      <c r="D47" s="66" t="s">
        <v>191</v>
      </c>
      <c r="E47" s="67"/>
      <c r="F47" s="68"/>
      <c r="G47" s="67"/>
      <c r="H47" s="66"/>
      <c r="I47" s="66"/>
      <c r="J47" s="69"/>
    </row>
    <row r="48" spans="2:12" ht="29">
      <c r="B48" s="107" t="s">
        <v>29</v>
      </c>
      <c r="C48" s="114" t="s">
        <v>345</v>
      </c>
      <c r="D48" s="74" t="s">
        <v>269</v>
      </c>
      <c r="E48" s="58" t="s">
        <v>3</v>
      </c>
      <c r="F48" s="59" t="s">
        <v>3</v>
      </c>
      <c r="G48" s="60"/>
      <c r="H48" s="70" t="str">
        <f>HYPERLINK(CONCATENATE(
BASE_URL,
"0x04f-Testing-Network-Communication.md#verifying-data-encryption-on-the-network"),
"Verifying Data Encryption on the Network")</f>
        <v>Verifying Data Encryption on the Network</v>
      </c>
      <c r="I48" s="70"/>
      <c r="J48" s="62"/>
    </row>
    <row r="49" spans="2:10" ht="43.5">
      <c r="B49" s="107" t="s">
        <v>48</v>
      </c>
      <c r="C49" s="114" t="s">
        <v>346</v>
      </c>
      <c r="D49" s="74" t="s">
        <v>270</v>
      </c>
      <c r="E49" s="58" t="s">
        <v>3</v>
      </c>
      <c r="F49" s="59" t="s">
        <v>3</v>
      </c>
      <c r="G49" s="60"/>
      <c r="H49" s="70" t="str">
        <f>HYPERLINK(CONCATENATE(
BASE_URL,
"0x04f-Testing-Network-Communication.md#recommended-tls-settings"),
"Recommended TLS Settings")</f>
        <v>Recommended TLS Settings</v>
      </c>
      <c r="I49" s="70"/>
      <c r="J49" s="62"/>
    </row>
    <row r="50" spans="2:10" ht="29">
      <c r="B50" s="107" t="s">
        <v>30</v>
      </c>
      <c r="C50" s="114" t="s">
        <v>347</v>
      </c>
      <c r="D50" s="74" t="s">
        <v>271</v>
      </c>
      <c r="E50" s="58" t="s">
        <v>3</v>
      </c>
      <c r="F50" s="59" t="s">
        <v>3</v>
      </c>
      <c r="G50" s="60"/>
      <c r="H50" s="70" t="str">
        <f>HYPERLINK(CONCATENATE(
BASE_URL,
"0x05g-Testing-Network-Communication.md#testing-endpoint-identify-verification"),
"Testing Endpoint Identify Verification")</f>
        <v>Testing Endpoint Identify Verification</v>
      </c>
      <c r="I50" s="77"/>
      <c r="J50" s="78"/>
    </row>
    <row r="51" spans="2:10" ht="29">
      <c r="B51" s="107" t="s">
        <v>49</v>
      </c>
      <c r="C51" s="114" t="s">
        <v>348</v>
      </c>
      <c r="D51" s="74" t="s">
        <v>272</v>
      </c>
      <c r="E51" s="73"/>
      <c r="F51" s="59" t="s">
        <v>3</v>
      </c>
      <c r="G51" s="60" t="s">
        <v>64</v>
      </c>
      <c r="H51" s="70" t="str">
        <f>HYPERLINK(CONCATENATE(
BASE_URL,
"0x05g-Testing-Network-Communication.md#testing-custom-certificate-stores-and-certificate-pinning"),
"Testing Custom Certificate Stores and Certificate Pinning")</f>
        <v>Testing Custom Certificate Stores and Certificate Pinning</v>
      </c>
      <c r="I51" s="70"/>
      <c r="J51" s="62"/>
    </row>
    <row r="52" spans="2:10" ht="31">
      <c r="B52" s="107" t="s">
        <v>31</v>
      </c>
      <c r="C52" s="114" t="s">
        <v>349</v>
      </c>
      <c r="D52" s="74" t="s">
        <v>273</v>
      </c>
      <c r="E52" s="73"/>
      <c r="F52" s="59" t="s">
        <v>3</v>
      </c>
      <c r="G52" s="60" t="s">
        <v>64</v>
      </c>
      <c r="H52" s="70"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I52" s="70"/>
      <c r="J52" s="62"/>
    </row>
    <row r="53" spans="2:10">
      <c r="B53" s="107" t="s">
        <v>105</v>
      </c>
      <c r="C53" s="114" t="s">
        <v>350</v>
      </c>
      <c r="D53" s="74" t="s">
        <v>274</v>
      </c>
      <c r="E53" s="73"/>
      <c r="F53" s="59" t="s">
        <v>3</v>
      </c>
      <c r="G53" s="60" t="s">
        <v>64</v>
      </c>
      <c r="H53" s="70" t="str">
        <f>HYPERLINK(CONCATENATE(
BASE_URL,
"0x05g-Testing-Network-Communication.md#testing-the-security-provider"),
"Testing the Security Provider")</f>
        <v>Testing the Security Provider</v>
      </c>
      <c r="I53" s="70"/>
      <c r="J53" s="62"/>
    </row>
    <row r="54" spans="2:10">
      <c r="B54" s="65" t="s">
        <v>32</v>
      </c>
      <c r="C54" s="116"/>
      <c r="D54" s="66" t="s">
        <v>192</v>
      </c>
      <c r="E54" s="67"/>
      <c r="F54" s="68"/>
      <c r="G54" s="67"/>
      <c r="H54" s="66"/>
      <c r="I54" s="66"/>
      <c r="J54" s="69"/>
    </row>
    <row r="55" spans="2:10">
      <c r="B55" s="107" t="s">
        <v>50</v>
      </c>
      <c r="C55" s="114" t="s">
        <v>351</v>
      </c>
      <c r="D55" s="74" t="s">
        <v>275</v>
      </c>
      <c r="E55" s="58" t="s">
        <v>3</v>
      </c>
      <c r="F55" s="59" t="s">
        <v>3</v>
      </c>
      <c r="G55" s="60"/>
      <c r="H55" s="70" t="str">
        <f>HYPERLINK(CONCATENATE(
BASE_URL,
"0x05h-Testing-Platform-Interaction.md#testing-app-permissions"),
"Testing App Permissions")</f>
        <v>Testing App Permissions</v>
      </c>
      <c r="I55" s="70"/>
      <c r="J55" s="62"/>
    </row>
    <row r="56" spans="2:10" ht="29">
      <c r="B56" s="107" t="s">
        <v>51</v>
      </c>
      <c r="C56" s="114" t="s">
        <v>352</v>
      </c>
      <c r="D56" s="74" t="s">
        <v>276</v>
      </c>
      <c r="E56" s="58" t="s">
        <v>3</v>
      </c>
      <c r="F56" s="59" t="s">
        <v>3</v>
      </c>
      <c r="G56" s="60"/>
      <c r="H56" s="70" t="str">
        <f>HYPERLINK(CONCATENATE(
BASE_URL,
"0x04h-Testing-Code-Quality.md#injection-flaws"),
"Injection Flaws")</f>
        <v>Injection Flaws</v>
      </c>
      <c r="I56" s="70"/>
      <c r="J56" s="62"/>
    </row>
    <row r="57" spans="2:10" ht="29">
      <c r="B57" s="107" t="s">
        <v>52</v>
      </c>
      <c r="C57" s="114" t="s">
        <v>353</v>
      </c>
      <c r="D57" s="74" t="s">
        <v>277</v>
      </c>
      <c r="E57" s="58" t="s">
        <v>3</v>
      </c>
      <c r="F57" s="59" t="s">
        <v>3</v>
      </c>
      <c r="G57" s="60"/>
      <c r="H57" s="70" t="str">
        <f>HYPERLINK(CONCATENATE(
BASE_URL,
"0x05h-Testing-Platform-Interaction.md#testing-custom-url-schemes"),
"Testing Custom URL Schemes")</f>
        <v>Testing Custom URL Schemes</v>
      </c>
      <c r="I57" s="70"/>
      <c r="J57" s="62"/>
    </row>
    <row r="58" spans="2:10">
      <c r="B58" s="107" t="s">
        <v>53</v>
      </c>
      <c r="C58" s="114" t="s">
        <v>354</v>
      </c>
      <c r="D58" s="74" t="s">
        <v>278</v>
      </c>
      <c r="E58" s="58" t="s">
        <v>3</v>
      </c>
      <c r="F58" s="59" t="s">
        <v>3</v>
      </c>
      <c r="G58" s="60"/>
      <c r="H58" s="70" t="str">
        <f>HYPERLINK(CONCATENATE(
BASE_URL,
"0x05h-Testing-Platform-Interaction.md#testing-for-sensitive-functionality-exposure-through-ipc"),
"Testing for Sensitive Functionality Exposure Through IPC")</f>
        <v>Testing for Sensitive Functionality Exposure Through IPC</v>
      </c>
      <c r="I58" s="70"/>
      <c r="J58" s="62"/>
    </row>
    <row r="59" spans="2:10">
      <c r="B59" s="107" t="s">
        <v>54</v>
      </c>
      <c r="C59" s="114" t="s">
        <v>355</v>
      </c>
      <c r="D59" s="74" t="s">
        <v>279</v>
      </c>
      <c r="E59" s="58" t="s">
        <v>3</v>
      </c>
      <c r="F59" s="59" t="s">
        <v>3</v>
      </c>
      <c r="G59" s="60"/>
      <c r="H59" s="70" t="str">
        <f>HYPERLINK(CONCATENATE(
BASE_URL,
"0x05h-Testing-Platform-Interaction.md#testing-javascript-execution-in-webviews"),
"Testing JavaScript Execution in WebViews")</f>
        <v>Testing JavaScript Execution in WebViews</v>
      </c>
      <c r="I59" s="70"/>
      <c r="J59" s="62"/>
    </row>
    <row r="60" spans="2:10" ht="29">
      <c r="B60" s="107" t="s">
        <v>55</v>
      </c>
      <c r="C60" s="114" t="s">
        <v>356</v>
      </c>
      <c r="D60" s="74" t="s">
        <v>280</v>
      </c>
      <c r="E60" s="58" t="s">
        <v>3</v>
      </c>
      <c r="F60" s="59" t="s">
        <v>3</v>
      </c>
      <c r="G60" s="60"/>
      <c r="H60" s="70" t="str">
        <f>HYPERLINK(CONCATENATE(
BASE_URL,
"0x05h-Testing-Platform-Interaction.md#testing-webview-protocol-handlers"),
"Testing WebView Protocol Handlers")</f>
        <v>Testing WebView Protocol Handlers</v>
      </c>
      <c r="I60" s="70"/>
      <c r="J60" s="62"/>
    </row>
    <row r="61" spans="2:10" ht="29">
      <c r="B61" s="107" t="s">
        <v>104</v>
      </c>
      <c r="C61" s="114" t="s">
        <v>357</v>
      </c>
      <c r="D61" s="74" t="s">
        <v>281</v>
      </c>
      <c r="E61" s="58" t="s">
        <v>3</v>
      </c>
      <c r="F61" s="59" t="s">
        <v>3</v>
      </c>
      <c r="G61" s="60"/>
      <c r="H61" s="70" t="str">
        <f>HYPERLINK(CONCATENATE(
BASE_URL,
"0x05h-Testing-Platform-Interaction.md#determining-whether-java-objects-are-exposed-through-webviews"),
"Determining Whether Java Objects Are Exposed Through WebViews")</f>
        <v>Determining Whether Java Objects Are Exposed Through WebViews</v>
      </c>
      <c r="I61" s="70"/>
      <c r="J61" s="62"/>
    </row>
    <row r="62" spans="2:10" ht="29">
      <c r="B62" s="107" t="s">
        <v>103</v>
      </c>
      <c r="C62" s="114" t="s">
        <v>358</v>
      </c>
      <c r="D62" s="74" t="s">
        <v>282</v>
      </c>
      <c r="E62" s="58" t="s">
        <v>3</v>
      </c>
      <c r="F62" s="59" t="s">
        <v>3</v>
      </c>
      <c r="G62" s="60"/>
      <c r="H62" s="70" t="str">
        <f>HYPERLINK(CONCATENATE(
BASE_URL,
"0x05h-Testing-Platform-Interaction.md#testing-object-persistence"),
"Testing Object Persistence")</f>
        <v>Testing Object Persistence</v>
      </c>
      <c r="I62" s="70"/>
      <c r="J62" s="62"/>
    </row>
    <row r="63" spans="2:10">
      <c r="B63" s="65" t="s">
        <v>33</v>
      </c>
      <c r="C63" s="116"/>
      <c r="D63" s="66" t="s">
        <v>193</v>
      </c>
      <c r="E63" s="67"/>
      <c r="F63" s="68"/>
      <c r="G63" s="67"/>
      <c r="H63" s="66"/>
      <c r="I63" s="66"/>
      <c r="J63" s="69"/>
    </row>
    <row r="64" spans="2:10">
      <c r="B64" s="107" t="s">
        <v>56</v>
      </c>
      <c r="C64" s="114" t="s">
        <v>359</v>
      </c>
      <c r="D64" s="57" t="s">
        <v>283</v>
      </c>
      <c r="E64" s="58" t="s">
        <v>3</v>
      </c>
      <c r="F64" s="59" t="s">
        <v>3</v>
      </c>
      <c r="G64" s="60"/>
      <c r="H64" s="70" t="str">
        <f>HYPERLINK(CONCATENATE(
BASE_URL,
"0x05i-Testing-Code-Quality-and-Build-Settings.md#making-sure-that-the-app-is-properly-signed"),
"Making Sure That the App is Properly Signed")</f>
        <v>Making Sure That the App is Properly Signed</v>
      </c>
      <c r="I64" s="70"/>
      <c r="J64" s="62"/>
    </row>
    <row r="65" spans="2:11">
      <c r="B65" s="107" t="s">
        <v>34</v>
      </c>
      <c r="C65" s="114" t="s">
        <v>360</v>
      </c>
      <c r="D65" s="57" t="s">
        <v>284</v>
      </c>
      <c r="E65" s="58" t="s">
        <v>3</v>
      </c>
      <c r="F65" s="59" t="s">
        <v>3</v>
      </c>
      <c r="G65" s="60"/>
      <c r="H65" s="70" t="str">
        <f>HYPERLINK(CONCATENATE(
BASE_URL,
"0x05i-Testing-Code-Quality-and-Build-Settings.md#determining-whether-the-app-is-debuggable"),
"Determining Whether the App is Debuggable")</f>
        <v>Determining Whether the App is Debuggable</v>
      </c>
      <c r="I65" s="70"/>
      <c r="J65" s="62"/>
    </row>
    <row r="66" spans="2:11">
      <c r="B66" s="107" t="s">
        <v>57</v>
      </c>
      <c r="C66" s="114" t="s">
        <v>361</v>
      </c>
      <c r="D66" s="57" t="s">
        <v>285</v>
      </c>
      <c r="E66" s="58" t="s">
        <v>3</v>
      </c>
      <c r="F66" s="59" t="s">
        <v>3</v>
      </c>
      <c r="G66" s="60"/>
      <c r="H66" s="70" t="str">
        <f>HYPERLINK(CONCATENATE(
BASE_URL,
"0x05i-Testing-Code-Quality-and-Build-Settings.md#finding-debugging-symbols"),
"Finding Debugging Symbols")</f>
        <v>Finding Debugging Symbols</v>
      </c>
      <c r="I66" s="70"/>
      <c r="J66" s="62"/>
    </row>
    <row r="67" spans="2:11">
      <c r="B67" s="107" t="s">
        <v>58</v>
      </c>
      <c r="C67" s="114" t="s">
        <v>362</v>
      </c>
      <c r="D67" s="57" t="s">
        <v>286</v>
      </c>
      <c r="E67" s="58" t="s">
        <v>3</v>
      </c>
      <c r="F67" s="59" t="s">
        <v>3</v>
      </c>
      <c r="G67" s="60"/>
      <c r="H67" s="70" t="str">
        <f>HYPERLINK(CONCATENATE(
BASE_URL,
"0x05i-Testing-Code-Quality-and-Build-Settings.md#finding-debugging-code-and-verbose-error-logging"),
"Finding Debugging Code and Verbose Error Logging")</f>
        <v>Finding Debugging Code and Verbose Error Logging</v>
      </c>
      <c r="I67" s="70"/>
      <c r="J67" s="62"/>
    </row>
    <row r="68" spans="2:11" ht="29">
      <c r="B68" s="107" t="s">
        <v>59</v>
      </c>
      <c r="C68" s="114" t="s">
        <v>363</v>
      </c>
      <c r="D68" s="57" t="s">
        <v>287</v>
      </c>
      <c r="E68" s="58" t="s">
        <v>3</v>
      </c>
      <c r="F68" s="59" t="s">
        <v>3</v>
      </c>
      <c r="G68" s="60"/>
      <c r="H68" s="77" t="str">
        <f>HYPERLINK(CONCATENATE(
BASE_URL,
"0x05i-Testing-Code-Quality-and-Build-Settings.md#checking-for-weaknesses-in-third-party-libraries"),
"Checking for Weaknesses in Third Party Libraries")</f>
        <v>Checking for Weaknesses in Third Party Libraries</v>
      </c>
      <c r="I68" s="77"/>
      <c r="J68" s="62"/>
    </row>
    <row r="69" spans="2:11">
      <c r="B69" s="107" t="s">
        <v>35</v>
      </c>
      <c r="C69" s="114" t="s">
        <v>364</v>
      </c>
      <c r="D69" s="57" t="s">
        <v>288</v>
      </c>
      <c r="E69" s="58" t="s">
        <v>3</v>
      </c>
      <c r="F69" s="59" t="s">
        <v>3</v>
      </c>
      <c r="G69" s="60"/>
      <c r="H69" s="70" t="str">
        <f>HYPERLINK(CONCATENATE(
BASE_URL,
"0x05i-Testing-Code-Quality-and-Build-Settings.md#testing-exception-handling"),
"Testing Exception Handling")</f>
        <v>Testing Exception Handling</v>
      </c>
      <c r="I69" s="70"/>
      <c r="J69" s="62"/>
    </row>
    <row r="70" spans="2:11">
      <c r="B70" s="107" t="s">
        <v>36</v>
      </c>
      <c r="C70" s="114" t="s">
        <v>365</v>
      </c>
      <c r="D70" s="57" t="s">
        <v>289</v>
      </c>
      <c r="E70" s="58" t="s">
        <v>3</v>
      </c>
      <c r="F70" s="59" t="s">
        <v>3</v>
      </c>
      <c r="G70" s="60"/>
      <c r="H70" s="70" t="str">
        <f>HYPERLINK(CONCATENATE(
BASE_URL,
"0x05i-Testing-Code-Quality-and-Build-Settings.md#testing-exception-handling"),
"Testing Exception Handling")</f>
        <v>Testing Exception Handling</v>
      </c>
      <c r="I70" s="70"/>
      <c r="J70" s="62"/>
    </row>
    <row r="71" spans="2:11">
      <c r="B71" s="107" t="s">
        <v>37</v>
      </c>
      <c r="C71" s="114" t="s">
        <v>366</v>
      </c>
      <c r="D71" s="57" t="s">
        <v>290</v>
      </c>
      <c r="E71" s="58" t="s">
        <v>3</v>
      </c>
      <c r="F71" s="59" t="s">
        <v>3</v>
      </c>
      <c r="G71" s="60"/>
      <c r="H71" s="70" t="str">
        <f>HYPERLINK(CONCATENATE(
BASE_URL,
"0x04h-Testing-Code-Quality.md#memory-corruption-bugs"),
"Memory Corruption Bugs")</f>
        <v>Memory Corruption Bugs</v>
      </c>
      <c r="I71" s="70"/>
      <c r="J71" s="79"/>
      <c r="K71" s="80"/>
    </row>
    <row r="72" spans="2:11" ht="29">
      <c r="B72" s="107" t="s">
        <v>93</v>
      </c>
      <c r="C72" s="114" t="s">
        <v>367</v>
      </c>
      <c r="D72" s="57" t="s">
        <v>291</v>
      </c>
      <c r="E72" s="58" t="s">
        <v>3</v>
      </c>
      <c r="F72" s="59" t="s">
        <v>3</v>
      </c>
      <c r="G72" s="60"/>
      <c r="H72" s="70" t="str">
        <f>HYPERLINK(CONCATENATE(
BASE_URL,
"0x05i-Testing-Code-Quality-and-Build-Settings.md#make-sure-that-free-security-features-are-activated"),
"Make Sure That Free Security Features Are Activated")</f>
        <v>Make Sure That Free Security Features Are Activated</v>
      </c>
      <c r="I72" s="70"/>
      <c r="J72" s="62"/>
    </row>
    <row r="73" spans="2:11">
      <c r="B73" s="81"/>
      <c r="C73" s="117"/>
      <c r="D73" s="82"/>
      <c r="E73" s="83"/>
      <c r="F73" s="83"/>
      <c r="G73" s="83"/>
      <c r="H73" s="82"/>
      <c r="I73" s="82"/>
      <c r="J73" s="84"/>
    </row>
    <row r="74" spans="2:11">
      <c r="B74" s="85"/>
      <c r="C74" s="85"/>
      <c r="D74" s="61"/>
      <c r="E74" s="38"/>
      <c r="F74" s="38"/>
      <c r="G74" s="38"/>
      <c r="H74" s="61"/>
      <c r="I74" s="61"/>
      <c r="J74" s="61"/>
    </row>
    <row r="75" spans="2:11">
      <c r="B75" s="85"/>
      <c r="C75" s="85"/>
      <c r="D75" s="74"/>
      <c r="E75" s="38"/>
      <c r="F75" s="38"/>
      <c r="G75" s="38"/>
      <c r="H75" s="61"/>
      <c r="I75" s="61"/>
      <c r="J75" s="61"/>
    </row>
    <row r="76" spans="2:11">
      <c r="B76" s="85"/>
      <c r="C76" s="85"/>
      <c r="D76" s="61"/>
      <c r="E76" s="38"/>
      <c r="F76" s="38"/>
      <c r="G76" s="38"/>
      <c r="H76" s="61"/>
      <c r="I76" s="61"/>
      <c r="J76" s="61"/>
    </row>
    <row r="77" spans="2:11">
      <c r="B77" s="86" t="s">
        <v>200</v>
      </c>
      <c r="C77" s="86"/>
      <c r="D77" s="61"/>
      <c r="E77" s="38"/>
      <c r="F77" s="38"/>
      <c r="G77" s="38"/>
      <c r="H77" s="61"/>
      <c r="I77" s="61"/>
      <c r="J77" s="61"/>
    </row>
    <row r="78" spans="2:11" ht="29">
      <c r="B78" s="87" t="s">
        <v>201</v>
      </c>
      <c r="C78" s="87"/>
      <c r="D78" s="88" t="s">
        <v>202</v>
      </c>
      <c r="E78" s="38"/>
      <c r="F78" s="38"/>
      <c r="G78" s="38"/>
      <c r="H78" s="61"/>
      <c r="I78" s="61"/>
      <c r="J78" s="61"/>
    </row>
    <row r="79" spans="2:11">
      <c r="B79" s="89" t="s">
        <v>68</v>
      </c>
      <c r="C79" s="89"/>
      <c r="D79" s="90" t="s">
        <v>203</v>
      </c>
      <c r="E79" s="38"/>
      <c r="F79" s="38"/>
      <c r="G79" s="38"/>
      <c r="H79" s="61"/>
      <c r="I79" s="61"/>
      <c r="J79" s="61"/>
    </row>
    <row r="80" spans="2:11">
      <c r="B80" s="89" t="s">
        <v>69</v>
      </c>
      <c r="C80" s="89"/>
      <c r="D80" s="90" t="s">
        <v>204</v>
      </c>
      <c r="E80" s="38"/>
      <c r="F80" s="38"/>
      <c r="G80" s="38"/>
      <c r="H80" s="61"/>
      <c r="I80" s="61"/>
      <c r="J80" s="61"/>
    </row>
    <row r="81" spans="2:10">
      <c r="B81" s="89" t="s">
        <v>64</v>
      </c>
      <c r="C81" s="89"/>
      <c r="D81" s="90" t="s">
        <v>205</v>
      </c>
      <c r="E81" s="38"/>
      <c r="F81" s="38"/>
      <c r="G81" s="38"/>
      <c r="H81" s="61"/>
      <c r="I81" s="61"/>
      <c r="J81" s="61"/>
    </row>
    <row r="82" spans="2:10">
      <c r="B82" s="85"/>
      <c r="C82" s="85"/>
      <c r="D82" s="61"/>
      <c r="E82" s="38"/>
      <c r="F82" s="38"/>
      <c r="G82" s="38"/>
      <c r="H82" s="61"/>
      <c r="I82" s="61"/>
      <c r="J82" s="61"/>
    </row>
    <row r="83" spans="2:10">
      <c r="B83" s="85"/>
      <c r="C83" s="85"/>
      <c r="D83" s="61"/>
      <c r="E83" s="38"/>
      <c r="F83" s="38"/>
      <c r="G83" s="38"/>
      <c r="H83" s="61"/>
      <c r="I83" s="61"/>
      <c r="J83" s="61"/>
    </row>
    <row r="84" spans="2:10">
      <c r="B84" s="85"/>
      <c r="C84" s="85"/>
      <c r="D84" s="61"/>
      <c r="E84" s="38"/>
      <c r="F84" s="38"/>
      <c r="G84" s="38"/>
      <c r="H84" s="61"/>
      <c r="I84" s="61"/>
      <c r="J84" s="61"/>
    </row>
    <row r="85" spans="2:10">
      <c r="B85" s="85"/>
      <c r="C85" s="85"/>
      <c r="D85" s="61"/>
      <c r="E85" s="38"/>
      <c r="F85" s="38"/>
      <c r="G85" s="38"/>
      <c r="H85" s="61"/>
      <c r="I85" s="61"/>
      <c r="J85" s="61"/>
    </row>
  </sheetData>
  <mergeCells count="2">
    <mergeCell ref="B1:J1"/>
    <mergeCell ref="H3:I3"/>
  </mergeCells>
  <phoneticPr fontId="12"/>
  <dataValidations count="2">
    <dataValidation type="list" allowBlank="1" showInputMessage="1" showErrorMessage="1" sqref="G74:G1048576 J74:J1048576" xr:uid="{00000000-0002-0000-0200-000000000000}">
      <formula1>"Yes,No,N/A"</formula1>
    </dataValidation>
    <dataValidation type="list" allowBlank="1" showInputMessage="1" showErrorMessage="1" sqref="G29:G34 G36:G46 G64:G72 G5:G14 G55:G62 G16:G27 G48:G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29"/>
  <sheetViews>
    <sheetView showGridLines="0" zoomScaleNormal="100" zoomScalePageLayoutView="130" workbookViewId="0">
      <selection activeCell="C13" activeCellId="8" sqref="C5 C6 C7 C8 C9 C10 C11 C12 C13"/>
    </sheetView>
  </sheetViews>
  <sheetFormatPr baseColWidth="10" defaultColWidth="10.9140625" defaultRowHeight="15.5"/>
  <cols>
    <col min="1" max="1" width="1.5" style="46" customWidth="1"/>
    <col min="2" max="2" width="7.1640625" style="47" customWidth="1"/>
    <col min="3" max="3" width="18" style="47" customWidth="1"/>
    <col min="4" max="4" width="97.1640625" style="48" customWidth="1"/>
    <col min="5" max="5" width="2.9140625" style="46" customWidth="1"/>
    <col min="6" max="6" width="5.6640625" style="46" customWidth="1"/>
    <col min="7" max="7" width="42.4140625" style="48" customWidth="1"/>
    <col min="8" max="8" width="30.58203125" style="48" customWidth="1"/>
    <col min="9" max="16384" width="10.9140625" style="46"/>
  </cols>
  <sheetData>
    <row r="1" spans="2:8" ht="18.5">
      <c r="B1" s="91" t="s">
        <v>194</v>
      </c>
      <c r="C1" s="91"/>
      <c r="D1" s="61"/>
      <c r="E1" s="38"/>
      <c r="F1" s="38"/>
      <c r="G1" s="61"/>
      <c r="H1" s="61"/>
    </row>
    <row r="2" spans="2:8">
      <c r="B2" s="85"/>
      <c r="C2" s="85"/>
      <c r="D2" s="61"/>
      <c r="E2" s="38"/>
      <c r="F2" s="38"/>
      <c r="G2" s="61"/>
      <c r="H2" s="61"/>
    </row>
    <row r="3" spans="2:8">
      <c r="B3" s="49" t="s">
        <v>0</v>
      </c>
      <c r="C3" s="112" t="s">
        <v>305</v>
      </c>
      <c r="D3" s="50" t="s">
        <v>195</v>
      </c>
      <c r="E3" s="51" t="s">
        <v>38</v>
      </c>
      <c r="F3" s="51" t="s">
        <v>183</v>
      </c>
      <c r="G3" s="50" t="s">
        <v>196</v>
      </c>
      <c r="H3" s="52" t="s">
        <v>185</v>
      </c>
    </row>
    <row r="4" spans="2:8">
      <c r="B4" s="65" t="s">
        <v>368</v>
      </c>
      <c r="C4" s="116"/>
      <c r="D4" s="66" t="s">
        <v>197</v>
      </c>
      <c r="E4" s="67"/>
      <c r="F4" s="67"/>
      <c r="G4" s="66"/>
      <c r="H4" s="69"/>
    </row>
    <row r="5" spans="2:8" ht="29">
      <c r="B5" s="107" t="s">
        <v>113</v>
      </c>
      <c r="C5" s="114" t="s">
        <v>369</v>
      </c>
      <c r="D5" s="74" t="s">
        <v>292</v>
      </c>
      <c r="E5" s="92" t="s">
        <v>3</v>
      </c>
      <c r="F5" s="60" t="s">
        <v>64</v>
      </c>
      <c r="G5" s="70" t="str">
        <f>HYPERLINK(CONCATENATE(
BASE_URL,
"0x05j-Testing-Resiliency-Against-Reverse-Engineering.md#testing-root-detection"),
"Testing Root Detection")</f>
        <v>Testing Root Detection</v>
      </c>
      <c r="H5" s="62"/>
    </row>
    <row r="6" spans="2:8" ht="29">
      <c r="B6" s="107" t="s">
        <v>114</v>
      </c>
      <c r="C6" s="114" t="s">
        <v>370</v>
      </c>
      <c r="D6" s="74" t="s">
        <v>293</v>
      </c>
      <c r="E6" s="92" t="s">
        <v>3</v>
      </c>
      <c r="F6" s="60" t="s">
        <v>64</v>
      </c>
      <c r="G6" s="70" t="str">
        <f>HYPERLINK(
CONCATENATE(
BASE_URL,
"0x05j-Testing-Resiliency-Against-Reverse-Engineering.md#testing-anti-debugging"),
"Testing Anti-Debugging")</f>
        <v>Testing Anti-Debugging</v>
      </c>
      <c r="H6" s="62"/>
    </row>
    <row r="7" spans="2:8">
      <c r="B7" s="107" t="s">
        <v>115</v>
      </c>
      <c r="C7" s="114" t="s">
        <v>371</v>
      </c>
      <c r="D7" s="74" t="s">
        <v>304</v>
      </c>
      <c r="E7" s="92" t="s">
        <v>3</v>
      </c>
      <c r="F7" s="60" t="s">
        <v>64</v>
      </c>
      <c r="G7" s="70" t="str">
        <f>HYPERLINK(CONCATENATE(
BASE_URL,
"0x05j-Testing-Resiliency-Against-Reverse-Engineering.md#testing-file-integrity-checks"),
"Testing File Integrity Checks")</f>
        <v>Testing File Integrity Checks</v>
      </c>
      <c r="H7" s="62"/>
    </row>
    <row r="8" spans="2:8" ht="31">
      <c r="B8" s="107" t="s">
        <v>116</v>
      </c>
      <c r="C8" s="114" t="s">
        <v>372</v>
      </c>
      <c r="D8" s="74" t="s">
        <v>294</v>
      </c>
      <c r="E8" s="92" t="s">
        <v>3</v>
      </c>
      <c r="F8" s="60" t="s">
        <v>64</v>
      </c>
      <c r="G8" s="70" t="str">
        <f>HYPERLINK(CONCATENATE(
BASE_URL,
"0x05j-Testing-Resiliency-Against-Reverse-Engineering.md#testing-the-detection-of-reverse-engineering-tools"),
"Testing The Detection of Reverse Engineering Tools")</f>
        <v>Testing The Detection of Reverse Engineering Tools</v>
      </c>
      <c r="H8" s="62"/>
    </row>
    <row r="9" spans="2:8">
      <c r="B9" s="107" t="s">
        <v>117</v>
      </c>
      <c r="C9" s="114" t="s">
        <v>373</v>
      </c>
      <c r="D9" s="74" t="s">
        <v>295</v>
      </c>
      <c r="E9" s="92" t="s">
        <v>3</v>
      </c>
      <c r="F9" s="60" t="s">
        <v>64</v>
      </c>
      <c r="G9" s="70" t="str">
        <f>HYPERLINK(CONCATENATE(
BASE_URL,
"0x05j-Testing-Resiliency-Against-Reverse-Engineering.md#testing-emulator-detection"),
"Testing Emulator Detection")</f>
        <v>Testing Emulator Detection</v>
      </c>
      <c r="H9" s="62"/>
    </row>
    <row r="10" spans="2:8">
      <c r="B10" s="107" t="s">
        <v>118</v>
      </c>
      <c r="C10" s="114" t="s">
        <v>374</v>
      </c>
      <c r="D10" s="74" t="s">
        <v>296</v>
      </c>
      <c r="E10" s="92" t="s">
        <v>3</v>
      </c>
      <c r="F10" s="60" t="s">
        <v>64</v>
      </c>
      <c r="G10" s="70" t="str">
        <f>HYPERLINK(CONCATENATE(
BASE_URL,
"0x05j-Testing-Resiliency-Against-Reverse-Engineering.md#testing-run-time-integrity-checks"),
"Testing Run Time Integrity Checks")</f>
        <v>Testing Run Time Integrity Checks</v>
      </c>
      <c r="H10" s="62"/>
    </row>
    <row r="11" spans="2:8" ht="29">
      <c r="B11" s="107" t="s">
        <v>119</v>
      </c>
      <c r="C11" s="114" t="s">
        <v>375</v>
      </c>
      <c r="D11" s="74" t="s">
        <v>297</v>
      </c>
      <c r="E11" s="92" t="s">
        <v>3</v>
      </c>
      <c r="F11" s="60" t="s">
        <v>64</v>
      </c>
      <c r="G11" s="61" t="s">
        <v>79</v>
      </c>
      <c r="H11" s="62"/>
    </row>
    <row r="12" spans="2:8">
      <c r="B12" s="107" t="s">
        <v>120</v>
      </c>
      <c r="C12" s="114" t="s">
        <v>376</v>
      </c>
      <c r="D12" s="74" t="s">
        <v>298</v>
      </c>
      <c r="E12" s="92" t="s">
        <v>3</v>
      </c>
      <c r="F12" s="60" t="s">
        <v>64</v>
      </c>
      <c r="G12" s="61" t="s">
        <v>79</v>
      </c>
      <c r="H12" s="62"/>
    </row>
    <row r="13" spans="2:8">
      <c r="B13" s="107" t="s">
        <v>95</v>
      </c>
      <c r="C13" s="114" t="s">
        <v>377</v>
      </c>
      <c r="D13" s="74" t="s">
        <v>299</v>
      </c>
      <c r="E13" s="92" t="s">
        <v>3</v>
      </c>
      <c r="F13" s="60" t="s">
        <v>64</v>
      </c>
      <c r="G13" s="70" t="str">
        <f>HYPERLINK(CONCATENATE(
BASE_URL,
"0x05j-Testing-Resiliency-Against-Reverse-Engineering.md#testing-obfuscation"),
"Testing Obfuscation")</f>
        <v>Testing Obfuscation</v>
      </c>
      <c r="H13" s="62"/>
    </row>
    <row r="14" spans="2:8">
      <c r="B14" s="65"/>
      <c r="C14" s="116"/>
      <c r="D14" s="66" t="s">
        <v>198</v>
      </c>
      <c r="E14" s="67"/>
      <c r="F14" s="67"/>
      <c r="G14" s="66"/>
      <c r="H14" s="69"/>
    </row>
    <row r="15" spans="2:8" ht="29">
      <c r="B15" s="108" t="s">
        <v>60</v>
      </c>
      <c r="C15" s="115" t="s">
        <v>378</v>
      </c>
      <c r="D15" s="74" t="s">
        <v>300</v>
      </c>
      <c r="E15" s="92" t="s">
        <v>3</v>
      </c>
      <c r="F15" s="60" t="s">
        <v>64</v>
      </c>
      <c r="G15" s="70" t="str">
        <f>HYPERLINK(CONCATENATE(
BASE_URL,
"0x05j-Testing-Resiliency-Against-Reverse-Engineering.md#testing-device-binding"),
"Testing Device Binding")</f>
        <v>Testing Device Binding</v>
      </c>
      <c r="H15" s="62"/>
    </row>
    <row r="16" spans="2:8">
      <c r="B16" s="65"/>
      <c r="C16" s="116"/>
      <c r="D16" s="66" t="s">
        <v>199</v>
      </c>
      <c r="E16" s="67"/>
      <c r="F16" s="67"/>
      <c r="G16" s="66"/>
      <c r="H16" s="69"/>
    </row>
    <row r="17" spans="2:8" ht="43.5">
      <c r="B17" s="107" t="s">
        <v>121</v>
      </c>
      <c r="C17" s="114" t="s">
        <v>379</v>
      </c>
      <c r="D17" s="74" t="s">
        <v>301</v>
      </c>
      <c r="E17" s="92" t="s">
        <v>3</v>
      </c>
      <c r="F17" s="60" t="s">
        <v>64</v>
      </c>
      <c r="G17" s="77" t="str">
        <f>HYPERLINK(CONCATENATE(
BASE_URL,
"0x05j-Testing-Resiliency-Against-Reverse-Engineering.md#testing-obfuscation"),
"Testing Obfuscation")</f>
        <v>Testing Obfuscation</v>
      </c>
      <c r="H17" s="62"/>
    </row>
    <row r="18" spans="2:8" ht="58">
      <c r="B18" s="107" t="s">
        <v>122</v>
      </c>
      <c r="C18" s="114" t="s">
        <v>380</v>
      </c>
      <c r="D18" s="74" t="s">
        <v>302</v>
      </c>
      <c r="E18" s="92" t="s">
        <v>3</v>
      </c>
      <c r="F18" s="60" t="s">
        <v>64</v>
      </c>
      <c r="G18" s="61" t="s">
        <v>79</v>
      </c>
      <c r="H18" s="62"/>
    </row>
    <row r="19" spans="2:8">
      <c r="B19" s="81"/>
      <c r="C19" s="117"/>
      <c r="D19" s="82"/>
      <c r="E19" s="83"/>
      <c r="F19" s="83"/>
      <c r="G19" s="82"/>
      <c r="H19" s="84"/>
    </row>
    <row r="20" spans="2:8">
      <c r="B20" s="85"/>
      <c r="C20" s="85"/>
      <c r="D20" s="61"/>
      <c r="E20" s="38"/>
      <c r="F20" s="38"/>
      <c r="G20" s="61"/>
      <c r="H20" s="61"/>
    </row>
    <row r="21" spans="2:8">
      <c r="B21" s="85"/>
      <c r="C21" s="85"/>
      <c r="D21" s="61"/>
      <c r="E21" s="38"/>
      <c r="F21" s="38"/>
      <c r="G21" s="61"/>
      <c r="H21" s="61"/>
    </row>
    <row r="22" spans="2:8">
      <c r="B22" s="86" t="s">
        <v>200</v>
      </c>
      <c r="C22" s="86"/>
      <c r="D22" s="61"/>
      <c r="E22" s="38"/>
      <c r="F22" s="38"/>
      <c r="G22" s="61"/>
      <c r="H22" s="61"/>
    </row>
    <row r="23" spans="2:8" ht="29">
      <c r="B23" s="87" t="s">
        <v>201</v>
      </c>
      <c r="C23" s="87"/>
      <c r="D23" s="88" t="s">
        <v>202</v>
      </c>
      <c r="E23" s="38"/>
      <c r="F23" s="38"/>
      <c r="G23" s="61"/>
      <c r="H23" s="61"/>
    </row>
    <row r="24" spans="2:8">
      <c r="B24" s="89" t="s">
        <v>68</v>
      </c>
      <c r="C24" s="89"/>
      <c r="D24" s="90" t="s">
        <v>203</v>
      </c>
      <c r="E24" s="38"/>
      <c r="F24" s="38"/>
      <c r="G24" s="61"/>
      <c r="H24" s="61"/>
    </row>
    <row r="25" spans="2:8">
      <c r="B25" s="89" t="s">
        <v>69</v>
      </c>
      <c r="C25" s="89"/>
      <c r="D25" s="90" t="s">
        <v>204</v>
      </c>
      <c r="E25" s="38"/>
      <c r="F25" s="38"/>
      <c r="G25" s="61"/>
      <c r="H25" s="61"/>
    </row>
    <row r="26" spans="2:8">
      <c r="B26" s="89" t="s">
        <v>64</v>
      </c>
      <c r="C26" s="89"/>
      <c r="D26" s="90" t="s">
        <v>205</v>
      </c>
      <c r="E26" s="38"/>
      <c r="F26" s="38"/>
      <c r="G26" s="61"/>
      <c r="H26" s="61"/>
    </row>
    <row r="27" spans="2:8">
      <c r="B27" s="85"/>
      <c r="C27" s="85"/>
      <c r="D27" s="61"/>
      <c r="E27" s="38"/>
      <c r="F27" s="38"/>
      <c r="G27" s="61"/>
      <c r="H27" s="61"/>
    </row>
    <row r="28" spans="2:8">
      <c r="B28" s="85"/>
      <c r="C28" s="85"/>
      <c r="D28" s="61"/>
      <c r="E28" s="38"/>
      <c r="F28" s="38"/>
      <c r="G28" s="61"/>
      <c r="H28" s="61"/>
    </row>
    <row r="29" spans="2:8">
      <c r="B29" s="85"/>
      <c r="C29" s="85"/>
      <c r="D29" s="61"/>
      <c r="E29" s="38"/>
      <c r="F29" s="38"/>
      <c r="G29" s="61"/>
      <c r="H29" s="61"/>
    </row>
  </sheetData>
  <phoneticPr fontId="12"/>
  <dataValidations count="1">
    <dataValidation type="list" allowBlank="1" showInputMessage="1" showErrorMessage="1" sqref="F17:F18 F15 F5:F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L85"/>
  <sheetViews>
    <sheetView showGridLines="0" topLeftCell="A67" zoomScaleNormal="100" zoomScalePageLayoutView="130" workbookViewId="0">
      <selection activeCell="H13" sqref="H13"/>
    </sheetView>
  </sheetViews>
  <sheetFormatPr baseColWidth="10" defaultColWidth="10.9140625" defaultRowHeight="15.5"/>
  <cols>
    <col min="1" max="1" width="1.5" style="19" customWidth="1"/>
    <col min="2" max="2" width="7.9140625" style="95" customWidth="1"/>
    <col min="3" max="3" width="19.25" style="95" customWidth="1"/>
    <col min="4" max="4" width="97.1640625" style="94" customWidth="1"/>
    <col min="5" max="6" width="6.58203125" style="19" customWidth="1"/>
    <col min="7" max="7" width="5.6640625" style="19" customWidth="1"/>
    <col min="8" max="8" width="60.1640625" style="94" customWidth="1"/>
    <col min="9" max="9" width="63.58203125" style="48" customWidth="1"/>
    <col min="10" max="10" width="30.6640625" style="94" customWidth="1"/>
    <col min="11" max="11" width="10.9140625" style="19"/>
    <col min="12" max="13" width="10.6640625" style="19" customWidth="1"/>
    <col min="14" max="16384" width="10.9140625" style="19"/>
  </cols>
  <sheetData>
    <row r="1" spans="2:10" ht="18.5">
      <c r="B1" s="93" t="s">
        <v>206</v>
      </c>
      <c r="C1" s="93"/>
    </row>
    <row r="3" spans="2:10" ht="29">
      <c r="B3" s="49" t="s">
        <v>0</v>
      </c>
      <c r="C3" s="112" t="s">
        <v>305</v>
      </c>
      <c r="D3" s="50" t="s">
        <v>381</v>
      </c>
      <c r="E3" s="51" t="s">
        <v>181</v>
      </c>
      <c r="F3" s="51" t="s">
        <v>182</v>
      </c>
      <c r="G3" s="51" t="s">
        <v>183</v>
      </c>
      <c r="H3" s="161" t="s">
        <v>184</v>
      </c>
      <c r="I3" s="162"/>
      <c r="J3" s="52" t="s">
        <v>185</v>
      </c>
    </row>
    <row r="4" spans="2:10">
      <c r="B4" s="53" t="s">
        <v>1</v>
      </c>
      <c r="C4" s="113"/>
      <c r="D4" s="54" t="s">
        <v>186</v>
      </c>
      <c r="E4" s="55"/>
      <c r="F4" s="55"/>
      <c r="G4" s="55"/>
      <c r="H4" s="54"/>
      <c r="I4" s="54"/>
      <c r="J4" s="56"/>
    </row>
    <row r="5" spans="2:10">
      <c r="B5" s="107" t="s">
        <v>2</v>
      </c>
      <c r="C5" s="114" t="s">
        <v>306</v>
      </c>
      <c r="D5" s="57" t="s">
        <v>231</v>
      </c>
      <c r="E5" s="58" t="s">
        <v>3</v>
      </c>
      <c r="F5" s="59" t="s">
        <v>3</v>
      </c>
      <c r="G5" s="60"/>
      <c r="H5" s="118" t="str">
        <f>HYPERLINK(CONCATENATE(
BASE_URL,
"0x04b-Mobile-App-Security-Testing.md#architectural-information"),
"Architectural Information")</f>
        <v>Architectural Information</v>
      </c>
      <c r="I5" s="74"/>
      <c r="J5" s="62"/>
    </row>
    <row r="6" spans="2:10">
      <c r="B6" s="107" t="s">
        <v>112</v>
      </c>
      <c r="C6" s="114" t="s">
        <v>307</v>
      </c>
      <c r="D6" s="57" t="s">
        <v>232</v>
      </c>
      <c r="E6" s="58" t="s">
        <v>3</v>
      </c>
      <c r="F6" s="59" t="s">
        <v>3</v>
      </c>
      <c r="G6" s="60"/>
      <c r="H6" s="118" t="str">
        <f>HYPERLINK(CONCATENATE(
BASE_URL,
"0x04h-Testing-Code-Quality.md#injection-flaws"),
"Injection Flaws")</f>
        <v>Injection Flaws</v>
      </c>
      <c r="I6" s="118" t="str">
        <f>HYPERLINK(CONCATENATE(
BASE_URL,
"0x04h-Testing-Code-Quality.md#cross-site-scripting-flaws"),
"Cross-Site Scripting Flaws")</f>
        <v>Cross-Site Scripting Flaws</v>
      </c>
      <c r="J6" s="62"/>
    </row>
    <row r="7" spans="2:10" ht="29">
      <c r="B7" s="107" t="s">
        <v>111</v>
      </c>
      <c r="C7" s="114" t="s">
        <v>308</v>
      </c>
      <c r="D7" s="57" t="s">
        <v>233</v>
      </c>
      <c r="E7" s="58" t="s">
        <v>3</v>
      </c>
      <c r="F7" s="59" t="s">
        <v>3</v>
      </c>
      <c r="G7" s="60"/>
      <c r="H7" s="118" t="str">
        <f>HYPERLINK(CONCATENATE(
BASE_URL,
"0x04b-Mobile-App-Security-Testing.md#architectural-information"),
"Architectural Information")</f>
        <v>Architectural Information</v>
      </c>
      <c r="I7" s="74"/>
      <c r="J7" s="62"/>
    </row>
    <row r="8" spans="2:10">
      <c r="B8" s="107" t="s">
        <v>110</v>
      </c>
      <c r="C8" s="114" t="s">
        <v>309</v>
      </c>
      <c r="D8" s="57" t="s">
        <v>234</v>
      </c>
      <c r="E8" s="58" t="s">
        <v>3</v>
      </c>
      <c r="F8" s="59" t="s">
        <v>3</v>
      </c>
      <c r="G8" s="60"/>
      <c r="H8" s="118" t="str">
        <f>HYPERLINK(CONCATENATE(
BASE_URL,
"0x04b-Mobile-App-Security-Testing.md#identifying-sensitive-data"),
"Identifying Sensitive Data")</f>
        <v>Identifying Sensitive Data</v>
      </c>
      <c r="I8" s="74"/>
      <c r="J8" s="62"/>
    </row>
    <row r="9" spans="2:10">
      <c r="B9" s="107" t="s">
        <v>109</v>
      </c>
      <c r="C9" s="114" t="s">
        <v>310</v>
      </c>
      <c r="D9" s="57" t="s">
        <v>235</v>
      </c>
      <c r="E9" s="63"/>
      <c r="F9" s="59" t="s">
        <v>3</v>
      </c>
      <c r="G9" s="60" t="s">
        <v>64</v>
      </c>
      <c r="H9" s="118" t="str">
        <f>HYPERLINK(CONCATENATE(
BASE_URL,
"0x04b-Mobile-App-Security-Testing.md#environmental-information"),
"Environmental Information")</f>
        <v>Environmental Information</v>
      </c>
      <c r="I9" s="74"/>
      <c r="J9" s="62"/>
    </row>
    <row r="10" spans="2:10">
      <c r="B10" s="107" t="s">
        <v>108</v>
      </c>
      <c r="C10" s="114" t="s">
        <v>311</v>
      </c>
      <c r="D10" s="57" t="s">
        <v>236</v>
      </c>
      <c r="E10" s="63"/>
      <c r="F10" s="59" t="s">
        <v>3</v>
      </c>
      <c r="G10" s="60" t="s">
        <v>64</v>
      </c>
      <c r="H10" s="118" t="str">
        <f>HYPERLINK(CONCATENATE(
BASE_URL,
"0x04b-Mobile-App-Security-Testing.md#mapping-the-application"),
"Mapping the Application")</f>
        <v>Mapping the Application</v>
      </c>
      <c r="I10" s="74"/>
      <c r="J10" s="62"/>
    </row>
    <row r="11" spans="2:10">
      <c r="B11" s="107" t="s">
        <v>4</v>
      </c>
      <c r="C11" s="114" t="s">
        <v>312</v>
      </c>
      <c r="D11" s="57" t="s">
        <v>237</v>
      </c>
      <c r="E11" s="64"/>
      <c r="F11" s="59" t="s">
        <v>3</v>
      </c>
      <c r="G11" s="60" t="s">
        <v>64</v>
      </c>
      <c r="H11" s="118" t="str">
        <f>HYPERLINK(CONCATENATE(
BASE_URL,
"0x04b-Mobile-App-Security-Testing.md#principles-of-testing"),
"Principles of Testing")</f>
        <v>Principles of Testing</v>
      </c>
      <c r="I11" s="118" t="str">
        <f>HYPERLINK(CONCATENATE(
BASE_URL,
"0x04b-Mobile-App-Security-Testing.md#penetration-testing-aka-pentesting"),
"Penetration Testing (a.k.a. Pentesting)")</f>
        <v>Penetration Testing (a.k.a. Pentesting)</v>
      </c>
      <c r="J11" s="62"/>
    </row>
    <row r="12" spans="2:10" ht="29">
      <c r="B12" s="107" t="s">
        <v>107</v>
      </c>
      <c r="C12" s="114" t="s">
        <v>313</v>
      </c>
      <c r="D12" s="57" t="s">
        <v>238</v>
      </c>
      <c r="E12" s="63"/>
      <c r="F12" s="59" t="s">
        <v>3</v>
      </c>
      <c r="G12" s="60" t="s">
        <v>64</v>
      </c>
      <c r="H12" s="118" t="str">
        <f>HYPERLINK(CONCATENATE(
BASE_URL,
"0x04g-Testing-Cryptography.md#cryptographic-policy"),
"Cryptographic policy")</f>
        <v>Cryptographic policy</v>
      </c>
      <c r="I12" s="74"/>
      <c r="J12" s="62"/>
    </row>
    <row r="13" spans="2:10">
      <c r="B13" s="107" t="s">
        <v>106</v>
      </c>
      <c r="C13" s="114" t="s">
        <v>314</v>
      </c>
      <c r="D13" s="57" t="s">
        <v>239</v>
      </c>
      <c r="E13" s="63"/>
      <c r="F13" s="59" t="s">
        <v>3</v>
      </c>
      <c r="G13" s="60" t="s">
        <v>64</v>
      </c>
      <c r="H13" s="118" t="str">
        <f>HYPERLINK(CONCATENATE(
BASE_URL,
"0x06h-Testing-Platform-Interaction.md#testing-enforced-updating"),
"Testing enforced updating")</f>
        <v>Testing enforced updating</v>
      </c>
      <c r="I13" s="74"/>
      <c r="J13" s="62"/>
    </row>
    <row r="14" spans="2:10">
      <c r="B14" s="107" t="s">
        <v>5</v>
      </c>
      <c r="C14" s="115" t="s">
        <v>315</v>
      </c>
      <c r="D14" s="57" t="s">
        <v>240</v>
      </c>
      <c r="E14" s="63"/>
      <c r="F14" s="59" t="s">
        <v>3</v>
      </c>
      <c r="G14" s="60" t="s">
        <v>64</v>
      </c>
      <c r="H14" s="118" t="str">
        <f>HYPERLINK(CONCATENATE(
BASE_URL,
"0x04b-Mobile-App-Security-Testing.md#security-testing-and-the-sdlc"),
"Security Testing and the SDLC")</f>
        <v>Security Testing and the SDLC</v>
      </c>
      <c r="I14" s="74"/>
      <c r="J14" s="62"/>
    </row>
    <row r="15" spans="2:10">
      <c r="B15" s="65" t="s">
        <v>6</v>
      </c>
      <c r="C15" s="116"/>
      <c r="D15" s="66" t="s">
        <v>187</v>
      </c>
      <c r="E15" s="67"/>
      <c r="F15" s="68"/>
      <c r="G15" s="67"/>
      <c r="H15" s="66"/>
      <c r="I15" s="66"/>
      <c r="J15" s="69"/>
    </row>
    <row r="16" spans="2:10" ht="29">
      <c r="B16" s="107" t="s">
        <v>7</v>
      </c>
      <c r="C16" s="114" t="s">
        <v>316</v>
      </c>
      <c r="D16" s="57" t="s">
        <v>241</v>
      </c>
      <c r="E16" s="58" t="s">
        <v>3</v>
      </c>
      <c r="F16" s="59" t="s">
        <v>3</v>
      </c>
      <c r="G16" s="60"/>
      <c r="H16" s="70" t="str">
        <f>HYPERLINK(CONCATENATE(
BASE_URL,
"0x06d-Testing-Data-Storage.md#testing-local-data-storage"),
"Testing Local Data Storage")</f>
        <v>Testing Local Data Storage</v>
      </c>
      <c r="I16" s="74"/>
      <c r="J16" s="62"/>
    </row>
    <row r="17" spans="2:11">
      <c r="B17" s="107" t="s">
        <v>39</v>
      </c>
      <c r="C17" s="114" t="s">
        <v>317</v>
      </c>
      <c r="D17" s="57" t="s">
        <v>242</v>
      </c>
      <c r="E17" s="58"/>
      <c r="F17" s="59"/>
      <c r="G17" s="60"/>
      <c r="H17" s="70" t="str">
        <f>HYPERLINK(CONCATENATE(
BASE_URL,
"0x06d-Testing-Data-Storage.md#testing-local-data-storage"),
"Testing Local Data Storage")</f>
        <v>Testing Local Data Storage</v>
      </c>
      <c r="I17" s="74"/>
      <c r="J17" s="62"/>
    </row>
    <row r="18" spans="2:11">
      <c r="B18" s="107" t="s">
        <v>40</v>
      </c>
      <c r="C18" s="114" t="s">
        <v>318</v>
      </c>
      <c r="D18" s="57" t="s">
        <v>243</v>
      </c>
      <c r="E18" s="58" t="s">
        <v>3</v>
      </c>
      <c r="F18" s="59" t="s">
        <v>3</v>
      </c>
      <c r="G18" s="60"/>
      <c r="H18" s="70" t="str">
        <f>HYPERLINK(CONCATENATE(
BASE_URL,
"0x06d-Testing-Data-Storage.md#checking-logs-for-sensitive-data"),
"Checking Logs for Sensitive Data")</f>
        <v>Checking Logs for Sensitive Data</v>
      </c>
      <c r="I18" s="74"/>
      <c r="J18" s="62"/>
    </row>
    <row r="19" spans="2:11">
      <c r="B19" s="107" t="s">
        <v>8</v>
      </c>
      <c r="C19" s="114" t="s">
        <v>319</v>
      </c>
      <c r="D19" s="57" t="s">
        <v>244</v>
      </c>
      <c r="E19" s="58" t="s">
        <v>3</v>
      </c>
      <c r="F19" s="59" t="s">
        <v>3</v>
      </c>
      <c r="G19" s="60"/>
      <c r="H19" s="70" t="str">
        <f>HYPERLINK(CONCATENATE(
BASE_URL,
"0x06d-Testing-Data-Storage.md#determining-whether-sensitive-data-is-sent-to-third-parties"),
"Determining Whether Sensitive Data Is Sent to Third Parties")</f>
        <v>Determining Whether Sensitive Data Is Sent to Third Parties</v>
      </c>
      <c r="I19" s="74"/>
      <c r="J19" s="62"/>
    </row>
    <row r="20" spans="2:11">
      <c r="B20" s="107" t="s">
        <v>41</v>
      </c>
      <c r="C20" s="114" t="s">
        <v>320</v>
      </c>
      <c r="D20" s="57" t="s">
        <v>245</v>
      </c>
      <c r="E20" s="58" t="s">
        <v>3</v>
      </c>
      <c r="F20" s="59" t="s">
        <v>3</v>
      </c>
      <c r="G20" s="60"/>
      <c r="H20" s="70" t="str">
        <f>HYPERLINK(CONCATENATE(
BASE_URL,
"0x06d-Testing-Data-Storage.md#finding-sensitive-data-in-the-keyboard-cache"),
"Finding Sensitive Data in the Keyboard Cache")</f>
        <v>Finding Sensitive Data in the Keyboard Cache</v>
      </c>
      <c r="I20" s="74"/>
      <c r="J20" s="62"/>
    </row>
    <row r="21" spans="2:11">
      <c r="B21" s="107" t="s">
        <v>9</v>
      </c>
      <c r="C21" s="114" t="s">
        <v>321</v>
      </c>
      <c r="D21" s="57" t="s">
        <v>246</v>
      </c>
      <c r="E21" s="58" t="s">
        <v>3</v>
      </c>
      <c r="F21" s="59" t="s">
        <v>3</v>
      </c>
      <c r="G21" s="60"/>
      <c r="H21" s="70" t="str">
        <f>HYPERLINK(CONCATENATE(
BASE_URL,
"0x06d-Testing-Data-Storage.md#determining-whether-sensitive-data-is-exposed-via-ipc-mechanisms"),
"Determining Whether Sensitive Data Is Exposed via IPC Mechanisms")</f>
        <v>Determining Whether Sensitive Data Is Exposed via IPC Mechanisms</v>
      </c>
      <c r="I21" s="74"/>
      <c r="J21" s="62"/>
    </row>
    <row r="22" spans="2:11">
      <c r="B22" s="107" t="s">
        <v>10</v>
      </c>
      <c r="C22" s="114" t="s">
        <v>322</v>
      </c>
      <c r="D22" s="57" t="s">
        <v>247</v>
      </c>
      <c r="E22" s="58" t="s">
        <v>3</v>
      </c>
      <c r="F22" s="59" t="s">
        <v>3</v>
      </c>
      <c r="G22" s="60"/>
      <c r="H22" s="70" t="str">
        <f>HYPERLINK(CONCATENATE(
BASE_URL,
"0x06d-Testing-Data-Storage.md#checking-for-sensitive-data-disclosed-through-the-user-interface"),
"Checking for Sensitive Data Disclosed Through the User Interface")</f>
        <v>Checking for Sensitive Data Disclosed Through the User Interface</v>
      </c>
      <c r="I22" s="74"/>
      <c r="J22" s="62"/>
    </row>
    <row r="23" spans="2:11">
      <c r="B23" s="107" t="s">
        <v>11</v>
      </c>
      <c r="C23" s="114" t="s">
        <v>323</v>
      </c>
      <c r="D23" s="57" t="s">
        <v>248</v>
      </c>
      <c r="E23" s="73"/>
      <c r="F23" s="59" t="s">
        <v>3</v>
      </c>
      <c r="G23" s="60" t="s">
        <v>64</v>
      </c>
      <c r="H23" s="70" t="str">
        <f>HYPERLINK(CONCATENATE(
BASE_URL,
"0x06d-Testing-Data-Storage.md#testing-backups-for-sensitive-data"),
"Testing Backups for Sensitive Data")</f>
        <v>Testing Backups for Sensitive Data</v>
      </c>
      <c r="I23" s="74"/>
      <c r="J23" s="62"/>
    </row>
    <row r="24" spans="2:11">
      <c r="B24" s="107" t="s">
        <v>12</v>
      </c>
      <c r="C24" s="114" t="s">
        <v>324</v>
      </c>
      <c r="D24" s="57" t="s">
        <v>226</v>
      </c>
      <c r="E24" s="73"/>
      <c r="F24" s="59" t="s">
        <v>3</v>
      </c>
      <c r="G24" s="60" t="s">
        <v>64</v>
      </c>
      <c r="H24" s="70" t="str">
        <f>HYPERLINK(CONCATENATE(
BASE_URL,
"0x06d-Testing-Data-Storage.md#testing-auto-generated-screenshots-for-sensitive-information"),
"Testing Auto-Generated Screenshots for Sensitive Information")</f>
        <v>Testing Auto-Generated Screenshots for Sensitive Information</v>
      </c>
      <c r="I24" s="74"/>
      <c r="J24" s="62"/>
    </row>
    <row r="25" spans="2:11">
      <c r="B25" s="107" t="s">
        <v>42</v>
      </c>
      <c r="C25" s="114" t="s">
        <v>325</v>
      </c>
      <c r="D25" s="57" t="s">
        <v>249</v>
      </c>
      <c r="E25" s="73"/>
      <c r="F25" s="59" t="s">
        <v>3</v>
      </c>
      <c r="G25" s="60" t="s">
        <v>64</v>
      </c>
      <c r="H25" s="70" t="str">
        <f>HYPERLINK(CONCATENATE(
BASE_URL,
"0x06d-Testing-Data-Storage.md#testing-memory-for-sensitive-data"),
"Testing Memory for Sensitive Data")</f>
        <v>Testing Memory for Sensitive Data</v>
      </c>
      <c r="I25" s="74"/>
      <c r="J25" s="62"/>
    </row>
    <row r="26" spans="2:11" ht="29">
      <c r="B26" s="107" t="s">
        <v>43</v>
      </c>
      <c r="C26" s="114" t="s">
        <v>326</v>
      </c>
      <c r="D26" s="57" t="s">
        <v>250</v>
      </c>
      <c r="E26" s="73"/>
      <c r="F26" s="59" t="s">
        <v>3</v>
      </c>
      <c r="G26" s="60" t="s">
        <v>64</v>
      </c>
      <c r="H26" s="77" t="str">
        <f>HYPERLINK(CONCATENATE(
BASE_URL,
"0x06f-Testing-Local-Authentication.md#local-authentication-on-ios"),
"Local Authentication on iOS")</f>
        <v>Local Authentication on iOS</v>
      </c>
      <c r="I26" s="74"/>
      <c r="J26" s="62"/>
      <c r="K26" s="96"/>
    </row>
    <row r="27" spans="2:11" ht="29">
      <c r="B27" s="107" t="s">
        <v>13</v>
      </c>
      <c r="C27" s="114" t="s">
        <v>327</v>
      </c>
      <c r="D27" s="57" t="s">
        <v>251</v>
      </c>
      <c r="E27" s="73"/>
      <c r="F27" s="59" t="s">
        <v>3</v>
      </c>
      <c r="G27" s="60" t="s">
        <v>64</v>
      </c>
      <c r="H27" s="70" t="str">
        <f>HYPERLINK(CONCATENATE(
BASE_URL,
"0x04i-Testing-user-interaction.md#testing-user-education"),
"Testing User Education")</f>
        <v>Testing User Education</v>
      </c>
      <c r="I27" s="74"/>
      <c r="J27" s="62"/>
      <c r="K27" s="46"/>
    </row>
    <row r="28" spans="2:11">
      <c r="B28" s="65" t="s">
        <v>14</v>
      </c>
      <c r="C28" s="116"/>
      <c r="D28" s="66" t="s">
        <v>189</v>
      </c>
      <c r="E28" s="67"/>
      <c r="F28" s="68"/>
      <c r="G28" s="67"/>
      <c r="H28" s="66"/>
      <c r="I28" s="66"/>
      <c r="J28" s="69"/>
    </row>
    <row r="29" spans="2:11">
      <c r="B29" s="107" t="s">
        <v>15</v>
      </c>
      <c r="C29" s="114" t="s">
        <v>328</v>
      </c>
      <c r="D29" s="57" t="s">
        <v>252</v>
      </c>
      <c r="E29" s="58" t="s">
        <v>3</v>
      </c>
      <c r="F29" s="59" t="s">
        <v>3</v>
      </c>
      <c r="G29" s="60"/>
      <c r="H29" s="70" t="str">
        <f>HYPERLINK(CONCATENATE(
BASE_URL,
"0x06e-Testing-Cryptography.md#testing-key-management"),
"Testing Key Management")</f>
        <v>Testing Key Management</v>
      </c>
      <c r="I29" s="74"/>
      <c r="J29" s="62"/>
    </row>
    <row r="30" spans="2:11">
      <c r="B30" s="107" t="s">
        <v>16</v>
      </c>
      <c r="C30" s="114" t="s">
        <v>329</v>
      </c>
      <c r="D30" s="57" t="s">
        <v>253</v>
      </c>
      <c r="E30" s="58" t="s">
        <v>3</v>
      </c>
      <c r="F30" s="59" t="s">
        <v>3</v>
      </c>
      <c r="G30" s="60"/>
      <c r="H30" s="70" t="str">
        <f>HYPERLINK(CONCATENATE(
BASE_URL,
"0x04g-Testing-Cryptography.md#custom-implementations-of-cryptography"),
"Custom Implementations of Cryptography")</f>
        <v>Custom Implementations of Cryptography</v>
      </c>
      <c r="I30" s="74"/>
      <c r="J30" s="62"/>
    </row>
    <row r="31" spans="2:11" ht="29">
      <c r="B31" s="107" t="s">
        <v>17</v>
      </c>
      <c r="C31" s="114" t="s">
        <v>330</v>
      </c>
      <c r="D31" s="57" t="s">
        <v>254</v>
      </c>
      <c r="E31" s="58" t="s">
        <v>3</v>
      </c>
      <c r="F31" s="59" t="s">
        <v>3</v>
      </c>
      <c r="G31" s="60"/>
      <c r="H31" s="70" t="str">
        <f>HYPERLINK(CONCATENATE(
BASE_URL,
"0x06e-Testing-Cryptography.md#verifying-the-configuration-of-cryptographic-standard-algorithms"),
"Verifying the Configuration of Cryptographic Standard Algorithms")</f>
        <v>Verifying the Configuration of Cryptographic Standard Algorithms</v>
      </c>
      <c r="I31" s="74"/>
      <c r="J31" s="62"/>
    </row>
    <row r="32" spans="2:11">
      <c r="B32" s="107" t="s">
        <v>18</v>
      </c>
      <c r="C32" s="114" t="s">
        <v>331</v>
      </c>
      <c r="D32" s="57" t="s">
        <v>255</v>
      </c>
      <c r="E32" s="58" t="s">
        <v>3</v>
      </c>
      <c r="F32" s="59" t="s">
        <v>3</v>
      </c>
      <c r="G32" s="60"/>
      <c r="H32" s="70" t="str">
        <f>HYPERLINK(CONCATENATE(
BASE_URL,
"0x04g-Testing-Cryptography.md#identifying-insecure-andor-deprecated-cryptographic-algorithms"),
"Identifying Insecure and/or Deprecated Cryptographic Algorithms")</f>
        <v>Identifying Insecure and/or Deprecated Cryptographic Algorithms</v>
      </c>
      <c r="I32" s="74"/>
      <c r="J32" s="62"/>
    </row>
    <row r="33" spans="2:12">
      <c r="B33" s="107" t="s">
        <v>19</v>
      </c>
      <c r="C33" s="114" t="s">
        <v>333</v>
      </c>
      <c r="D33" s="57" t="s">
        <v>256</v>
      </c>
      <c r="E33" s="58" t="s">
        <v>3</v>
      </c>
      <c r="F33" s="59" t="s">
        <v>3</v>
      </c>
      <c r="G33" s="60"/>
      <c r="H33" s="70" t="str">
        <f>HYPERLINK(CONCATENATE(
BASE_URL,
"0x06e-Testing-Cryptography.md#testing-key-management"),
"Testing Key Management")</f>
        <v>Testing Key Management</v>
      </c>
      <c r="I33" s="74"/>
      <c r="J33" s="62"/>
    </row>
    <row r="34" spans="2:12">
      <c r="B34" s="107" t="s">
        <v>20</v>
      </c>
      <c r="C34" s="114" t="s">
        <v>332</v>
      </c>
      <c r="D34" s="57" t="s">
        <v>257</v>
      </c>
      <c r="E34" s="58" t="s">
        <v>3</v>
      </c>
      <c r="F34" s="59" t="s">
        <v>3</v>
      </c>
      <c r="G34" s="60"/>
      <c r="H34" s="70" t="str">
        <f>HYPERLINK(CONCATENATE(
BASE_URL,
"0x06e-Testing-Cryptography.md#testing-random-number-generation"),
"Testing Random Number Generation")</f>
        <v>Testing Random Number Generation</v>
      </c>
      <c r="I34" s="74"/>
      <c r="J34" s="62"/>
    </row>
    <row r="35" spans="2:12">
      <c r="B35" s="65" t="s">
        <v>21</v>
      </c>
      <c r="C35" s="116"/>
      <c r="D35" s="66" t="s">
        <v>190</v>
      </c>
      <c r="E35" s="67"/>
      <c r="F35" s="68"/>
      <c r="G35" s="67"/>
      <c r="H35" s="66"/>
      <c r="I35" s="66"/>
      <c r="J35" s="69"/>
    </row>
    <row r="36" spans="2:12" ht="29">
      <c r="B36" s="107" t="s">
        <v>22</v>
      </c>
      <c r="C36" s="114" t="s">
        <v>334</v>
      </c>
      <c r="D36" s="74" t="s">
        <v>258</v>
      </c>
      <c r="E36" s="58" t="s">
        <v>3</v>
      </c>
      <c r="F36" s="59" t="s">
        <v>3</v>
      </c>
      <c r="G36" s="60"/>
      <c r="H36" s="70" t="str">
        <f>HYPERLINK(CONCATENATE(
BASE_URL,
"0x04e-Testing-Authentication-and-Session-Management.md#testing-authentication"),
"Testing Authentication")</f>
        <v>Testing Authentication</v>
      </c>
      <c r="I36" s="74"/>
      <c r="J36" s="62"/>
    </row>
    <row r="37" spans="2:12" ht="29">
      <c r="B37" s="107" t="s">
        <v>44</v>
      </c>
      <c r="C37" s="114" t="s">
        <v>335</v>
      </c>
      <c r="D37" s="74" t="s">
        <v>259</v>
      </c>
      <c r="E37" s="58" t="s">
        <v>3</v>
      </c>
      <c r="F37" s="59" t="s">
        <v>3</v>
      </c>
      <c r="G37" s="60"/>
      <c r="H37" s="70" t="str">
        <f>HYPERLINK(CONCATENATE(
BASE_URL,
"0x04e-Testing-Authentication-and-Session-Management.md#testing-stateful-session-management"),
"Testing Stateful Session Management")</f>
        <v>Testing Stateful Session Management</v>
      </c>
      <c r="I37" s="74"/>
      <c r="J37" s="62"/>
    </row>
    <row r="38" spans="2:12" ht="29">
      <c r="B38" s="107" t="s">
        <v>45</v>
      </c>
      <c r="C38" s="114" t="s">
        <v>336</v>
      </c>
      <c r="D38" s="74" t="s">
        <v>260</v>
      </c>
      <c r="E38" s="58" t="s">
        <v>3</v>
      </c>
      <c r="F38" s="59" t="s">
        <v>3</v>
      </c>
      <c r="G38" s="60"/>
      <c r="H38" s="70" t="str">
        <f>HYPERLINK(CONCATENATE(
BASE_URL,
"0x04e-Testing-Authentication-and-Session-Management.md#testing-stateless-token-based-authentication"),
"Testing Stateless (Token-Based) Authentication")</f>
        <v>Testing Stateless (Token-Based) Authentication</v>
      </c>
      <c r="I38" s="74"/>
      <c r="J38" s="62"/>
    </row>
    <row r="39" spans="2:12">
      <c r="B39" s="107" t="s">
        <v>23</v>
      </c>
      <c r="C39" s="114" t="s">
        <v>337</v>
      </c>
      <c r="D39" s="74" t="s">
        <v>261</v>
      </c>
      <c r="E39" s="58"/>
      <c r="F39" s="59"/>
      <c r="G39" s="60"/>
      <c r="H39" s="70" t="str">
        <f>HYPERLINK(
CONCATENATE(
BASE_URL,
"0x04e-Testing-Authentication-and-Session-Management.md#user-logout-and-session-timeouts"),
"User Logout and Session Timeouts")</f>
        <v>User Logout and Session Timeouts</v>
      </c>
      <c r="I39" s="74"/>
      <c r="J39" s="62"/>
      <c r="L39" s="75"/>
    </row>
    <row r="40" spans="2:12">
      <c r="B40" s="107" t="s">
        <v>24</v>
      </c>
      <c r="C40" s="114" t="s">
        <v>338</v>
      </c>
      <c r="D40" s="74" t="s">
        <v>262</v>
      </c>
      <c r="E40" s="58" t="s">
        <v>3</v>
      </c>
      <c r="F40" s="59" t="s">
        <v>3</v>
      </c>
      <c r="G40" s="60"/>
      <c r="H40" s="70" t="str">
        <f>HYPERLINK(CONCATENATE(
BASE_URL,
"0x04e-Testing-Authentication-and-Session-Management.md#best-practices-for-passwords"),
"Best Practices for Passwords")</f>
        <v>Best Practices for Passwords</v>
      </c>
      <c r="I40" s="74"/>
      <c r="J40" s="62"/>
      <c r="L40" s="75"/>
    </row>
    <row r="41" spans="2:12">
      <c r="B41" s="107" t="s">
        <v>46</v>
      </c>
      <c r="C41" s="114" t="s">
        <v>339</v>
      </c>
      <c r="D41" s="74" t="s">
        <v>263</v>
      </c>
      <c r="E41" s="58" t="s">
        <v>3</v>
      </c>
      <c r="F41" s="59" t="s">
        <v>3</v>
      </c>
      <c r="G41" s="60"/>
      <c r="H41" s="70" t="str">
        <f>HYPERLINK(CONCATENATE(
BASE_URL,
"0x04e-Testing-Authentication-and-Session-Management.md#running-a-password-dictionary-attack"),
"Running a Password Dictionary Attack")</f>
        <v>Running a Password Dictionary Attack</v>
      </c>
      <c r="I41" s="74"/>
      <c r="J41" s="62"/>
    </row>
    <row r="42" spans="2:12" ht="29">
      <c r="B42" s="107" t="s">
        <v>47</v>
      </c>
      <c r="C42" s="114" t="s">
        <v>340</v>
      </c>
      <c r="D42" s="74" t="s">
        <v>264</v>
      </c>
      <c r="E42" s="58" t="s">
        <v>3</v>
      </c>
      <c r="F42" s="59" t="s">
        <v>3</v>
      </c>
      <c r="G42" s="60"/>
      <c r="H42" s="70" t="str">
        <f>HYPERLINK(CONCATENATE(
BASE_URL,
"0x04e-Testing-Authentication-and-Session-Management.md#session-timeout"),
"Session Timeout")</f>
        <v>Session Timeout</v>
      </c>
      <c r="I42" s="97"/>
      <c r="J42" s="76"/>
    </row>
    <row r="43" spans="2:12" ht="29">
      <c r="B43" s="107" t="s">
        <v>25</v>
      </c>
      <c r="C43" s="114" t="s">
        <v>341</v>
      </c>
      <c r="D43" s="74" t="s">
        <v>265</v>
      </c>
      <c r="E43" s="73"/>
      <c r="F43" s="59" t="s">
        <v>3</v>
      </c>
      <c r="G43" s="60" t="s">
        <v>64</v>
      </c>
      <c r="H43" s="70" t="str">
        <f>HYPERLINK(CONCATENATE(
BASE_URL,
"0x06f-Testing-Local-Authentication.md#testing-local-authentication"),
"Testing Local Authentication")</f>
        <v>Testing Local Authentication</v>
      </c>
      <c r="I43" s="74"/>
      <c r="J43" s="62"/>
    </row>
    <row r="44" spans="2:12" ht="29">
      <c r="B44" s="107" t="s">
        <v>26</v>
      </c>
      <c r="C44" s="114" t="s">
        <v>342</v>
      </c>
      <c r="D44" s="74" t="s">
        <v>266</v>
      </c>
      <c r="E44" s="73"/>
      <c r="F44" s="59" t="s">
        <v>3</v>
      </c>
      <c r="G44" s="60" t="s">
        <v>64</v>
      </c>
      <c r="H44" s="70" t="str">
        <f>HYPERLINK(CONCATENATE(
BASE_URL,
"0x04e-Testing-Authentication-and-Session-Management.md#verifying-that-2fa-is-enforced"),
"Verifying that 2FA is Enforced")</f>
        <v>Verifying that 2FA is Enforced</v>
      </c>
      <c r="I44" s="74"/>
      <c r="J44" s="62"/>
    </row>
    <row r="45" spans="2:12">
      <c r="B45" s="107" t="s">
        <v>27</v>
      </c>
      <c r="C45" s="114" t="s">
        <v>343</v>
      </c>
      <c r="D45" s="74" t="s">
        <v>303</v>
      </c>
      <c r="E45" s="73"/>
      <c r="F45" s="59" t="s">
        <v>3</v>
      </c>
      <c r="G45" s="60" t="s">
        <v>64</v>
      </c>
      <c r="H45" s="70" t="str">
        <f>HYPERLINK(CONCATENATE(
BASE_URL,
"0x04e-Testing-Authentication-and-Session-Management.md#2-factor-authentication-and-step-up-authentication"),
"2-Factor Authentication and Step-up Authentication")</f>
        <v>2-Factor Authentication and Step-up Authentication</v>
      </c>
      <c r="I45" s="74"/>
      <c r="J45" s="62"/>
    </row>
    <row r="46" spans="2:12" ht="29">
      <c r="B46" s="107" t="s">
        <v>91</v>
      </c>
      <c r="C46" s="114" t="s">
        <v>344</v>
      </c>
      <c r="D46" s="74" t="s">
        <v>268</v>
      </c>
      <c r="E46" s="73"/>
      <c r="F46" s="59" t="s">
        <v>3</v>
      </c>
      <c r="G46" s="60" t="s">
        <v>64</v>
      </c>
      <c r="H46" s="70" t="str">
        <f>HYPERLINK(CONCATENATE(
BASE_URL,
"0x04e-Testing-Authentication-and-Session-Management.md#login-activity-and-device-blocking"),
"Login Activity and Device Blocking")</f>
        <v>Login Activity and Device Blocking</v>
      </c>
      <c r="I46" s="74"/>
      <c r="J46" s="62"/>
    </row>
    <row r="47" spans="2:12">
      <c r="B47" s="65" t="s">
        <v>28</v>
      </c>
      <c r="C47" s="116"/>
      <c r="D47" s="66" t="s">
        <v>191</v>
      </c>
      <c r="E47" s="67"/>
      <c r="F47" s="68"/>
      <c r="G47" s="67"/>
      <c r="H47" s="66"/>
      <c r="I47" s="66"/>
      <c r="J47" s="69"/>
    </row>
    <row r="48" spans="2:12" ht="29">
      <c r="B48" s="107" t="s">
        <v>29</v>
      </c>
      <c r="C48" s="114" t="s">
        <v>345</v>
      </c>
      <c r="D48" s="74" t="s">
        <v>269</v>
      </c>
      <c r="E48" s="58" t="s">
        <v>3</v>
      </c>
      <c r="F48" s="59" t="s">
        <v>3</v>
      </c>
      <c r="G48" s="60"/>
      <c r="H48" s="70" t="str">
        <f>HYPERLINK(CONCATENATE(
BASE_URL,
"0x04f-Testing-Network-Communication.md#verifying-data-encryption-on-the-network"),
"Verifying Data Encryption on the Network")</f>
        <v>Verifying Data Encryption on the Network</v>
      </c>
      <c r="I48" s="77" t="str">
        <f>HYPERLINK(CONCATENATE(
BASE_URL,
"0x06g-Testing-Network-Communication.md#app-transport-security"),
"App Transport Security")</f>
        <v>App Transport Security</v>
      </c>
      <c r="J48" s="78"/>
    </row>
    <row r="49" spans="2:10" ht="43.5">
      <c r="B49" s="107" t="s">
        <v>48</v>
      </c>
      <c r="C49" s="114" t="s">
        <v>346</v>
      </c>
      <c r="D49" s="74" t="s">
        <v>270</v>
      </c>
      <c r="E49" s="58" t="s">
        <v>3</v>
      </c>
      <c r="F49" s="59" t="s">
        <v>3</v>
      </c>
      <c r="G49" s="60"/>
      <c r="H49" s="70" t="str">
        <f>HYPERLINK(CONCATENATE(
BASE_URL,
"0x04f-Testing-Network-Communication.md#recommended-tls-settings"),
"Recommended TLS Settings")</f>
        <v>Recommended TLS Settings</v>
      </c>
      <c r="I49" s="77" t="str">
        <f>HYPERLINK(CONCATENATE(
BASE_URL,
"0x06g-Testing-Network-Communication.md#app-transport-security"),
"App Transport Security")</f>
        <v>App Transport Security</v>
      </c>
      <c r="J49" s="78"/>
    </row>
    <row r="50" spans="2:10" ht="29">
      <c r="B50" s="107" t="s">
        <v>30</v>
      </c>
      <c r="C50" s="114" t="s">
        <v>347</v>
      </c>
      <c r="D50" s="74" t="s">
        <v>271</v>
      </c>
      <c r="E50" s="58" t="s">
        <v>3</v>
      </c>
      <c r="F50" s="59" t="s">
        <v>3</v>
      </c>
      <c r="G50" s="60"/>
      <c r="H50" s="70" t="str">
        <f>HYPERLINK(CONCATENATE(
BASE_URL,
"0x06g-Testing-Network-Communication.md#testing-custom-certificate-stores-and-certificate-pinning"),
"Testing Custom Certificate Stores and Certificate Pinning")</f>
        <v>Testing Custom Certificate Stores and Certificate Pinning</v>
      </c>
      <c r="I50" s="77"/>
      <c r="J50" s="78"/>
    </row>
    <row r="51" spans="2:10" ht="29">
      <c r="B51" s="107" t="s">
        <v>49</v>
      </c>
      <c r="C51" s="114" t="s">
        <v>348</v>
      </c>
      <c r="D51" s="74" t="s">
        <v>272</v>
      </c>
      <c r="E51" s="73"/>
      <c r="F51" s="59" t="s">
        <v>3</v>
      </c>
      <c r="G51" s="60" t="s">
        <v>64</v>
      </c>
      <c r="H51" s="70" t="str">
        <f>HYPERLINK(CONCATENATE(
BASE_URL,
"0x06g-Testing-Network-Communication.md#testing-custom-certificate-stores-and-certificate-pinning"),
"Testing Custom Certificate Stores and Certificate Pinning")</f>
        <v>Testing Custom Certificate Stores and Certificate Pinning</v>
      </c>
      <c r="I51" s="74"/>
      <c r="J51" s="62"/>
    </row>
    <row r="52" spans="2:10" ht="31">
      <c r="B52" s="107" t="s">
        <v>31</v>
      </c>
      <c r="C52" s="114" t="s">
        <v>349</v>
      </c>
      <c r="D52" s="74" t="s">
        <v>273</v>
      </c>
      <c r="E52" s="73"/>
      <c r="F52" s="59" t="s">
        <v>3</v>
      </c>
      <c r="G52" s="60" t="s">
        <v>64</v>
      </c>
      <c r="H52" s="70"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I52" s="74"/>
      <c r="J52" s="62"/>
    </row>
    <row r="53" spans="2:10">
      <c r="B53" s="107" t="s">
        <v>105</v>
      </c>
      <c r="C53" s="114" t="s">
        <v>350</v>
      </c>
      <c r="D53" s="74" t="s">
        <v>274</v>
      </c>
      <c r="E53" s="73"/>
      <c r="F53" s="59" t="s">
        <v>3</v>
      </c>
      <c r="G53" s="60" t="s">
        <v>64</v>
      </c>
      <c r="H53" s="77" t="str">
        <f>HYPERLINK(CONCATENATE(
BASE_URL,
"0x06i-Testing-Code-Quality-and-Build-Settings.md#checking-for-weaknesses-in-third-party-libraries"),
"Checking for Weaknesses in Third Party Libraries")</f>
        <v>Checking for Weaknesses in Third Party Libraries</v>
      </c>
      <c r="I53" s="74"/>
      <c r="J53" s="62"/>
    </row>
    <row r="54" spans="2:10">
      <c r="B54" s="65" t="s">
        <v>32</v>
      </c>
      <c r="C54" s="116"/>
      <c r="D54" s="66" t="s">
        <v>192</v>
      </c>
      <c r="E54" s="67"/>
      <c r="F54" s="68"/>
      <c r="G54" s="67"/>
      <c r="H54" s="66"/>
      <c r="I54" s="66"/>
      <c r="J54" s="69"/>
    </row>
    <row r="55" spans="2:10">
      <c r="B55" s="107" t="s">
        <v>50</v>
      </c>
      <c r="C55" s="114" t="s">
        <v>351</v>
      </c>
      <c r="D55" s="74" t="s">
        <v>275</v>
      </c>
      <c r="E55" s="58" t="s">
        <v>3</v>
      </c>
      <c r="F55" s="59" t="s">
        <v>3</v>
      </c>
      <c r="G55" s="60"/>
      <c r="H55" s="70" t="str">
        <f>HYPERLINK(CONCATENATE(
BASE_URL,
"0x06h-Testing-Platform-Interaction.md#testing-app-permissions"),
"Testing App Permissions")</f>
        <v>Testing App Permissions</v>
      </c>
      <c r="I55" s="74"/>
      <c r="J55" s="62"/>
    </row>
    <row r="56" spans="2:10" ht="29">
      <c r="B56" s="107" t="s">
        <v>51</v>
      </c>
      <c r="C56" s="114" t="s">
        <v>352</v>
      </c>
      <c r="D56" s="74" t="s">
        <v>276</v>
      </c>
      <c r="E56" s="58" t="s">
        <v>3</v>
      </c>
      <c r="F56" s="59" t="s">
        <v>3</v>
      </c>
      <c r="G56" s="60"/>
      <c r="H56" s="70" t="str">
        <f>HYPERLINK(CONCATENATE(
BASE_URL,
"0x04h-Testing-Code-Quality.md#injection-flaws"),
"Injection Flaws")</f>
        <v>Injection Flaws</v>
      </c>
      <c r="I56" s="74"/>
      <c r="J56" s="62"/>
    </row>
    <row r="57" spans="2:10" ht="29">
      <c r="B57" s="107" t="s">
        <v>52</v>
      </c>
      <c r="C57" s="114" t="s">
        <v>353</v>
      </c>
      <c r="D57" s="74" t="s">
        <v>277</v>
      </c>
      <c r="E57" s="58" t="s">
        <v>3</v>
      </c>
      <c r="F57" s="59" t="s">
        <v>3</v>
      </c>
      <c r="G57" s="60"/>
      <c r="H57" s="70" t="str">
        <f>HYPERLINK(CONCATENATE(
BASE_URL,
"0x06h-Testing-Platform-Interaction.md#testing-custom-url-schemes"),
"Testing Custom URL Schemes")</f>
        <v>Testing Custom URL Schemes</v>
      </c>
      <c r="I57" s="74"/>
      <c r="J57" s="62"/>
    </row>
    <row r="58" spans="2:10">
      <c r="B58" s="107" t="s">
        <v>53</v>
      </c>
      <c r="C58" s="114" t="s">
        <v>354</v>
      </c>
      <c r="D58" s="74" t="s">
        <v>278</v>
      </c>
      <c r="E58" s="58" t="s">
        <v>3</v>
      </c>
      <c r="F58" s="59" t="s">
        <v>3</v>
      </c>
      <c r="G58" s="60"/>
      <c r="H58" s="61" t="str">
        <f>HYPERLINK(CONCATENATE(
BASE_URL,
"0x06h-Testing-Platform-Interaction.md#testing-for-sensitive-functionality-exposure-through-ipc"),
"Testing for Sensitive Functionality Exposure Through IPC")</f>
        <v>Testing for Sensitive Functionality Exposure Through IPC</v>
      </c>
      <c r="I58" s="74"/>
      <c r="J58" s="62"/>
    </row>
    <row r="59" spans="2:10">
      <c r="B59" s="107" t="s">
        <v>54</v>
      </c>
      <c r="C59" s="114" t="s">
        <v>355</v>
      </c>
      <c r="D59" s="74" t="s">
        <v>279</v>
      </c>
      <c r="E59" s="58" t="s">
        <v>3</v>
      </c>
      <c r="F59" s="59" t="s">
        <v>3</v>
      </c>
      <c r="G59" s="60"/>
      <c r="H59" s="70" t="str">
        <f>HYPERLINK(CONCATENATE(
BASE_URL,
"0x06h-Testing-Platform-Interaction.md#testing-ios-webviews"),
"Testing iOS WebViews")</f>
        <v>Testing iOS WebViews</v>
      </c>
      <c r="I59" s="74"/>
      <c r="J59" s="62"/>
    </row>
    <row r="60" spans="2:10" ht="29">
      <c r="B60" s="107" t="s">
        <v>55</v>
      </c>
      <c r="C60" s="114" t="s">
        <v>356</v>
      </c>
      <c r="D60" s="74" t="s">
        <v>280</v>
      </c>
      <c r="E60" s="58" t="s">
        <v>3</v>
      </c>
      <c r="F60" s="59" t="s">
        <v>3</v>
      </c>
      <c r="G60" s="60"/>
      <c r="H60" s="70" t="str">
        <f>HYPERLINK(CONCATENATE(
BASE_URL,
"0x06h-Testing-Platform-Interaction.md#testing-webview-protocol-handlers"),
"Testing WebView Protocol Handlers")</f>
        <v>Testing WebView Protocol Handlers</v>
      </c>
      <c r="I60" s="74"/>
      <c r="J60" s="62"/>
    </row>
    <row r="61" spans="2:10" ht="29">
      <c r="B61" s="107" t="s">
        <v>104</v>
      </c>
      <c r="C61" s="114" t="s">
        <v>357</v>
      </c>
      <c r="D61" s="74" t="s">
        <v>281</v>
      </c>
      <c r="E61" s="58" t="s">
        <v>3</v>
      </c>
      <c r="F61" s="59" t="s">
        <v>3</v>
      </c>
      <c r="G61" s="60"/>
      <c r="H61" s="70" t="str">
        <f>HYPERLINK(CONCATENATE(
BASE_URL,
"0x06h-Testing-Platform-Interaction.md#determining-whether-native-methods-are-exposed-through-webviews"),
"Determining Whether Native Methods Are Exposed Through WebViews")</f>
        <v>Determining Whether Native Methods Are Exposed Through WebViews</v>
      </c>
      <c r="I61" s="74"/>
      <c r="J61" s="62"/>
    </row>
    <row r="62" spans="2:10" ht="29">
      <c r="B62" s="107" t="s">
        <v>103</v>
      </c>
      <c r="C62" s="114" t="s">
        <v>358</v>
      </c>
      <c r="D62" s="74" t="s">
        <v>282</v>
      </c>
      <c r="E62" s="58" t="s">
        <v>3</v>
      </c>
      <c r="F62" s="59" t="s">
        <v>3</v>
      </c>
      <c r="G62" s="60"/>
      <c r="H62" s="70" t="str">
        <f>HYPERLINK(CONCATENATE(
BASE_URL,
"0x06h-Testing-Platform-Interaction.md#testing-object-persistence"),
"Testing Object Persistence")</f>
        <v>Testing Object Persistence</v>
      </c>
      <c r="I62" s="74"/>
      <c r="J62" s="62"/>
    </row>
    <row r="63" spans="2:10">
      <c r="B63" s="65" t="s">
        <v>33</v>
      </c>
      <c r="C63" s="116"/>
      <c r="D63" s="66" t="s">
        <v>193</v>
      </c>
      <c r="E63" s="67"/>
      <c r="F63" s="68"/>
      <c r="G63" s="67"/>
      <c r="H63" s="66"/>
      <c r="I63" s="66"/>
      <c r="J63" s="69"/>
    </row>
    <row r="64" spans="2:10">
      <c r="B64" s="107" t="s">
        <v>56</v>
      </c>
      <c r="C64" s="114" t="s">
        <v>359</v>
      </c>
      <c r="D64" s="57" t="s">
        <v>283</v>
      </c>
      <c r="E64" s="58" t="s">
        <v>3</v>
      </c>
      <c r="F64" s="59" t="s">
        <v>3</v>
      </c>
      <c r="G64" s="60"/>
      <c r="H64" s="70" t="str">
        <f>HYPERLINK(CONCATENATE(
BASE_URL,
"0x06i-Testing-Code-Quality-and-Build-Settings.md#making-sure-that-the-app-is-properly-signed"),
"Making Sure that the App Is Properly Signed")</f>
        <v>Making Sure that the App Is Properly Signed</v>
      </c>
      <c r="I64" s="74"/>
      <c r="J64" s="62"/>
    </row>
    <row r="65" spans="2:10">
      <c r="B65" s="107" t="s">
        <v>34</v>
      </c>
      <c r="C65" s="114" t="s">
        <v>360</v>
      </c>
      <c r="D65" s="57" t="s">
        <v>284</v>
      </c>
      <c r="E65" s="58" t="s">
        <v>3</v>
      </c>
      <c r="F65" s="59" t="s">
        <v>3</v>
      </c>
      <c r="G65" s="60"/>
      <c r="H65" s="70" t="str">
        <f>HYPERLINK(CONCATENATE(
BASE_URL,
"0x06i-Testing-Code-Quality-and-Build-Settings.md#determining-whether-the-app-is-debuggable"),
"Determining Whether the App is Debuggable")</f>
        <v>Determining Whether the App is Debuggable</v>
      </c>
      <c r="I65" s="74"/>
      <c r="J65" s="62"/>
    </row>
    <row r="66" spans="2:10">
      <c r="B66" s="107" t="s">
        <v>57</v>
      </c>
      <c r="C66" s="114" t="s">
        <v>361</v>
      </c>
      <c r="D66" s="57" t="s">
        <v>285</v>
      </c>
      <c r="E66" s="58" t="s">
        <v>3</v>
      </c>
      <c r="F66" s="59" t="s">
        <v>3</v>
      </c>
      <c r="G66" s="60"/>
      <c r="H66" s="70" t="str">
        <f>HYPERLINK(CONCATENATE(
BASE_URL,
"0x06i-Testing-Code-Quality-and-Build-Settings.md#finding-debugging-symbols"),
"Finding Debugging Symbols")</f>
        <v>Finding Debugging Symbols</v>
      </c>
      <c r="I66" s="74"/>
      <c r="J66" s="62"/>
    </row>
    <row r="67" spans="2:10">
      <c r="B67" s="107" t="s">
        <v>58</v>
      </c>
      <c r="C67" s="114" t="s">
        <v>362</v>
      </c>
      <c r="D67" s="57" t="s">
        <v>286</v>
      </c>
      <c r="E67" s="58" t="s">
        <v>3</v>
      </c>
      <c r="F67" s="59" t="s">
        <v>3</v>
      </c>
      <c r="G67" s="60"/>
      <c r="H67" s="70" t="str">
        <f>HYPERLINK(CONCATENATE(
BASE_URL,
"0x06i-Testing-Code-Quality-and-Build-Settings.md#finding-debugging-code-and-verbose-error-logging"),
"Finding Debugging Code and Verbose Error Logging")</f>
        <v>Finding Debugging Code and Verbose Error Logging</v>
      </c>
      <c r="I67" s="74"/>
      <c r="J67" s="62"/>
    </row>
    <row r="68" spans="2:10" ht="29">
      <c r="B68" s="107" t="s">
        <v>59</v>
      </c>
      <c r="C68" s="114" t="s">
        <v>363</v>
      </c>
      <c r="D68" s="57" t="s">
        <v>287</v>
      </c>
      <c r="E68" s="58" t="s">
        <v>3</v>
      </c>
      <c r="F68" s="59" t="s">
        <v>3</v>
      </c>
      <c r="G68" s="60"/>
      <c r="H68" s="77" t="str">
        <f>HYPERLINK(CONCATENATE(
BASE_URL,
"0x06i-Testing-Code-Quality-and-Build-Settings.md#checking-for-weaknesses-in-third-party-libraries"),
"Checking for Weaknesses in Third Party Libraries")</f>
        <v>Checking for Weaknesses in Third Party Libraries</v>
      </c>
      <c r="I68" s="74"/>
      <c r="J68" s="62"/>
    </row>
    <row r="69" spans="2:10">
      <c r="B69" s="107" t="s">
        <v>35</v>
      </c>
      <c r="C69" s="114" t="s">
        <v>364</v>
      </c>
      <c r="D69" s="57" t="s">
        <v>288</v>
      </c>
      <c r="E69" s="58" t="s">
        <v>3</v>
      </c>
      <c r="F69" s="59" t="s">
        <v>3</v>
      </c>
      <c r="G69" s="60"/>
      <c r="H69" s="70" t="str">
        <f>HYPERLINK(CONCATENATE(
BASE_URL,
"0x06i-Testing-Code-Quality-and-Build-Settings.md#testing-exception-handling"),
"Testing Exception Handling")</f>
        <v>Testing Exception Handling</v>
      </c>
      <c r="I69" s="74"/>
      <c r="J69" s="62"/>
    </row>
    <row r="70" spans="2:10">
      <c r="B70" s="107" t="s">
        <v>36</v>
      </c>
      <c r="C70" s="114" t="s">
        <v>365</v>
      </c>
      <c r="D70" s="57" t="s">
        <v>289</v>
      </c>
      <c r="E70" s="58" t="s">
        <v>3</v>
      </c>
      <c r="F70" s="59" t="s">
        <v>3</v>
      </c>
      <c r="G70" s="60"/>
      <c r="H70" s="70" t="str">
        <f>HYPERLINK(CONCATENATE(
BASE_URL,
"0x06i-Testing-Code-Quality-and-Build-Settings.md#testing-exception-handling"),
"Testing Exception Handling")</f>
        <v>Testing Exception Handling</v>
      </c>
      <c r="I70" s="74"/>
      <c r="J70" s="62"/>
    </row>
    <row r="71" spans="2:10">
      <c r="B71" s="107" t="s">
        <v>37</v>
      </c>
      <c r="C71" s="114" t="s">
        <v>366</v>
      </c>
      <c r="D71" s="57" t="s">
        <v>290</v>
      </c>
      <c r="E71" s="58" t="s">
        <v>3</v>
      </c>
      <c r="F71" s="59" t="s">
        <v>3</v>
      </c>
      <c r="G71" s="60"/>
      <c r="H71" s="70" t="str">
        <f>HYPERLINK(CONCATENATE(
BASE_URL,
"0x06i-Testing-Code-Quality-and-Build-Settings.md#memory-corruption-bugs"),
"Memory Corruption Bugs")</f>
        <v>Memory Corruption Bugs</v>
      </c>
      <c r="I71" s="74"/>
      <c r="J71" s="62"/>
    </row>
    <row r="72" spans="2:10" ht="29">
      <c r="B72" s="107" t="s">
        <v>93</v>
      </c>
      <c r="C72" s="114" t="s">
        <v>367</v>
      </c>
      <c r="D72" s="57" t="s">
        <v>291</v>
      </c>
      <c r="E72" s="58" t="s">
        <v>3</v>
      </c>
      <c r="F72" s="59" t="s">
        <v>3</v>
      </c>
      <c r="G72" s="60"/>
      <c r="H72" s="70" t="str">
        <f>HYPERLINK(CONCATENATE(
BASE_URL,
"0x06i-Testing-Code-Quality-and-Build-Settings.md#make-sure-that-free-security-features-are-activated"),
"Make Sure That Free Security Features Are Activated")</f>
        <v>Make Sure That Free Security Features Are Activated</v>
      </c>
      <c r="I72" s="74"/>
      <c r="J72" s="62"/>
    </row>
    <row r="73" spans="2:10">
      <c r="B73" s="81"/>
      <c r="C73" s="117"/>
      <c r="D73" s="82"/>
      <c r="E73" s="83"/>
      <c r="F73" s="83"/>
      <c r="G73" s="83"/>
      <c r="H73" s="82"/>
      <c r="I73" s="98"/>
      <c r="J73" s="99"/>
    </row>
    <row r="74" spans="2:10">
      <c r="B74" s="100"/>
      <c r="C74" s="100"/>
      <c r="D74" s="101"/>
      <c r="E74" s="28"/>
      <c r="F74" s="28"/>
      <c r="G74" s="28"/>
      <c r="H74" s="101"/>
      <c r="I74" s="61"/>
      <c r="J74" s="101"/>
    </row>
    <row r="75" spans="2:10">
      <c r="B75" s="100"/>
      <c r="C75" s="100"/>
      <c r="D75" s="101"/>
      <c r="E75" s="28"/>
      <c r="F75" s="28"/>
      <c r="G75" s="28"/>
      <c r="H75" s="97"/>
      <c r="I75" s="61"/>
      <c r="J75" s="101"/>
    </row>
    <row r="76" spans="2:10">
      <c r="B76" s="100"/>
      <c r="C76" s="100"/>
      <c r="D76" s="101"/>
      <c r="E76" s="28"/>
      <c r="F76" s="28"/>
      <c r="G76" s="28"/>
      <c r="H76" s="101"/>
      <c r="I76" s="61"/>
      <c r="J76" s="101"/>
    </row>
    <row r="77" spans="2:10">
      <c r="B77" s="102" t="s">
        <v>200</v>
      </c>
      <c r="C77" s="102"/>
      <c r="D77" s="101"/>
      <c r="E77" s="28"/>
      <c r="F77" s="28"/>
      <c r="G77" s="28"/>
      <c r="H77" s="101"/>
      <c r="I77" s="61"/>
      <c r="J77" s="101"/>
    </row>
    <row r="78" spans="2:10" ht="29">
      <c r="B78" s="87" t="s">
        <v>201</v>
      </c>
      <c r="C78" s="87"/>
      <c r="D78" s="88" t="s">
        <v>202</v>
      </c>
      <c r="E78" s="28"/>
      <c r="F78" s="28"/>
      <c r="G78" s="28"/>
      <c r="H78" s="101"/>
      <c r="I78" s="61"/>
      <c r="J78" s="101"/>
    </row>
    <row r="79" spans="2:10">
      <c r="B79" s="89" t="s">
        <v>68</v>
      </c>
      <c r="C79" s="89"/>
      <c r="D79" s="90" t="s">
        <v>203</v>
      </c>
      <c r="E79" s="28"/>
      <c r="F79" s="28"/>
      <c r="G79" s="28"/>
      <c r="H79" s="101"/>
      <c r="I79" s="61"/>
      <c r="J79" s="101"/>
    </row>
    <row r="80" spans="2:10">
      <c r="B80" s="89" t="s">
        <v>69</v>
      </c>
      <c r="C80" s="89"/>
      <c r="D80" s="90" t="s">
        <v>204</v>
      </c>
      <c r="E80" s="28"/>
      <c r="F80" s="28"/>
      <c r="G80" s="28"/>
      <c r="H80" s="101"/>
      <c r="I80" s="61"/>
      <c r="J80" s="101"/>
    </row>
    <row r="81" spans="2:10">
      <c r="B81" s="89" t="s">
        <v>64</v>
      </c>
      <c r="C81" s="89"/>
      <c r="D81" s="90" t="s">
        <v>205</v>
      </c>
      <c r="E81" s="28"/>
      <c r="F81" s="28"/>
      <c r="G81" s="28"/>
      <c r="H81" s="101"/>
      <c r="I81" s="61"/>
      <c r="J81" s="101"/>
    </row>
    <row r="82" spans="2:10">
      <c r="B82" s="100"/>
      <c r="C82" s="100"/>
      <c r="D82" s="101"/>
      <c r="E82" s="28"/>
      <c r="F82" s="28"/>
      <c r="G82" s="28"/>
      <c r="H82" s="101"/>
      <c r="I82" s="61"/>
      <c r="J82" s="101"/>
    </row>
    <row r="83" spans="2:10">
      <c r="B83" s="100"/>
      <c r="C83" s="100"/>
      <c r="D83" s="101"/>
      <c r="E83" s="28"/>
      <c r="F83" s="28"/>
      <c r="G83" s="28"/>
      <c r="H83" s="101"/>
      <c r="I83" s="61"/>
      <c r="J83" s="101"/>
    </row>
    <row r="84" spans="2:10">
      <c r="B84" s="100"/>
      <c r="C84" s="100"/>
      <c r="D84" s="101"/>
      <c r="E84" s="28"/>
      <c r="F84" s="28"/>
      <c r="G84" s="28"/>
      <c r="H84" s="101"/>
      <c r="I84" s="61"/>
      <c r="J84" s="101"/>
    </row>
    <row r="85" spans="2:10">
      <c r="B85" s="100"/>
      <c r="C85" s="100"/>
      <c r="D85" s="101"/>
      <c r="E85" s="28"/>
      <c r="F85" s="28"/>
      <c r="G85" s="28"/>
      <c r="H85" s="101"/>
      <c r="I85" s="61"/>
      <c r="J85" s="101"/>
    </row>
  </sheetData>
  <mergeCells count="1">
    <mergeCell ref="H3:I3"/>
  </mergeCells>
  <phoneticPr fontId="12"/>
  <conditionalFormatting sqref="L1:L1048576">
    <cfRule type="containsText" dxfId="9" priority="2" operator="containsText" text="0x05">
      <formula>NOT(ISERROR(SEARCH("0x05",L1)))</formula>
    </cfRule>
  </conditionalFormatting>
  <conditionalFormatting sqref="H1:H26 H28:H1048576">
    <cfRule type="containsText" dxfId="8" priority="1" operator="containsText" text="0x05">
      <formula>NOT(ISERROR(SEARCH("0x05",H1)))</formula>
    </cfRule>
  </conditionalFormatting>
  <dataValidations count="2">
    <dataValidation type="list" allowBlank="1" showInputMessage="1" showErrorMessage="1" sqref="G74:G1048576 I74:J1048576" xr:uid="{00000000-0002-0000-0400-000000000000}">
      <formula1>"Yes,No,N/A"</formula1>
    </dataValidation>
    <dataValidation type="list" allowBlank="1" showInputMessage="1" showErrorMessage="1" sqref="G29:G34 G36:G46 G48:G53 G64:G72 G5:G14 G55:G62 G16:G27"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2"/>
  <sheetViews>
    <sheetView showGridLines="0" topLeftCell="A17" zoomScaleNormal="100" zoomScalePageLayoutView="130" workbookViewId="0">
      <selection activeCell="C18" sqref="C18"/>
    </sheetView>
  </sheetViews>
  <sheetFormatPr baseColWidth="10" defaultColWidth="10.9140625" defaultRowHeight="15.5"/>
  <cols>
    <col min="1" max="1" width="1.5" style="19" customWidth="1"/>
    <col min="2" max="2" width="7.1640625" style="95" customWidth="1"/>
    <col min="3" max="3" width="17.75" style="95" customWidth="1"/>
    <col min="4" max="4" width="93.1640625" style="94" customWidth="1"/>
    <col min="5" max="5" width="2.9140625" style="19" customWidth="1"/>
    <col min="6" max="6" width="5.6640625" style="19" customWidth="1"/>
    <col min="7" max="7" width="42.4140625" style="101" customWidth="1"/>
    <col min="8" max="8" width="30.58203125" style="94" customWidth="1"/>
    <col min="9" max="16384" width="10.9140625" style="19"/>
  </cols>
  <sheetData>
    <row r="1" spans="2:8" ht="18.5">
      <c r="B1" s="93" t="s">
        <v>207</v>
      </c>
      <c r="C1" s="93"/>
      <c r="H1" s="101"/>
    </row>
    <row r="2" spans="2:8">
      <c r="H2" s="101"/>
    </row>
    <row r="3" spans="2:8">
      <c r="B3" s="49" t="s">
        <v>0</v>
      </c>
      <c r="C3" s="112" t="s">
        <v>305</v>
      </c>
      <c r="D3" s="50" t="s">
        <v>195</v>
      </c>
      <c r="E3" s="51" t="s">
        <v>38</v>
      </c>
      <c r="F3" s="51" t="s">
        <v>183</v>
      </c>
      <c r="G3" s="52" t="s">
        <v>196</v>
      </c>
      <c r="H3" s="52" t="s">
        <v>208</v>
      </c>
    </row>
    <row r="4" spans="2:8">
      <c r="B4" s="65" t="s">
        <v>368</v>
      </c>
      <c r="C4" s="116"/>
      <c r="D4" s="66" t="s">
        <v>197</v>
      </c>
      <c r="E4" s="67"/>
      <c r="F4" s="67"/>
      <c r="G4" s="66"/>
      <c r="H4" s="69"/>
    </row>
    <row r="5" spans="2:8" ht="29">
      <c r="B5" s="107" t="s">
        <v>113</v>
      </c>
      <c r="C5" s="114" t="s">
        <v>369</v>
      </c>
      <c r="D5" s="74" t="s">
        <v>292</v>
      </c>
      <c r="E5" s="92" t="s">
        <v>3</v>
      </c>
      <c r="F5" s="60" t="s">
        <v>64</v>
      </c>
      <c r="G5" s="71" t="str">
        <f>HYPERLINK(CONCATENATE(
BASE_URL,
"0x06j-Testing-Resiliency-Against-Reverse-Engineering.md#jailbreak-detection"),
"Jailbreak Detection")</f>
        <v>Jailbreak Detection</v>
      </c>
      <c r="H5" s="62"/>
    </row>
    <row r="6" spans="2:8" ht="29">
      <c r="B6" s="107" t="s">
        <v>114</v>
      </c>
      <c r="C6" s="114" t="s">
        <v>370</v>
      </c>
      <c r="D6" s="74" t="s">
        <v>293</v>
      </c>
      <c r="E6" s="92" t="s">
        <v>3</v>
      </c>
      <c r="F6" s="60" t="s">
        <v>64</v>
      </c>
      <c r="G6" s="71" t="str">
        <f>HYPERLINK(CONCATENATE(
BASE_URL,
"0x06j-Testing-Resiliency-Against-Reverse-Engineering.md#anti-debugging-checks"),
"Anti-Debugging Checks")</f>
        <v>Anti-Debugging Checks</v>
      </c>
      <c r="H6" s="62"/>
    </row>
    <row r="7" spans="2:8">
      <c r="B7" s="107" t="s">
        <v>115</v>
      </c>
      <c r="C7" s="114" t="s">
        <v>371</v>
      </c>
      <c r="D7" s="74" t="s">
        <v>304</v>
      </c>
      <c r="E7" s="92" t="s">
        <v>3</v>
      </c>
      <c r="F7" s="60" t="s">
        <v>64</v>
      </c>
      <c r="G7" s="71" t="str">
        <f>HYPERLINK(CONCATENATE(
BASE_URL,
"0x06j-Testing-Resiliency-Against-Reverse-Engineering.md#file-integrity-checks"),
"File Integrity Checks")</f>
        <v>File Integrity Checks</v>
      </c>
      <c r="H7" s="62"/>
    </row>
    <row r="8" spans="2:8" ht="29">
      <c r="B8" s="107" t="s">
        <v>116</v>
      </c>
      <c r="C8" s="114" t="s">
        <v>372</v>
      </c>
      <c r="D8" s="74" t="s">
        <v>294</v>
      </c>
      <c r="E8" s="92" t="s">
        <v>3</v>
      </c>
      <c r="F8" s="60" t="s">
        <v>64</v>
      </c>
      <c r="G8" s="61" t="s">
        <v>79</v>
      </c>
      <c r="H8" s="62"/>
    </row>
    <row r="9" spans="2:8">
      <c r="B9" s="107" t="s">
        <v>117</v>
      </c>
      <c r="C9" s="114" t="s">
        <v>373</v>
      </c>
      <c r="D9" s="74" t="s">
        <v>295</v>
      </c>
      <c r="E9" s="92" t="s">
        <v>3</v>
      </c>
      <c r="F9" s="60" t="s">
        <v>64</v>
      </c>
      <c r="G9" s="61" t="s">
        <v>79</v>
      </c>
      <c r="H9" s="62"/>
    </row>
    <row r="10" spans="2:8">
      <c r="B10" s="107" t="s">
        <v>118</v>
      </c>
      <c r="C10" s="114" t="s">
        <v>374</v>
      </c>
      <c r="D10" s="74" t="s">
        <v>296</v>
      </c>
      <c r="E10" s="92" t="s">
        <v>3</v>
      </c>
      <c r="F10" s="60" t="s">
        <v>64</v>
      </c>
      <c r="G10" s="61" t="s">
        <v>79</v>
      </c>
      <c r="H10" s="62"/>
    </row>
    <row r="11" spans="2:8" ht="29">
      <c r="B11" s="107" t="s">
        <v>119</v>
      </c>
      <c r="C11" s="114" t="s">
        <v>375</v>
      </c>
      <c r="D11" s="74" t="s">
        <v>297</v>
      </c>
      <c r="E11" s="92" t="s">
        <v>3</v>
      </c>
      <c r="F11" s="60" t="s">
        <v>64</v>
      </c>
      <c r="G11" s="61" t="s">
        <v>79</v>
      </c>
      <c r="H11" s="62"/>
    </row>
    <row r="12" spans="2:8">
      <c r="B12" s="107" t="s">
        <v>120</v>
      </c>
      <c r="C12" s="114" t="s">
        <v>376</v>
      </c>
      <c r="D12" s="74" t="s">
        <v>298</v>
      </c>
      <c r="E12" s="92" t="s">
        <v>3</v>
      </c>
      <c r="F12" s="60" t="s">
        <v>64</v>
      </c>
      <c r="G12" s="61" t="s">
        <v>79</v>
      </c>
      <c r="H12" s="62"/>
    </row>
    <row r="13" spans="2:8">
      <c r="B13" s="107" t="s">
        <v>95</v>
      </c>
      <c r="C13" s="114" t="s">
        <v>377</v>
      </c>
      <c r="D13" s="74" t="s">
        <v>299</v>
      </c>
      <c r="E13" s="92" t="s">
        <v>3</v>
      </c>
      <c r="F13" s="60" t="s">
        <v>64</v>
      </c>
      <c r="G13" s="61" t="s">
        <v>79</v>
      </c>
      <c r="H13" s="62"/>
    </row>
    <row r="14" spans="2:8">
      <c r="B14" s="65"/>
      <c r="C14" s="116"/>
      <c r="D14" s="66" t="s">
        <v>198</v>
      </c>
      <c r="E14" s="67"/>
      <c r="F14" s="67"/>
      <c r="G14" s="66"/>
      <c r="H14" s="69"/>
    </row>
    <row r="15" spans="2:8" ht="29">
      <c r="B15" s="108" t="s">
        <v>60</v>
      </c>
      <c r="C15" s="115" t="s">
        <v>378</v>
      </c>
      <c r="D15" s="74" t="s">
        <v>300</v>
      </c>
      <c r="E15" s="92" t="s">
        <v>3</v>
      </c>
      <c r="F15" s="60" t="s">
        <v>64</v>
      </c>
      <c r="G15" s="71" t="str">
        <f>HYPERLINK(CONCATENATE(
BASE_URL,
"0x06j-Testing-Resiliency-Against-Reverse-Engineering.md#device-binding"),
"Device Binding")</f>
        <v>Device Binding</v>
      </c>
      <c r="H15" s="62"/>
    </row>
    <row r="16" spans="2:8">
      <c r="B16" s="65"/>
      <c r="C16" s="116"/>
      <c r="D16" s="66" t="s">
        <v>199</v>
      </c>
      <c r="E16" s="67"/>
      <c r="F16" s="67"/>
      <c r="G16" s="66"/>
      <c r="H16" s="69"/>
    </row>
    <row r="17" spans="2:8" ht="43.5">
      <c r="B17" s="107" t="s">
        <v>121</v>
      </c>
      <c r="C17" s="114" t="s">
        <v>379</v>
      </c>
      <c r="D17" s="74" t="s">
        <v>301</v>
      </c>
      <c r="E17" s="92" t="s">
        <v>3</v>
      </c>
      <c r="F17" s="60" t="s">
        <v>64</v>
      </c>
      <c r="G17" s="61" t="s">
        <v>79</v>
      </c>
      <c r="H17" s="62"/>
    </row>
    <row r="18" spans="2:8" ht="58">
      <c r="B18" s="107" t="s">
        <v>122</v>
      </c>
      <c r="C18" s="114" t="s">
        <v>380</v>
      </c>
      <c r="D18" s="74" t="s">
        <v>302</v>
      </c>
      <c r="E18" s="92" t="s">
        <v>3</v>
      </c>
      <c r="F18" s="60" t="s">
        <v>64</v>
      </c>
      <c r="G18" s="61" t="s">
        <v>79</v>
      </c>
      <c r="H18" s="62"/>
    </row>
    <row r="19" spans="2:8">
      <c r="B19" s="81"/>
      <c r="C19" s="117"/>
      <c r="D19" s="82"/>
      <c r="E19" s="83"/>
      <c r="F19" s="83"/>
      <c r="G19" s="84"/>
      <c r="H19" s="84"/>
    </row>
    <row r="20" spans="2:8">
      <c r="B20" s="100"/>
      <c r="C20" s="100"/>
      <c r="D20" s="101"/>
      <c r="E20" s="28"/>
      <c r="F20" s="28"/>
      <c r="H20" s="101"/>
    </row>
    <row r="21" spans="2:8">
      <c r="B21" s="100"/>
      <c r="C21" s="100"/>
      <c r="D21" s="101"/>
      <c r="E21" s="28"/>
      <c r="F21" s="28"/>
      <c r="H21" s="101"/>
    </row>
    <row r="22" spans="2:8">
      <c r="B22" s="102" t="s">
        <v>200</v>
      </c>
      <c r="C22" s="102"/>
      <c r="D22" s="101"/>
      <c r="E22" s="28"/>
      <c r="F22" s="28"/>
      <c r="H22" s="101"/>
    </row>
    <row r="23" spans="2:8" ht="29">
      <c r="B23" s="87" t="s">
        <v>201</v>
      </c>
      <c r="C23" s="87"/>
      <c r="D23" s="88" t="s">
        <v>202</v>
      </c>
      <c r="E23" s="28"/>
      <c r="F23" s="28"/>
      <c r="H23" s="101"/>
    </row>
    <row r="24" spans="2:8">
      <c r="B24" s="89" t="s">
        <v>68</v>
      </c>
      <c r="C24" s="89"/>
      <c r="D24" s="90" t="s">
        <v>203</v>
      </c>
      <c r="E24" s="28"/>
      <c r="F24" s="28"/>
      <c r="H24" s="101"/>
    </row>
    <row r="25" spans="2:8">
      <c r="B25" s="89" t="s">
        <v>69</v>
      </c>
      <c r="C25" s="89"/>
      <c r="D25" s="90" t="s">
        <v>204</v>
      </c>
      <c r="E25" s="28"/>
      <c r="F25" s="28"/>
      <c r="H25" s="101"/>
    </row>
    <row r="26" spans="2:8">
      <c r="B26" s="89" t="s">
        <v>64</v>
      </c>
      <c r="C26" s="89"/>
      <c r="D26" s="90" t="s">
        <v>205</v>
      </c>
      <c r="E26" s="28"/>
      <c r="F26" s="28"/>
      <c r="H26" s="101"/>
    </row>
    <row r="27" spans="2:8">
      <c r="B27" s="100"/>
      <c r="C27" s="100"/>
      <c r="D27" s="101"/>
      <c r="E27" s="28"/>
      <c r="F27" s="28"/>
      <c r="H27" s="101"/>
    </row>
    <row r="28" spans="2:8">
      <c r="B28" s="100"/>
      <c r="C28" s="100"/>
      <c r="D28" s="101"/>
      <c r="E28" s="28"/>
      <c r="F28" s="28"/>
      <c r="H28" s="101"/>
    </row>
    <row r="29" spans="2:8">
      <c r="B29" s="100"/>
      <c r="C29" s="100"/>
      <c r="D29" s="101"/>
      <c r="E29" s="28"/>
      <c r="F29" s="28"/>
      <c r="H29" s="101"/>
    </row>
    <row r="30" spans="2:8">
      <c r="B30" s="100"/>
      <c r="C30" s="100"/>
      <c r="D30" s="101"/>
      <c r="E30" s="28"/>
      <c r="F30" s="28"/>
    </row>
    <row r="31" spans="2:8">
      <c r="B31" s="100"/>
      <c r="C31" s="100"/>
      <c r="D31" s="101"/>
      <c r="E31" s="28"/>
      <c r="F31" s="28"/>
    </row>
    <row r="32" spans="2:8">
      <c r="B32" s="100"/>
      <c r="C32" s="100"/>
      <c r="D32" s="101"/>
      <c r="E32" s="28"/>
      <c r="F32" s="28"/>
    </row>
  </sheetData>
  <phoneticPr fontId="12"/>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5"/>
  <sheetViews>
    <sheetView showGridLines="0" tabSelected="1" topLeftCell="C21" zoomScaleNormal="100" workbookViewId="0">
      <selection activeCell="E25" sqref="E25"/>
    </sheetView>
  </sheetViews>
  <sheetFormatPr baseColWidth="10" defaultColWidth="10.9140625" defaultRowHeight="15.5"/>
  <cols>
    <col min="1" max="1" width="33.1640625" customWidth="1"/>
    <col min="3" max="3" width="13.58203125" customWidth="1"/>
    <col min="5" max="5" width="119.58203125" customWidth="1"/>
  </cols>
  <sheetData>
    <row r="1" spans="1:5">
      <c r="A1" s="163" t="s">
        <v>61</v>
      </c>
      <c r="B1" s="163"/>
      <c r="C1" s="10"/>
      <c r="D1" s="1"/>
      <c r="E1" s="1"/>
    </row>
    <row r="2" spans="1:5">
      <c r="A2" s="5" t="s">
        <v>81</v>
      </c>
      <c r="B2" s="5" t="s">
        <v>65</v>
      </c>
      <c r="C2" s="5" t="s">
        <v>101</v>
      </c>
      <c r="D2" s="5" t="s">
        <v>82</v>
      </c>
      <c r="E2" s="6" t="s">
        <v>67</v>
      </c>
    </row>
    <row r="3" spans="1:5">
      <c r="A3" s="3" t="s">
        <v>62</v>
      </c>
      <c r="B3" s="7">
        <v>0.1</v>
      </c>
      <c r="C3" s="7"/>
      <c r="D3" s="4">
        <v>42765</v>
      </c>
      <c r="E3" s="2" t="s">
        <v>83</v>
      </c>
    </row>
    <row r="4" spans="1:5">
      <c r="A4" s="2" t="s">
        <v>63</v>
      </c>
      <c r="B4" s="7">
        <v>0.2</v>
      </c>
      <c r="C4" s="7"/>
      <c r="D4" s="4">
        <v>42766</v>
      </c>
      <c r="E4" s="2" t="s">
        <v>84</v>
      </c>
    </row>
    <row r="5" spans="1:5">
      <c r="A5" s="2" t="s">
        <v>77</v>
      </c>
      <c r="B5" s="7">
        <v>0.3</v>
      </c>
      <c r="C5" s="7"/>
      <c r="D5" s="4">
        <v>42778</v>
      </c>
      <c r="E5" s="2" t="s">
        <v>85</v>
      </c>
    </row>
    <row r="6" spans="1:5">
      <c r="A6" s="2" t="s">
        <v>78</v>
      </c>
      <c r="B6" s="7" t="s">
        <v>80</v>
      </c>
      <c r="C6" s="7"/>
      <c r="D6" s="4">
        <v>42780</v>
      </c>
      <c r="E6" s="2" t="s">
        <v>86</v>
      </c>
    </row>
    <row r="7" spans="1:5">
      <c r="A7" s="2" t="s">
        <v>63</v>
      </c>
      <c r="B7" s="8" t="s">
        <v>87</v>
      </c>
      <c r="C7" s="8"/>
      <c r="D7" s="4">
        <v>42781</v>
      </c>
      <c r="E7" s="2" t="s">
        <v>88</v>
      </c>
    </row>
    <row r="8" spans="1:5">
      <c r="A8" s="2" t="s">
        <v>78</v>
      </c>
      <c r="B8" s="8" t="s">
        <v>89</v>
      </c>
      <c r="C8" s="8"/>
      <c r="D8" s="4">
        <v>42829</v>
      </c>
      <c r="E8" s="2" t="s">
        <v>90</v>
      </c>
    </row>
    <row r="9" spans="1:5">
      <c r="A9" s="2" t="s">
        <v>63</v>
      </c>
      <c r="B9" s="8" t="s">
        <v>89</v>
      </c>
      <c r="C9" s="8"/>
      <c r="D9" s="4">
        <v>42919</v>
      </c>
      <c r="E9" s="2" t="s">
        <v>92</v>
      </c>
    </row>
    <row r="10" spans="1:5">
      <c r="A10" s="2" t="s">
        <v>63</v>
      </c>
      <c r="B10" s="8" t="s">
        <v>96</v>
      </c>
      <c r="C10" s="8"/>
      <c r="D10" s="4">
        <v>42963</v>
      </c>
      <c r="E10" s="2" t="s">
        <v>94</v>
      </c>
    </row>
    <row r="11" spans="1:5">
      <c r="A11" s="2" t="s">
        <v>63</v>
      </c>
      <c r="B11" s="9" t="s">
        <v>97</v>
      </c>
      <c r="C11" s="9"/>
      <c r="D11" s="4">
        <v>43113</v>
      </c>
      <c r="E11" s="2" t="s">
        <v>98</v>
      </c>
    </row>
    <row r="12" spans="1:5">
      <c r="A12" s="2" t="s">
        <v>63</v>
      </c>
      <c r="B12" s="9">
        <v>1.1000000000000001</v>
      </c>
      <c r="C12" s="9"/>
      <c r="D12" s="4">
        <v>43289</v>
      </c>
      <c r="E12" s="2" t="s">
        <v>99</v>
      </c>
    </row>
    <row r="13" spans="1:5">
      <c r="A13" s="12" t="s">
        <v>124</v>
      </c>
      <c r="B13" s="13" t="s">
        <v>127</v>
      </c>
      <c r="C13" s="17"/>
      <c r="D13" s="14">
        <v>43464</v>
      </c>
      <c r="E13" s="15" t="s">
        <v>125</v>
      </c>
    </row>
    <row r="14" spans="1:5">
      <c r="A14" s="12" t="s">
        <v>126</v>
      </c>
      <c r="B14" s="13" t="s">
        <v>128</v>
      </c>
      <c r="C14" s="17"/>
      <c r="D14" s="14">
        <v>43469</v>
      </c>
      <c r="E14" s="15" t="s">
        <v>125</v>
      </c>
    </row>
    <row r="15" spans="1:5" ht="409" customHeight="1">
      <c r="A15" s="11" t="s">
        <v>102</v>
      </c>
      <c r="B15" s="9" t="s">
        <v>130</v>
      </c>
      <c r="C15" s="9" t="s">
        <v>100</v>
      </c>
      <c r="D15" s="4">
        <v>43471</v>
      </c>
      <c r="E15" s="11" t="s">
        <v>123</v>
      </c>
    </row>
    <row r="16" spans="1:5">
      <c r="A16" s="12" t="s">
        <v>124</v>
      </c>
      <c r="B16" s="13" t="s">
        <v>131</v>
      </c>
      <c r="C16" s="9" t="s">
        <v>100</v>
      </c>
      <c r="D16" s="16">
        <v>43475</v>
      </c>
      <c r="E16" s="15" t="s">
        <v>129</v>
      </c>
    </row>
    <row r="17" spans="1:5" ht="77.5">
      <c r="A17" s="11" t="s">
        <v>102</v>
      </c>
      <c r="B17" s="13" t="s">
        <v>132</v>
      </c>
      <c r="C17" s="9" t="s">
        <v>100</v>
      </c>
      <c r="D17" s="4">
        <v>43476</v>
      </c>
      <c r="E17" s="18" t="s">
        <v>134</v>
      </c>
    </row>
    <row r="18" spans="1:5" ht="46.5">
      <c r="A18" s="11" t="s">
        <v>102</v>
      </c>
      <c r="B18" s="13" t="s">
        <v>133</v>
      </c>
      <c r="C18" s="9" t="s">
        <v>100</v>
      </c>
      <c r="D18" s="4">
        <v>43478</v>
      </c>
      <c r="E18" s="18" t="s">
        <v>135</v>
      </c>
    </row>
    <row r="19" spans="1:5" ht="46.5">
      <c r="A19" s="11" t="s">
        <v>102</v>
      </c>
      <c r="B19" s="13" t="s">
        <v>136</v>
      </c>
      <c r="C19" s="9" t="s">
        <v>100</v>
      </c>
      <c r="D19" s="4">
        <v>43478</v>
      </c>
      <c r="E19" s="18" t="s">
        <v>137</v>
      </c>
    </row>
    <row r="20" spans="1:5" ht="108.5">
      <c r="A20" s="11" t="s">
        <v>124</v>
      </c>
      <c r="B20" s="13" t="s">
        <v>212</v>
      </c>
      <c r="C20" s="110" t="s">
        <v>213</v>
      </c>
      <c r="D20" s="14">
        <v>43641</v>
      </c>
      <c r="E20" s="18" t="s">
        <v>214</v>
      </c>
    </row>
    <row r="21" spans="1:5">
      <c r="A21" s="11" t="s">
        <v>124</v>
      </c>
      <c r="B21" s="13" t="s">
        <v>215</v>
      </c>
      <c r="C21" s="110" t="s">
        <v>213</v>
      </c>
      <c r="D21" s="14">
        <v>43642</v>
      </c>
      <c r="E21" s="18" t="s">
        <v>216</v>
      </c>
    </row>
    <row r="22" spans="1:5" ht="46.5">
      <c r="A22" s="11" t="s">
        <v>124</v>
      </c>
      <c r="B22" s="13" t="s">
        <v>223</v>
      </c>
      <c r="C22" s="110" t="s">
        <v>213</v>
      </c>
      <c r="D22" s="14">
        <v>43649</v>
      </c>
      <c r="E22" s="18" t="s">
        <v>224</v>
      </c>
    </row>
    <row r="23" spans="1:5">
      <c r="A23" s="11" t="s">
        <v>124</v>
      </c>
      <c r="B23" s="13" t="s">
        <v>223</v>
      </c>
      <c r="C23" s="110" t="s">
        <v>213</v>
      </c>
      <c r="D23" s="14">
        <v>43672</v>
      </c>
      <c r="E23" s="18" t="s">
        <v>225</v>
      </c>
    </row>
    <row r="24" spans="1:5">
      <c r="A24" s="11" t="s">
        <v>124</v>
      </c>
      <c r="B24" s="13" t="s">
        <v>223</v>
      </c>
      <c r="C24" s="110" t="s">
        <v>213</v>
      </c>
      <c r="D24" s="14">
        <v>43674</v>
      </c>
      <c r="E24" s="18" t="s">
        <v>229</v>
      </c>
    </row>
    <row r="25" spans="1:5" ht="46.5">
      <c r="A25" s="11" t="s">
        <v>124</v>
      </c>
      <c r="B25" s="165" t="s">
        <v>382</v>
      </c>
      <c r="C25" s="110" t="s">
        <v>213</v>
      </c>
      <c r="D25" s="166">
        <v>43683</v>
      </c>
      <c r="E25" s="167" t="s">
        <v>383</v>
      </c>
    </row>
  </sheetData>
  <mergeCells count="1">
    <mergeCell ref="A1:B1"/>
  </mergeCells>
  <phoneticPr fontId="12"/>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7"/>
  <sheetViews>
    <sheetView showGridLines="0" workbookViewId="0">
      <selection sqref="A1:B1"/>
    </sheetView>
  </sheetViews>
  <sheetFormatPr baseColWidth="10" defaultColWidth="11.08203125" defaultRowHeight="15.5"/>
  <cols>
    <col min="1" max="1" width="30.5" style="19" customWidth="1"/>
    <col min="2" max="4" width="11.08203125" style="19"/>
    <col min="5" max="5" width="70.6640625" style="19" customWidth="1"/>
    <col min="6" max="16384" width="11.08203125" style="19"/>
  </cols>
  <sheetData>
    <row r="1" spans="1:5">
      <c r="A1" s="164" t="s">
        <v>209</v>
      </c>
      <c r="B1" s="164"/>
      <c r="C1" s="109"/>
    </row>
    <row r="2" spans="1:5">
      <c r="A2" s="103" t="s">
        <v>81</v>
      </c>
      <c r="B2" s="103" t="s">
        <v>65</v>
      </c>
      <c r="C2" s="103" t="s">
        <v>101</v>
      </c>
      <c r="D2" s="103" t="s">
        <v>82</v>
      </c>
      <c r="E2" s="103" t="s">
        <v>67</v>
      </c>
    </row>
    <row r="3" spans="1:5">
      <c r="A3" s="105" t="s">
        <v>176</v>
      </c>
      <c r="B3" s="106" t="s">
        <v>178</v>
      </c>
      <c r="C3" s="106" t="s">
        <v>188</v>
      </c>
      <c r="D3" s="104">
        <v>43402</v>
      </c>
      <c r="E3" s="105" t="s">
        <v>210</v>
      </c>
    </row>
    <row r="4" spans="1:5">
      <c r="A4" s="105" t="s">
        <v>176</v>
      </c>
      <c r="B4" s="106" t="s">
        <v>177</v>
      </c>
      <c r="C4" s="106" t="s">
        <v>188</v>
      </c>
      <c r="D4" s="104">
        <v>43590</v>
      </c>
      <c r="E4" s="105" t="s">
        <v>211</v>
      </c>
    </row>
    <row r="5" spans="1:5">
      <c r="A5" s="105" t="s">
        <v>176</v>
      </c>
      <c r="B5" s="106" t="s">
        <v>177</v>
      </c>
      <c r="C5" s="106" t="s">
        <v>221</v>
      </c>
      <c r="D5" s="104">
        <v>43643</v>
      </c>
      <c r="E5" s="105" t="s">
        <v>222</v>
      </c>
    </row>
    <row r="6" spans="1:5">
      <c r="A6" s="105" t="s">
        <v>176</v>
      </c>
      <c r="B6" s="106" t="s">
        <v>177</v>
      </c>
      <c r="C6" s="106" t="s">
        <v>219</v>
      </c>
      <c r="D6" s="104">
        <v>43673</v>
      </c>
      <c r="E6" s="105" t="s">
        <v>227</v>
      </c>
    </row>
    <row r="7" spans="1:5">
      <c r="A7" s="105" t="s">
        <v>176</v>
      </c>
      <c r="B7" s="106" t="s">
        <v>177</v>
      </c>
      <c r="C7" s="106" t="s">
        <v>219</v>
      </c>
      <c r="D7" s="104">
        <v>43679</v>
      </c>
      <c r="E7" s="105" t="s">
        <v>230</v>
      </c>
    </row>
  </sheetData>
  <mergeCells count="1">
    <mergeCell ref="A1:B1"/>
  </mergeCells>
  <phoneticPr fontId="12"/>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'Security Requirements - Android'!Impression_des_titres</vt:lpstr>
      <vt:lpstr>'Security Requirements - iOS'!Impression_des_titres</vt:lpstr>
      <vt:lpstr>'Version history'!Impression_des_titres</vt:lpstr>
      <vt:lpstr>'Version history (Japanese)'!Impression_des_titres</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cp:lastPrinted>2019-05-05T13:55:32Z</cp:lastPrinted>
  <dcterms:created xsi:type="dcterms:W3CDTF">2017-01-25T17:37:15Z</dcterms:created>
  <dcterms:modified xsi:type="dcterms:W3CDTF">2019-08-06T14:19:50Z</dcterms:modified>
</cp:coreProperties>
</file>