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5FB55C9-0CBF-48B4-A1C8-147C15BF7372}" xr6:coauthVersionLast="43" xr6:coauthVersionMax="43" xr10:uidLastSave="{00000000-0000-0000-0000-000000000000}"/>
  <bookViews>
    <workbookView xWindow="-110" yWindow="-110" windowWidth="19420" windowHeight="10420"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Dashboard!$D$12</definedName>
    <definedName name="MASVS_VERSION">Dashboard!$D$11</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45" i="1" l="1"/>
  <c r="G45" i="10"/>
  <c r="G44" i="10"/>
  <c r="F15" i="3"/>
  <c r="F7" i="3"/>
  <c r="F6" i="3"/>
  <c r="F5" i="3"/>
  <c r="G71" i="1"/>
  <c r="G72" i="1"/>
  <c r="G70" i="1"/>
  <c r="G69" i="1"/>
  <c r="G68" i="1"/>
  <c r="G67" i="1"/>
  <c r="G66" i="1"/>
  <c r="G65" i="1"/>
  <c r="G64" i="1"/>
  <c r="G62" i="1"/>
  <c r="G61" i="1"/>
  <c r="G60" i="1"/>
  <c r="G59" i="1"/>
  <c r="G58" i="1"/>
  <c r="G58" i="10"/>
  <c r="G57" i="1"/>
  <c r="G56" i="1"/>
  <c r="G55" i="1"/>
  <c r="G53" i="1"/>
  <c r="G52" i="1"/>
  <c r="G51" i="1"/>
  <c r="G50" i="1"/>
  <c r="H49" i="1"/>
  <c r="G49" i="1"/>
  <c r="H48" i="1"/>
  <c r="G48" i="1"/>
  <c r="G46" i="1"/>
  <c r="G44" i="1"/>
  <c r="G42" i="1"/>
  <c r="G41" i="1"/>
  <c r="G40" i="1"/>
  <c r="G39" i="1"/>
  <c r="G38" i="1"/>
  <c r="G37" i="1"/>
  <c r="G26" i="1"/>
  <c r="G43" i="1"/>
  <c r="G36" i="1"/>
  <c r="G34" i="1"/>
  <c r="G33" i="1"/>
  <c r="G32" i="1"/>
  <c r="G31" i="1"/>
  <c r="G30" i="1"/>
  <c r="G29" i="1"/>
  <c r="G27"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7" i="10"/>
  <c r="G56" i="10"/>
  <c r="G55" i="10"/>
  <c r="G53" i="10"/>
  <c r="G52" i="10"/>
  <c r="G51" i="10"/>
  <c r="G50" i="10"/>
  <c r="G49" i="10"/>
  <c r="G48" i="10"/>
  <c r="G46" i="10"/>
  <c r="G43" i="10"/>
  <c r="G42" i="10"/>
  <c r="G41" i="10"/>
  <c r="G37" i="10"/>
  <c r="G40" i="10"/>
  <c r="G39" i="10"/>
  <c r="G38" i="10"/>
  <c r="G36" i="10"/>
  <c r="G34" i="10"/>
  <c r="G33" i="10"/>
  <c r="G32" i="10"/>
  <c r="G31" i="10"/>
  <c r="G30" i="10"/>
  <c r="G29" i="10"/>
  <c r="G27" i="10"/>
  <c r="G26" i="10"/>
  <c r="G25" i="10"/>
  <c r="G24" i="10"/>
  <c r="G23" i="10"/>
  <c r="G22" i="10"/>
  <c r="G21" i="10"/>
  <c r="G20" i="10"/>
  <c r="G19" i="10"/>
  <c r="G18" i="10"/>
  <c r="G17" i="10"/>
  <c r="G16" i="10"/>
  <c r="D12"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<sst xmlns="http://schemas.openxmlformats.org/spreadsheetml/2006/main" count="838" uniqueCount="280">
  <si>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</si>
  <si>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</si>
  <si>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</si>
  <si>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</si>
  <si>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</si>
  <si>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</si>
  <si>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</si>
  <si>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</si>
  <si>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</si>
  <si>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</si>
  <si>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</si>
  <si>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</si>
  <si>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</si>
  <si>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</si>
  <si>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</si>
  <si>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</si>
  <si>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</si>
  <si>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</si>
  <si>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</si>
  <si>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</si>
  <si>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</si>
  <si>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</si>
  <si>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</si>
  <si>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</si>
  <si>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</si>
  <si>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</si>
  <si>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</si>
  <si>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</si>
  <si>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</si>
  <si>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</si>
  <si>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</si>
  <si>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</si>
  <si>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</si>
  <si>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</si>
  <si>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</si>
  <si>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</si>
  <si>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</si>
  <si>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</si>
  <si>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</si>
  <si>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</si>
  <si>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</si>
  <si>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</si>
  <si>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</si>
  <si>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</si>
  <si>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</si>
  <si>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</si>
  <si>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</si>
  <si>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</si>
  <si>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</si>
  <si>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</si>
  <si>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</si>
  <si>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</si>
  <si>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</si>
  <si>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</si>
  <si>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</si>
  <si>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</si>
  <si>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</si>
  <si>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</si>
  <si>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</si>
  <si>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</si>
  <si>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</si>
  <si>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</si>
  <si>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</si>
  <si>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</si>
  <si>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</si>
  <si>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</si>
  <si>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</si>
  <si>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</si>
  <si>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</si>
  <si>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</si>
  <si>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</si>
  <si>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</si>
  <si>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</si>
  <si>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</si>
  <si>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</si>
  <si>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</si>
  <si>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</si>
  <si>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</si>
  <si>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</si>
  <si>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</si>
  <si>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</si>
  <si>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</si>
  <si>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</si>
  <si>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</si>
  <si>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</si>
  <si>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</si>
  <si>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</si>
  <si>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</si>
  <si>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</si>
  <si>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</si>
  <si>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</si>
  <si>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</si>
  <si>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</si>
  <si>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</si>
  <si>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</si>
  <si>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</si>
  <si>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</si>
  <si>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</si>
  <si>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</si>
  <si>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</si>
  <si>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</si>
  <si>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</si>
  <si>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</si>
  <si>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</si>
  <si>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</si>
  <si>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</si>
  <si>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</si>
  <si>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</si>
  <si>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</si>
  <si>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</si>
  <si>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</si>
  <si>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</si>
  <si>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</si>
  <si>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</si>
  <si>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</si>
  <si>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</si>
  <si>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</si>
  <si>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</si>
  <si>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</si>
  <si>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</si>
  <si>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</si>
  <si>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</si>
  <si>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</si>
  <si>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</si>
  <si>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</si>
  <si>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</si>
  <si>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</si>
  <si>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</si>
  <si>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</si>
  <si>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</si>
  <si>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</si>
  <si>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</si>
  <si>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</si>
  <si>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</si>
  <si>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</si>
  <si>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</si>
  <si>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</si>
  <si>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</si>
  <si>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</si>
  <si>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</si>
  <si>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</si>
  <si>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</si>
  <si>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</si>
  <si>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</si>
  <si>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</si>
  <si>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</si>
  <si>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</si>
  <si>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</si>
  <si>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</si>
  <si>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</si>
  <si>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</si>
  <si>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</si>
  <si>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</si>
  <si>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</si>
  <si>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</si>
  <si>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</si>
  <si>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</si>
  <si>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</si>
  <si>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</si>
  <si>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</si>
  <si>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</si>
  <si>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</si>
  <si>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</si>
  <si>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</si>
  <si>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</si>
  <si>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</si>
  <si>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</si>
  <si>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</si>
  <si>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</si>
  <si>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</si>
  <si>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</si>
  <si>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</si>
  <si>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</si>
  <si>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</si>
  <si>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</si>
  <si>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</si>
  <si>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</si>
  <si>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</si>
  <si>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</si>
  <si>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</si>
  <si>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</si>
  <si>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</si>
  <si>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</si>
  <si>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</si>
  <si>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</si>
  <si>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</si>
  <si>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</si>
  <si>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</si>
  <si>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</si>
  <si>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</si>
  <si>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</si>
  <si>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</si>
  <si>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</si>
  <si>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</si>
  <si>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</si>
  <si>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</si>
  <si>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</si>
  <si>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</si>
  <si>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</si>
  <si>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</si>
  <si>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</si>
  <si>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</si>
  <si>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</si>
  <si>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</si>
  <si>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</si>
  <si>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</si>
  <si>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</si>
  <si>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</si>
  <si>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</si>
  <si>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</si>
  <si>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</si>
  <si>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</si>
  <si>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</si>
  <si>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</si>
  <si>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</si>
  <si>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</si>
  <si>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</si>
  <si>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</si>
  <si>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</si>
  <si>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</si>
  <si>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</si>
  <si>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</si>
  <si>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</si>
  <si>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</si>
  <si>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</si>
  <si>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</si>
  <si>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</si>
  <si>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</si>
  <si>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</si>
  <si>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</si>
  <si>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</si>
  <si>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</si>
  <si>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</si>
  <si>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</si>
  <si>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</si>
  <si>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</si>
  <si>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</si>
  <si>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</si>
  <si>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</si>
  <si>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</si>
  <si>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</si>
  <si>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</si>
  <si>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</si>
  <si>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</si>
  <si>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</si>
  <si>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</si>
  <si>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</si>
  <si>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</si>
  <si>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</si>
  <si>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</si>
  <si>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</si>
  <si>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</si>
  <si>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</si>
  <si>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</si>
  <si>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</si>
  <si>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</si>
  <si>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</si>
  <si>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</si>
  <si>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</si>
  <si>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</si>
  <si>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</si>
  <si>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</si>
  <si>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</si>
  <si>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</si>
  <si>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</si>
  <si>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</si>
  <si>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</si>
  <si>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</si>
  <si>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</si>
  <si>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</si>
  <si>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</si>
  <si>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</si>
  <si>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</si>
  <si>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</si>
  <si>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</si>
  <si>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</si>
  <si>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</si>
  <si>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</si>
  <si>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</si>
  <si>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Updating the links based on OSS19 restructured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</si>
</sst>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7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6" fillId="2" borderId="20" xfId="0" applyFont="1" applyFill="1" applyBorder="1" applyAlignment="1">
      <alignment horizontal="center" vertical="center" wrapText="1"/>
    </xf>
    <xf numFmtId="0" fontId="19" fillId="0" borderId="0" xfId="0" applyFont="1"/>
    <xf numFmtId="0" fontId="22" fillId="0" borderId="0" xfId="0" applyFont="1"/>
    <xf numFmtId="0" fontId="15" fillId="6" borderId="0" xfId="0" applyFont="1" applyFill="1" applyBorder="1" applyAlignment="1">
      <alignment horizontal="center" vertical="center" wrapText="1"/>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2" fillId="0" borderId="2" xfId="0" quotePrefix="1" applyFont="1" applyBorder="1" applyAlignment="1">
      <alignment horizontal="center"/>
    </xf>
    <xf numFmtId="0" fontId="28" fillId="0" borderId="0" xfId="0" applyFont="1" applyBorder="1" applyAlignment="1">
      <alignment horizontal="left"/>
    </xf>
    <xf numFmtId="0" fontId="32" fillId="0" borderId="2" xfId="0" applyFont="1" applyBorder="1" applyAlignment="1">
      <alignmen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0" fillId="0" borderId="0" xfId="0" applyBorder="1"/>
    <xf numFmtId="49" fontId="22" fillId="0" borderId="0" xfId="0" applyNumberFormat="1" applyFont="1" applyBorder="1"/>
    <xf numFmtId="0" fontId="22" fillId="0" borderId="0" xfId="0" applyFont="1" applyBorder="1"/>
    <xf numFmtId="0" fontId="30" fillId="0" borderId="0" xfId="0" applyFont="1" applyBorder="1"/>
    <xf numFmtId="49" fontId="19" fillId="0" borderId="0" xfId="0" applyNumberFormat="1" applyFont="1" applyBorder="1"/>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49" fontId="0" fillId="0" borderId="0" xfId="0" applyNumberFormat="1" applyBorder="1"/>
    <xf numFmtId="49" fontId="8" fillId="0" borderId="0" xfId="0" applyNumberFormat="1" applyFont="1" applyBorder="1"/>
    <xf numFmtId="0" fontId="7" fillId="0" borderId="18" xfId="0" applyFont="1" applyFill="1" applyBorder="1"/>
    <xf numFmtId="0" fontId="7" fillId="0" borderId="2" xfId="0" applyFont="1" applyFill="1" applyBorder="1"/>
    <xf numFmtId="0" fontId="0" fillId="0" borderId="0" xfId="0" applyAlignment="1">
      <alignment wrapText="1"/>
    </xf>
    <xf numFmtId="0" fontId="32" fillId="0" borderId="2" xfId="0" applyFont="1" applyBorder="1"/>
    <xf numFmtId="0" fontId="35" fillId="0" borderId="2" xfId="0" quotePrefix="1" applyFont="1" applyBorder="1" applyAlignment="1">
      <alignment horizontal="center"/>
    </xf>
    <xf numFmtId="14" fontId="32" fillId="0" borderId="2" xfId="0" applyNumberFormat="1" applyFont="1" applyBorder="1"/>
    <xf numFmtId="0" fontId="35" fillId="0" borderId="2" xfId="0" applyFont="1" applyBorder="1"/>
    <xf numFmtId="14" fontId="35" fillId="0" borderId="2" xfId="0" applyNumberFormat="1" applyFont="1" applyBorder="1"/>
    <xf numFmtId="0" fontId="0" fillId="0" borderId="2" xfId="0" applyBorder="1"/>
    <xf numFmtId="0" fontId="0" fillId="0" borderId="2" xfId="0" applyBorder="1" applyAlignment="1">
      <alignment wrapText="1"/>
    </xf>
    <xf numFmtId="0" fontId="22" fillId="0" borderId="0" xfId="0" applyFont="1" applyAlignment="1">
      <alignment horizontal="left" vertical="top" wrapText="1"/>
    </xf>
    <xf numFmtId="0" fontId="17" fillId="3" borderId="0" xfId="0" applyFont="1" applyFill="1" applyBorder="1" applyAlignment="1">
      <alignment horizontal="left" vertical="top" wrapText="1"/>
    </xf>
    <xf numFmtId="0" fontId="19" fillId="0" borderId="0" xfId="0" applyFont="1" applyBorder="1" applyAlignment="1">
      <alignment horizontal="left" vertical="top" wrapText="1"/>
    </xf>
    <xf numFmtId="0" fontId="18" fillId="3" borderId="0" xfId="0" applyFont="1" applyFill="1" applyBorder="1" applyAlignment="1">
      <alignment horizontal="left" vertical="top" wrapText="1"/>
    </xf>
    <xf numFmtId="0" fontId="1" fillId="0" borderId="0" xfId="9" applyFill="1" applyBorder="1" applyAlignment="1">
      <alignment horizontal="left" vertical="top" wrapText="1"/>
    </xf>
    <xf numFmtId="0" fontId="1" fillId="0" borderId="0" xfId="9" applyBorder="1" applyAlignment="1">
      <alignment horizontal="left" vertical="top" wrapText="1"/>
    </xf>
    <xf numFmtId="0" fontId="24" fillId="0" borderId="0" xfId="9" applyFont="1" applyBorder="1" applyAlignment="1">
      <alignment horizontal="left" vertical="top" wrapText="1"/>
    </xf>
    <xf numFmtId="0" fontId="16" fillId="2" borderId="20" xfId="0" applyFont="1" applyFill="1" applyBorder="1" applyAlignment="1">
      <alignment horizontal="left" vertical="top" wrapText="1"/>
    </xf>
    <xf numFmtId="0" fontId="19"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vertical="top" wrapText="1"/>
    </xf>
    <xf numFmtId="0" fontId="22" fillId="0" borderId="0" xfId="0" applyFont="1" applyBorder="1" applyAlignment="1">
      <alignment horizontal="left" vertical="top" wrapText="1"/>
    </xf>
    <xf numFmtId="0" fontId="1" fillId="0" borderId="0" xfId="9" applyFill="1" applyAlignment="1">
      <alignment horizontal="left" vertical="top" wrapText="1"/>
    </xf>
    <xf numFmtId="0" fontId="14" fillId="0" borderId="0" xfId="0" applyFont="1" applyBorder="1" applyAlignment="1">
      <alignment horizontal="left" vertical="top" wrapText="1"/>
    </xf>
    <xf numFmtId="0" fontId="0" fillId="0" borderId="0" xfId="0" applyBorder="1" applyAlignment="1">
      <alignment horizontal="left" vertical="top" wrapText="1"/>
    </xf>
    <xf numFmtId="0" fontId="16" fillId="2" borderId="32" xfId="0" applyFont="1" applyFill="1" applyBorder="1" applyAlignment="1">
      <alignment horizontal="left" vertical="top" wrapText="1"/>
    </xf>
    <xf numFmtId="0" fontId="15" fillId="0" borderId="0" xfId="62" applyFont="1" applyBorder="1" applyAlignment="1">
      <alignment horizontal="left" vertical="top" wrapText="1"/>
    </xf>
    <xf numFmtId="0" fontId="15" fillId="0" borderId="0" xfId="0" applyFont="1" applyBorder="1" applyAlignment="1">
      <alignment horizontal="left" vertical="top" wrapText="1"/>
    </xf>
    <xf numFmtId="0" fontId="16" fillId="2" borderId="1" xfId="0" applyFont="1" applyFill="1" applyBorder="1" applyAlignment="1">
      <alignment horizontal="left" vertical="top" wrapText="1"/>
    </xf>
    <xf numFmtId="0" fontId="19" fillId="0" borderId="2" xfId="0" applyFont="1" applyBorder="1" applyAlignment="1">
      <alignment horizontal="left" vertical="top" wrapText="1"/>
    </xf>
    <xf numFmtId="0" fontId="16" fillId="2" borderId="33" xfId="0" applyFont="1" applyFill="1" applyBorder="1" applyAlignment="1">
      <alignment horizontal="left" vertical="top" wrapText="1"/>
    </xf>
    <xf numFmtId="0" fontId="18" fillId="3" borderId="7" xfId="0" applyFont="1" applyFill="1" applyBorder="1" applyAlignment="1">
      <alignment horizontal="left" vertical="top" wrapText="1"/>
    </xf>
    <xf numFmtId="0" fontId="15" fillId="0" borderId="7" xfId="0" applyFont="1" applyBorder="1" applyAlignment="1">
      <alignment horizontal="left" vertical="top" wrapText="1"/>
    </xf>
    <xf numFmtId="0" fontId="16" fillId="2" borderId="22" xfId="0" applyFont="1" applyFill="1" applyBorder="1" applyAlignment="1">
      <alignment horizontal="left" vertical="top" wrapText="1"/>
    </xf>
    <xf numFmtId="0" fontId="24" fillId="0" borderId="7" xfId="9" applyFont="1" applyBorder="1" applyAlignment="1">
      <alignment horizontal="left" vertical="top" wrapText="1"/>
    </xf>
    <xf numFmtId="0" fontId="17" fillId="3" borderId="7" xfId="0" applyFont="1" applyFill="1" applyBorder="1" applyAlignment="1">
      <alignment horizontal="left" vertical="top" wrapText="1"/>
    </xf>
    <xf numFmtId="0" fontId="34" fillId="0" borderId="7" xfId="0" applyFont="1" applyBorder="1" applyAlignment="1">
      <alignment horizontal="left" vertical="top" wrapText="1"/>
    </xf>
    <xf numFmtId="0" fontId="1" fillId="0" borderId="7" xfId="9" applyBorder="1" applyAlignment="1">
      <alignment horizontal="left" vertical="top" wrapText="1"/>
    </xf>
    <xf numFmtId="0" fontId="30" fillId="0" borderId="7" xfId="0" applyFont="1" applyBorder="1" applyAlignment="1">
      <alignment horizontal="left" vertical="top" wrapText="1"/>
    </xf>
    <xf numFmtId="0" fontId="16" fillId="2" borderId="0" xfId="0" applyFont="1" applyFill="1" applyBorder="1" applyAlignment="1">
      <alignment horizontal="left" vertical="top" wrapText="1"/>
    </xf>
    <xf numFmtId="0" fontId="16" fillId="2" borderId="7" xfId="0" applyFont="1" applyFill="1" applyBorder="1" applyAlignment="1">
      <alignment horizontal="left" vertical="top" wrapText="1"/>
    </xf>
    <xf numFmtId="0" fontId="1" fillId="0" borderId="15" xfId="9" applyBorder="1" applyAlignment="1" applyProtection="1">
      <alignment horizontal="left" vertical="center" wrapText="1"/>
    </xf>
    <xf numFmtId="0" fontId="1" fillId="0" borderId="0" xfId="9" applyFill="1" applyAlignment="1">
      <alignment horizontal="left"/>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3" xfId="0" applyFont="1" applyBorder="1" applyAlignment="1" applyProtection="1">
      <alignment vertical="center" wrapText="1"/>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4" fillId="0" borderId="13"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12" xfId="0" applyFont="1" applyBorder="1" applyAlignment="1" applyProtection="1">
      <alignment horizontal="left" vertical="center" wrapText="1"/>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Border="1" applyAlignment="1">
      <alignment horizontal="left" vertical="top"/>
    </xf>
    <xf numFmtId="0" fontId="16" fillId="2" borderId="32" xfId="0" applyFont="1" applyFill="1" applyBorder="1" applyAlignment="1">
      <alignment horizontal="center" vertical="top" wrapText="1"/>
    </xf>
    <xf numFmtId="0" fontId="16" fillId="2" borderId="33" xfId="0" applyFont="1" applyFill="1" applyBorder="1" applyAlignment="1">
      <alignment horizontal="center" vertical="top" wrapText="1"/>
    </xf>
    <xf numFmtId="0" fontId="28" fillId="0" borderId="20" xfId="0" applyFont="1" applyBorder="1" applyAlignment="1">
      <alignment horizontal="left"/>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8"/>
  <sheetViews>
    <sheetView showGridLines="0" tabSelected="1" topLeftCell="A5" zoomScaleNormal="100" zoomScalePageLayoutView="120" workbookViewId="0">
      <selection activeCell="B12" sqref="B12:C12"/>
    </sheetView>
  </sheetViews>
  <sheetFormatPr baseColWidth="10" defaultColWidth="8.83203125" defaultRowHeight="15.5" x14ac:dyDescent="0.35"/>
  <cols>
    <col min="1" max="1" width="2.33203125" customWidth="1"/>
    <col min="3" max="3" width="13.83203125" customWidth="1"/>
    <col min="4" max="4" width="92.5" customWidth="1"/>
  </cols>
  <sheetData>
    <row r="1" spans="2:4" ht="8" customHeight="1" x14ac:dyDescent="0.35"/>
    <row r="2" spans="2:4" x14ac:dyDescent="0.35">
      <c r="B2" s="137" t="s">
        <v>220</v>
      </c>
      <c r="C2" s="138"/>
      <c r="D2" s="139"/>
    </row>
    <row r="3" spans="2:4" x14ac:dyDescent="0.35">
      <c r="B3" s="140"/>
      <c r="C3" s="141"/>
      <c r="D3" s="142"/>
    </row>
    <row r="4" spans="2:4" x14ac:dyDescent="0.35">
      <c r="B4" s="140"/>
      <c r="C4" s="141"/>
      <c r="D4" s="142"/>
    </row>
    <row r="5" spans="2:4" x14ac:dyDescent="0.35">
      <c r="B5" s="140"/>
      <c r="C5" s="141"/>
      <c r="D5" s="142"/>
    </row>
    <row r="6" spans="2:4" x14ac:dyDescent="0.35">
      <c r="B6" s="140"/>
      <c r="C6" s="141"/>
      <c r="D6" s="142"/>
    </row>
    <row r="7" spans="2:4" x14ac:dyDescent="0.35">
      <c r="B7" s="140"/>
      <c r="C7" s="141"/>
      <c r="D7" s="142"/>
    </row>
    <row r="8" spans="2:4" hidden="1" x14ac:dyDescent="0.35">
      <c r="B8" s="143"/>
      <c r="C8" s="144"/>
      <c r="D8" s="145"/>
    </row>
    <row r="9" spans="2:4" x14ac:dyDescent="0.35">
      <c r="B9" s="146" t="s">
        <v>105</v>
      </c>
      <c r="C9" s="133"/>
      <c r="D9" s="134"/>
    </row>
    <row r="10" spans="2:4" x14ac:dyDescent="0.35">
      <c r="B10" s="1" t="s">
        <v>84</v>
      </c>
      <c r="C10" s="2"/>
      <c r="D10" s="3"/>
    </row>
    <row r="11" spans="2:4" x14ac:dyDescent="0.35">
      <c r="B11" s="131" t="s">
        <v>221</v>
      </c>
      <c r="C11" s="132"/>
      <c r="D11" s="12" t="s">
        <v>275</v>
      </c>
    </row>
    <row r="12" spans="2:4" x14ac:dyDescent="0.35">
      <c r="B12" s="171" t="s">
        <v>223</v>
      </c>
      <c r="C12" s="172"/>
      <c r="D12" s="124" t="str">
        <f>HYPERLINK(CONCATENATE(
"https://github.com/OWASP/owasp-mstg/blob/",
MASVS_VERSION,
"/Document/"))</f>
        <v>https://github.com/OWASP/owasp-mstg/blob/1.1.2/Document/</v>
      </c>
    </row>
    <row r="13" spans="2:4" ht="32" customHeight="1" x14ac:dyDescent="0.35">
      <c r="B13" s="147" t="s">
        <v>265</v>
      </c>
      <c r="C13" s="148"/>
      <c r="D13" s="149"/>
    </row>
    <row r="14" spans="2:4" x14ac:dyDescent="0.35">
      <c r="B14" s="131" t="s">
        <v>85</v>
      </c>
      <c r="C14" s="132"/>
      <c r="D14" s="12"/>
    </row>
    <row r="15" spans="2:4" x14ac:dyDescent="0.35">
      <c r="B15" s="126" t="s">
        <v>86</v>
      </c>
      <c r="C15" s="136"/>
      <c r="D15" s="12"/>
    </row>
    <row r="16" spans="2:4" x14ac:dyDescent="0.35">
      <c r="B16" s="131" t="s">
        <v>96</v>
      </c>
      <c r="C16" s="132"/>
      <c r="D16" s="12"/>
    </row>
    <row r="17" spans="2:4" x14ac:dyDescent="0.35">
      <c r="B17" s="131" t="s">
        <v>87</v>
      </c>
      <c r="C17" s="132"/>
      <c r="D17" s="12"/>
    </row>
    <row r="18" spans="2:4" x14ac:dyDescent="0.35">
      <c r="B18" s="131" t="s">
        <v>135</v>
      </c>
      <c r="C18" s="132"/>
      <c r="D18" s="12"/>
    </row>
    <row r="19" spans="2:4" x14ac:dyDescent="0.35">
      <c r="B19" s="131" t="s">
        <v>104</v>
      </c>
      <c r="C19" s="132"/>
      <c r="D19" s="12" t="s">
        <v>137</v>
      </c>
    </row>
    <row r="20" spans="2:4" ht="70.5" customHeight="1" x14ac:dyDescent="0.35">
      <c r="B20" s="131" t="s">
        <v>106</v>
      </c>
      <c r="C20" s="132"/>
      <c r="D20" s="12" t="s">
        <v>136</v>
      </c>
    </row>
    <row r="21" spans="2:4" x14ac:dyDescent="0.35">
      <c r="B21" s="133"/>
      <c r="C21" s="133"/>
      <c r="D21" s="134"/>
    </row>
    <row r="22" spans="2:4" x14ac:dyDescent="0.35">
      <c r="B22" s="1" t="s">
        <v>97</v>
      </c>
      <c r="C22" s="2"/>
      <c r="D22" s="3"/>
    </row>
    <row r="23" spans="2:4" x14ac:dyDescent="0.35">
      <c r="B23" s="4" t="s">
        <v>88</v>
      </c>
      <c r="C23" s="5"/>
      <c r="D23" s="12"/>
    </row>
    <row r="24" spans="2:4" x14ac:dyDescent="0.35">
      <c r="B24" s="131" t="s">
        <v>98</v>
      </c>
      <c r="C24" s="132"/>
      <c r="D24" s="12"/>
    </row>
    <row r="25" spans="2:4" x14ac:dyDescent="0.35">
      <c r="B25" s="131" t="s">
        <v>99</v>
      </c>
      <c r="C25" s="132"/>
      <c r="D25" s="12"/>
    </row>
    <row r="26" spans="2:4" x14ac:dyDescent="0.35">
      <c r="B26" s="131" t="s">
        <v>100</v>
      </c>
      <c r="C26" s="132"/>
      <c r="D26" s="12"/>
    </row>
    <row r="27" spans="2:4" ht="66" customHeight="1" x14ac:dyDescent="0.35">
      <c r="B27" s="135" t="s">
        <v>259</v>
      </c>
      <c r="C27" s="132"/>
      <c r="D27" s="12"/>
    </row>
    <row r="28" spans="2:4" x14ac:dyDescent="0.35">
      <c r="B28" s="133"/>
      <c r="C28" s="133"/>
      <c r="D28" s="134"/>
    </row>
    <row r="29" spans="2:4" x14ac:dyDescent="0.35">
      <c r="B29" s="1" t="s">
        <v>101</v>
      </c>
      <c r="C29" s="2"/>
      <c r="D29" s="3"/>
    </row>
    <row r="30" spans="2:4" x14ac:dyDescent="0.35">
      <c r="B30" s="48" t="s">
        <v>88</v>
      </c>
      <c r="C30" s="49"/>
      <c r="D30" s="12"/>
    </row>
    <row r="31" spans="2:4" x14ac:dyDescent="0.35">
      <c r="B31" s="131" t="s">
        <v>89</v>
      </c>
      <c r="C31" s="132"/>
      <c r="D31" s="12"/>
    </row>
    <row r="32" spans="2:4" x14ac:dyDescent="0.35">
      <c r="B32" s="131" t="s">
        <v>99</v>
      </c>
      <c r="C32" s="132"/>
      <c r="D32" s="12"/>
    </row>
    <row r="33" spans="2:4" x14ac:dyDescent="0.35">
      <c r="B33" s="131" t="s">
        <v>100</v>
      </c>
      <c r="C33" s="132"/>
      <c r="D33" s="12"/>
    </row>
    <row r="34" spans="2:4" ht="63" customHeight="1" x14ac:dyDescent="0.35">
      <c r="B34" s="135" t="s">
        <v>260</v>
      </c>
      <c r="C34" s="132"/>
      <c r="D34" s="12"/>
    </row>
    <row r="35" spans="2:4" x14ac:dyDescent="0.35">
      <c r="B35" s="133"/>
      <c r="C35" s="133"/>
      <c r="D35" s="134"/>
    </row>
    <row r="36" spans="2:4" x14ac:dyDescent="0.35">
      <c r="B36" s="1" t="s">
        <v>90</v>
      </c>
      <c r="C36" s="2"/>
      <c r="D36" s="3"/>
    </row>
    <row r="37" spans="2:4" x14ac:dyDescent="0.35">
      <c r="B37" s="128"/>
      <c r="C37" s="129"/>
      <c r="D37" s="130"/>
    </row>
    <row r="38" spans="2:4" x14ac:dyDescent="0.35">
      <c r="B38" s="126" t="s">
        <v>91</v>
      </c>
      <c r="C38" s="127"/>
      <c r="D38" s="39"/>
    </row>
    <row r="39" spans="2:4" x14ac:dyDescent="0.35">
      <c r="B39" s="126" t="s">
        <v>92</v>
      </c>
      <c r="C39" s="127"/>
      <c r="D39" s="39"/>
    </row>
    <row r="40" spans="2:4" x14ac:dyDescent="0.35">
      <c r="B40" s="126" t="s">
        <v>93</v>
      </c>
      <c r="C40" s="127"/>
      <c r="D40" s="39"/>
    </row>
    <row r="41" spans="2:4" x14ac:dyDescent="0.35">
      <c r="B41" s="126" t="s">
        <v>94</v>
      </c>
      <c r="C41" s="127"/>
      <c r="D41" s="40"/>
    </row>
    <row r="42" spans="2:4" x14ac:dyDescent="0.35">
      <c r="B42" s="126" t="s">
        <v>95</v>
      </c>
      <c r="C42" s="127"/>
      <c r="D42" s="39"/>
    </row>
    <row r="43" spans="2:4" x14ac:dyDescent="0.35">
      <c r="B43" s="128"/>
      <c r="C43" s="129"/>
      <c r="D43" s="130"/>
    </row>
    <row r="44" spans="2:4" x14ac:dyDescent="0.35">
      <c r="B44" s="126" t="s">
        <v>91</v>
      </c>
      <c r="C44" s="127"/>
      <c r="D44" s="39"/>
    </row>
    <row r="45" spans="2:4" x14ac:dyDescent="0.35">
      <c r="B45" s="126" t="s">
        <v>92</v>
      </c>
      <c r="C45" s="127"/>
      <c r="D45" s="39"/>
    </row>
    <row r="46" spans="2:4" x14ac:dyDescent="0.35">
      <c r="B46" s="126" t="s">
        <v>93</v>
      </c>
      <c r="C46" s="127"/>
      <c r="D46" s="39"/>
    </row>
    <row r="47" spans="2:4" x14ac:dyDescent="0.35">
      <c r="B47" s="126" t="s">
        <v>94</v>
      </c>
      <c r="C47" s="127"/>
      <c r="D47" s="40"/>
    </row>
    <row r="48" spans="2:4" x14ac:dyDescent="0.35">
      <c r="B48" s="126" t="s">
        <v>95</v>
      </c>
      <c r="C48" s="127"/>
      <c r="D48" s="39"/>
    </row>
  </sheetData>
  <mergeCells count="35">
    <mergeCell ref="B19:C19"/>
    <mergeCell ref="B17:C17"/>
    <mergeCell ref="B15:C15"/>
    <mergeCell ref="B2:D8"/>
    <mergeCell ref="B9:D9"/>
    <mergeCell ref="B11:C11"/>
    <mergeCell ref="B16:C16"/>
    <mergeCell ref="B18:C18"/>
    <mergeCell ref="B14:C14"/>
    <mergeCell ref="B13:D13"/>
    <mergeCell ref="B12:C12"/>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45:C45"/>
    <mergeCell ref="B46:C46"/>
    <mergeCell ref="B47:C47"/>
    <mergeCell ref="B48:C48"/>
    <mergeCell ref="B39:C39"/>
    <mergeCell ref="B40:C40"/>
    <mergeCell ref="B41:C41"/>
    <mergeCell ref="B42:C42"/>
    <mergeCell ref="B43:D43"/>
    <mergeCell ref="B44:C44"/>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150"/>
      <c r="C4" s="150"/>
      <c r="D4" s="150"/>
      <c r="E4" s="150"/>
      <c r="F4" s="150"/>
    </row>
    <row r="5" spans="2:24" ht="16" customHeight="1" thickBot="1" x14ac:dyDescent="0.35">
      <c r="B5" s="20"/>
      <c r="C5" s="20"/>
      <c r="D5" s="20"/>
      <c r="E5" s="20"/>
      <c r="F5" s="20"/>
    </row>
    <row r="6" spans="2:24" ht="19" customHeight="1" thickBot="1" x14ac:dyDescent="0.4">
      <c r="B6" s="21"/>
      <c r="C6" s="21"/>
      <c r="D6" s="21"/>
      <c r="E6" s="21"/>
      <c r="F6" s="21"/>
      <c r="G6" s="160" t="s">
        <v>117</v>
      </c>
      <c r="H6" s="161"/>
      <c r="I6" s="162"/>
      <c r="V6" s="160" t="s">
        <v>117</v>
      </c>
      <c r="W6" s="161"/>
      <c r="X6" s="162"/>
    </row>
    <row r="7" spans="2:24" ht="15" thickBot="1" x14ac:dyDescent="0.4">
      <c r="B7" s="13"/>
      <c r="C7" s="13"/>
      <c r="D7" s="13"/>
      <c r="E7" s="13"/>
      <c r="F7" s="13"/>
    </row>
    <row r="8" spans="2:24" ht="16" customHeight="1" x14ac:dyDescent="0.3">
      <c r="B8" s="20"/>
      <c r="C8" s="20"/>
      <c r="D8" s="20"/>
      <c r="E8" s="20"/>
      <c r="F8" s="20"/>
      <c r="G8" s="151">
        <f>AVERAGE(G43:G50)*5</f>
        <v>0</v>
      </c>
      <c r="H8" s="152"/>
      <c r="I8" s="153"/>
      <c r="V8" s="151">
        <f>AVERAGE(K43:K50)*5</f>
        <v>0</v>
      </c>
      <c r="W8" s="152"/>
      <c r="X8" s="153"/>
    </row>
    <row r="9" spans="2:24" ht="91" customHeight="1" x14ac:dyDescent="0.35">
      <c r="B9" s="21"/>
      <c r="C9" s="21"/>
      <c r="D9" s="21"/>
      <c r="E9" s="21"/>
      <c r="F9" s="21"/>
      <c r="G9" s="154"/>
      <c r="H9" s="155"/>
      <c r="I9" s="156"/>
      <c r="V9" s="154"/>
      <c r="W9" s="155"/>
      <c r="X9" s="156"/>
    </row>
    <row r="10" spans="2:24" ht="16.5" customHeight="1" x14ac:dyDescent="0.35">
      <c r="B10" s="13"/>
      <c r="C10" s="13"/>
      <c r="D10" s="13"/>
      <c r="E10" s="13"/>
      <c r="F10" s="13"/>
      <c r="G10" s="154"/>
      <c r="H10" s="155"/>
      <c r="I10" s="156"/>
      <c r="V10" s="154"/>
      <c r="W10" s="155"/>
      <c r="X10" s="156"/>
    </row>
    <row r="11" spans="2:24" ht="17.25" customHeight="1" thickBot="1" x14ac:dyDescent="0.4">
      <c r="B11" s="13"/>
      <c r="C11" s="13"/>
      <c r="D11" s="13"/>
      <c r="E11" s="13"/>
      <c r="F11" s="13"/>
      <c r="G11" s="157"/>
      <c r="H11" s="158"/>
      <c r="I11" s="159"/>
      <c r="V11" s="157"/>
      <c r="W11" s="158"/>
      <c r="X11" s="159"/>
    </row>
    <row r="12" spans="2:24" ht="16" customHeight="1" x14ac:dyDescent="0.3">
      <c r="B12" s="163"/>
      <c r="C12" s="163"/>
      <c r="D12" s="163"/>
      <c r="E12" s="163"/>
      <c r="F12" s="163"/>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63"/>
      <c r="C16" s="163"/>
      <c r="D16" s="163"/>
      <c r="E16" s="163"/>
      <c r="F16" s="163"/>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64" t="s">
        <v>115</v>
      </c>
      <c r="E41" s="165"/>
      <c r="F41" s="165"/>
      <c r="G41" s="166"/>
      <c r="H41" s="164" t="s">
        <v>116</v>
      </c>
      <c r="I41" s="165"/>
      <c r="J41" s="165"/>
      <c r="K41" s="166"/>
    </row>
    <row r="42" spans="3:11" x14ac:dyDescent="0.3">
      <c r="D42" s="17" t="s">
        <v>111</v>
      </c>
      <c r="E42" s="17" t="s">
        <v>112</v>
      </c>
      <c r="F42" s="17" t="s">
        <v>113</v>
      </c>
      <c r="G42" s="17" t="s">
        <v>114</v>
      </c>
      <c r="H42" s="17" t="s">
        <v>111</v>
      </c>
      <c r="I42" s="17" t="s">
        <v>112</v>
      </c>
      <c r="J42" s="17" t="s">
        <v>113</v>
      </c>
      <c r="K42" s="17" t="s">
        <v>114</v>
      </c>
    </row>
    <row r="43" spans="3:11" ht="14.5" x14ac:dyDescent="0.3">
      <c r="C43" s="11" t="s">
        <v>122</v>
      </c>
      <c r="D43" s="84">
        <f>COUNTIFS('Security Requirements - Android'!F5:F14,'Security Requirements - Android'!B79)</f>
        <v>0</v>
      </c>
      <c r="E43" s="84">
        <f>COUNTIFS('Security Requirements - Android'!F5:F14,'Security Requirements - Android'!B80)</f>
        <v>0</v>
      </c>
      <c r="F43" s="83">
        <f>COUNTIFS('Security Requirements - Android'!F5:F14,'Security Requirements - Android'!B81)</f>
        <v>6</v>
      </c>
      <c r="G43" s="19">
        <f t="shared" ref="G43:G49" si="0">IF(D43+E43=0, 0, D43/(E43+D43))</f>
        <v>0</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ht="14.5" x14ac:dyDescent="0.3">
      <c r="C44" s="11" t="s">
        <v>123</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19">
        <f t="shared" si="0"/>
        <v>0</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ht="14.5" x14ac:dyDescent="0.3">
      <c r="C45" s="11" t="s">
        <v>124</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19">
        <f t="shared" si="0"/>
        <v>0</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ht="14.5" x14ac:dyDescent="0.3">
      <c r="C46" s="11" t="s">
        <v>125</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19">
        <f t="shared" si="0"/>
        <v>0</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ht="14.5" x14ac:dyDescent="0.3">
      <c r="C47" s="11" t="s">
        <v>126</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19">
        <f t="shared" si="0"/>
        <v>0</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ht="14.5" x14ac:dyDescent="0.3">
      <c r="C48" s="11" t="s">
        <v>149</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19">
        <f t="shared" si="0"/>
        <v>0</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ht="14.5" x14ac:dyDescent="0.3">
      <c r="C49" s="11" t="s">
        <v>127</v>
      </c>
      <c r="D49" s="9">
        <f>COUNTIFS('Security Requirements - Android'!F64:F72,'Security Requirements - Android'!B79)</f>
        <v>0</v>
      </c>
      <c r="E49" s="9">
        <f>COUNTIFS('Security Requirements - Android'!F64:F72,'Security Requirements - Android'!B80)</f>
        <v>0</v>
      </c>
      <c r="F49" s="9">
        <f>COUNTIFS('Security Requirements - Android'!F64:F72,'Security Requirements - Android'!B81)</f>
        <v>0</v>
      </c>
      <c r="G49" s="19">
        <f t="shared" si="0"/>
        <v>0</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ht="14.5" x14ac:dyDescent="0.3">
      <c r="C50" s="11" t="s">
        <v>128</v>
      </c>
      <c r="D50" s="84">
        <f>COUNTIFS('Anti-RE - Android'!E4:E18,'Security Requirements - Android'!B79)</f>
        <v>0</v>
      </c>
      <c r="E50" s="84">
        <f>COUNTIFS('Anti-RE - Android'!E4:E18,'Security Requirements - Android'!B80)</f>
        <v>0</v>
      </c>
      <c r="F50" s="84">
        <f>COUNTIFS('Anti-RE - Android'!E4:E18,'Security Requirements - Android'!B81)</f>
        <v>12</v>
      </c>
      <c r="G50" s="19">
        <f>IF(D50+E50=0, 0, D50/(E50+D50))</f>
        <v>0</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topLeftCell="A41" zoomScale="76" zoomScaleNormal="76" zoomScalePageLayoutView="130" workbookViewId="0">
      <selection activeCell="G45" sqref="G45"/>
    </sheetView>
  </sheetViews>
  <sheetFormatPr baseColWidth="10" defaultColWidth="11" defaultRowHeight="15.5" x14ac:dyDescent="0.35"/>
  <cols>
    <col min="1" max="1" width="1.83203125" style="72" customWidth="1"/>
    <col min="2" max="2" width="8" style="81" customWidth="1"/>
    <col min="3" max="3" width="97.33203125" style="107" customWidth="1"/>
    <col min="4" max="5" width="6.6640625" style="72" bestFit="1" customWidth="1"/>
    <col min="6" max="6" width="5.83203125" style="72" bestFit="1" customWidth="1"/>
    <col min="7" max="7" width="60.33203125" style="107" bestFit="1" customWidth="1"/>
    <col min="8" max="8" width="63.6640625" style="107" bestFit="1" customWidth="1"/>
    <col min="9" max="9" width="30.83203125" style="107" customWidth="1"/>
    <col min="10" max="10" width="11" style="72"/>
    <col min="11" max="12" width="10.83203125" style="72" customWidth="1"/>
    <col min="13" max="16384" width="11" style="72"/>
  </cols>
  <sheetData>
    <row r="1" spans="2:9" ht="18.5" x14ac:dyDescent="0.35">
      <c r="B1" s="167" t="s">
        <v>118</v>
      </c>
      <c r="C1" s="167"/>
      <c r="D1" s="167"/>
      <c r="E1" s="167"/>
      <c r="F1" s="167"/>
      <c r="G1" s="167"/>
      <c r="H1" s="167"/>
      <c r="I1" s="167"/>
    </row>
    <row r="2" spans="2:9" x14ac:dyDescent="0.35">
      <c r="B2" s="73"/>
      <c r="C2" s="104"/>
      <c r="D2" s="74"/>
      <c r="E2" s="74"/>
      <c r="F2" s="74"/>
      <c r="G2" s="104"/>
      <c r="H2" s="104"/>
      <c r="I2" s="104"/>
    </row>
    <row r="3" spans="2:9" x14ac:dyDescent="0.35">
      <c r="B3" s="66" t="s">
        <v>0</v>
      </c>
      <c r="C3" s="108" t="s">
        <v>1</v>
      </c>
      <c r="D3" s="26" t="s">
        <v>2</v>
      </c>
      <c r="E3" s="26" t="s">
        <v>3</v>
      </c>
      <c r="F3" s="26" t="s">
        <v>107</v>
      </c>
      <c r="G3" s="168" t="s">
        <v>273</v>
      </c>
      <c r="H3" s="168"/>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95"/>
      <c r="I5" s="115"/>
    </row>
    <row r="6" spans="2:9" x14ac:dyDescent="0.35">
      <c r="B6" s="70" t="s">
        <v>235</v>
      </c>
      <c r="C6" s="109" t="s">
        <v>161</v>
      </c>
      <c r="D6" s="25" t="s">
        <v>7</v>
      </c>
      <c r="E6" s="34" t="s">
        <v>7</v>
      </c>
      <c r="F6" s="29"/>
      <c r="G6" s="95" t="s">
        <v>129</v>
      </c>
      <c r="H6" s="95"/>
      <c r="I6" s="115"/>
    </row>
    <row r="7" spans="2:9" ht="29" x14ac:dyDescent="0.35">
      <c r="B7" s="70" t="s">
        <v>234</v>
      </c>
      <c r="C7" s="109" t="s">
        <v>162</v>
      </c>
      <c r="D7" s="25" t="s">
        <v>7</v>
      </c>
      <c r="E7" s="34" t="s">
        <v>7</v>
      </c>
      <c r="F7" s="29"/>
      <c r="G7" s="95" t="s">
        <v>129</v>
      </c>
      <c r="H7" s="95"/>
      <c r="I7" s="115"/>
    </row>
    <row r="8" spans="2:9" x14ac:dyDescent="0.35">
      <c r="B8" s="70" t="s">
        <v>233</v>
      </c>
      <c r="C8" s="109" t="s">
        <v>163</v>
      </c>
      <c r="D8" s="25" t="s">
        <v>7</v>
      </c>
      <c r="E8" s="34" t="s">
        <v>7</v>
      </c>
      <c r="F8" s="29"/>
      <c r="G8" s="95" t="s">
        <v>129</v>
      </c>
      <c r="H8" s="95"/>
      <c r="I8" s="115"/>
    </row>
    <row r="9" spans="2:9" x14ac:dyDescent="0.35">
      <c r="B9" s="70" t="s">
        <v>232</v>
      </c>
      <c r="C9" s="109" t="s">
        <v>164</v>
      </c>
      <c r="D9" s="28"/>
      <c r="E9" s="34" t="s">
        <v>7</v>
      </c>
      <c r="F9" s="29" t="s">
        <v>81</v>
      </c>
      <c r="G9" s="95" t="s">
        <v>129</v>
      </c>
      <c r="H9" s="95"/>
      <c r="I9" s="115"/>
    </row>
    <row r="10" spans="2:9" ht="29" x14ac:dyDescent="0.35">
      <c r="B10" s="70" t="s">
        <v>231</v>
      </c>
      <c r="C10" s="109" t="s">
        <v>165</v>
      </c>
      <c r="D10" s="28"/>
      <c r="E10" s="34" t="s">
        <v>7</v>
      </c>
      <c r="F10" s="29" t="s">
        <v>81</v>
      </c>
      <c r="G10" s="95" t="s">
        <v>129</v>
      </c>
      <c r="H10" s="95"/>
      <c r="I10" s="115"/>
    </row>
    <row r="11" spans="2:9" x14ac:dyDescent="0.35">
      <c r="B11" s="57" t="s">
        <v>8</v>
      </c>
      <c r="C11" s="109" t="s">
        <v>166</v>
      </c>
      <c r="D11" s="35"/>
      <c r="E11" s="34" t="s">
        <v>7</v>
      </c>
      <c r="F11" s="29" t="s">
        <v>81</v>
      </c>
      <c r="G11" s="95" t="s">
        <v>129</v>
      </c>
      <c r="H11" s="95"/>
      <c r="I11" s="115"/>
    </row>
    <row r="12" spans="2:9" ht="29" x14ac:dyDescent="0.35">
      <c r="B12" s="70" t="s">
        <v>230</v>
      </c>
      <c r="C12" s="109" t="s">
        <v>167</v>
      </c>
      <c r="D12" s="28"/>
      <c r="E12" s="34" t="s">
        <v>7</v>
      </c>
      <c r="F12" s="29" t="s">
        <v>81</v>
      </c>
      <c r="G12" s="95" t="s">
        <v>129</v>
      </c>
      <c r="H12" s="95"/>
      <c r="I12" s="115"/>
    </row>
    <row r="13" spans="2:9" x14ac:dyDescent="0.35">
      <c r="B13" s="70" t="s">
        <v>229</v>
      </c>
      <c r="C13" s="109" t="s">
        <v>168</v>
      </c>
      <c r="D13" s="28"/>
      <c r="E13" s="34" t="s">
        <v>7</v>
      </c>
      <c r="F13" s="29" t="s">
        <v>81</v>
      </c>
      <c r="G13" s="95" t="s">
        <v>129</v>
      </c>
      <c r="H13" s="95"/>
      <c r="I13" s="115"/>
    </row>
    <row r="14" spans="2:9" x14ac:dyDescent="0.35">
      <c r="B14" s="58" t="s">
        <v>9</v>
      </c>
      <c r="C14" s="109" t="s">
        <v>169</v>
      </c>
      <c r="D14" s="28"/>
      <c r="E14" s="34" t="s">
        <v>7</v>
      </c>
      <c r="F14" s="29" t="s">
        <v>81</v>
      </c>
      <c r="G14" s="95" t="s">
        <v>129</v>
      </c>
      <c r="H14" s="95"/>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"0x05d-Testing-Data-Storage.md#testing-local-storage-for-sensitive-data"),
"Testing For Sensitive Data in Local Data Storage")</f>
        <v>Testing For Sensitive Data in Local Data Storage</v>
      </c>
      <c r="H16" s="97"/>
      <c r="I16" s="115"/>
    </row>
    <row r="17" spans="2:9" x14ac:dyDescent="0.35">
      <c r="B17" s="68" t="s">
        <v>48</v>
      </c>
      <c r="C17" s="109" t="s">
        <v>171</v>
      </c>
      <c r="D17" s="25"/>
      <c r="E17" s="34"/>
      <c r="F17" s="29"/>
      <c r="G17" s="105" t="str">
        <f>HYPERLINK(CONCATENATE(
BASE_URL,
"0x05d-Testing-Data-Storage.md#testing-local-storage-for-sensitive-data"),
"Testing For Sensitive Data in Local Data Storage")</f>
        <v>Testing For Sensitive Data in Local Data Storage</v>
      </c>
      <c r="H17" s="105"/>
      <c r="I17" s="119"/>
    </row>
    <row r="18" spans="2:9" x14ac:dyDescent="0.35">
      <c r="B18" s="68" t="s">
        <v>49</v>
      </c>
      <c r="C18" s="109" t="s">
        <v>172</v>
      </c>
      <c r="D18" s="25" t="s">
        <v>7</v>
      </c>
      <c r="E18" s="34" t="s">
        <v>7</v>
      </c>
      <c r="F18" s="29"/>
      <c r="G18" s="97" t="str">
        <f>HYPERLINK(CONCATENATE(
BASE_URL,
"0x05d-Testing-Data-Storage.md#testing-logs-for-sensitive-data"),
"Testing For Sensitive Data in Logs")</f>
        <v>Testing For Sensitive Data in Logs</v>
      </c>
      <c r="H18" s="97"/>
      <c r="I18" s="115"/>
    </row>
    <row r="19" spans="2:9" x14ac:dyDescent="0.35">
      <c r="B19" s="68" t="s">
        <v>12</v>
      </c>
      <c r="C19" s="109" t="s">
        <v>173</v>
      </c>
      <c r="D19" s="25" t="s">
        <v>7</v>
      </c>
      <c r="E19" s="34" t="s">
        <v>7</v>
      </c>
      <c r="F19" s="29"/>
      <c r="G19" s="97" t="str">
        <f>HYPERLINK(CONCATENATE(
BASE_URL,
"0x05d-Testing-Data-Storage.md#determining-whether-sensitive-data-is-sent-to-third-parties"),
"Testing Whether Sensitive Data Is Sent To Third Parties")</f>
        <v>Testing Whether Sensitive Data Is Sent To Third Parties</v>
      </c>
      <c r="H19" s="97"/>
      <c r="I19" s="115"/>
    </row>
    <row r="20" spans="2:9" x14ac:dyDescent="0.35">
      <c r="B20" s="68" t="s">
        <v>50</v>
      </c>
      <c r="C20" s="109" t="s">
        <v>174</v>
      </c>
      <c r="D20" s="25" t="s">
        <v>7</v>
      </c>
      <c r="E20" s="34" t="s">
        <v>7</v>
      </c>
      <c r="F20" s="29"/>
      <c r="G20" s="97" t="str">
        <f>HYPERLINK(CONCATENATE(
BASE_URL,
"0x05d-Testing-Data-Storage.md#determining-whether-the-keyboard-cache-is-disabled-for-text-input-fields"),
"Testing Whether the Keyboard Cache Is Disabled for Text Input Fields")</f>
        <v>Testing Whether the Keyboard Cache Is Disabled for Text Input Fields</v>
      </c>
      <c r="H20" s="97"/>
      <c r="I20" s="115"/>
    </row>
    <row r="21" spans="2:9" x14ac:dyDescent="0.35">
      <c r="B21" s="68" t="s">
        <v>13</v>
      </c>
      <c r="C21" s="109" t="s">
        <v>175</v>
      </c>
      <c r="D21" s="25" t="s">
        <v>7</v>
      </c>
      <c r="E21" s="34" t="s">
        <v>7</v>
      </c>
      <c r="F21" s="29"/>
      <c r="G21" s="97" t="str">
        <f>HYPERLINK(CONCATENATE(
BASE_URL,
"0x05d-Testing-Data-Storage.md#determining-whether-sensitive-stored-data-has-been-exposed-via-ipc-mechanisms"),
"Testing Whether Sensitive Data Is Exposed via IPC Mechanisms")</f>
        <v>Testing Whether Sensitive Data Is Exposed via IPC Mechanisms</v>
      </c>
      <c r="H21" s="97"/>
      <c r="I21" s="115"/>
    </row>
    <row r="22" spans="2:9" x14ac:dyDescent="0.35">
      <c r="B22" s="68" t="s">
        <v>14</v>
      </c>
      <c r="C22" s="109" t="s">
        <v>176</v>
      </c>
      <c r="D22" s="25" t="s">
        <v>7</v>
      </c>
      <c r="E22" s="34" t="s">
        <v>7</v>
      </c>
      <c r="F22" s="29"/>
      <c r="G22" s="97" t="str">
        <f>HYPERLINK(CONCATENATE(
BASE_URL,
"0x05d-Testing-Data-Storage.md#checking-for-sensitive-data-disclosure-through-the-user-interface"),
"Testing for Sensitive Data Disclosure Through the User Interface")</f>
        <v>Testing for Sensitive Data Disclosure Through the User Interface</v>
      </c>
      <c r="H22" s="97"/>
      <c r="I22" s="115"/>
    </row>
    <row r="23" spans="2:9" x14ac:dyDescent="0.35">
      <c r="B23" s="68" t="s">
        <v>15</v>
      </c>
      <c r="C23" s="109" t="s">
        <v>177</v>
      </c>
      <c r="D23" s="37"/>
      <c r="E23" s="34" t="s">
        <v>7</v>
      </c>
      <c r="F23" s="29" t="s">
        <v>81</v>
      </c>
      <c r="G23" s="97" t="str">
        <f>HYPERLINK(CONCATENATE(
BASE_URL,
"0x05d-Testing-Data-Storage.md#testing-backups-for-sensitive-data"),
"Testing for Sensitive Data in Backups")</f>
        <v>Testing for Sensitive Data in Backups</v>
      </c>
      <c r="H23" s="97"/>
      <c r="I23" s="115"/>
    </row>
    <row r="24" spans="2:9" x14ac:dyDescent="0.35">
      <c r="B24" s="68" t="s">
        <v>16</v>
      </c>
      <c r="C24" s="109" t="s">
        <v>178</v>
      </c>
      <c r="D24" s="37"/>
      <c r="E24" s="34" t="s">
        <v>7</v>
      </c>
      <c r="F24" s="29" t="s">
        <v>81</v>
      </c>
      <c r="G24" s="97" t="str">
        <f>HYPERLINK(CONCATENATE(
BASE_URL,
"0x05d-Testing-Data-Storage.md#finding-sensitive-information-in-auto-generated-screenshots"),
"Testing for Sensitive Information in Auto-Generated Screenshots")</f>
        <v>Testing for Sensitive Information in Auto-Generated Screenshots</v>
      </c>
      <c r="H24" s="97"/>
      <c r="I24" s="115"/>
    </row>
    <row r="25" spans="2:9" x14ac:dyDescent="0.35">
      <c r="B25" s="68" t="s">
        <v>51</v>
      </c>
      <c r="C25" s="109" t="s">
        <v>179</v>
      </c>
      <c r="D25" s="37"/>
      <c r="E25" s="34" t="s">
        <v>7</v>
      </c>
      <c r="F25" s="29" t="s">
        <v>81</v>
      </c>
      <c r="G25" s="97" t="str">
        <f>HYPERLINK(CONCATENATE(
BASE_URL,
"0x05d-Testing-Data-Storage.md#checking-memory-for-sensitive-data"),
"Testing for Sensitive Data in Memory")</f>
        <v>Testing for Sensitive Data in Memory</v>
      </c>
      <c r="H25" s="97"/>
      <c r="I25" s="115"/>
    </row>
    <row r="26" spans="2:9" x14ac:dyDescent="0.35">
      <c r="B26" s="68" t="s">
        <v>52</v>
      </c>
      <c r="C26" s="109" t="s">
        <v>180</v>
      </c>
      <c r="D26" s="37"/>
      <c r="E26" s="34" t="s">
        <v>7</v>
      </c>
      <c r="F26" s="29" t="s">
        <v>81</v>
      </c>
      <c r="G26" s="97" t="str">
        <f>HYPERLINK(CONCATENATE(
BASE_URL,
"0x05d-Testing-Data-Storage.md#testing-the-device-access-security-policy"),
"Testing the Device-Access-Security Policy")</f>
        <v>Testing the Device-Access-Security Policy</v>
      </c>
      <c r="H26" s="97"/>
      <c r="I26" s="115"/>
    </row>
    <row r="27" spans="2:9" ht="29" x14ac:dyDescent="0.35">
      <c r="B27" s="68" t="s">
        <v>17</v>
      </c>
      <c r="C27" s="109" t="s">
        <v>181</v>
      </c>
      <c r="D27" s="37"/>
      <c r="E27" s="34" t="s">
        <v>7</v>
      </c>
      <c r="F27" s="29" t="s">
        <v>81</v>
      </c>
      <c r="G27" s="97" t="str">
        <f>HYPERLINK(CONCATENATE(
BASE_URL,
"0x04i-Testing-user-interaction.md#testing-user-education"),
"Testing user education")</f>
        <v>Testing user education</v>
      </c>
      <c r="H27" s="97"/>
      <c r="I27" s="115"/>
    </row>
    <row r="28" spans="2:9" x14ac:dyDescent="0.35">
      <c r="B28" s="56" t="s">
        <v>18</v>
      </c>
      <c r="C28" s="96" t="s">
        <v>53</v>
      </c>
      <c r="D28" s="30"/>
      <c r="E28" s="36"/>
      <c r="F28" s="30"/>
      <c r="G28" s="96"/>
      <c r="H28" s="96"/>
      <c r="I28" s="114"/>
    </row>
    <row r="29" spans="2:9" x14ac:dyDescent="0.35">
      <c r="B29" s="68" t="s">
        <v>19</v>
      </c>
      <c r="C29" s="109" t="s">
        <v>182</v>
      </c>
      <c r="D29" s="25" t="s">
        <v>7</v>
      </c>
      <c r="E29" s="34" t="s">
        <v>7</v>
      </c>
      <c r="F29" s="29"/>
      <c r="G29" s="97" t="str">
        <f>HYPERLINK(CONCATENATE(
BASE_URL,
"0x05e-Testing-Cryptography.md#testing-key-management"),
"Verifying Key Management")</f>
        <v>Verifying Key Management</v>
      </c>
      <c r="H29" s="97"/>
      <c r="I29" s="115"/>
    </row>
    <row r="30" spans="2:9" x14ac:dyDescent="0.35">
      <c r="B30" s="68" t="s">
        <v>20</v>
      </c>
      <c r="C30" s="109" t="s">
        <v>183</v>
      </c>
      <c r="D30" s="25" t="s">
        <v>7</v>
      </c>
      <c r="E30" s="34" t="s">
        <v>7</v>
      </c>
      <c r="F30" s="29"/>
      <c r="G30" s="97" t="str">
        <f>HYPERLINK(CONCATENATE(
BASE_URL,
"0x04g-Testing-Cryptography.md#cryptography-for-mobile-apps"),
"Testing for Custom Implementations of Cryptography")</f>
        <v>Testing for Custom Implementations of Cryptography</v>
      </c>
      <c r="H30" s="97"/>
      <c r="I30" s="115"/>
    </row>
    <row r="31" spans="2:9" ht="29" x14ac:dyDescent="0.35">
      <c r="B31" s="68" t="s">
        <v>21</v>
      </c>
      <c r="C31" s="109" t="s">
        <v>184</v>
      </c>
      <c r="D31" s="25" t="s">
        <v>7</v>
      </c>
      <c r="E31" s="34" t="s">
        <v>7</v>
      </c>
      <c r="F31" s="29"/>
      <c r="G31" s="97" t="str">
        <f>HYPERLINK(CONCATENATE(
BASE_URL,
"0x05e-Testing-Cryptography.md#verifying-the-configuration-of-cryptographic-standard-algorithms"),
"Verifying the Configuration of Cryptographic Standard Algorithms")</f>
        <v>Verifying the Configuration of Cryptographic Standard Algorithms</v>
      </c>
      <c r="H31" s="97"/>
      <c r="I31" s="115"/>
    </row>
    <row r="32" spans="2:9"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97"/>
      <c r="I32" s="115"/>
    </row>
    <row r="33" spans="2:11" x14ac:dyDescent="0.35">
      <c r="B33" s="68" t="s">
        <v>23</v>
      </c>
      <c r="C33" s="109" t="s">
        <v>186</v>
      </c>
      <c r="D33" s="25" t="s">
        <v>7</v>
      </c>
      <c r="E33" s="34" t="s">
        <v>7</v>
      </c>
      <c r="F33" s="29"/>
      <c r="G33" s="97" t="str">
        <f>HYPERLINK(CONCATENATE(
BASE_URL,
"0x05e-Testing-Cryptography.md#testing-key-management"),
"Verifying Key Management")</f>
        <v>Verifying Key Management</v>
      </c>
      <c r="H33" s="97"/>
      <c r="I33" s="115"/>
    </row>
    <row r="34" spans="2:11" x14ac:dyDescent="0.35">
      <c r="B34" s="68" t="s">
        <v>24</v>
      </c>
      <c r="C34" s="109" t="s">
        <v>187</v>
      </c>
      <c r="D34" s="25" t="s">
        <v>7</v>
      </c>
      <c r="E34" s="34" t="s">
        <v>7</v>
      </c>
      <c r="F34" s="29"/>
      <c r="G34" s="97" t="str">
        <f>HYPERLINK(CONCATENATE(
BASE_URL,
"0x05e-Testing-Cryptography.md#testing-random-number-generation"),
"Testing Random Number Generation")</f>
        <v>Testing Random Number Generation</v>
      </c>
      <c r="H34" s="97"/>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97"/>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97"/>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97"/>
      <c r="I38" s="115"/>
      <c r="K38" s="38"/>
    </row>
    <row r="39" spans="2:11" x14ac:dyDescent="0.35">
      <c r="B39" s="68" t="s">
        <v>27</v>
      </c>
      <c r="C39" s="110" t="s">
        <v>191</v>
      </c>
      <c r="D39" s="25"/>
      <c r="E39" s="34"/>
      <c r="F39" s="29"/>
      <c r="G39" s="97" t="str">
        <f>HYPERLINK(CONCATENATE(
BASE_URL,
"0x04e-Testing-Authentication-and-Session-Management.md#user-logout-and-session-timeouts"),
"Testing the Logout Functionality")</f>
        <v>Testing the Logout Functionality</v>
      </c>
      <c r="H39" s="97"/>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97"/>
      <c r="I40" s="115"/>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97"/>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7"/>
      <c r="I42" s="117"/>
    </row>
    <row r="43" spans="2:11" ht="29" x14ac:dyDescent="0.35">
      <c r="B43" s="68" t="s">
        <v>29</v>
      </c>
      <c r="C43" s="110" t="s">
        <v>194</v>
      </c>
      <c r="D43" s="37"/>
      <c r="E43" s="34" t="s">
        <v>7</v>
      </c>
      <c r="F43" s="29" t="s">
        <v>81</v>
      </c>
      <c r="G43" s="97" t="str">
        <f>HYPERLINK(CONCATENATE(
BASE_URL,
"0x05f-Testing-Local-Authentication.md#testing-biometric-authentication"),
"Testing Biometric Authentication")</f>
        <v>Testing Biometric Authentication</v>
      </c>
      <c r="H43" s="97"/>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97"/>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97"/>
      <c r="I45" s="115"/>
    </row>
    <row r="46" spans="2:11" ht="29" x14ac:dyDescent="0.35">
      <c r="B46" s="68" t="s">
        <v>151</v>
      </c>
      <c r="C46" s="110" t="s">
        <v>198</v>
      </c>
      <c r="D46" s="37"/>
      <c r="E46" s="34" t="s">
        <v>7</v>
      </c>
      <c r="F46" s="29" t="s">
        <v>81</v>
      </c>
      <c r="G46" s="97" t="str">
        <f>HYPERLINK(
CONCATENATE(
BASE_URL,
"0x04e-Testing-Authentication-and-Session-Management.md#login-activity-and-device-blocking"),
"Testing Login Activity and Device Blocking")</f>
        <v>Testing Login Activity and Device Blocking</v>
      </c>
      <c r="H46" s="97"/>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7"/>
      <c r="I48" s="115"/>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7"/>
      <c r="I49" s="115"/>
    </row>
    <row r="50" spans="2:9" ht="29" x14ac:dyDescent="0.35">
      <c r="B50" s="68" t="s">
        <v>34</v>
      </c>
      <c r="C50" s="110" t="s">
        <v>201</v>
      </c>
      <c r="D50" s="25" t="s">
        <v>7</v>
      </c>
      <c r="E50" s="34" t="s">
        <v>7</v>
      </c>
      <c r="F50" s="29"/>
      <c r="G50" s="97" t="str">
        <f>HYPERLINK(CONCATENATE(
BASE_URL,
"0x05g-Testing-Network-Communication.md#testing-endpoint-identify-verification"),
"Testing Endpoint Identify Verification")</f>
        <v>Testing Endpoint Identify Verification</v>
      </c>
      <c r="H50" s="98"/>
      <c r="I50" s="120"/>
    </row>
    <row r="51" spans="2:9" ht="29" x14ac:dyDescent="0.35">
      <c r="B51" s="68" t="s">
        <v>61</v>
      </c>
      <c r="C51" s="110" t="s">
        <v>202</v>
      </c>
      <c r="D51" s="37"/>
      <c r="E51" s="34" t="s">
        <v>7</v>
      </c>
      <c r="F51" s="29" t="s">
        <v>81</v>
      </c>
      <c r="G51" s="97" t="str">
        <f>HYPERLINK(CONCATENATE(
BASE_URL,
"0x05g-Testing-Network-Communication.md#testing-custom-certificate-stores-and-certificate-pinning"),
"Testing Custom Certificate Stores and SSL Pinning")</f>
        <v>Testing Custom Certificate Stores and SSL Pinning</v>
      </c>
      <c r="H51" s="97"/>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97"/>
      <c r="I52" s="115"/>
    </row>
    <row r="53" spans="2:9" x14ac:dyDescent="0.35">
      <c r="B53" s="71" t="s">
        <v>228</v>
      </c>
      <c r="C53" s="110" t="s">
        <v>204</v>
      </c>
      <c r="D53" s="37"/>
      <c r="E53" s="34" t="s">
        <v>7</v>
      </c>
      <c r="F53" s="29" t="s">
        <v>81</v>
      </c>
      <c r="G53" s="97" t="str">
        <f>HYPERLINK(CONCATENATE(
BASE_URL,
"0x05g-Testing-Network-Communication.md#testing-the-security-provider"),
"Verifying the Security Provider")</f>
        <v>Verifying the Security Provider</v>
      </c>
      <c r="H53" s="97"/>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"0x05h-Testing-Platform-Interaction.md#testing-app-permissions"),
"Testing App Permissions")</f>
        <v>Testing App Permissions</v>
      </c>
      <c r="H55" s="97"/>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97"/>
      <c r="I56" s="115"/>
    </row>
    <row r="57" spans="2:9" x14ac:dyDescent="0.35">
      <c r="B57" s="68" t="s">
        <v>64</v>
      </c>
      <c r="C57" s="110" t="s">
        <v>207</v>
      </c>
      <c r="D57" s="25" t="s">
        <v>7</v>
      </c>
      <c r="E57" s="34" t="s">
        <v>7</v>
      </c>
      <c r="F57" s="29"/>
      <c r="G57" s="97" t="str">
        <f>HYPERLINK(CONCATENATE(
BASE_URL,
"0x05h-Testing-Platform-Interaction.md#testing-custom-url-schemes"),
"Testing Custom URL Schemes")</f>
        <v>Testing Custom URL Schemes</v>
      </c>
      <c r="H57" s="97"/>
      <c r="I57" s="115"/>
    </row>
    <row r="58" spans="2:9" x14ac:dyDescent="0.35">
      <c r="B58" s="68" t="s">
        <v>65</v>
      </c>
      <c r="C58" s="110" t="s">
        <v>208</v>
      </c>
      <c r="D58" s="25" t="s">
        <v>7</v>
      </c>
      <c r="E58" s="34" t="s">
        <v>7</v>
      </c>
      <c r="F58" s="29"/>
      <c r="G58" s="97" t="str">
        <f>HYPERLINK(CONCATENATE(
BASE_URL,
"0x05h-Testing-Platform-Interaction.md#testing-for-sensitive-functionality-exposure-through-ipc"),
"Testing For Sensitive Functionality Exposure Through IPC")</f>
        <v>Testing For Sensitive Functionality Exposure Through IPC</v>
      </c>
      <c r="H58" s="97"/>
      <c r="I58" s="115"/>
    </row>
    <row r="59" spans="2:9" x14ac:dyDescent="0.35">
      <c r="B59" s="68" t="s">
        <v>66</v>
      </c>
      <c r="C59" s="110" t="s">
        <v>209</v>
      </c>
      <c r="D59" s="25" t="s">
        <v>7</v>
      </c>
      <c r="E59" s="34" t="s">
        <v>7</v>
      </c>
      <c r="F59" s="29"/>
      <c r="G59" s="97" t="str">
        <f>HYPERLINK(CONCATENATE(
BASE_URL,
"0x05h-Testing-Platform-Interaction.md#testing-javascript-execution-in-webviews"),
"Testing JavaScript Execution in WebViews")</f>
        <v>Testing JavaScript Execution in WebViews</v>
      </c>
      <c r="H59" s="97"/>
      <c r="I59" s="115"/>
    </row>
    <row r="60" spans="2:9" ht="29" x14ac:dyDescent="0.35">
      <c r="B60" s="68" t="s">
        <v>67</v>
      </c>
      <c r="C60" s="110" t="s">
        <v>210</v>
      </c>
      <c r="D60" s="25" t="s">
        <v>7</v>
      </c>
      <c r="E60" s="34" t="s">
        <v>7</v>
      </c>
      <c r="F60" s="29"/>
      <c r="G60" s="97" t="str">
        <f>HYPERLINK(CONCATENATE(
BASE_URL,
"0x05h-Testing-Platform-Interaction.md#testing-webview-protocol-handlers"),
"Testing WebView Protocol Handlers")</f>
        <v>Testing WebView Protocol Handlers</v>
      </c>
      <c r="H60" s="97"/>
      <c r="I60" s="115"/>
    </row>
    <row r="61" spans="2:9" ht="29" x14ac:dyDescent="0.35">
      <c r="B61" s="71" t="s">
        <v>227</v>
      </c>
      <c r="C61" s="110" t="s">
        <v>150</v>
      </c>
      <c r="D61" s="25" t="s">
        <v>7</v>
      </c>
      <c r="E61" s="34" t="s">
        <v>7</v>
      </c>
      <c r="F61" s="29"/>
      <c r="G61" s="97" t="str">
        <f>HYPERLINK(CONCATENATE(
BASE_URL,
"0x05h-Testing-Platform-Interaction.md#determining-whether-java-objects-are-exposed-through-webviews"),
"Testing Whether Java Objects Are Exposed Through WebViews")</f>
        <v>Testing Whether Java Objects Are Exposed Through WebViews</v>
      </c>
      <c r="H61" s="97"/>
      <c r="I61" s="115"/>
    </row>
    <row r="62" spans="2:9" x14ac:dyDescent="0.35">
      <c r="B62" s="71" t="s">
        <v>226</v>
      </c>
      <c r="C62" s="110" t="s">
        <v>211</v>
      </c>
      <c r="D62" s="25" t="s">
        <v>7</v>
      </c>
      <c r="E62" s="34" t="s">
        <v>7</v>
      </c>
      <c r="F62" s="29"/>
      <c r="G62" s="97" t="str">
        <f>HYPERLINK(CONCATENATE(
BASE_URL,
"0x05h-Testing-Platform-Interaction.md#testing-object-persistence"),
"Testing Object (De-)Serialization")</f>
        <v>Testing Object (De-)Serialization</v>
      </c>
      <c r="H62" s="97"/>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"0x05i-Testing-Code-Quality-and-Build-Settings.md#making-sure-that-the-app-is-properly-signed"),
"Verifying That the App is Properly Signed")</f>
        <v>Verifying That the App is Properly Signed</v>
      </c>
      <c r="H64" s="97"/>
      <c r="I64" s="115"/>
    </row>
    <row r="65" spans="2:10" x14ac:dyDescent="0.35">
      <c r="B65" s="68" t="s">
        <v>38</v>
      </c>
      <c r="C65" s="109" t="s">
        <v>213</v>
      </c>
      <c r="D65" s="25" t="s">
        <v>7</v>
      </c>
      <c r="E65" s="34" t="s">
        <v>7</v>
      </c>
      <c r="F65" s="29"/>
      <c r="G65" s="97" t="str">
        <f>HYPERLINK(CONCATENATE(
BASE_URL,
"0x05i-Testing-Code-Quality-and-Build-Settings.md#determining-whether-the-app-is-debuggable"),
"Testing If the App is Debuggable")</f>
        <v>Testing If the App is Debuggable</v>
      </c>
      <c r="H65" s="97"/>
      <c r="I65" s="115"/>
    </row>
    <row r="66" spans="2:10" x14ac:dyDescent="0.35">
      <c r="B66" s="68" t="s">
        <v>69</v>
      </c>
      <c r="C66" s="109" t="s">
        <v>214</v>
      </c>
      <c r="D66" s="25" t="s">
        <v>7</v>
      </c>
      <c r="E66" s="34" t="s">
        <v>7</v>
      </c>
      <c r="F66" s="29"/>
      <c r="G66" s="97" t="str">
        <f>HYPERLINK(CONCATENATE(
BASE_URL,
"0x05i-Testing-Code-Quality-and-Build-Settings.md#finding-debugging-symbols"),
"Testing for Debugging Symbols")</f>
        <v>Testing for Debugging Symbols</v>
      </c>
      <c r="H66" s="97"/>
      <c r="I66" s="115"/>
    </row>
    <row r="67" spans="2:10" x14ac:dyDescent="0.35">
      <c r="B67" s="68" t="s">
        <v>70</v>
      </c>
      <c r="C67" s="109" t="s">
        <v>215</v>
      </c>
      <c r="D67" s="25" t="s">
        <v>7</v>
      </c>
      <c r="E67" s="34" t="s">
        <v>7</v>
      </c>
      <c r="F67" s="29"/>
      <c r="G67" s="97" t="str">
        <f>HYPERLINK(CONCATENATE(
BASE_URL,
"0x05i-Testing-Code-Quality-and-Build-Settings.md#finding-debugging-code-and-verbose-error-logging"),
"Testing for Debugging Code and Verbose Error Logging")</f>
        <v>Testing for Debugging Code and Verbose Error Logging</v>
      </c>
      <c r="H67" s="97"/>
      <c r="I67" s="115"/>
    </row>
    <row r="68" spans="2:10" ht="29" x14ac:dyDescent="0.35">
      <c r="B68" s="68" t="s">
        <v>71</v>
      </c>
      <c r="C68" s="109" t="s">
        <v>216</v>
      </c>
      <c r="D68" s="25" t="s">
        <v>7</v>
      </c>
      <c r="E68" s="34" t="s">
        <v>7</v>
      </c>
      <c r="F68" s="29"/>
      <c r="G68" s="98" t="str">
        <f>HYPERLINK(CONCATENATE(
BASE_URL,
"0x05i-Testing-Code-Quality-and-Build-Settings.md#checking-for-weaknesses-in-third-party-libraries"),
"Testing for Weaknesses in Third Party Libraries")</f>
        <v>Testing for Weaknesses in Third Party Libraries</v>
      </c>
      <c r="H68" s="98"/>
      <c r="I68" s="115"/>
    </row>
    <row r="69" spans="2:10" x14ac:dyDescent="0.35">
      <c r="B69" s="68" t="s">
        <v>39</v>
      </c>
      <c r="C69" s="109" t="s">
        <v>217</v>
      </c>
      <c r="D69" s="25" t="s">
        <v>7</v>
      </c>
      <c r="E69" s="34" t="s">
        <v>7</v>
      </c>
      <c r="F69" s="29"/>
      <c r="G69" s="97" t="str">
        <f>HYPERLINK(CONCATENATE(
BASE_URL,
"0x05i-Testing-Code-Quality-and-Build-Settings.md#testing-exception-handling"),
"Testing Exception Handling")</f>
        <v>Testing Exception Handling</v>
      </c>
      <c r="H69" s="97"/>
      <c r="I69" s="115"/>
    </row>
    <row r="70" spans="2:10" x14ac:dyDescent="0.35">
      <c r="B70" s="68" t="s">
        <v>40</v>
      </c>
      <c r="C70" s="109" t="s">
        <v>218</v>
      </c>
      <c r="D70" s="25" t="s">
        <v>7</v>
      </c>
      <c r="E70" s="34" t="s">
        <v>7</v>
      </c>
      <c r="F70" s="29"/>
      <c r="G70" s="97" t="str">
        <f>HYPERLINK(CONCATENATE(
BASE_URL,
"0x05i-Testing-Code-Quality-and-Build-Settings.md#testing-exception-handling"),
"Testing  Error Handling in Security Controls")</f>
        <v>Testing  Error Handling in Security Controls</v>
      </c>
      <c r="H70" s="97"/>
      <c r="I70" s="115"/>
    </row>
    <row r="71" spans="2:10" x14ac:dyDescent="0.35">
      <c r="B71" s="68" t="s">
        <v>41</v>
      </c>
      <c r="C71" s="109" t="s">
        <v>219</v>
      </c>
      <c r="D71" s="25" t="s">
        <v>7</v>
      </c>
      <c r="E71" s="34" t="s">
        <v>7</v>
      </c>
      <c r="F71" s="29"/>
      <c r="G71" s="97" t="str">
        <f>HYPERLINK(CONCATENATE(
BASE_URL,
"0x04h-Testing-Code-Quality.md#memory-corruption-bugs"),
"Testing for Memory Management Bugs")</f>
        <v>Testing for Memory Management Bugs</v>
      </c>
      <c r="H71" s="97"/>
      <c r="I71" s="121"/>
      <c r="J71" s="75"/>
    </row>
    <row r="72" spans="2:10" ht="29" x14ac:dyDescent="0.35">
      <c r="B72" s="68" t="s">
        <v>153</v>
      </c>
      <c r="C72" s="109" t="s">
        <v>146</v>
      </c>
      <c r="D72" s="25" t="s">
        <v>7</v>
      </c>
      <c r="E72" s="34" t="s">
        <v>7</v>
      </c>
      <c r="F72" s="29"/>
      <c r="G72" s="97" t="str">
        <f>HYPERLINK(CONCATENATE(
BASE_URL,
"0x05i-Testing-Code-Quality-and-Build-Settings.md#make-sure-that-free-security-features-are-activated"),
"Verifying usage of Free Security Features")</f>
        <v>Verifying usage of Free Security Features</v>
      </c>
      <c r="H72" s="97"/>
      <c r="I72" s="115"/>
    </row>
    <row r="73" spans="2:10" x14ac:dyDescent="0.35">
      <c r="B73" s="59"/>
      <c r="C73" s="100"/>
      <c r="D73" s="31"/>
      <c r="E73" s="31"/>
      <c r="F73" s="31"/>
      <c r="G73" s="100"/>
      <c r="H73" s="100"/>
      <c r="I73" s="116"/>
    </row>
    <row r="74" spans="2:10" x14ac:dyDescent="0.35">
      <c r="B74" s="76"/>
      <c r="C74" s="95"/>
      <c r="D74" s="77"/>
      <c r="E74" s="77"/>
      <c r="F74" s="77"/>
      <c r="G74" s="95"/>
      <c r="H74" s="95"/>
      <c r="I74" s="95"/>
    </row>
    <row r="75" spans="2:10" x14ac:dyDescent="0.35">
      <c r="B75" s="76"/>
      <c r="C75" s="110"/>
      <c r="D75" s="77"/>
      <c r="E75" s="77"/>
      <c r="F75" s="77"/>
      <c r="G75" s="95"/>
      <c r="H75" s="95"/>
      <c r="I75" s="95"/>
    </row>
    <row r="76" spans="2:10" x14ac:dyDescent="0.35">
      <c r="B76" s="76"/>
      <c r="C76" s="95"/>
      <c r="D76" s="77"/>
      <c r="E76" s="77"/>
      <c r="F76" s="77"/>
      <c r="G76" s="95"/>
      <c r="H76" s="95"/>
      <c r="I76" s="95"/>
    </row>
    <row r="77" spans="2:10" x14ac:dyDescent="0.35">
      <c r="B77" s="78" t="s">
        <v>77</v>
      </c>
      <c r="C77" s="95"/>
      <c r="D77" s="77"/>
      <c r="E77" s="77"/>
      <c r="F77" s="77"/>
      <c r="G77" s="95"/>
      <c r="H77" s="95"/>
      <c r="I77" s="95"/>
    </row>
    <row r="78" spans="2:10" x14ac:dyDescent="0.35">
      <c r="B78" s="62" t="s">
        <v>78</v>
      </c>
      <c r="C78" s="111" t="s">
        <v>79</v>
      </c>
      <c r="D78" s="77"/>
      <c r="E78" s="77"/>
      <c r="F78" s="77"/>
      <c r="G78" s="95"/>
      <c r="H78" s="95"/>
      <c r="I78" s="95"/>
    </row>
    <row r="79" spans="2:10" x14ac:dyDescent="0.35">
      <c r="B79" s="63" t="s">
        <v>109</v>
      </c>
      <c r="C79" s="112" t="s">
        <v>80</v>
      </c>
      <c r="D79" s="77"/>
      <c r="E79" s="77"/>
      <c r="F79" s="77"/>
      <c r="G79" s="95"/>
      <c r="H79" s="95"/>
      <c r="I79" s="95"/>
    </row>
    <row r="80" spans="2:10" x14ac:dyDescent="0.35">
      <c r="B80" s="63" t="s">
        <v>110</v>
      </c>
      <c r="C80" s="112" t="s">
        <v>83</v>
      </c>
      <c r="D80" s="77"/>
      <c r="E80" s="77"/>
      <c r="F80" s="77"/>
      <c r="G80" s="95"/>
      <c r="H80" s="95"/>
      <c r="I80" s="95"/>
    </row>
    <row r="81" spans="2:9" x14ac:dyDescent="0.35">
      <c r="B81" s="63" t="s">
        <v>81</v>
      </c>
      <c r="C81" s="112" t="s">
        <v>82</v>
      </c>
      <c r="D81" s="77"/>
      <c r="E81" s="77"/>
      <c r="F81" s="77"/>
      <c r="G81" s="95"/>
      <c r="H81" s="95"/>
      <c r="I81" s="95"/>
    </row>
    <row r="82" spans="2:9" x14ac:dyDescent="0.35">
      <c r="B82" s="76"/>
      <c r="C82" s="95"/>
      <c r="D82" s="77"/>
      <c r="E82" s="77"/>
      <c r="F82" s="77"/>
      <c r="G82" s="95"/>
      <c r="H82" s="95"/>
      <c r="I82" s="106"/>
    </row>
    <row r="83" spans="2:9" x14ac:dyDescent="0.35">
      <c r="B83" s="76"/>
      <c r="C83" s="95"/>
      <c r="D83" s="77"/>
      <c r="E83" s="77"/>
      <c r="F83" s="77"/>
      <c r="G83" s="95"/>
      <c r="H83" s="95"/>
      <c r="I83" s="106"/>
    </row>
    <row r="84" spans="2:9" x14ac:dyDescent="0.35">
      <c r="B84" s="76"/>
      <c r="C84" s="95"/>
      <c r="D84" s="77"/>
      <c r="E84" s="77"/>
      <c r="F84" s="77"/>
      <c r="G84" s="95"/>
      <c r="H84" s="95"/>
      <c r="I84" s="106"/>
    </row>
    <row r="85" spans="2:9" x14ac:dyDescent="0.35">
      <c r="B85" s="80"/>
      <c r="C85" s="106"/>
      <c r="D85" s="79"/>
      <c r="E85" s="79"/>
      <c r="F85" s="79"/>
      <c r="G85" s="106"/>
      <c r="H85" s="106"/>
      <c r="I85" s="106"/>
    </row>
  </sheetData>
  <mergeCells count="2">
    <mergeCell ref="B1:I1"/>
    <mergeCell ref="G3:H3"/>
  </mergeCells>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topLeftCell="B8" zoomScaleNormal="100" zoomScalePageLayoutView="130" workbookViewId="0">
      <selection activeCell="F17" sqref="F17"/>
    </sheetView>
  </sheetViews>
  <sheetFormatPr baseColWidth="10" defaultColWidth="11" defaultRowHeight="15.5" x14ac:dyDescent="0.35"/>
  <cols>
    <col min="1" max="1" width="1.83203125" style="72" customWidth="1"/>
    <col min="2" max="2" width="7.33203125" style="81" customWidth="1"/>
    <col min="3" max="3" width="97.33203125" style="107" customWidth="1"/>
    <col min="4" max="4" width="3" style="72" bestFit="1" customWidth="1"/>
    <col min="5" max="5" width="5.83203125" style="72" bestFit="1" customWidth="1"/>
    <col min="6" max="6" width="42.5" style="107" customWidth="1"/>
    <col min="7" max="7" width="30.6640625" style="107" customWidth="1"/>
    <col min="8" max="16384" width="11" style="72"/>
  </cols>
  <sheetData>
    <row r="1" spans="2:7" ht="18.5" x14ac:dyDescent="0.45">
      <c r="B1" s="82" t="s">
        <v>132</v>
      </c>
      <c r="C1" s="106"/>
      <c r="D1" s="79"/>
      <c r="E1" s="79"/>
      <c r="F1" s="106"/>
      <c r="G1" s="106"/>
    </row>
    <row r="2" spans="2:7" x14ac:dyDescent="0.35">
      <c r="B2" s="80"/>
      <c r="C2" s="106"/>
      <c r="D2" s="79"/>
      <c r="E2" s="79"/>
      <c r="F2" s="106"/>
      <c r="G2" s="106"/>
    </row>
    <row r="3" spans="2:7" x14ac:dyDescent="0.35">
      <c r="B3" s="55" t="s">
        <v>0</v>
      </c>
      <c r="C3" s="108" t="s">
        <v>43</v>
      </c>
      <c r="D3" s="26" t="s">
        <v>44</v>
      </c>
      <c r="E3" s="26" t="s">
        <v>107</v>
      </c>
      <c r="F3" s="108" t="s">
        <v>121</v>
      </c>
      <c r="G3" s="113" t="s">
        <v>108</v>
      </c>
    </row>
    <row r="4" spans="2:7" x14ac:dyDescent="0.35">
      <c r="B4" s="56"/>
      <c r="C4" s="96" t="s">
        <v>46</v>
      </c>
      <c r="D4" s="30"/>
      <c r="E4" s="30"/>
      <c r="F4" s="96"/>
      <c r="G4" s="114"/>
    </row>
    <row r="5" spans="2:7" ht="29" x14ac:dyDescent="0.35">
      <c r="B5" s="70" t="s">
        <v>236</v>
      </c>
      <c r="C5" s="110" t="s">
        <v>246</v>
      </c>
      <c r="D5" s="24" t="s">
        <v>7</v>
      </c>
      <c r="E5" s="29" t="s">
        <v>81</v>
      </c>
      <c r="F5" s="97" t="str">
        <f>HYPERLINK(CONCATENATE(
BASE_URL,
"0x05j-Testing-Resiliency-Against-Reverse-Engineering.md#testing-root-detection"),
"Testing Root Detection")</f>
        <v>Testing Root Detection</v>
      </c>
      <c r="G5" s="115"/>
    </row>
    <row r="6" spans="2:7" ht="29" x14ac:dyDescent="0.35">
      <c r="B6" s="70" t="s">
        <v>237</v>
      </c>
      <c r="C6" s="110" t="s">
        <v>247</v>
      </c>
      <c r="D6" s="24" t="s">
        <v>7</v>
      </c>
      <c r="E6" s="29" t="s">
        <v>81</v>
      </c>
      <c r="F6" s="97" t="str">
        <f>HYPERLINK(
CONCATENATE(
BASE_URL,
"0x05j-Testing-Resiliency-Against-Reverse-Engineering.md#testing-anti-debugging"),
"Testing Debugging Defenses")</f>
        <v>Testing Debugging Defenses</v>
      </c>
      <c r="G6" s="115"/>
    </row>
    <row r="7" spans="2:7" x14ac:dyDescent="0.35">
      <c r="B7" s="70" t="s">
        <v>238</v>
      </c>
      <c r="C7" s="110" t="s">
        <v>248</v>
      </c>
      <c r="D7" s="24" t="s">
        <v>7</v>
      </c>
      <c r="E7" s="29" t="s">
        <v>81</v>
      </c>
      <c r="F7" s="97" t="str">
        <f>HYPERLINK(CONCATENATE(
BASE_URL,
"0x05j-Testing-Resiliency-Against-Reverse-Engineering.md#testing-file-integrity-checks"),
"Testing File Integrity Checks")</f>
        <v>Testing File Integrity Checks</v>
      </c>
      <c r="G7" s="115"/>
    </row>
    <row r="8" spans="2:7" x14ac:dyDescent="0.35">
      <c r="B8" s="70" t="s">
        <v>239</v>
      </c>
      <c r="C8" s="110" t="s">
        <v>249</v>
      </c>
      <c r="D8" s="24" t="s">
        <v>7</v>
      </c>
      <c r="E8" s="29" t="s">
        <v>81</v>
      </c>
      <c r="F8" s="97" t="str">
        <f>HYPERLINK(CONCATENATE(
BASE_URL,
"0x05j-Testing-Resiliency-Against-Reverse-Engineering.md#testing-the-detection-of-reverse-engineering-tools"),
"Testing Detection of Reverse Engineering Tools")</f>
        <v>Testing Detection of Reverse Engineering Tools</v>
      </c>
      <c r="G8" s="115"/>
    </row>
    <row r="9" spans="2:7" x14ac:dyDescent="0.35">
      <c r="B9" s="70" t="s">
        <v>240</v>
      </c>
      <c r="C9" s="110" t="s">
        <v>250</v>
      </c>
      <c r="D9" s="24" t="s">
        <v>7</v>
      </c>
      <c r="E9" s="29" t="s">
        <v>81</v>
      </c>
      <c r="F9" s="97" t="str">
        <f>HYPERLINK(CONCATENATE(
BASE_URL,
"0x05j-Testing-Resiliency-Against-Reverse-Engineering.md#testing-emulator-detection"),
"Testing Simple Emulator Detection")</f>
        <v>Testing Simple Emulator Detection</v>
      </c>
      <c r="G9" s="115"/>
    </row>
    <row r="10" spans="2:7" x14ac:dyDescent="0.35">
      <c r="B10" s="70" t="s">
        <v>241</v>
      </c>
      <c r="C10" s="110" t="s">
        <v>251</v>
      </c>
      <c r="D10" s="24" t="s">
        <v>7</v>
      </c>
      <c r="E10" s="29" t="s">
        <v>81</v>
      </c>
      <c r="F10" s="97" t="str">
        <f>HYPERLINK(CONCATENATE(
BASE_URL,
"0x05j-Testing-Resiliency-Against-Reverse-Engineering.md#testing-run-time-integrity-checks"),
"Testing Run-Time Integrity Checks")</f>
        <v>Testing Run-Time Integrity Checks</v>
      </c>
      <c r="G10" s="115"/>
    </row>
    <row r="11" spans="2:7" ht="29" x14ac:dyDescent="0.35">
      <c r="B11" s="70" t="s">
        <v>242</v>
      </c>
      <c r="C11" s="110" t="s">
        <v>252</v>
      </c>
      <c r="D11" s="24" t="s">
        <v>7</v>
      </c>
      <c r="E11" s="29" t="s">
        <v>81</v>
      </c>
      <c r="F11" s="95" t="s">
        <v>129</v>
      </c>
      <c r="G11" s="115"/>
    </row>
    <row r="12" spans="2:7" x14ac:dyDescent="0.35">
      <c r="B12" s="70" t="s">
        <v>243</v>
      </c>
      <c r="C12" s="110" t="s">
        <v>253</v>
      </c>
      <c r="D12" s="24" t="s">
        <v>7</v>
      </c>
      <c r="E12" s="29" t="s">
        <v>81</v>
      </c>
      <c r="F12" s="95" t="s">
        <v>129</v>
      </c>
      <c r="G12" s="115"/>
    </row>
    <row r="13" spans="2:7" x14ac:dyDescent="0.35">
      <c r="B13" s="70" t="s">
        <v>155</v>
      </c>
      <c r="C13" s="110" t="s">
        <v>254</v>
      </c>
      <c r="D13" s="24" t="s">
        <v>7</v>
      </c>
      <c r="E13" s="29" t="s">
        <v>81</v>
      </c>
      <c r="F13" s="97" t="str">
        <f>HYPERLINK(CONCATENATE(
BASE_URL,
"0x05j-Testing-Resiliency-Against-Reverse-Engineering.md#testing-obfuscation"),
"Testing Simple Obfuscation")</f>
        <v>Testing Simple Obfuscation</v>
      </c>
      <c r="G13" s="115"/>
    </row>
    <row r="14" spans="2:7" x14ac:dyDescent="0.35">
      <c r="B14" s="56"/>
      <c r="C14" s="96" t="s">
        <v>45</v>
      </c>
      <c r="D14" s="30"/>
      <c r="E14" s="30"/>
      <c r="F14" s="96"/>
      <c r="G14" s="114"/>
    </row>
    <row r="15" spans="2:7" ht="29" x14ac:dyDescent="0.35">
      <c r="B15" s="58" t="s">
        <v>73</v>
      </c>
      <c r="C15" s="110" t="s">
        <v>255</v>
      </c>
      <c r="D15" s="24" t="s">
        <v>7</v>
      </c>
      <c r="E15" s="29" t="s">
        <v>81</v>
      </c>
      <c r="F15" s="97" t="str">
        <f>HYPERLINK(CONCATENATE(
BASE_URL,
"0x05j-Testing-Resiliency-Against-Reverse-Engineering.md#testing-device-binding"),
"Testing Device Binding")</f>
        <v>Testing Device Binding</v>
      </c>
      <c r="G15" s="115"/>
    </row>
    <row r="16" spans="2:7" x14ac:dyDescent="0.35">
      <c r="B16" s="56"/>
      <c r="C16" s="96" t="s">
        <v>47</v>
      </c>
      <c r="D16" s="30"/>
      <c r="E16" s="30"/>
      <c r="F16" s="96"/>
      <c r="G16" s="114"/>
    </row>
    <row r="17" spans="2:7" ht="29" x14ac:dyDescent="0.35">
      <c r="B17" s="70" t="s">
        <v>244</v>
      </c>
      <c r="C17" s="110" t="s">
        <v>256</v>
      </c>
      <c r="D17" s="24" t="s">
        <v>7</v>
      </c>
      <c r="E17" s="29" t="s">
        <v>81</v>
      </c>
      <c r="F17" s="98" t="str">
        <f>HYPERLINK(CONCATENATE(
BASE_URL,
"0x05j-Testing-Resiliency-Against-Reverse-Engineering.md#testing-obfuscation"),
"Testing Obfuscation")</f>
        <v>Testing Obfuscation</v>
      </c>
      <c r="G17" s="115"/>
    </row>
    <row r="18" spans="2:7" ht="58" x14ac:dyDescent="0.35">
      <c r="B18" s="70" t="s">
        <v>245</v>
      </c>
      <c r="C18" s="110" t="s">
        <v>257</v>
      </c>
      <c r="D18" s="24" t="s">
        <v>7</v>
      </c>
      <c r="E18" s="29" t="s">
        <v>81</v>
      </c>
      <c r="F18" s="95" t="s">
        <v>129</v>
      </c>
      <c r="G18" s="115"/>
    </row>
    <row r="19" spans="2:7" x14ac:dyDescent="0.35">
      <c r="B19" s="59"/>
      <c r="C19" s="100"/>
      <c r="D19" s="31"/>
      <c r="E19" s="31"/>
      <c r="F19" s="100"/>
      <c r="G19" s="116"/>
    </row>
    <row r="20" spans="2:7" x14ac:dyDescent="0.35">
      <c r="B20" s="76"/>
      <c r="C20" s="95"/>
      <c r="D20" s="77"/>
      <c r="E20" s="77"/>
      <c r="F20" s="95"/>
      <c r="G20" s="95"/>
    </row>
    <row r="21" spans="2:7" x14ac:dyDescent="0.35">
      <c r="B21" s="76"/>
      <c r="C21" s="95"/>
      <c r="D21" s="77"/>
      <c r="E21" s="77"/>
      <c r="F21" s="95"/>
      <c r="G21" s="95"/>
    </row>
    <row r="22" spans="2:7" x14ac:dyDescent="0.35">
      <c r="B22" s="78" t="s">
        <v>77</v>
      </c>
      <c r="C22" s="95"/>
      <c r="D22" s="77"/>
      <c r="E22" s="77"/>
      <c r="F22" s="95"/>
      <c r="G22" s="95"/>
    </row>
    <row r="23" spans="2:7" x14ac:dyDescent="0.35">
      <c r="B23" s="62" t="s">
        <v>78</v>
      </c>
      <c r="C23" s="111" t="s">
        <v>79</v>
      </c>
      <c r="D23" s="77"/>
      <c r="E23" s="77"/>
      <c r="F23" s="95"/>
      <c r="G23" s="95"/>
    </row>
    <row r="24" spans="2:7" x14ac:dyDescent="0.35">
      <c r="B24" s="63" t="s">
        <v>109</v>
      </c>
      <c r="C24" s="112" t="s">
        <v>80</v>
      </c>
      <c r="D24" s="77"/>
      <c r="E24" s="77"/>
      <c r="F24" s="95"/>
      <c r="G24" s="95"/>
    </row>
    <row r="25" spans="2:7" x14ac:dyDescent="0.35">
      <c r="B25" s="63" t="s">
        <v>110</v>
      </c>
      <c r="C25" s="112" t="s">
        <v>83</v>
      </c>
      <c r="D25" s="77"/>
      <c r="E25" s="77"/>
      <c r="F25" s="95"/>
      <c r="G25" s="95"/>
    </row>
    <row r="26" spans="2:7" x14ac:dyDescent="0.35">
      <c r="B26" s="63" t="s">
        <v>81</v>
      </c>
      <c r="C26" s="112" t="s">
        <v>82</v>
      </c>
      <c r="D26" s="77"/>
      <c r="E26" s="77"/>
      <c r="F26" s="95"/>
      <c r="G26" s="95"/>
    </row>
    <row r="27" spans="2:7" x14ac:dyDescent="0.35">
      <c r="B27" s="80"/>
      <c r="C27" s="106"/>
      <c r="D27" s="79"/>
      <c r="E27" s="79"/>
      <c r="F27" s="106"/>
      <c r="G27" s="106"/>
    </row>
    <row r="28" spans="2:7" x14ac:dyDescent="0.35">
      <c r="B28" s="80"/>
      <c r="C28" s="106"/>
      <c r="D28" s="79"/>
      <c r="E28" s="79"/>
      <c r="F28" s="106"/>
      <c r="G28" s="106"/>
    </row>
    <row r="29" spans="2:7" x14ac:dyDescent="0.35">
      <c r="B29" s="80"/>
      <c r="C29" s="106"/>
      <c r="D29" s="79"/>
      <c r="E29" s="79"/>
      <c r="F29" s="106"/>
      <c r="G29" s="106"/>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K85"/>
  <sheetViews>
    <sheetView topLeftCell="D47" zoomScale="74" zoomScaleNormal="74" zoomScalePageLayoutView="130" workbookViewId="0">
      <selection activeCell="H50" sqref="H50"/>
    </sheetView>
  </sheetViews>
  <sheetFormatPr baseColWidth="10" defaultColWidth="11" defaultRowHeight="15.5" x14ac:dyDescent="0.35"/>
  <cols>
    <col min="1" max="1" width="1.83203125" customWidth="1"/>
    <col min="2" max="2" width="8" style="54" customWidth="1"/>
    <col min="3" max="3" width="97.33203125" style="103" customWidth="1"/>
    <col min="4" max="5" width="6.6640625" bestFit="1" customWidth="1"/>
    <col min="6" max="6" width="5.83203125" bestFit="1" customWidth="1"/>
    <col min="7" max="7" width="60.33203125" style="103" bestFit="1" customWidth="1"/>
    <col min="8" max="8" width="63.6640625" style="107" bestFit="1" customWidth="1"/>
    <col min="9" max="9" width="30.83203125" style="103" customWidth="1"/>
    <col min="11" max="12" width="10.83203125" customWidth="1"/>
  </cols>
  <sheetData>
    <row r="1" spans="2:9" ht="18.5" x14ac:dyDescent="0.45">
      <c r="B1" s="64" t="s">
        <v>133</v>
      </c>
      <c r="C1" s="93"/>
      <c r="D1" s="33"/>
      <c r="E1" s="33"/>
      <c r="F1" s="33"/>
      <c r="G1" s="93"/>
      <c r="H1" s="104"/>
      <c r="I1" s="93"/>
    </row>
    <row r="2" spans="2:9" x14ac:dyDescent="0.35">
      <c r="B2" s="65"/>
      <c r="C2" s="93"/>
      <c r="D2" s="33"/>
      <c r="E2" s="33"/>
      <c r="F2" s="33"/>
      <c r="G2" s="93"/>
      <c r="H2" s="104"/>
      <c r="I2" s="93"/>
    </row>
    <row r="3" spans="2:9" x14ac:dyDescent="0.35">
      <c r="B3" s="66" t="s">
        <v>0</v>
      </c>
      <c r="C3" s="108" t="s">
        <v>1</v>
      </c>
      <c r="D3" s="26" t="s">
        <v>2</v>
      </c>
      <c r="E3" s="26" t="s">
        <v>3</v>
      </c>
      <c r="F3" s="26" t="s">
        <v>107</v>
      </c>
      <c r="G3" s="168" t="s">
        <v>273</v>
      </c>
      <c r="H3" s="169"/>
      <c r="I3" s="113" t="s">
        <v>108</v>
      </c>
    </row>
    <row r="4" spans="2:9" x14ac:dyDescent="0.35">
      <c r="B4" s="67" t="s">
        <v>4</v>
      </c>
      <c r="C4" s="94" t="s">
        <v>5</v>
      </c>
      <c r="D4" s="27"/>
      <c r="E4" s="27"/>
      <c r="F4" s="27"/>
      <c r="G4" s="94"/>
      <c r="H4" s="94"/>
      <c r="I4" s="118"/>
    </row>
    <row r="5" spans="2:9" x14ac:dyDescent="0.35">
      <c r="B5" s="57" t="s">
        <v>6</v>
      </c>
      <c r="C5" s="109" t="s">
        <v>160</v>
      </c>
      <c r="D5" s="25" t="s">
        <v>7</v>
      </c>
      <c r="E5" s="34" t="s">
        <v>7</v>
      </c>
      <c r="F5" s="29"/>
      <c r="G5" s="95" t="s">
        <v>129</v>
      </c>
      <c r="H5" s="110"/>
      <c r="I5" s="115"/>
    </row>
    <row r="6" spans="2:9" x14ac:dyDescent="0.35">
      <c r="B6" s="57" t="s">
        <v>235</v>
      </c>
      <c r="C6" s="109" t="s">
        <v>161</v>
      </c>
      <c r="D6" s="25" t="s">
        <v>7</v>
      </c>
      <c r="E6" s="34" t="s">
        <v>7</v>
      </c>
      <c r="F6" s="29"/>
      <c r="G6" s="95" t="s">
        <v>129</v>
      </c>
      <c r="H6" s="110"/>
      <c r="I6" s="115"/>
    </row>
    <row r="7" spans="2:9" ht="29" x14ac:dyDescent="0.35">
      <c r="B7" s="57" t="s">
        <v>234</v>
      </c>
      <c r="C7" s="109" t="s">
        <v>162</v>
      </c>
      <c r="D7" s="25" t="s">
        <v>7</v>
      </c>
      <c r="E7" s="34" t="s">
        <v>7</v>
      </c>
      <c r="F7" s="29"/>
      <c r="G7" s="95" t="s">
        <v>129</v>
      </c>
      <c r="H7" s="110"/>
      <c r="I7" s="115"/>
    </row>
    <row r="8" spans="2:9" x14ac:dyDescent="0.35">
      <c r="B8" s="57" t="s">
        <v>233</v>
      </c>
      <c r="C8" s="109" t="s">
        <v>163</v>
      </c>
      <c r="D8" s="25" t="s">
        <v>7</v>
      </c>
      <c r="E8" s="34" t="s">
        <v>7</v>
      </c>
      <c r="F8" s="29"/>
      <c r="G8" s="95" t="s">
        <v>129</v>
      </c>
      <c r="H8" s="110"/>
      <c r="I8" s="115"/>
    </row>
    <row r="9" spans="2:9" x14ac:dyDescent="0.35">
      <c r="B9" s="57" t="s">
        <v>232</v>
      </c>
      <c r="C9" s="109" t="s">
        <v>164</v>
      </c>
      <c r="D9" s="28"/>
      <c r="E9" s="34" t="s">
        <v>7</v>
      </c>
      <c r="F9" s="29" t="s">
        <v>81</v>
      </c>
      <c r="G9" s="95" t="s">
        <v>129</v>
      </c>
      <c r="H9" s="110"/>
      <c r="I9" s="115"/>
    </row>
    <row r="10" spans="2:9" ht="29" x14ac:dyDescent="0.35">
      <c r="B10" s="57" t="s">
        <v>231</v>
      </c>
      <c r="C10" s="109" t="s">
        <v>165</v>
      </c>
      <c r="D10" s="28"/>
      <c r="E10" s="34" t="s">
        <v>7</v>
      </c>
      <c r="F10" s="29" t="s">
        <v>81</v>
      </c>
      <c r="G10" s="95" t="s">
        <v>129</v>
      </c>
      <c r="H10" s="110"/>
      <c r="I10" s="115"/>
    </row>
    <row r="11" spans="2:9" x14ac:dyDescent="0.35">
      <c r="B11" s="57" t="s">
        <v>8</v>
      </c>
      <c r="C11" s="109" t="s">
        <v>166</v>
      </c>
      <c r="D11" s="35"/>
      <c r="E11" s="34" t="s">
        <v>7</v>
      </c>
      <c r="F11" s="29" t="s">
        <v>81</v>
      </c>
      <c r="G11" s="95" t="s">
        <v>129</v>
      </c>
      <c r="H11" s="110"/>
      <c r="I11" s="115"/>
    </row>
    <row r="12" spans="2:9" ht="29" x14ac:dyDescent="0.35">
      <c r="B12" s="57" t="s">
        <v>230</v>
      </c>
      <c r="C12" s="109" t="s">
        <v>167</v>
      </c>
      <c r="D12" s="28"/>
      <c r="E12" s="34" t="s">
        <v>7</v>
      </c>
      <c r="F12" s="29" t="s">
        <v>81</v>
      </c>
      <c r="G12" s="95" t="s">
        <v>129</v>
      </c>
      <c r="H12" s="110"/>
      <c r="I12" s="115"/>
    </row>
    <row r="13" spans="2:9" x14ac:dyDescent="0.35">
      <c r="B13" s="57" t="s">
        <v>229</v>
      </c>
      <c r="C13" s="109" t="s">
        <v>168</v>
      </c>
      <c r="D13" s="28"/>
      <c r="E13" s="34" t="s">
        <v>7</v>
      </c>
      <c r="F13" s="29" t="s">
        <v>81</v>
      </c>
      <c r="G13" s="95" t="s">
        <v>129</v>
      </c>
      <c r="H13" s="110"/>
      <c r="I13" s="115"/>
    </row>
    <row r="14" spans="2:9" x14ac:dyDescent="0.35">
      <c r="B14" s="57" t="s">
        <v>9</v>
      </c>
      <c r="C14" s="109" t="s">
        <v>169</v>
      </c>
      <c r="D14" s="28"/>
      <c r="E14" s="34" t="s">
        <v>7</v>
      </c>
      <c r="F14" s="29" t="s">
        <v>81</v>
      </c>
      <c r="G14" s="95" t="s">
        <v>129</v>
      </c>
      <c r="H14" s="110"/>
      <c r="I14" s="115"/>
    </row>
    <row r="15" spans="2:9" x14ac:dyDescent="0.35">
      <c r="B15" s="56" t="s">
        <v>10</v>
      </c>
      <c r="C15" s="96" t="s">
        <v>42</v>
      </c>
      <c r="D15" s="30"/>
      <c r="E15" s="36"/>
      <c r="F15" s="30"/>
      <c r="G15" s="96"/>
      <c r="H15" s="96"/>
      <c r="I15" s="114"/>
    </row>
    <row r="16" spans="2:9" ht="29" x14ac:dyDescent="0.35">
      <c r="B16" s="68" t="s">
        <v>11</v>
      </c>
      <c r="C16" s="109" t="s">
        <v>170</v>
      </c>
      <c r="D16" s="25" t="s">
        <v>7</v>
      </c>
      <c r="E16" s="34" t="s">
        <v>7</v>
      </c>
      <c r="F16" s="29"/>
      <c r="G16" s="97" t="str">
        <f>HYPERLINK(CONCATENATE(
BASE_URL,
"0x06d-Testing-Data-Storage.md#testing-local-data-storage"),
"Testing For Sensitive Data in Local Data Storage")</f>
        <v>Testing For Sensitive Data in Local Data Storage</v>
      </c>
      <c r="H16" s="110"/>
      <c r="I16" s="115"/>
    </row>
    <row r="17" spans="2:10" x14ac:dyDescent="0.35">
      <c r="B17" s="68" t="s">
        <v>48</v>
      </c>
      <c r="C17" s="109" t="s">
        <v>171</v>
      </c>
      <c r="D17" s="25"/>
      <c r="E17" s="34"/>
      <c r="F17" s="29"/>
      <c r="G17" s="97" t="str">
        <f>HYPERLINK(CONCATENATE(
BASE_URL,
"0x06d-Testing-Data-Storage.md#testing-local-data-storage"),
"Testing For Sensitive Data in Local Data Storage")</f>
        <v>Testing For Sensitive Data in Local Data Storage</v>
      </c>
      <c r="H17" s="110"/>
      <c r="I17" s="115"/>
    </row>
    <row r="18" spans="2:10" x14ac:dyDescent="0.35">
      <c r="B18" s="68" t="s">
        <v>49</v>
      </c>
      <c r="C18" s="109" t="s">
        <v>172</v>
      </c>
      <c r="D18" s="25" t="s">
        <v>7</v>
      </c>
      <c r="E18" s="34" t="s">
        <v>7</v>
      </c>
      <c r="F18" s="29"/>
      <c r="G18" s="97" t="str">
        <f>HYPERLINK(CONCATENATE(
BASE_URL,
"0x06d-Testing-Data-Storage.md#checking-logs-for-sensitive-data"),
"Testing For Sensitive Data in Logs")</f>
        <v>Testing For Sensitive Data in Logs</v>
      </c>
      <c r="H18" s="110"/>
      <c r="I18" s="115"/>
    </row>
    <row r="19" spans="2:10" x14ac:dyDescent="0.35">
      <c r="B19" s="68" t="s">
        <v>12</v>
      </c>
      <c r="C19" s="109" t="s">
        <v>173</v>
      </c>
      <c r="D19" s="25" t="s">
        <v>7</v>
      </c>
      <c r="E19" s="34" t="s">
        <v>7</v>
      </c>
      <c r="F19" s="29"/>
      <c r="G19" s="97" t="str">
        <f>HYPERLINK(CONCATENATE(
BASE_URL,
"0x06d-Testing-Data-Storage.md#determining-whether-sensitive-data-is-sent-to-third-parties"),
"Testing Whether Sensitive Data Is Sent To Third Parties")</f>
        <v>Testing Whether Sensitive Data Is Sent To Third Parties</v>
      </c>
      <c r="H19" s="110"/>
      <c r="I19" s="115"/>
    </row>
    <row r="20" spans="2:10" x14ac:dyDescent="0.35">
      <c r="B20" s="68" t="s">
        <v>50</v>
      </c>
      <c r="C20" s="109" t="s">
        <v>174</v>
      </c>
      <c r="D20" s="25" t="s">
        <v>7</v>
      </c>
      <c r="E20" s="34" t="s">
        <v>7</v>
      </c>
      <c r="F20" s="29"/>
      <c r="G20" s="97" t="str">
        <f>HYPERLINK(CONCATENATE(
BASE_URL,
"0x06d-Testing-Data-Storage.md#finding-sensitive-data-in-the-keyboard-cache"),
"Testing Whether the Keyboard Cache Is Disabled for Text Input Fields")</f>
        <v>Testing Whether the Keyboard Cache Is Disabled for Text Input Fields</v>
      </c>
      <c r="H20" s="110"/>
      <c r="I20" s="115"/>
    </row>
    <row r="21" spans="2:10" x14ac:dyDescent="0.35">
      <c r="B21" s="68" t="s">
        <v>13</v>
      </c>
      <c r="C21" s="109" t="s">
        <v>175</v>
      </c>
      <c r="D21" s="25" t="s">
        <v>7</v>
      </c>
      <c r="E21" s="34" t="s">
        <v>7</v>
      </c>
      <c r="F21" s="29"/>
      <c r="G21" s="97" t="str">
        <f>HYPERLINK(CONCATENATE(
BASE_URL,
"0x06d-Testing-Data-Storage.md#determining-whether-sensitive-data-is-exposed-via-ipc-mechanisms"),
"Testing Whether Sensitive Data Is Exposed via IPC Mechanisms")</f>
        <v>Testing Whether Sensitive Data Is Exposed via IPC Mechanisms</v>
      </c>
      <c r="H21" s="110"/>
      <c r="I21" s="115"/>
    </row>
    <row r="22" spans="2:10" x14ac:dyDescent="0.35">
      <c r="B22" s="68" t="s">
        <v>14</v>
      </c>
      <c r="C22" s="109" t="s">
        <v>176</v>
      </c>
      <c r="D22" s="25" t="s">
        <v>7</v>
      </c>
      <c r="E22" s="34" t="s">
        <v>7</v>
      </c>
      <c r="F22" s="29"/>
      <c r="G22" s="97" t="str">
        <f>HYPERLINK(CONCATENATE(
BASE_URL,
"0x06d-Testing-Data-Storage.md#checking-for-sensitive-data-disclosed-through-the-user-interface"),
"Testing for Sensitive Data Disclosure Through the User Interface")</f>
        <v>Testing for Sensitive Data Disclosure Through the User Interface</v>
      </c>
      <c r="H22" s="110"/>
      <c r="I22" s="115"/>
    </row>
    <row r="23" spans="2:10" x14ac:dyDescent="0.35">
      <c r="B23" s="68" t="s">
        <v>15</v>
      </c>
      <c r="C23" s="109" t="s">
        <v>177</v>
      </c>
      <c r="D23" s="37"/>
      <c r="E23" s="34" t="s">
        <v>7</v>
      </c>
      <c r="F23" s="29" t="s">
        <v>81</v>
      </c>
      <c r="G23" s="97" t="str">
        <f>HYPERLINK(CONCATENATE(
BASE_URL,
"0x06d-Testing-Data-Storage.md#testing-backups-for-sensitive-data"),
"Testing for Sensitive Data in Backups")</f>
        <v>Testing for Sensitive Data in Backups</v>
      </c>
      <c r="H23" s="110"/>
      <c r="I23" s="115"/>
    </row>
    <row r="24" spans="2:10" x14ac:dyDescent="0.35">
      <c r="B24" s="68" t="s">
        <v>16</v>
      </c>
      <c r="C24" s="109" t="s">
        <v>178</v>
      </c>
      <c r="D24" s="37"/>
      <c r="E24" s="34" t="s">
        <v>7</v>
      </c>
      <c r="F24" s="29" t="s">
        <v>81</v>
      </c>
      <c r="G24" s="97" t="str">
        <f>HYPERLINK(CONCATENATE(
BASE_URL,
"0x06d-Testing-Data-Storage.md#testing-auto-generated-screenshots-for-sensitive-information"),
"Testing for Sensitive Information in Auto-Generated Screenshots")</f>
        <v>Testing for Sensitive Information in Auto-Generated Screenshots</v>
      </c>
      <c r="H24" s="110"/>
      <c r="I24" s="115"/>
    </row>
    <row r="25" spans="2:10" x14ac:dyDescent="0.35">
      <c r="B25" s="68" t="s">
        <v>51</v>
      </c>
      <c r="C25" s="109" t="s">
        <v>179</v>
      </c>
      <c r="D25" s="37"/>
      <c r="E25" s="34" t="s">
        <v>7</v>
      </c>
      <c r="F25" s="29" t="s">
        <v>81</v>
      </c>
      <c r="G25" s="97" t="str">
        <f>HYPERLINK(CONCATENATE(
BASE_URL,
"0x06d-Testing-Data-Storage.md#testing-memory-for-sensitive-data"),
"Testing for Sensitive Data in Memory")</f>
        <v>Testing for Sensitive Data in Memory</v>
      </c>
      <c r="H25" s="110"/>
      <c r="I25" s="115"/>
    </row>
    <row r="26" spans="2:10" x14ac:dyDescent="0.35">
      <c r="B26" s="68" t="s">
        <v>52</v>
      </c>
      <c r="C26" s="109" t="s">
        <v>180</v>
      </c>
      <c r="D26" s="37"/>
      <c r="E26" s="34" t="s">
        <v>7</v>
      </c>
      <c r="F26" s="29" t="s">
        <v>81</v>
      </c>
      <c r="G26" s="98" t="str">
        <f>HYPERLINK(CONCATENATE(
BASE_URL,
"0x06f-Testing-Local-Authentication.md#local-authentication-on-ios"),
"Testing Local Authentication")</f>
        <v>Testing Local Authentication</v>
      </c>
      <c r="H26" s="110"/>
      <c r="I26" s="115"/>
      <c r="J26" s="85"/>
    </row>
    <row r="27" spans="2:10" ht="29" x14ac:dyDescent="0.35">
      <c r="B27" s="68" t="s">
        <v>17</v>
      </c>
      <c r="C27" s="109" t="s">
        <v>181</v>
      </c>
      <c r="D27" s="37"/>
      <c r="E27" s="34" t="s">
        <v>7</v>
      </c>
      <c r="F27" s="29" t="s">
        <v>81</v>
      </c>
      <c r="G27" s="125" t="str">
        <f>HYPERLINK(CONCATENATE(
BASE_URL,
"0x06f-Testing-Local-Authentication.md#local-authentication-on-ios"),
"Testing Local Authentication")</f>
        <v>Testing Local Authentication</v>
      </c>
      <c r="H27" s="110"/>
      <c r="I27" s="115"/>
      <c r="J27" s="72"/>
    </row>
    <row r="28" spans="2:10" x14ac:dyDescent="0.35">
      <c r="B28" s="56" t="s">
        <v>18</v>
      </c>
      <c r="C28" s="96" t="s">
        <v>53</v>
      </c>
      <c r="D28" s="30"/>
      <c r="E28" s="36"/>
      <c r="F28" s="30"/>
      <c r="G28" s="96"/>
      <c r="H28" s="96"/>
      <c r="I28" s="114"/>
    </row>
    <row r="29" spans="2:10" x14ac:dyDescent="0.35">
      <c r="B29" s="68" t="s">
        <v>19</v>
      </c>
      <c r="C29" s="109" t="s">
        <v>182</v>
      </c>
      <c r="D29" s="25" t="s">
        <v>7</v>
      </c>
      <c r="E29" s="34" t="s">
        <v>7</v>
      </c>
      <c r="F29" s="29"/>
      <c r="G29" s="97" t="str">
        <f>HYPERLINK(CONCATENATE(
BASE_URL,
"0x06e-Testing-Cryptography.md#testing-key-management"),
"Verifying Key Management")</f>
        <v>Verifying Key Management</v>
      </c>
      <c r="H29" s="110"/>
      <c r="I29" s="115"/>
    </row>
    <row r="30" spans="2:10" x14ac:dyDescent="0.35">
      <c r="B30" s="68" t="s">
        <v>20</v>
      </c>
      <c r="C30" s="109" t="s">
        <v>183</v>
      </c>
      <c r="D30" s="25" t="s">
        <v>7</v>
      </c>
      <c r="E30" s="34" t="s">
        <v>7</v>
      </c>
      <c r="F30" s="29"/>
      <c r="G30" s="97" t="str">
        <f>HYPERLINK(CONCATENATE(
BASE_URL,
"0x04g-Testing-Cryptography.md#custom-implementations-of-cryptography"),
"Testing for Custom Implementations of Cryptography")</f>
        <v>Testing for Custom Implementations of Cryptography</v>
      </c>
      <c r="H30" s="110"/>
      <c r="I30" s="115"/>
    </row>
    <row r="31" spans="2:10" ht="29" x14ac:dyDescent="0.35">
      <c r="B31" s="68" t="s">
        <v>21</v>
      </c>
      <c r="C31" s="109" t="s">
        <v>184</v>
      </c>
      <c r="D31" s="25" t="s">
        <v>7</v>
      </c>
      <c r="E31" s="34" t="s">
        <v>7</v>
      </c>
      <c r="F31" s="29"/>
      <c r="G31" s="97" t="str">
        <f>HYPERLINK(CONCATENATE(
BASE_URL,
"0x06e-Testing-Cryptography.md#verifying-the-configuration-of-cryptographic-standard-algorithms"),
"Verifying the Configuration of Cryptographic Standard Algorithms")</f>
        <v>Verifying the Configuration of Cryptographic Standard Algorithms</v>
      </c>
      <c r="H31" s="110"/>
      <c r="I31" s="115"/>
    </row>
    <row r="32" spans="2:10" x14ac:dyDescent="0.35">
      <c r="B32" s="68" t="s">
        <v>22</v>
      </c>
      <c r="C32" s="109" t="s">
        <v>185</v>
      </c>
      <c r="D32" s="25" t="s">
        <v>7</v>
      </c>
      <c r="E32" s="34" t="s">
        <v>7</v>
      </c>
      <c r="F32" s="29"/>
      <c r="G32" s="97" t="str">
        <f>HYPERLINK(CONCATENATE(
BASE_URL,
"0x04g-Testing-Cryptography.md#identifying-insecure-andor-deprecated-cryptographic-algorithms"),
"Testing for Insecure and/or Deprecated Cryptographic Algorithms")</f>
        <v>Testing for Insecure and/or Deprecated Cryptographic Algorithms</v>
      </c>
      <c r="H32" s="110"/>
      <c r="I32" s="115"/>
    </row>
    <row r="33" spans="2:11" x14ac:dyDescent="0.35">
      <c r="B33" s="68" t="s">
        <v>23</v>
      </c>
      <c r="C33" s="109" t="s">
        <v>186</v>
      </c>
      <c r="D33" s="25" t="s">
        <v>7</v>
      </c>
      <c r="E33" s="34" t="s">
        <v>7</v>
      </c>
      <c r="F33" s="29"/>
      <c r="G33" s="97" t="str">
        <f>HYPERLINK(CONCATENATE(
BASE_URL,
"0x06e-Testing-Cryptography.md#testing-key-management"),
"Verifying Key Management")</f>
        <v>Verifying Key Management</v>
      </c>
      <c r="H33" s="110"/>
      <c r="I33" s="115"/>
    </row>
    <row r="34" spans="2:11" x14ac:dyDescent="0.35">
      <c r="B34" s="68" t="s">
        <v>24</v>
      </c>
      <c r="C34" s="109" t="s">
        <v>187</v>
      </c>
      <c r="D34" s="25" t="s">
        <v>7</v>
      </c>
      <c r="E34" s="34" t="s">
        <v>7</v>
      </c>
      <c r="F34" s="29"/>
      <c r="G34" s="97" t="str">
        <f>HYPERLINK(CONCATENATE(
BASE_URL,
"0x06e-Testing-Cryptography.md#testing-random-number-generation"),
"Testing Random Number Generation")</f>
        <v>Testing Random Number Generation</v>
      </c>
      <c r="H34" s="110"/>
      <c r="I34" s="115"/>
    </row>
    <row r="35" spans="2:11" x14ac:dyDescent="0.35">
      <c r="B35" s="56" t="s">
        <v>25</v>
      </c>
      <c r="C35" s="96" t="s">
        <v>54</v>
      </c>
      <c r="D35" s="30"/>
      <c r="E35" s="36"/>
      <c r="F35" s="30"/>
      <c r="G35" s="96"/>
      <c r="H35" s="96"/>
      <c r="I35" s="114"/>
    </row>
    <row r="36" spans="2:11" ht="29" x14ac:dyDescent="0.35">
      <c r="B36" s="68" t="s">
        <v>26</v>
      </c>
      <c r="C36" s="110" t="s">
        <v>188</v>
      </c>
      <c r="D36" s="25" t="s">
        <v>7</v>
      </c>
      <c r="E36" s="34" t="s">
        <v>7</v>
      </c>
      <c r="F36" s="29"/>
      <c r="G36" s="97" t="str">
        <f>HYPERLINK(CONCATENATE(
BASE_URL,
"0x04e-Testing-Authentication-and-Session-Management.md#testing-authentication"),
"Verifying that Users Are Properly Authenticated")</f>
        <v>Verifying that Users Are Properly Authenticated</v>
      </c>
      <c r="H36" s="110"/>
      <c r="I36" s="115"/>
    </row>
    <row r="37" spans="2:11" ht="29" x14ac:dyDescent="0.35">
      <c r="B37" s="68" t="s">
        <v>55</v>
      </c>
      <c r="C37" s="110" t="s">
        <v>189</v>
      </c>
      <c r="D37" s="25" t="s">
        <v>7</v>
      </c>
      <c r="E37" s="34" t="s">
        <v>7</v>
      </c>
      <c r="F37" s="29"/>
      <c r="G37" s="97" t="str">
        <f>HYPERLINK(CONCATENATE(
BASE_URL,
"0x04e-Testing-Authentication-and-Session-Management.md#testing-stateful-session-management"),
"Testing Stateful Session Management")</f>
        <v>Testing Stateful Session Management</v>
      </c>
      <c r="H37" s="110"/>
      <c r="I37" s="115"/>
    </row>
    <row r="38" spans="2:11" x14ac:dyDescent="0.35">
      <c r="B38" s="68" t="s">
        <v>56</v>
      </c>
      <c r="C38" s="110" t="s">
        <v>190</v>
      </c>
      <c r="D38" s="25" t="s">
        <v>7</v>
      </c>
      <c r="E38" s="34" t="s">
        <v>7</v>
      </c>
      <c r="F38" s="29"/>
      <c r="G38" s="97" t="str">
        <f>HYPERLINK(CONCATENATE(
BASE_URL,
"0x04e-Testing-Authentication-and-Session-Management.md#testing-stateless-token-based-authentication"),
"Testing Stateless Authentication")</f>
        <v>Testing Stateless Authentication</v>
      </c>
      <c r="H38" s="110"/>
      <c r="I38" s="115"/>
    </row>
    <row r="39" spans="2:11" x14ac:dyDescent="0.35">
      <c r="B39" s="68" t="s">
        <v>27</v>
      </c>
      <c r="C39" s="110" t="s">
        <v>191</v>
      </c>
      <c r="D39" s="25"/>
      <c r="E39" s="34"/>
      <c r="F39" s="29"/>
      <c r="G39" s="97" t="str">
        <f>HYPERLINK(
CONCATENATE(
BASE_URL,
"0x04e-Testing-Authentication-and-Session-Management.md#user-logout-and-session-timeouts"),
"Testing the Logout Functionality")</f>
        <v>Testing the Logout Functionality</v>
      </c>
      <c r="H39" s="110"/>
      <c r="I39" s="115"/>
      <c r="K39" s="38"/>
    </row>
    <row r="40" spans="2:11" x14ac:dyDescent="0.35">
      <c r="B40" s="68" t="s">
        <v>28</v>
      </c>
      <c r="C40" s="110" t="s">
        <v>192</v>
      </c>
      <c r="D40" s="25" t="s">
        <v>7</v>
      </c>
      <c r="E40" s="34" t="s">
        <v>7</v>
      </c>
      <c r="F40" s="29"/>
      <c r="G40" s="97" t="str">
        <f>HYPERLINK(CONCATENATE(
BASE_URL,
"0x04e-Testing-Authentication-and-Session-Management.md#best-practices-for-passwords"),
"Testing the Password Policy")</f>
        <v>Testing the Password Policy</v>
      </c>
      <c r="H40" s="110"/>
      <c r="I40" s="115"/>
      <c r="K40" s="38"/>
    </row>
    <row r="41" spans="2:11" ht="29" x14ac:dyDescent="0.35">
      <c r="B41" s="68" t="s">
        <v>57</v>
      </c>
      <c r="C41" s="110" t="s">
        <v>193</v>
      </c>
      <c r="D41" s="25" t="s">
        <v>7</v>
      </c>
      <c r="E41" s="34" t="s">
        <v>7</v>
      </c>
      <c r="F41" s="29"/>
      <c r="G41" s="97" t="str">
        <f>HYPERLINK(CONCATENATE(
BASE_URL,
"0x04e-Testing-Authentication-and-Session-Management.md#running-a-password-dictionary-attack"),
"Testing Excessive Login Attempts")</f>
        <v>Testing Excessive Login Attempts</v>
      </c>
      <c r="H41" s="110"/>
      <c r="I41" s="115"/>
    </row>
    <row r="42" spans="2:11" x14ac:dyDescent="0.35">
      <c r="B42" s="68" t="s">
        <v>58</v>
      </c>
      <c r="C42" s="110" t="s">
        <v>195</v>
      </c>
      <c r="D42" s="25" t="s">
        <v>7</v>
      </c>
      <c r="E42" s="34" t="s">
        <v>7</v>
      </c>
      <c r="F42" s="29"/>
      <c r="G42" s="97" t="str">
        <f>HYPERLINK(CONCATENATE(
BASE_URL,
"0x04e-Testing-Authentication-and-Session-Management.md#session-timeout"),
"Testing the Session Timeout")</f>
        <v>Testing the Session Timeout</v>
      </c>
      <c r="H42" s="99"/>
      <c r="I42" s="117"/>
    </row>
    <row r="43" spans="2:11" ht="29" x14ac:dyDescent="0.35">
      <c r="B43" s="68" t="s">
        <v>29</v>
      </c>
      <c r="C43" s="110" t="s">
        <v>194</v>
      </c>
      <c r="D43" s="37"/>
      <c r="E43" s="34" t="s">
        <v>7</v>
      </c>
      <c r="F43" s="29" t="s">
        <v>81</v>
      </c>
      <c r="G43" s="97" t="str">
        <f>HYPERLINK(CONCATENATE(
BASE_URL,
"0x06f-Testing-Local-Authentication.md#testing-local-authentication"),
"Testing Biometric Authentication")</f>
        <v>Testing Biometric Authentication</v>
      </c>
      <c r="H43" s="110"/>
      <c r="I43" s="115"/>
    </row>
    <row r="44" spans="2:11" x14ac:dyDescent="0.35">
      <c r="B44" s="68" t="s">
        <v>30</v>
      </c>
      <c r="C44" s="110" t="s">
        <v>196</v>
      </c>
      <c r="D44" s="37"/>
      <c r="E44" s="34" t="s">
        <v>7</v>
      </c>
      <c r="F44" s="29" t="s">
        <v>81</v>
      </c>
      <c r="G44" s="97" t="str">
        <f>HYPERLINK(CONCATENATE(
BASE_URL,
"0x04e-Testing-Authentication-and-Session-Management.md#verifying-that-2fa-is-enforced"),
"Testing 2-Factor Authentication")</f>
        <v>Testing 2-Factor Authentication</v>
      </c>
      <c r="H44" s="110"/>
      <c r="I44" s="115"/>
    </row>
    <row r="45" spans="2:11" x14ac:dyDescent="0.35">
      <c r="B45" s="68" t="s">
        <v>31</v>
      </c>
      <c r="C45" s="110" t="s">
        <v>197</v>
      </c>
      <c r="D45" s="37"/>
      <c r="E45" s="34" t="s">
        <v>7</v>
      </c>
      <c r="F45" s="29" t="s">
        <v>81</v>
      </c>
      <c r="G45" s="97" t="str">
        <f>HYPERLINK(CONCATENATE(
BASE_URL,
"0x04e-Testing-Authentication-and-Session-Management.md#2-factor-authentication-and-step-up-authentication"),
"Testing Step-up Authentication")</f>
        <v>Testing Step-up Authentication</v>
      </c>
      <c r="H45" s="110"/>
      <c r="I45" s="115"/>
    </row>
    <row r="46" spans="2:11" ht="29" x14ac:dyDescent="0.35">
      <c r="B46" s="68" t="s">
        <v>151</v>
      </c>
      <c r="C46" s="110" t="s">
        <v>198</v>
      </c>
      <c r="D46" s="37"/>
      <c r="E46" s="34" t="s">
        <v>7</v>
      </c>
      <c r="F46" s="29" t="s">
        <v>81</v>
      </c>
      <c r="G46" s="97" t="str">
        <f>HYPERLINK(CONCATENATE(
BASE_URL,
"0x04e-Testing-Authentication-and-Session-Management.md#login-activity-and-device-blocking"),
"Testing Login Activity and Device Blocking")</f>
        <v>Testing Login Activity and Device Blocking</v>
      </c>
      <c r="H46" s="110"/>
      <c r="I46" s="115"/>
    </row>
    <row r="47" spans="2:11" x14ac:dyDescent="0.35">
      <c r="B47" s="56" t="s">
        <v>32</v>
      </c>
      <c r="C47" s="96" t="s">
        <v>59</v>
      </c>
      <c r="D47" s="30"/>
      <c r="E47" s="36"/>
      <c r="F47" s="30"/>
      <c r="G47" s="96"/>
      <c r="H47" s="96"/>
      <c r="I47" s="114"/>
    </row>
    <row r="48" spans="2:11" x14ac:dyDescent="0.35">
      <c r="B48" s="68" t="s">
        <v>33</v>
      </c>
      <c r="C48" s="110" t="s">
        <v>199</v>
      </c>
      <c r="D48" s="25" t="s">
        <v>7</v>
      </c>
      <c r="E48" s="34" t="s">
        <v>7</v>
      </c>
      <c r="F48" s="29"/>
      <c r="G48" s="97" t="str">
        <f>HYPERLINK(CONCATENATE(
BASE_URL,
"0x04f-Testing-Network-Communication.md#verifying-data-encryption-on-the-network"),
"Testing for Unencrypted Sensitive Data on the Network")</f>
        <v>Testing for Unencrypted Sensitive Data on the Network</v>
      </c>
      <c r="H48" s="98" t="str">
        <f>HYPERLINK(CONCATENATE(
BASE_URL,
"0x06g-Testing-Network-Communication.md#app-transport-security"),
"App Transport Security (ATS)")</f>
        <v>App Transport Security (ATS)</v>
      </c>
      <c r="I48" s="120"/>
    </row>
    <row r="49" spans="2:9" ht="29" x14ac:dyDescent="0.35">
      <c r="B49" s="68" t="s">
        <v>60</v>
      </c>
      <c r="C49" s="110" t="s">
        <v>200</v>
      </c>
      <c r="D49" s="25" t="s">
        <v>7</v>
      </c>
      <c r="E49" s="34" t="s">
        <v>7</v>
      </c>
      <c r="F49" s="29"/>
      <c r="G49" s="97" t="str">
        <f>HYPERLINK(CONCATENATE(
BASE_URL,
"0x04f-Testing-Network-Communication.md#recommended-tls-settings"),
"Verifying the TLS Settings")</f>
        <v>Verifying the TLS Settings</v>
      </c>
      <c r="H49" s="98" t="str">
        <f>HYPERLINK(CONCATENATE(
BASE_URL,
"0x06g-Testing-Network-Communication.md#app-transport-security"),
"App Transport Security (ATS)")</f>
        <v>App Transport Security (ATS)</v>
      </c>
      <c r="I49" s="120"/>
    </row>
    <row r="50" spans="2:9" ht="29" x14ac:dyDescent="0.35">
      <c r="B50" s="68" t="s">
        <v>34</v>
      </c>
      <c r="C50" s="110" t="s">
        <v>201</v>
      </c>
      <c r="D50" s="25" t="s">
        <v>7</v>
      </c>
      <c r="E50" s="34" t="s">
        <v>7</v>
      </c>
      <c r="F50" s="29"/>
      <c r="G50" s="97" t="str">
        <f>HYPERLINK(CONCATENATE(
BASE_URL,
"0x06g-Testing-Network-Communication.md#testing-custom-certificate-stores-and-certificate-pinning"),
"Testing Custom Certificate Stores and SSL Pinning")</f>
        <v>Testing Custom Certificate Stores and SSL Pinning</v>
      </c>
      <c r="H50" s="98"/>
      <c r="I50" s="120"/>
    </row>
    <row r="51" spans="2:9" ht="29" x14ac:dyDescent="0.35">
      <c r="B51" s="68" t="s">
        <v>61</v>
      </c>
      <c r="C51" s="110" t="s">
        <v>202</v>
      </c>
      <c r="D51" s="37"/>
      <c r="E51" s="34" t="s">
        <v>7</v>
      </c>
      <c r="F51" s="29" t="s">
        <v>81</v>
      </c>
      <c r="G51" s="97" t="str">
        <f>HYPERLINK(CONCATENATE(
BASE_URL,
"0x06g-Testing-Network-Communication.md#testing-custom-certificate-stores-and-certificate-pinning"),
"Testing Custom Certificate Stores and SSL Pinning")</f>
        <v>Testing Custom Certificate Stores and SSL Pinning</v>
      </c>
      <c r="H51" s="110"/>
      <c r="I51" s="115"/>
    </row>
    <row r="52" spans="2:9" ht="29" x14ac:dyDescent="0.35">
      <c r="B52" s="68" t="s">
        <v>35</v>
      </c>
      <c r="C52" s="110" t="s">
        <v>203</v>
      </c>
      <c r="D52" s="37"/>
      <c r="E52" s="34" t="s">
        <v>7</v>
      </c>
      <c r="F52" s="29" t="s">
        <v>81</v>
      </c>
      <c r="G52" s="97"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110"/>
      <c r="I52" s="115"/>
    </row>
    <row r="53" spans="2:9" x14ac:dyDescent="0.35">
      <c r="B53" s="68" t="s">
        <v>228</v>
      </c>
      <c r="C53" s="110" t="s">
        <v>204</v>
      </c>
      <c r="D53" s="37"/>
      <c r="E53" s="34" t="s">
        <v>7</v>
      </c>
      <c r="F53" s="29" t="s">
        <v>81</v>
      </c>
      <c r="G53" s="98" t="str">
        <f>HYPERLINK(CONCATENATE(
BASE_URL,
"0x06i-Testing-Code-Quality-and-Build-Settings.md#checking-for-weaknesses-in-third-party-libraries"),
"Checking for Weaknesses in Third Party Libraries")</f>
        <v>Checking for Weaknesses in Third Party Libraries</v>
      </c>
      <c r="H53" s="110"/>
      <c r="I53" s="115"/>
    </row>
    <row r="54" spans="2:9" x14ac:dyDescent="0.35">
      <c r="B54" s="56" t="s">
        <v>36</v>
      </c>
      <c r="C54" s="96" t="s">
        <v>130</v>
      </c>
      <c r="D54" s="30"/>
      <c r="E54" s="36"/>
      <c r="F54" s="30"/>
      <c r="G54" s="96"/>
      <c r="H54" s="96"/>
      <c r="I54" s="114"/>
    </row>
    <row r="55" spans="2:9" x14ac:dyDescent="0.35">
      <c r="B55" s="68" t="s">
        <v>62</v>
      </c>
      <c r="C55" s="110" t="s">
        <v>205</v>
      </c>
      <c r="D55" s="25" t="s">
        <v>7</v>
      </c>
      <c r="E55" s="34" t="s">
        <v>7</v>
      </c>
      <c r="F55" s="29"/>
      <c r="G55" s="97" t="str">
        <f>HYPERLINK(CONCATENATE(
BASE_URL,
"0x06h-Testing-Platform-Interaction.md#testing-app-permissions"),
"Testing App Permissions")</f>
        <v>Testing App Permissions</v>
      </c>
      <c r="H55" s="110"/>
      <c r="I55" s="115"/>
    </row>
    <row r="56" spans="2:9" ht="29" x14ac:dyDescent="0.35">
      <c r="B56" s="68" t="s">
        <v>63</v>
      </c>
      <c r="C56" s="110" t="s">
        <v>206</v>
      </c>
      <c r="D56" s="25" t="s">
        <v>7</v>
      </c>
      <c r="E56" s="34" t="s">
        <v>7</v>
      </c>
      <c r="F56" s="29"/>
      <c r="G56" s="97" t="str">
        <f>HYPERLINK(CONCATENATE(
BASE_URL,
"0x04h-Testing-Code-Quality.md#injection-flaws"),
"Testing Input Validation and Sanitization")</f>
        <v>Testing Input Validation and Sanitization</v>
      </c>
      <c r="H56" s="110"/>
      <c r="I56" s="115"/>
    </row>
    <row r="57" spans="2:9" x14ac:dyDescent="0.35">
      <c r="B57" s="68" t="s">
        <v>64</v>
      </c>
      <c r="C57" s="110" t="s">
        <v>207</v>
      </c>
      <c r="D57" s="25" t="s">
        <v>7</v>
      </c>
      <c r="E57" s="34" t="s">
        <v>7</v>
      </c>
      <c r="F57" s="29"/>
      <c r="G57" s="97" t="str">
        <f>HYPERLINK(CONCATENATE(
BASE_URL,
"0x06h-Testing-Platform-Interaction.md#testing-custom-url-schemes"),
"Testing Custom URL Schemes")</f>
        <v>Testing Custom URL Schemes</v>
      </c>
      <c r="H57" s="110"/>
      <c r="I57" s="115"/>
    </row>
    <row r="58" spans="2:9" x14ac:dyDescent="0.35">
      <c r="B58" s="68" t="s">
        <v>65</v>
      </c>
      <c r="C58" s="110" t="s">
        <v>208</v>
      </c>
      <c r="D58" s="25" t="s">
        <v>7</v>
      </c>
      <c r="E58" s="34" t="s">
        <v>7</v>
      </c>
      <c r="F58" s="29"/>
      <c r="G58" s="98" t="str">
        <f>HYPERLINK(CONCATENATE(
BASE_URL,
"0x06h-Testing-Platform-Interaction.md#testing-for-sensitive-functionality-exposure-through-ipc"),
"Testing For Sensitive Functionality Exposure Through IPC")</f>
        <v>Testing For Sensitive Functionality Exposure Through IPC</v>
      </c>
      <c r="H58" s="110"/>
      <c r="I58" s="115"/>
    </row>
    <row r="59" spans="2:9" x14ac:dyDescent="0.35">
      <c r="B59" s="68" t="s">
        <v>66</v>
      </c>
      <c r="C59" s="110" t="s">
        <v>209</v>
      </c>
      <c r="D59" s="25" t="s">
        <v>7</v>
      </c>
      <c r="E59" s="34" t="s">
        <v>7</v>
      </c>
      <c r="F59" s="29"/>
      <c r="G59" s="97" t="str">
        <f>HYPERLINK(CONCATENATE(
BASE_URL,
"0x06h-Testing-Platform-Interaction.md#testing-ios-webviews"),
"Testing JavaScript Execution in WebViews")</f>
        <v>Testing JavaScript Execution in WebViews</v>
      </c>
      <c r="H59" s="110"/>
      <c r="I59" s="115"/>
    </row>
    <row r="60" spans="2:9" ht="29" x14ac:dyDescent="0.35">
      <c r="B60" s="68" t="s">
        <v>67</v>
      </c>
      <c r="C60" s="110" t="s">
        <v>210</v>
      </c>
      <c r="D60" s="25" t="s">
        <v>7</v>
      </c>
      <c r="E60" s="34" t="s">
        <v>7</v>
      </c>
      <c r="F60" s="29"/>
      <c r="G60" s="97" t="str">
        <f>HYPERLINK(CONCATENATE(
BASE_URL,
"0x06h-Testing-Platform-Interaction.md#testing-webview-protocol-handlers"),
"Testing WebView Protocol Handlers")</f>
        <v>Testing WebView Protocol Handlers</v>
      </c>
      <c r="H60" s="110"/>
      <c r="I60" s="115"/>
    </row>
    <row r="61" spans="2:9" ht="29" x14ac:dyDescent="0.35">
      <c r="B61" s="68" t="s">
        <v>227</v>
      </c>
      <c r="C61" s="110" t="s">
        <v>150</v>
      </c>
      <c r="D61" s="25" t="s">
        <v>7</v>
      </c>
      <c r="E61" s="34" t="s">
        <v>7</v>
      </c>
      <c r="F61" s="29"/>
      <c r="G61" s="97" t="str">
        <f>HYPERLINK(CONCATENATE(
BASE_URL,
"0x06h-Testing-Platform-Interaction.md#determining-whether-native-methods-are-exposed-through-webviews"),
"Testing Whether Native Methods Are Exposed Through WebViews")</f>
        <v>Testing Whether Native Methods Are Exposed Through WebViews</v>
      </c>
      <c r="H61" s="110"/>
      <c r="I61" s="115"/>
    </row>
    <row r="62" spans="2:9" x14ac:dyDescent="0.35">
      <c r="B62" s="68" t="s">
        <v>226</v>
      </c>
      <c r="C62" s="110" t="s">
        <v>211</v>
      </c>
      <c r="D62" s="25" t="s">
        <v>7</v>
      </c>
      <c r="E62" s="34" t="s">
        <v>7</v>
      </c>
      <c r="F62" s="29"/>
      <c r="G62" s="97" t="str">
        <f>HYPERLINK(CONCATENATE(
BASE_URL,
"0x06h-Testing-Platform-Interaction.md#testing-object-persistence"),
"Testing Object (De-)Serialization")</f>
        <v>Testing Object (De-)Serialization</v>
      </c>
      <c r="H62" s="110"/>
      <c r="I62" s="115"/>
    </row>
    <row r="63" spans="2:9" x14ac:dyDescent="0.35">
      <c r="B63" s="56" t="s">
        <v>37</v>
      </c>
      <c r="C63" s="96" t="s">
        <v>72</v>
      </c>
      <c r="D63" s="30"/>
      <c r="E63" s="36"/>
      <c r="F63" s="30"/>
      <c r="G63" s="96"/>
      <c r="H63" s="96"/>
      <c r="I63" s="114"/>
    </row>
    <row r="64" spans="2:9" x14ac:dyDescent="0.35">
      <c r="B64" s="68" t="s">
        <v>68</v>
      </c>
      <c r="C64" s="109" t="s">
        <v>212</v>
      </c>
      <c r="D64" s="25" t="s">
        <v>7</v>
      </c>
      <c r="E64" s="34" t="s">
        <v>7</v>
      </c>
      <c r="F64" s="29"/>
      <c r="G64" s="97" t="str">
        <f>HYPERLINK(CONCATENATE(
BASE_URL,
"0x06i-Testing-Code-Quality-and-Build-Settings.md#making-sure-that-the-app-is-properly-signed"),
"Verifying That the App is Properly Signed")</f>
        <v>Verifying That the App is Properly Signed</v>
      </c>
      <c r="H64" s="110"/>
      <c r="I64" s="115"/>
    </row>
    <row r="65" spans="2:9" x14ac:dyDescent="0.35">
      <c r="B65" s="68" t="s">
        <v>38</v>
      </c>
      <c r="C65" s="109" t="s">
        <v>213</v>
      </c>
      <c r="D65" s="25" t="s">
        <v>7</v>
      </c>
      <c r="E65" s="34" t="s">
        <v>7</v>
      </c>
      <c r="F65" s="29"/>
      <c r="G65" s="97" t="str">
        <f>HYPERLINK(CONCATENATE(
BASE_URL,
"0x06i-Testing-Code-Quality-and-Build-Settings.md#determining-whether-the-app-is-debuggable"),
"Testing If the App is Debuggable")</f>
        <v>Testing If the App is Debuggable</v>
      </c>
      <c r="H65" s="110"/>
      <c r="I65" s="115"/>
    </row>
    <row r="66" spans="2:9" x14ac:dyDescent="0.35">
      <c r="B66" s="68" t="s">
        <v>69</v>
      </c>
      <c r="C66" s="109" t="s">
        <v>214</v>
      </c>
      <c r="D66" s="25" t="s">
        <v>7</v>
      </c>
      <c r="E66" s="34" t="s">
        <v>7</v>
      </c>
      <c r="F66" s="29"/>
      <c r="G66" s="97" t="str">
        <f>HYPERLINK(CONCATENATE(
BASE_URL,
"0x06i-Testing-Code-Quality-and-Build-Settings.md#finding-debugging-symbols"),
"Testing for Debugging Symbols")</f>
        <v>Testing for Debugging Symbols</v>
      </c>
      <c r="H66" s="110"/>
      <c r="I66" s="115"/>
    </row>
    <row r="67" spans="2:9" x14ac:dyDescent="0.35">
      <c r="B67" s="68" t="s">
        <v>70</v>
      </c>
      <c r="C67" s="109" t="s">
        <v>215</v>
      </c>
      <c r="D67" s="25" t="s">
        <v>7</v>
      </c>
      <c r="E67" s="34" t="s">
        <v>7</v>
      </c>
      <c r="F67" s="29"/>
      <c r="G67" s="97" t="str">
        <f>HYPERLINK(CONCATENATE(
BASE_URL,
"0x06i-Testing-Code-Quality-and-Build-Settings.md#finding-debugging-code-and-verbose-error-logging"),
"Testing for Debugging Code and Verbose Error Logging")</f>
        <v>Testing for Debugging Code and Verbose Error Logging</v>
      </c>
      <c r="H67" s="110"/>
      <c r="I67" s="115"/>
    </row>
    <row r="68" spans="2:9" ht="29" x14ac:dyDescent="0.35">
      <c r="B68" s="68" t="s">
        <v>71</v>
      </c>
      <c r="C68" s="109" t="s">
        <v>216</v>
      </c>
      <c r="D68" s="25" t="s">
        <v>7</v>
      </c>
      <c r="E68" s="34" t="s">
        <v>7</v>
      </c>
      <c r="F68" s="29"/>
      <c r="G68" s="98" t="str">
        <f>HYPERLINK(CONCATENATE(
BASE_URL,
"0x06i-Testing-Code-Quality-and-Build-Settings.md#checking-for-weaknesses-in-third-party-libraries"),
"Testing for Weaknesses in Third Party Libraries")</f>
        <v>Testing for Weaknesses in Third Party Libraries</v>
      </c>
      <c r="H68" s="110"/>
      <c r="I68" s="115"/>
    </row>
    <row r="69" spans="2:9" x14ac:dyDescent="0.35">
      <c r="B69" s="68" t="s">
        <v>39</v>
      </c>
      <c r="C69" s="109" t="s">
        <v>217</v>
      </c>
      <c r="D69" s="25" t="s">
        <v>7</v>
      </c>
      <c r="E69" s="34" t="s">
        <v>7</v>
      </c>
      <c r="F69" s="29"/>
      <c r="G69" s="97" t="str">
        <f>HYPERLINK(CONCATENATE(
BASE_URL,
"0x06i-Testing-Code-Quality-and-Build-Settings.md#testing-exception-handling"),
"Testing Exception Handling")</f>
        <v>Testing Exception Handling</v>
      </c>
      <c r="H69" s="110"/>
      <c r="I69" s="115"/>
    </row>
    <row r="70" spans="2:9" x14ac:dyDescent="0.35">
      <c r="B70" s="68" t="s">
        <v>40</v>
      </c>
      <c r="C70" s="109" t="s">
        <v>218</v>
      </c>
      <c r="D70" s="25" t="s">
        <v>7</v>
      </c>
      <c r="E70" s="34" t="s">
        <v>7</v>
      </c>
      <c r="F70" s="29"/>
      <c r="G70" s="97" t="str">
        <f>HYPERLINK(CONCATENATE(
BASE_URL,
"0x06i-Testing-Code-Quality-and-Build-Settings.md#testing-exception-handling"),
"Testing  Error Handling in Security Controls")</f>
        <v>Testing  Error Handling in Security Controls</v>
      </c>
      <c r="H70" s="110"/>
      <c r="I70" s="115"/>
    </row>
    <row r="71" spans="2:9" x14ac:dyDescent="0.35">
      <c r="B71" s="68" t="s">
        <v>41</v>
      </c>
      <c r="C71" s="109" t="s">
        <v>219</v>
      </c>
      <c r="D71" s="25" t="s">
        <v>7</v>
      </c>
      <c r="E71" s="34" t="s">
        <v>7</v>
      </c>
      <c r="F71" s="29"/>
      <c r="G71" s="97" t="str">
        <f>HYPERLINK(CONCATENATE(
BASE_URL,
"0x06i-Testing-Code-Quality-and-Build-Settings.md#memory-corruption-bugs"),
"Testing for Memory Management Bugs")</f>
        <v>Testing for Memory Management Bugs</v>
      </c>
      <c r="H71" s="110"/>
      <c r="I71" s="115"/>
    </row>
    <row r="72" spans="2:9" ht="29" x14ac:dyDescent="0.35">
      <c r="B72" s="68" t="s">
        <v>153</v>
      </c>
      <c r="C72" s="109" t="s">
        <v>146</v>
      </c>
      <c r="D72" s="25" t="s">
        <v>7</v>
      </c>
      <c r="E72" s="34" t="s">
        <v>7</v>
      </c>
      <c r="F72" s="29"/>
      <c r="G72" s="97" t="str">
        <f>HYPERLINK(CONCATENATE(
BASE_URL,
"0x06i-Testing-Code-Quality-and-Build-Settings.md#make-sure-that-free-security-features-are-activated"),
"Verifying usage of Free Security Features")</f>
        <v>Verifying usage of Free Security Features</v>
      </c>
      <c r="H72" s="110"/>
      <c r="I72" s="115"/>
    </row>
    <row r="73" spans="2:9" x14ac:dyDescent="0.35">
      <c r="B73" s="59"/>
      <c r="C73" s="100"/>
      <c r="D73" s="31"/>
      <c r="E73" s="31"/>
      <c r="F73" s="31"/>
      <c r="G73" s="100"/>
      <c r="H73" s="122"/>
      <c r="I73" s="123"/>
    </row>
    <row r="74" spans="2:9" x14ac:dyDescent="0.35">
      <c r="B74" s="60"/>
      <c r="C74" s="101"/>
      <c r="D74" s="32"/>
      <c r="E74" s="32"/>
      <c r="F74" s="32"/>
      <c r="G74" s="101"/>
      <c r="H74" s="95"/>
      <c r="I74" s="101"/>
    </row>
    <row r="75" spans="2:9" x14ac:dyDescent="0.35">
      <c r="B75" s="60"/>
      <c r="C75" s="101"/>
      <c r="D75" s="32"/>
      <c r="E75" s="32"/>
      <c r="F75" s="32"/>
      <c r="G75" s="99"/>
      <c r="H75" s="95"/>
      <c r="I75" s="101"/>
    </row>
    <row r="76" spans="2:9" x14ac:dyDescent="0.35">
      <c r="B76" s="60"/>
      <c r="C76" s="101"/>
      <c r="D76" s="32"/>
      <c r="E76" s="32"/>
      <c r="F76" s="32"/>
      <c r="G76" s="101"/>
      <c r="H76" s="95"/>
      <c r="I76" s="101"/>
    </row>
    <row r="77" spans="2:9" x14ac:dyDescent="0.35">
      <c r="B77" s="61" t="s">
        <v>77</v>
      </c>
      <c r="C77" s="101"/>
      <c r="D77" s="32"/>
      <c r="E77" s="32"/>
      <c r="F77" s="32"/>
      <c r="G77" s="101"/>
      <c r="H77" s="95"/>
      <c r="I77" s="101"/>
    </row>
    <row r="78" spans="2:9" x14ac:dyDescent="0.35">
      <c r="B78" s="62" t="s">
        <v>78</v>
      </c>
      <c r="C78" s="111" t="s">
        <v>79</v>
      </c>
      <c r="D78" s="32"/>
      <c r="E78" s="32"/>
      <c r="F78" s="32"/>
      <c r="G78" s="101"/>
      <c r="H78" s="95"/>
      <c r="I78" s="101"/>
    </row>
    <row r="79" spans="2:9" x14ac:dyDescent="0.35">
      <c r="B79" s="63" t="s">
        <v>109</v>
      </c>
      <c r="C79" s="112" t="s">
        <v>80</v>
      </c>
      <c r="D79" s="32"/>
      <c r="E79" s="32"/>
      <c r="F79" s="32"/>
      <c r="G79" s="101"/>
      <c r="H79" s="95"/>
      <c r="I79" s="101"/>
    </row>
    <row r="80" spans="2:9" x14ac:dyDescent="0.35">
      <c r="B80" s="63" t="s">
        <v>110</v>
      </c>
      <c r="C80" s="112" t="s">
        <v>83</v>
      </c>
      <c r="D80" s="32"/>
      <c r="E80" s="32"/>
      <c r="F80" s="32"/>
      <c r="G80" s="101"/>
      <c r="H80" s="95"/>
      <c r="I80" s="101"/>
    </row>
    <row r="81" spans="2:9" x14ac:dyDescent="0.35">
      <c r="B81" s="63" t="s">
        <v>81</v>
      </c>
      <c r="C81" s="112" t="s">
        <v>82</v>
      </c>
      <c r="D81" s="32"/>
      <c r="E81" s="32"/>
      <c r="F81" s="32"/>
      <c r="G81" s="101"/>
      <c r="H81" s="95"/>
      <c r="I81" s="101"/>
    </row>
    <row r="82" spans="2:9" x14ac:dyDescent="0.35">
      <c r="B82" s="69"/>
      <c r="C82" s="102"/>
      <c r="D82" s="23"/>
      <c r="E82" s="23"/>
      <c r="F82" s="23"/>
      <c r="G82" s="102"/>
      <c r="H82" s="106"/>
      <c r="I82" s="102"/>
    </row>
    <row r="83" spans="2:9" x14ac:dyDescent="0.35">
      <c r="B83" s="69"/>
      <c r="C83" s="102"/>
      <c r="D83" s="23"/>
      <c r="E83" s="23"/>
      <c r="F83" s="23"/>
      <c r="G83" s="102"/>
      <c r="H83" s="106"/>
      <c r="I83" s="102"/>
    </row>
    <row r="84" spans="2:9" x14ac:dyDescent="0.35">
      <c r="B84" s="69"/>
      <c r="C84" s="102"/>
      <c r="D84" s="23"/>
      <c r="E84" s="23"/>
      <c r="F84" s="23"/>
      <c r="G84" s="102"/>
      <c r="H84" s="106"/>
      <c r="I84" s="102"/>
    </row>
    <row r="85" spans="2:9" x14ac:dyDescent="0.35">
      <c r="B85" s="69"/>
      <c r="C85" s="102"/>
      <c r="D85" s="23"/>
      <c r="E85" s="23"/>
      <c r="F85" s="23"/>
      <c r="G85" s="102"/>
      <c r="H85" s="106"/>
      <c r="I85" s="102"/>
    </row>
  </sheetData>
  <mergeCells count="1">
    <mergeCell ref="G3:H3"/>
  </mergeCells>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disablePrompts="1"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C18" sqref="C18"/>
    </sheetView>
  </sheetViews>
  <sheetFormatPr baseColWidth="10" defaultColWidth="11" defaultRowHeight="15.5" x14ac:dyDescent="0.35"/>
  <cols>
    <col min="1" max="1" width="1.83203125" customWidth="1"/>
    <col min="2" max="2" width="7.33203125" style="54" customWidth="1"/>
    <col min="3" max="3" width="93.33203125" style="103" customWidth="1"/>
    <col min="4" max="4" width="3" bestFit="1" customWidth="1"/>
    <col min="5" max="5" width="5.83203125" bestFit="1" customWidth="1"/>
    <col min="6" max="6" width="42.5" style="102" customWidth="1"/>
    <col min="7" max="7" width="30.6640625" style="103" customWidth="1"/>
  </cols>
  <sheetData>
    <row r="1" spans="2:7" ht="18.5" x14ac:dyDescent="0.45">
      <c r="B1" s="53" t="s">
        <v>131</v>
      </c>
      <c r="G1" s="102"/>
    </row>
    <row r="2" spans="2:7" x14ac:dyDescent="0.35">
      <c r="G2" s="102"/>
    </row>
    <row r="3" spans="2:7" x14ac:dyDescent="0.35">
      <c r="B3" s="55" t="s">
        <v>0</v>
      </c>
      <c r="C3" s="108" t="s">
        <v>43</v>
      </c>
      <c r="D3" s="26" t="s">
        <v>44</v>
      </c>
      <c r="E3" s="26" t="s">
        <v>107</v>
      </c>
      <c r="F3" s="113" t="s">
        <v>121</v>
      </c>
      <c r="G3" s="113" t="s">
        <v>108</v>
      </c>
    </row>
    <row r="4" spans="2:7" x14ac:dyDescent="0.35">
      <c r="B4" s="56"/>
      <c r="C4" s="96" t="s">
        <v>46</v>
      </c>
      <c r="D4" s="30"/>
      <c r="E4" s="30"/>
      <c r="F4" s="96"/>
      <c r="G4" s="114"/>
    </row>
    <row r="5" spans="2:7" ht="29" x14ac:dyDescent="0.35">
      <c r="B5" s="70" t="s">
        <v>236</v>
      </c>
      <c r="C5" s="110" t="s">
        <v>246</v>
      </c>
      <c r="D5" s="24" t="s">
        <v>7</v>
      </c>
      <c r="E5" s="29" t="s">
        <v>81</v>
      </c>
      <c r="F5" s="105" t="str">
        <f>HYPERLINK(CONCATENATE(
BASE_URL,
"0x06j-Testing-Resiliency-Against-Reverse-Engineering.md#jailbreak-detection"),
"Testing Jailbreak Detection")</f>
        <v>Testing Jailbreak Detection</v>
      </c>
      <c r="G5" s="115"/>
    </row>
    <row r="6" spans="2:7" ht="29" x14ac:dyDescent="0.35">
      <c r="B6" s="70" t="s">
        <v>237</v>
      </c>
      <c r="C6" s="110" t="s">
        <v>247</v>
      </c>
      <c r="D6" s="24" t="s">
        <v>7</v>
      </c>
      <c r="E6" s="29" t="s">
        <v>81</v>
      </c>
      <c r="F6" s="105" t="str">
        <f>HYPERLINK(CONCATENATE(
BASE_URL,
"0x06j-Testing-Resiliency-Against-Reverse-Engineering.md#anti-debugging-checks"),
"Testing Debugging Defenses")</f>
        <v>Testing Debugging Defenses</v>
      </c>
      <c r="G6" s="115"/>
    </row>
    <row r="7" spans="2:7" x14ac:dyDescent="0.35">
      <c r="B7" s="70" t="s">
        <v>238</v>
      </c>
      <c r="C7" s="110" t="s">
        <v>248</v>
      </c>
      <c r="D7" s="24" t="s">
        <v>7</v>
      </c>
      <c r="E7" s="29" t="s">
        <v>81</v>
      </c>
      <c r="F7" s="105" t="str">
        <f>HYPERLINK(CONCATENATE(
BASE_URL,
"0x06j-Testing-Resiliency-Against-Reverse-Engineering.md#file-integrity-checks"),
"Testing File Integrity Checks")</f>
        <v>Testing File Integrity Checks</v>
      </c>
      <c r="G7" s="115"/>
    </row>
    <row r="8" spans="2:7" x14ac:dyDescent="0.35">
      <c r="B8" s="70" t="s">
        <v>239</v>
      </c>
      <c r="C8" s="110" t="s">
        <v>249</v>
      </c>
      <c r="D8" s="24" t="s">
        <v>7</v>
      </c>
      <c r="E8" s="29" t="s">
        <v>81</v>
      </c>
      <c r="F8" s="95" t="s">
        <v>129</v>
      </c>
      <c r="G8" s="115"/>
    </row>
    <row r="9" spans="2:7" x14ac:dyDescent="0.35">
      <c r="B9" s="70" t="s">
        <v>240</v>
      </c>
      <c r="C9" s="110" t="s">
        <v>250</v>
      </c>
      <c r="D9" s="24" t="s">
        <v>7</v>
      </c>
      <c r="E9" s="29" t="s">
        <v>81</v>
      </c>
      <c r="F9" s="95" t="s">
        <v>129</v>
      </c>
      <c r="G9" s="115"/>
    </row>
    <row r="10" spans="2:7" x14ac:dyDescent="0.35">
      <c r="B10" s="70" t="s">
        <v>241</v>
      </c>
      <c r="C10" s="110" t="s">
        <v>251</v>
      </c>
      <c r="D10" s="24" t="s">
        <v>7</v>
      </c>
      <c r="E10" s="29" t="s">
        <v>81</v>
      </c>
      <c r="F10" s="95" t="s">
        <v>129</v>
      </c>
      <c r="G10" s="115"/>
    </row>
    <row r="11" spans="2:7" ht="29" x14ac:dyDescent="0.35">
      <c r="B11" s="70" t="s">
        <v>242</v>
      </c>
      <c r="C11" s="110" t="s">
        <v>252</v>
      </c>
      <c r="D11" s="24" t="s">
        <v>7</v>
      </c>
      <c r="E11" s="29" t="s">
        <v>81</v>
      </c>
      <c r="F11" s="95" t="s">
        <v>129</v>
      </c>
      <c r="G11" s="115"/>
    </row>
    <row r="12" spans="2:7" x14ac:dyDescent="0.35">
      <c r="B12" s="70" t="s">
        <v>243</v>
      </c>
      <c r="C12" s="110" t="s">
        <v>253</v>
      </c>
      <c r="D12" s="24" t="s">
        <v>7</v>
      </c>
      <c r="E12" s="29" t="s">
        <v>81</v>
      </c>
      <c r="F12" s="95" t="s">
        <v>129</v>
      </c>
      <c r="G12" s="115"/>
    </row>
    <row r="13" spans="2:7" x14ac:dyDescent="0.35">
      <c r="B13" s="70" t="s">
        <v>155</v>
      </c>
      <c r="C13" s="110" t="s">
        <v>254</v>
      </c>
      <c r="D13" s="24" t="s">
        <v>7</v>
      </c>
      <c r="E13" s="29" t="s">
        <v>81</v>
      </c>
      <c r="F13" s="95" t="s">
        <v>129</v>
      </c>
      <c r="G13" s="115"/>
    </row>
    <row r="14" spans="2:7" x14ac:dyDescent="0.35">
      <c r="B14" s="56"/>
      <c r="C14" s="96" t="s">
        <v>45</v>
      </c>
      <c r="D14" s="30"/>
      <c r="E14" s="30"/>
      <c r="F14" s="96"/>
      <c r="G14" s="114"/>
    </row>
    <row r="15" spans="2:7" ht="29" x14ac:dyDescent="0.35">
      <c r="B15" s="58" t="s">
        <v>73</v>
      </c>
      <c r="C15" s="110" t="s">
        <v>255</v>
      </c>
      <c r="D15" s="24" t="s">
        <v>7</v>
      </c>
      <c r="E15" s="29" t="s">
        <v>81</v>
      </c>
      <c r="F15" s="105" t="str">
        <f>HYPERLINK(CONCATENATE(
BASE_URL,
"0x06j-Testing-Resiliency-Against-Reverse-Engineering.md#device-binding"),
"Testing Device Binding")</f>
        <v>Testing Device Binding</v>
      </c>
      <c r="G15" s="115"/>
    </row>
    <row r="16" spans="2:7" x14ac:dyDescent="0.35">
      <c r="B16" s="56"/>
      <c r="C16" s="96" t="s">
        <v>47</v>
      </c>
      <c r="D16" s="30"/>
      <c r="E16" s="30"/>
      <c r="F16" s="96"/>
      <c r="G16" s="114"/>
    </row>
    <row r="17" spans="2:7" ht="43.5" x14ac:dyDescent="0.35">
      <c r="B17" s="70" t="s">
        <v>244</v>
      </c>
      <c r="C17" s="110" t="s">
        <v>256</v>
      </c>
      <c r="D17" s="24" t="s">
        <v>7</v>
      </c>
      <c r="E17" s="29" t="s">
        <v>81</v>
      </c>
      <c r="F17" s="95" t="s">
        <v>129</v>
      </c>
      <c r="G17" s="115"/>
    </row>
    <row r="18" spans="2:7" ht="58" x14ac:dyDescent="0.35">
      <c r="B18" s="70" t="s">
        <v>245</v>
      </c>
      <c r="C18" s="110" t="s">
        <v>257</v>
      </c>
      <c r="D18" s="24" t="s">
        <v>7</v>
      </c>
      <c r="E18" s="29" t="s">
        <v>81</v>
      </c>
      <c r="F18" s="95" t="s">
        <v>129</v>
      </c>
      <c r="G18" s="115"/>
    </row>
    <row r="19" spans="2:7" x14ac:dyDescent="0.35">
      <c r="B19" s="59"/>
      <c r="C19" s="100"/>
      <c r="D19" s="31"/>
      <c r="E19" s="31"/>
      <c r="F19" s="116"/>
      <c r="G19" s="116"/>
    </row>
    <row r="20" spans="2:7" x14ac:dyDescent="0.35">
      <c r="B20" s="60"/>
      <c r="C20" s="101"/>
      <c r="D20" s="32"/>
      <c r="E20" s="32"/>
      <c r="F20" s="101"/>
      <c r="G20" s="101"/>
    </row>
    <row r="21" spans="2:7" x14ac:dyDescent="0.35">
      <c r="B21" s="60"/>
      <c r="C21" s="101"/>
      <c r="D21" s="32"/>
      <c r="E21" s="32"/>
      <c r="F21" s="101"/>
      <c r="G21" s="101"/>
    </row>
    <row r="22" spans="2:7" x14ac:dyDescent="0.35">
      <c r="B22" s="61" t="s">
        <v>77</v>
      </c>
      <c r="C22" s="101"/>
      <c r="D22" s="32"/>
      <c r="E22" s="32"/>
      <c r="F22" s="101"/>
      <c r="G22" s="101"/>
    </row>
    <row r="23" spans="2:7" x14ac:dyDescent="0.35">
      <c r="B23" s="62" t="s">
        <v>78</v>
      </c>
      <c r="C23" s="111" t="s">
        <v>79</v>
      </c>
      <c r="D23" s="32"/>
      <c r="E23" s="32"/>
      <c r="F23" s="101"/>
      <c r="G23" s="101"/>
    </row>
    <row r="24" spans="2:7" x14ac:dyDescent="0.35">
      <c r="B24" s="63" t="s">
        <v>109</v>
      </c>
      <c r="C24" s="112" t="s">
        <v>80</v>
      </c>
      <c r="D24" s="32"/>
      <c r="E24" s="32"/>
      <c r="F24" s="101"/>
      <c r="G24" s="101"/>
    </row>
    <row r="25" spans="2:7" x14ac:dyDescent="0.35">
      <c r="B25" s="63" t="s">
        <v>110</v>
      </c>
      <c r="C25" s="112" t="s">
        <v>83</v>
      </c>
      <c r="D25" s="32"/>
      <c r="E25" s="32"/>
      <c r="F25" s="101"/>
      <c r="G25" s="101"/>
    </row>
    <row r="26" spans="2:7" x14ac:dyDescent="0.35">
      <c r="B26" s="63" t="s">
        <v>81</v>
      </c>
      <c r="C26" s="112" t="s">
        <v>82</v>
      </c>
      <c r="D26" s="32"/>
      <c r="E26" s="32"/>
      <c r="F26" s="101"/>
      <c r="G26" s="101"/>
    </row>
    <row r="27" spans="2:7" x14ac:dyDescent="0.35">
      <c r="B27" s="60"/>
      <c r="C27" s="101"/>
      <c r="D27" s="32"/>
      <c r="E27" s="32"/>
      <c r="F27" s="101"/>
      <c r="G27" s="102"/>
    </row>
    <row r="28" spans="2:7" x14ac:dyDescent="0.35">
      <c r="B28" s="60"/>
      <c r="C28" s="101"/>
      <c r="D28" s="32"/>
      <c r="E28" s="32"/>
      <c r="F28" s="101"/>
      <c r="G28" s="102"/>
    </row>
    <row r="29" spans="2:7" x14ac:dyDescent="0.35">
      <c r="B29" s="60"/>
      <c r="C29" s="101"/>
      <c r="D29" s="32"/>
      <c r="E29" s="32"/>
      <c r="F29" s="101"/>
      <c r="G29" s="102"/>
    </row>
    <row r="30" spans="2:7" x14ac:dyDescent="0.35">
      <c r="B30" s="60"/>
      <c r="C30" s="101"/>
      <c r="D30" s="32"/>
      <c r="E30" s="32"/>
      <c r="F30" s="101"/>
    </row>
    <row r="31" spans="2:7" x14ac:dyDescent="0.35">
      <c r="B31" s="60"/>
      <c r="C31" s="101"/>
      <c r="D31" s="32"/>
      <c r="E31" s="32"/>
      <c r="F31" s="101"/>
    </row>
    <row r="32" spans="2:7" x14ac:dyDescent="0.35">
      <c r="B32" s="60"/>
      <c r="C32" s="101"/>
      <c r="D32" s="32"/>
      <c r="E32" s="32"/>
      <c r="F32" s="101"/>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0"/>
  <sheetViews>
    <sheetView showGridLines="0" topLeftCell="A14" zoomScale="57" zoomScaleNormal="57" workbookViewId="0">
      <selection activeCell="E20" sqref="E20"/>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170" t="s">
        <v>74</v>
      </c>
      <c r="B1" s="170"/>
      <c r="C1" s="51"/>
      <c r="D1" s="33"/>
      <c r="E1" s="33"/>
    </row>
    <row r="2" spans="1:5" x14ac:dyDescent="0.35">
      <c r="A2" s="44" t="s">
        <v>138</v>
      </c>
      <c r="B2" s="44" t="s">
        <v>100</v>
      </c>
      <c r="C2" s="44" t="s">
        <v>224</v>
      </c>
      <c r="D2" s="44" t="s">
        <v>139</v>
      </c>
      <c r="E2" s="45" t="s">
        <v>108</v>
      </c>
    </row>
    <row r="3" spans="1:5" x14ac:dyDescent="0.35">
      <c r="A3" s="42" t="s">
        <v>75</v>
      </c>
      <c r="B3" s="46">
        <v>0.1</v>
      </c>
      <c r="C3" s="46"/>
      <c r="D3" s="43">
        <v>42765</v>
      </c>
      <c r="E3" s="41" t="s">
        <v>140</v>
      </c>
    </row>
    <row r="4" spans="1:5" x14ac:dyDescent="0.35">
      <c r="A4" s="41" t="s">
        <v>76</v>
      </c>
      <c r="B4" s="46">
        <v>0.2</v>
      </c>
      <c r="C4" s="46"/>
      <c r="D4" s="43">
        <v>42766</v>
      </c>
      <c r="E4" s="41" t="s">
        <v>141</v>
      </c>
    </row>
    <row r="5" spans="1:5" x14ac:dyDescent="0.35">
      <c r="A5" s="41" t="s">
        <v>119</v>
      </c>
      <c r="B5" s="46">
        <v>0.3</v>
      </c>
      <c r="C5" s="46"/>
      <c r="D5" s="43">
        <v>42778</v>
      </c>
      <c r="E5" s="41" t="s">
        <v>142</v>
      </c>
    </row>
    <row r="6" spans="1:5" x14ac:dyDescent="0.35">
      <c r="A6" s="41" t="s">
        <v>120</v>
      </c>
      <c r="B6" s="46" t="s">
        <v>134</v>
      </c>
      <c r="C6" s="46"/>
      <c r="D6" s="43">
        <v>42780</v>
      </c>
      <c r="E6" s="41" t="s">
        <v>143</v>
      </c>
    </row>
    <row r="7" spans="1:5" x14ac:dyDescent="0.35">
      <c r="A7" s="41" t="s">
        <v>76</v>
      </c>
      <c r="B7" s="47" t="s">
        <v>144</v>
      </c>
      <c r="C7" s="47"/>
      <c r="D7" s="43">
        <v>42781</v>
      </c>
      <c r="E7" s="41" t="s">
        <v>145</v>
      </c>
    </row>
    <row r="8" spans="1:5" x14ac:dyDescent="0.35">
      <c r="A8" s="41" t="s">
        <v>120</v>
      </c>
      <c r="B8" s="47" t="s">
        <v>147</v>
      </c>
      <c r="C8" s="47"/>
      <c r="D8" s="43">
        <v>42829</v>
      </c>
      <c r="E8" s="41" t="s">
        <v>148</v>
      </c>
    </row>
    <row r="9" spans="1:5" x14ac:dyDescent="0.35">
      <c r="A9" s="41" t="s">
        <v>76</v>
      </c>
      <c r="B9" s="47" t="s">
        <v>147</v>
      </c>
      <c r="C9" s="47"/>
      <c r="D9" s="43">
        <v>42919</v>
      </c>
      <c r="E9" s="41" t="s">
        <v>152</v>
      </c>
    </row>
    <row r="10" spans="1:5" x14ac:dyDescent="0.35">
      <c r="A10" s="41" t="s">
        <v>76</v>
      </c>
      <c r="B10" s="47" t="s">
        <v>156</v>
      </c>
      <c r="C10" s="47"/>
      <c r="D10" s="43">
        <v>42963</v>
      </c>
      <c r="E10" s="41" t="s">
        <v>154</v>
      </c>
    </row>
    <row r="11" spans="1:5" x14ac:dyDescent="0.35">
      <c r="A11" s="41" t="s">
        <v>76</v>
      </c>
      <c r="B11" s="50" t="s">
        <v>157</v>
      </c>
      <c r="C11" s="50"/>
      <c r="D11" s="43">
        <v>43113</v>
      </c>
      <c r="E11" s="41" t="s">
        <v>158</v>
      </c>
    </row>
    <row r="12" spans="1:5" x14ac:dyDescent="0.35">
      <c r="A12" s="41" t="s">
        <v>76</v>
      </c>
      <c r="B12" s="50">
        <v>1.1000000000000001</v>
      </c>
      <c r="C12" s="50"/>
      <c r="D12" s="43">
        <v>43289</v>
      </c>
      <c r="E12" s="41" t="s">
        <v>159</v>
      </c>
    </row>
    <row r="13" spans="1:5" x14ac:dyDescent="0.35">
      <c r="A13" s="86" t="s">
        <v>261</v>
      </c>
      <c r="B13" s="87" t="s">
        <v>263</v>
      </c>
      <c r="C13" s="91"/>
      <c r="D13" s="88">
        <v>43464</v>
      </c>
      <c r="E13" s="89" t="s">
        <v>277</v>
      </c>
    </row>
    <row r="14" spans="1:5" x14ac:dyDescent="0.35">
      <c r="A14" s="86" t="s">
        <v>262</v>
      </c>
      <c r="B14" s="87" t="s">
        <v>264</v>
      </c>
      <c r="C14" s="91"/>
      <c r="D14" s="88">
        <v>43469</v>
      </c>
      <c r="E14" s="89" t="s">
        <v>277</v>
      </c>
    </row>
    <row r="15" spans="1:5" ht="409" customHeight="1" x14ac:dyDescent="0.35">
      <c r="A15" s="52" t="s">
        <v>225</v>
      </c>
      <c r="B15" s="50" t="s">
        <v>266</v>
      </c>
      <c r="C15" s="50" t="s">
        <v>222</v>
      </c>
      <c r="D15" s="43">
        <v>43471</v>
      </c>
      <c r="E15" s="52" t="s">
        <v>258</v>
      </c>
    </row>
    <row r="16" spans="1:5" x14ac:dyDescent="0.35">
      <c r="A16" s="86" t="s">
        <v>261</v>
      </c>
      <c r="B16" s="87" t="s">
        <v>267</v>
      </c>
      <c r="C16" s="50" t="s">
        <v>222</v>
      </c>
      <c r="D16" s="90">
        <v>43475</v>
      </c>
      <c r="E16" s="89" t="s">
        <v>276</v>
      </c>
    </row>
    <row r="17" spans="1:5" ht="77.5" x14ac:dyDescent="0.35">
      <c r="A17" s="52" t="s">
        <v>225</v>
      </c>
      <c r="B17" s="87" t="s">
        <v>268</v>
      </c>
      <c r="C17" s="50" t="s">
        <v>222</v>
      </c>
      <c r="D17" s="43">
        <v>43476</v>
      </c>
      <c r="E17" s="92" t="s">
        <v>270</v>
      </c>
    </row>
    <row r="18" spans="1:5" ht="46.5" x14ac:dyDescent="0.35">
      <c r="A18" s="52" t="s">
        <v>225</v>
      </c>
      <c r="B18" s="87" t="s">
        <v>269</v>
      </c>
      <c r="C18" s="50" t="s">
        <v>222</v>
      </c>
      <c r="D18" s="43">
        <v>43478</v>
      </c>
      <c r="E18" s="92" t="s">
        <v>271</v>
      </c>
    </row>
    <row r="19" spans="1:5" ht="46.5" x14ac:dyDescent="0.35">
      <c r="A19" s="52" t="s">
        <v>225</v>
      </c>
      <c r="B19" s="87" t="s">
        <v>272</v>
      </c>
      <c r="C19" s="50" t="s">
        <v>222</v>
      </c>
      <c r="D19" s="43">
        <v>43478</v>
      </c>
      <c r="E19" s="92" t="s">
        <v>274</v>
      </c>
    </row>
    <row r="20" spans="1:5" x14ac:dyDescent="0.35">
      <c r="A20" s="52" t="s">
        <v>261</v>
      </c>
      <c r="B20" s="87" t="s">
        <v>278</v>
      </c>
      <c r="C20" s="50" t="s">
        <v>222</v>
      </c>
      <c r="D20" s="43"/>
      <c r="E20" s="92" t="s">
        <v>279</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2019-06-25T09:59:25Z</dcterms:modified>
</cp:coreProperties>
</file>