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showInkAnnotation="0" codeName="ThisWorkbook" autoCompressPictures="0"/>
  <mc:AlternateContent xmlns:mc="http://schemas.openxmlformats.org/markup-compatibility/2006">
    <mc:Choice Requires="x15">
      <x15ac:absPath xmlns:x15ac="http://schemas.microsoft.com/office/spreadsheetml/2010/11/ac" url="D:\projects\MASVS_MSTG\owasp-mstg\Checklists\"/>
    </mc:Choice>
  </mc:AlternateContent>
  <xr:revisionPtr revIDLastSave="0" documentId="13_ncr:1_{02569E04-4A59-4215-A33C-D36B9415AA11}" xr6:coauthVersionLast="40" xr6:coauthVersionMax="40" xr10:uidLastSave="{00000000-0000-0000-0000-000000000000}"/>
  <bookViews>
    <workbookView xWindow="0" yWindow="0" windowWidth="20490" windowHeight="6945" tabRatio="500" firstSheet="3" activeTab="5" xr2:uid="{00000000-000D-0000-FFFF-FFFF00000000}"/>
  </bookViews>
  <sheets>
    <sheet name="Tableau de Bord" sheetId="6" r:id="rId1"/>
    <sheet name="Synthèse" sheetId="7" r:id="rId2"/>
    <sheet name="Exigences de Sécurité - Android" sheetId="10" r:id="rId3"/>
    <sheet name="Anti-RE - Android" sheetId="11" r:id="rId4"/>
    <sheet name="Exigences de Sécurité - IOS" sheetId="14" r:id="rId5"/>
    <sheet name="Anti-RE - IOS" sheetId="15" r:id="rId6"/>
    <sheet name="Historique des versions" sheetId="2" r:id="rId7"/>
  </sheets>
  <definedNames>
    <definedName name="_xlnm._FilterDatabase" localSheetId="2" hidden="1">'Exigences de Sécurité - Android'!$B$3:$H$72</definedName>
    <definedName name="_xlnm._FilterDatabase" localSheetId="4" hidden="1">'Exigences de Sécurité - IOS'!$B$3:$H$72</definedName>
    <definedName name="BASE_URL">'Tableau de Bord'!$D$12</definedName>
    <definedName name="VERSION_MASVS">'Tableau de Bord'!$D$11</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3" i="11" l="1"/>
  <c r="F15" i="15"/>
  <c r="F15" i="11"/>
  <c r="F7" i="15"/>
  <c r="F7" i="11"/>
  <c r="F6" i="15"/>
  <c r="F6" i="11"/>
  <c r="F5" i="15"/>
  <c r="F5" i="11"/>
  <c r="G71" i="10"/>
  <c r="G72" i="14"/>
  <c r="G72" i="10"/>
  <c r="G69" i="14"/>
  <c r="G69" i="10"/>
  <c r="G67" i="14"/>
  <c r="G67" i="10"/>
  <c r="G66" i="14"/>
  <c r="G66" i="10"/>
  <c r="G65" i="14"/>
  <c r="G65" i="10"/>
  <c r="G64" i="14"/>
  <c r="G64" i="10"/>
  <c r="G62" i="14"/>
  <c r="G62" i="10"/>
  <c r="G59" i="14"/>
  <c r="G59" i="10"/>
  <c r="G61" i="14"/>
  <c r="G61" i="10"/>
  <c r="G60" i="14"/>
  <c r="G60" i="10"/>
  <c r="G57" i="14"/>
  <c r="G57" i="10"/>
  <c r="G56" i="10"/>
  <c r="G55" i="14"/>
  <c r="G55" i="10"/>
  <c r="G53" i="10"/>
  <c r="G52" i="10"/>
  <c r="G51" i="14"/>
  <c r="G51" i="10"/>
  <c r="G50" i="14"/>
  <c r="G50" i="10"/>
  <c r="G49" i="14"/>
  <c r="G49" i="10"/>
  <c r="G48" i="14"/>
  <c r="G48" i="10"/>
  <c r="G43" i="14"/>
  <c r="G26" i="14"/>
  <c r="G32" i="14"/>
  <c r="G34" i="14"/>
  <c r="G33" i="14"/>
  <c r="G31" i="14"/>
  <c r="G30" i="14"/>
  <c r="G29" i="14"/>
  <c r="G25" i="14"/>
  <c r="G24" i="14"/>
  <c r="G23" i="14"/>
  <c r="G22" i="14"/>
  <c r="G21" i="14"/>
  <c r="G20" i="14"/>
  <c r="G19" i="14"/>
  <c r="G18" i="14"/>
  <c r="G17" i="14"/>
  <c r="G16" i="14"/>
  <c r="F9" i="11" l="1"/>
  <c r="F10" i="11"/>
  <c r="F8" i="11"/>
  <c r="G58" i="10" l="1"/>
  <c r="G41" i="10" l="1"/>
  <c r="G45" i="10"/>
  <c r="G44" i="10"/>
  <c r="G40" i="10"/>
  <c r="G36" i="10"/>
  <c r="G46" i="10"/>
  <c r="G38" i="10"/>
  <c r="G37" i="10"/>
  <c r="G39" i="10"/>
  <c r="G42" i="10"/>
  <c r="G43" i="10" l="1"/>
  <c r="G33" i="10"/>
  <c r="G34" i="10"/>
  <c r="G32" i="10"/>
  <c r="G31" i="10"/>
  <c r="G30" i="10"/>
  <c r="G29" i="10"/>
  <c r="G26" i="10"/>
  <c r="G25" i="10"/>
  <c r="G24" i="10"/>
  <c r="G23" i="10"/>
  <c r="G22" i="10"/>
  <c r="G21" i="10"/>
  <c r="G20" i="10"/>
  <c r="G19" i="10"/>
  <c r="G18" i="10"/>
  <c r="G17" i="10"/>
  <c r="G16" i="10"/>
  <c r="D12" i="6"/>
  <c r="H47" i="7" l="1"/>
  <c r="H43" i="7" l="1"/>
  <c r="I43" i="7"/>
  <c r="H44" i="7"/>
  <c r="I44" i="7"/>
  <c r="H45" i="7"/>
  <c r="I45" i="7"/>
  <c r="H46" i="7"/>
  <c r="I46" i="7"/>
  <c r="I47" i="7"/>
  <c r="K47" i="7"/>
  <c r="H48" i="7"/>
  <c r="I48" i="7"/>
  <c r="H49" i="7"/>
  <c r="I49" i="7"/>
  <c r="H50" i="7"/>
  <c r="I50" i="7"/>
  <c r="G43" i="7"/>
  <c r="G44" i="7"/>
  <c r="G45" i="7"/>
  <c r="G46" i="7"/>
  <c r="G8" i="7" s="1"/>
  <c r="G47" i="7"/>
  <c r="G48" i="7"/>
  <c r="G49" i="7"/>
  <c r="G50" i="7"/>
  <c r="J44" i="7"/>
  <c r="F49" i="7"/>
  <c r="F48" i="7"/>
  <c r="J50" i="7"/>
  <c r="J49" i="7"/>
  <c r="J48" i="7"/>
  <c r="J47" i="7"/>
  <c r="J46" i="7"/>
  <c r="J45" i="7"/>
  <c r="J43" i="7"/>
  <c r="F50" i="7"/>
  <c r="F47" i="7"/>
  <c r="F46" i="7"/>
  <c r="F45" i="7"/>
  <c r="F44" i="7"/>
  <c r="F43" i="7"/>
  <c r="K50" i="7" l="1"/>
  <c r="K44" i="7"/>
  <c r="K48" i="7"/>
  <c r="K46" i="7"/>
  <c r="K49" i="7"/>
  <c r="K45" i="7"/>
  <c r="K43" i="7"/>
  <c r="V8" i="7" s="1"/>
</calcChain>
</file>

<file path=xl/sharedStrings.xml><?xml version="1.0" encoding="utf-8"?>
<sst xmlns="http://schemas.openxmlformats.org/spreadsheetml/2006/main" count="781" uniqueCount="260">
  <si>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</si>
  <si>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</si>
  <si>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</si>
  <si>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</si>
  <si>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</si>
  <si>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</si>
  <si>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</si>
  <si>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</si>
  <si>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</si>
  <si>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</si>
  <si>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</si>
  <si>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</si>
  <si>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</si>
  <si>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</si>
  <si>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</si>
  <si>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</si>
  <si>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</si>
  <si>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</si>
  <si>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</si>
  <si>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</si>
  <si>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</si>
  <si>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</si>
  <si>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</si>
  <si>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</si>
  <si>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</si>
  <si>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</si>
  <si>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</si>
  <si>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</si>
  <si>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</si>
  <si>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</si>
  <si>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</si>
  <si>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</si>
  <si>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</si>
  <si>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</si>
  <si>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</si>
  <si>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</si>
  <si>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</si>
  <si>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</si>
  <si>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</si>
  <si>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</si>
  <si>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</si>
  <si>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</si>
  <si>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</si>
  <si>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</si>
  <si>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</si>
  <si>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</si>
  <si>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</si>
  <si>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</si>
  <si>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</si>
  <si>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</si>
  <si>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</si>
  <si>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</si>
  <si>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</si>
  <si>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</si>
  <si>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</si>
  <si>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</si>
  <si>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</si>
  <si>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</si>
  <si>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</si>
  <si>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</si>
  <si>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</si>
  <si>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Alexander Antukh (Opera Software)</t>
  </si>
  <si>
    <t xml:space="preserve">Sven Schleier </t>
  </si>
  <si>
    <t>N/A</t>
  </si>
  <si>
    <t>Version</t>
  </si>
  <si>
    <t>`</t>
  </si>
  <si>
    <t/>
  </si>
  <si>
    <t>P</t>
  </si>
  <si>
    <t>F</t>
  </si>
  <si>
    <t>NA</t>
  </si>
  <si>
    <t>%</t>
  </si>
  <si>
    <t>Android</t>
  </si>
  <si>
    <t>iOS</t>
  </si>
  <si>
    <t>Abdessamad Temmar</t>
  </si>
  <si>
    <t>Bernhard Mueller</t>
  </si>
  <si>
    <t>-</t>
  </si>
  <si>
    <t>Testing For Sensitive Functionality Exposure Through IPC</t>
  </si>
  <si>
    <t>0.8.1</t>
  </si>
  <si>
    <t>Date</t>
  </si>
  <si>
    <t>0.9.2</t>
  </si>
  <si>
    <t>0.9.3</t>
  </si>
  <si>
    <t>4.11</t>
  </si>
  <si>
    <t>7.9</t>
  </si>
  <si>
    <t>6.7.</t>
  </si>
  <si>
    <t>0.9.4</t>
  </si>
  <si>
    <t>1.0</t>
  </si>
  <si>
    <t>Nom du client:</t>
  </si>
  <si>
    <t>Date de début:</t>
  </si>
  <si>
    <t>Nom du Testeur:</t>
  </si>
  <si>
    <t>Nom du fichier</t>
  </si>
  <si>
    <t>Score de conformité du MASVS ( / 5)</t>
  </si>
  <si>
    <t>Sommaire</t>
  </si>
  <si>
    <t>V4: Authentification et Gestion des Sessions</t>
  </si>
  <si>
    <t>V8: Résilience Contre la Rétro-ingénierie</t>
  </si>
  <si>
    <t>Niveau 1</t>
  </si>
  <si>
    <t>Niveau 2</t>
  </si>
  <si>
    <t>Statut</t>
  </si>
  <si>
    <t>Cryptographie</t>
  </si>
  <si>
    <t>Vérification que l'utilisateur a été authentifier proprement.</t>
  </si>
  <si>
    <t>Communication Réseau</t>
  </si>
  <si>
    <t>Tester l'Authentification sans état (stateless/passive).</t>
  </si>
  <si>
    <t>Tester la gestion de sessions.</t>
  </si>
  <si>
    <t>Tester la fonctionalité du logout.</t>
  </si>
  <si>
    <t>Tester la politique des mots de pass.</t>
  </si>
  <si>
    <t xml:space="preserve">Tester les tentatives de login excessives </t>
  </si>
  <si>
    <t xml:space="preserve">Tester le Timeout de la Session </t>
  </si>
  <si>
    <t>Tester l'authentification au démarrage</t>
  </si>
  <si>
    <t>Tester l'uthentification double. (Authentification par deux facteurs)</t>
  </si>
  <si>
    <t>Définition</t>
  </si>
  <si>
    <t>Les exigences sont appliquées à l'App mobile, mais pas complétement.</t>
  </si>
  <si>
    <t>Résilience Contre la Rétro-ingénierie - Android</t>
  </si>
  <si>
    <t>Exigences de résilience Contre la Rétro-ingénierie</t>
  </si>
  <si>
    <t>Entraver la Compréhension</t>
  </si>
  <si>
    <t>Liaison avec un Appareil</t>
  </si>
  <si>
    <t>Authentification et gestion des Sessions</t>
  </si>
  <si>
    <t>Résilience Contre la Rétro-ingénierie - IOS</t>
  </si>
  <si>
    <t>Abderrahmane Aftahi</t>
  </si>
  <si>
    <t>Ajout du graphique Radar</t>
  </si>
  <si>
    <t>Histoire des versions XLS</t>
  </si>
  <si>
    <t>Nom :</t>
  </si>
  <si>
    <t>Org :</t>
  </si>
  <si>
    <t>Role :</t>
  </si>
  <si>
    <t>E-mail :</t>
  </si>
  <si>
    <t>Nom</t>
  </si>
  <si>
    <t>Romuald Szkudlarek</t>
  </si>
  <si>
    <t>Brouillon initial</t>
  </si>
  <si>
    <t>Assurance qualité (ainsi que synchronisation du numéro de version avec le MASVS)</t>
  </si>
  <si>
    <t>Traduction en français depuis le MASVS 1.1.1</t>
  </si>
  <si>
    <t>1.2</t>
  </si>
  <si>
    <t>V3: Cryptographie</t>
  </si>
  <si>
    <t>V5: Communication Réseau</t>
  </si>
  <si>
    <t>Exigences de Sécurité des Applications Mobiles - Android</t>
  </si>
  <si>
    <t>Tous les composants de l'application sont identifiés et leur besoin est confirmé.</t>
  </si>
  <si>
    <t>Les données considérées comme sensibles dans le contexte de l'application mobile sont clairement identifiées.</t>
  </si>
  <si>
    <t>Les contrôles de sécurité ne sont jamais mis en oeuvre seulement côté client, mais aussi sur les points terminaux distants.</t>
  </si>
  <si>
    <t>Une architecture de haut niveau concernant l'application mobile et tous les services distants utilisés a été définie et la sécurité a été prise en compte dans cette architecture.</t>
  </si>
  <si>
    <t>Tous les composants de l'application sont définis en termes des fonctions métier et/ou de sécurité qu'ils apportent.</t>
  </si>
  <si>
    <t>Un modèle de menaces pour l'application mobile et les services distants associés a été livré et définit les menaces potentielles et les contre-mesures associées.</t>
  </si>
  <si>
    <t>Tous les contrôles de sécurité ont une implémentation centralisée.</t>
  </si>
  <si>
    <t>Il existe une politique explicite sur la façon de gérer les clés de cryptographie (dès qu'elles existent) tout au long de leur cycle de vie. Idéalement, un standard de gestion des clés est suivi (tel que NIST SP 800-57).</t>
  </si>
  <si>
    <t>Un mécanisme pour permettre les mises à jour de l'application mobile existe.</t>
  </si>
  <si>
    <t>La sécurité est prise en compte tout au long du cycle de développement.</t>
  </si>
  <si>
    <t>Les fonctions de stockage sécurisées proposées par les systèmes sont utilisées de manière appropriée pour stocker les données sensibles tels que les informations personnellement identifiables (PII), les références des utilisateurs ou les clés cryptographiques.</t>
  </si>
  <si>
    <t>Aucune donnée sensible ne devrait être stockée hors du conteneur de l'application ou des fonctions de stockage sécurisées proposées par le système.</t>
  </si>
  <si>
    <t>Aucune donnée sensible n'est écrite dans les journaux applicatifs.</t>
  </si>
  <si>
    <t>Aucune donnée sensible n'est partagée avec des tierces parties à moins que cela ne soit un besoin de l'architecture.</t>
  </si>
  <si>
    <t>Le cache du clavier est désactivé sur les champs d'entrée textuels qui traitent de données sensibles.</t>
  </si>
  <si>
    <t>Aucune donnée sensible n'est exposée par les mécanismes d'IPC.</t>
  </si>
  <si>
    <t>Aucune donnée sensible, tels que les mots de passe ou les codes PIN, n'est exposée à travers l'interface utilisateur.</t>
  </si>
  <si>
    <t>Aucune donnée sensible n'est incluse dans les sauvegardes générées par le système d'exploitation mobile.</t>
  </si>
  <si>
    <t>L'application enlève les données sensibles des vues lors de son passage en arrière plan.</t>
  </si>
  <si>
    <t>L'application ne garde pas les données sensibles en mémoire plus longtemps que nécessaire et la mémoire est explicitement nettoyée après son utilisation.</t>
  </si>
  <si>
    <t>L'application met en oeuvre un minimum de politique concernant la sécurité de l'accès à l'appareil tel que l'obligation pour l'utilisateur de définir un code d'accès à l'appareil.</t>
  </si>
  <si>
    <t>L'application instruit l'utilisateur sur les types d'information personnellement identifiable traités ainsi que sur les bonnes pratiques que l'utilisateur devrait suivre en utilisant l'application.</t>
  </si>
  <si>
    <t>L'application n'utilise pas la cryptographie symétrique avec des clés codées en dur comme seule méthode de cryptage.</t>
  </si>
  <si>
    <t>L'application utilise des implémentations de primitives cryptographiques éprouvées.</t>
  </si>
  <si>
    <t>L'application utilise des primitives cryptographiques appropriées au cas d'utilisation, configurées en adéquation avec les bonnes pratiques de l'industrie.</t>
  </si>
  <si>
    <t>L'application n'utilise pas de protocole ou d'algorithme de cryptographie considéré par la communauté comme déprécié pour des raisons de sécurité.</t>
  </si>
  <si>
    <t>L'application ne ré-utilise pas la même clé de cryptographie à des fins différentes.</t>
  </si>
  <si>
    <t>Toute valeur aléatoire est générée par un générateur de nombre aléatoire offrant un bon niveau de sécurité.</t>
  </si>
  <si>
    <t>Si l'application donne accès aux utilisateurs à un service distant, un certain niveau d'authentification, tel que l'authentification par nom d'utilisateur / mot de passe, est faite sur le point terminal distant.</t>
  </si>
  <si>
    <t>Si des sessions avec état sont utilisées, le point terminal distant utilise des identifiants de session aléatoirement générés pour authentifier les requêtes des clients sans avoir à envoyer les références des utilisateurs.</t>
  </si>
  <si>
    <t>Si l'authentification sans état basée sur des jetons est utilisée, le serveur fournit des jetons qui ont été signés par un algorithme à la sécurité éprouvée.</t>
  </si>
  <si>
    <t>Le point terminal distant met fin à la session existante lorsque l'utilisateur se déconnecte.</t>
  </si>
  <si>
    <t>Une politique de mot de passe existe et est appliquée sur le point terminal distant.</t>
  </si>
  <si>
    <t>Le point terminal distant implémente un mécanisme permettant la protection contre les essais répétés de références utilisateurs.</t>
  </si>
  <si>
    <t>Les sessions sont dévalidées sur le point terminal distant après une période d'inactivité donnée et les jetons d'accès associés expirent.</t>
  </si>
  <si>
    <t>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</si>
  <si>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Un second facteur d'authentification est disponible sur le point terminal distant et l'exigence d'authentification à deux facteurs est mise en application de façon systématique.</t>
  </si>
  <si>
    <t>Les transactions sensibles requièrent une authentification améliorée.</t>
  </si>
  <si>
    <t>L'application informe les utilisateurs de toutes les connexions sur leurs comptes. Les utilisateurs ont accès à la liste des appareils utilisés pour accéder à leurs comptes et peuvent en bloquer.</t>
  </si>
  <si>
    <t>Les données sont cryptées sur le réseau en utilisant TLS. Le canal sécurisé est utilisé systématiquement à travers toute l'application.</t>
  </si>
  <si>
    <t>Les réglages de TLS sont en ligne avec les meilleures pratiques, ou aussi proches que possible dans le cas où le système d'exploitation ne supporte pas les standards recommandés.</t>
  </si>
  <si>
    <t>L'application valide le certificat X.509 du point terminal distant lors de l'établissement du canal sécurisé. Seuls les certificats signés par une CA de confiance sont acceptés.</t>
  </si>
  <si>
    <t>Soit l'application utilise son propre magasin de certificats, ou bien elle épingle le certificat du point terminal ou sa clé publique, et par là n'établit pas de connexion avec des points terminaux qui proposent des certificats ou des clés différents, même s'ils sont signés par des CA de confiance.</t>
  </si>
  <si>
    <t>L'application ne repose pas sur un canal de communication non-sécurisé unique (e-mail ou SMS) pour les opérations critiques telles que l'enregistrement ou la récupération de compte.</t>
  </si>
  <si>
    <t>L'application implémente l'état de l'art en termes de connectivité et de librairies de sécurité.</t>
  </si>
  <si>
    <t>L'application ne demande qu'une série minimum de permissions nécessaires.</t>
  </si>
  <si>
    <t>Toutes les entrées provenant de sources externes ainsi que des utilisateurs sont validées et si nécessaire assainies. Ceci inclut les données reçues via l'interface utilisateur, les mécanismes IPC tel que les intentions, les URL propres à l'application et les sources sur le réseau.</t>
  </si>
  <si>
    <t>L'application n'exporte pas de fonctionnalité sensible via des schémas d'URL propres à l'application, à moins que ces mécanismes ne soient correctement protégés.</t>
  </si>
  <si>
    <t>L'application n'exporte pas de fonctionnalité sensible à travers les possibilités IPC, à moins que ces mécanismes ne soient correctement protégés.</t>
  </si>
  <si>
    <t>JavaScript est désactivé dans les WebViews à moins qu'il ne soit explicitement requis.</t>
  </si>
  <si>
    <t>Les WebViews sont configurées pour ne permettre que le jeu minimum de gestionnaires de protocoles requis (idéalement, seul https est supporté). Les gestionnaires potentiellement dangereux, tels que ceux pour les fichiers, les appels téléphoniques ou l'identifiant de l'application sont désactivés.</t>
  </si>
  <si>
    <t>Dans le cas où des méthodes natives de l'application sont exposées à une WebView, il convient de valider que la WebView ne rend que le JavaScript contenu dans le package de l'application.</t>
  </si>
  <si>
    <t>La désérialisation des objets, s'il en existe, est implémentée à l'aide d'API de sérialisation de confiance.</t>
  </si>
  <si>
    <t>Qualité du code et paramètres de génération</t>
  </si>
  <si>
    <t>L'application est signée et livrée avec un certificat en cours de validité, dont la clé privée est correctement protégée.</t>
  </si>
  <si>
    <t>L'application a été générée en mode release avec des réglages appropriés à ce mode (c.a.d. sans les possibilités de déboggage).</t>
  </si>
  <si>
    <t>Les symboles pour le déboggage ont été enlevés des binaires natifs.</t>
  </si>
  <si>
    <t>Le code de déboggage a été enlevé de l'application et celle-ci ne journalise ni de messages d'erreur inutilement longs ni de messages de déboggage.</t>
  </si>
  <si>
    <t>Tous les composants utilisés par l'application provenant de sources externes, notamment les librairies et les frameworks, ont été identifiés et analysés à la recherche de vulnérabilités connues.</t>
  </si>
  <si>
    <t>L'application intercepte et gère les exceptions potentielles.</t>
  </si>
  <si>
    <t>La logique de gestion des erreurs dans les contrôles de sécurité refuse tout accès par défaut.</t>
  </si>
  <si>
    <t>Dans le code non-géré, la mémoire est allouée, libérée et utilisée de façon sécurisée.</t>
  </si>
  <si>
    <t>Les fonctionnalités de sécurité intégrées dans les outils de la chaîne de génération, par exemple ceux pour la minification de byte-code, pour la protection de la pile, pour le support PIE ou le comptage de références automatiques, sont activées.</t>
  </si>
  <si>
    <t>Succès</t>
  </si>
  <si>
    <t>Echec</t>
  </si>
  <si>
    <t>Entraver l'Analyse Dynamique et la Modification</t>
  </si>
  <si>
    <t>L'application détecte et réagit à la présence d'appareils rootés ou jailbreakés soit en alertant l'utilisateur ou en mettant fin à l'application.</t>
  </si>
  <si>
    <t>L'application empêche le déboggage et / ou réagit à la présence d'un déboggeur. Tous les protocoles de déboggage disponibles doivent être couverts.</t>
  </si>
  <si>
    <t>L'application détecte et réagit à la modification de fichiers exécutables et de données critiques au sein de son bac à sable.</t>
  </si>
  <si>
    <t>L'application détecte et réagit à la présence d'outils et de frameworks de rétro-ingénierie courants sur l'appareil.</t>
  </si>
  <si>
    <t>L'application détecte et réagit à son exécution dans un émulateur.</t>
  </si>
  <si>
    <t>L'application détecte et réagit à la modification de code et de données dans son espace mémoire.</t>
  </si>
  <si>
    <t>L'application implémente plusieurs mécanismes parmi les catégories de défense (8.1 à 8.6). Il convient de noter que la résilience augmente avec la quantité et la diversité de l'originalité des mécanismes utilisés.</t>
  </si>
  <si>
    <t>Les mécanismes de détection déclenchent des réponses de différents types, notamment des réponses invisibles de retardement de l'attaque.</t>
  </si>
  <si>
    <t>L'obscurcissement est mis en oeuvre par des défenses programmatiques qui, à leur tour, entravent le dé-obscurcissement via l'analyse dynamique.</t>
  </si>
  <si>
    <t>L'application implémente un mécanisme de 'liaison avec l'appareil' utilisant une empreinte de l'appareil dérivée de multiples propriétés uniques à cet appareil.</t>
  </si>
  <si>
    <t>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</si>
  <si>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</si>
  <si>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Exigences de Sécurité des Applications Mobiles - IOS</t>
  </si>
  <si>
    <t>V2: Stockage des données et Respect de la Vie Privée</t>
  </si>
  <si>
    <t>V7: Qualité du code et paramètres de génération</t>
  </si>
  <si>
    <t>Score de Conformité au MASVS ( / 5)</t>
  </si>
  <si>
    <t>Informations générales concernant les Tests</t>
  </si>
  <si>
    <t>Localisation des Tests:</t>
  </si>
  <si>
    <t>Date de fin:</t>
  </si>
  <si>
    <t>Périmètre du Test</t>
  </si>
  <si>
    <t>Toutes les fonctions disponibles dans l'App &lt;NomApp&gt;.</t>
  </si>
  <si>
    <t xml:space="preserve">Niveau de Vérification </t>
  </si>
  <si>
    <t xml:space="preserve">Après consulation du &lt;Client&gt;, il a été décidé que seules les Exigences de Niveau 1 sont Applicables sur &lt;NomApp&gt;. </t>
  </si>
  <si>
    <t>Informations Concernant les Tests sur Android</t>
  </si>
  <si>
    <t>Nom de l'Application :</t>
  </si>
  <si>
    <t xml:space="preserve">Lien sur Google Play Store  </t>
  </si>
  <si>
    <t>Hash MD5 de l'APK</t>
  </si>
  <si>
    <t>Informations Concernant les Tests sur iOS</t>
  </si>
  <si>
    <t>Lien sur l'App Store</t>
  </si>
  <si>
    <t>Hash MD5 de l'IPA</t>
  </si>
  <si>
    <t>Représentants et Coordonnées du client</t>
  </si>
  <si>
    <t>Téléphone :</t>
  </si>
  <si>
    <r>
      <t xml:space="preserve">Check-list de Sécurité des Applications Mobiles de l'OWASP 
</t>
    </r>
    <r>
      <rPr>
        <sz val="14"/>
        <rFont val="Trebuchet MS"/>
        <family val="2"/>
      </rPr>
      <t xml:space="preserve">
Basé Sur l'"OWASP Mobile Application Security Verification Standard"</t>
    </r>
  </si>
  <si>
    <t xml:space="preserve">Exigences de Vérification détaillées </t>
  </si>
  <si>
    <t>Stockage des données et Respect de la Vie Privée</t>
  </si>
  <si>
    <t>Procédure de Test</t>
  </si>
  <si>
    <t>Commentaires</t>
  </si>
  <si>
    <t>Légende</t>
  </si>
  <si>
    <t>Les exigences sont appliquées à l'App mobile et implémentées suivant les bonnes pratiques.</t>
  </si>
  <si>
    <t>Les exigences ne sont appliquées à l'App mobile.</t>
  </si>
  <si>
    <t>Symbole</t>
  </si>
  <si>
    <t>Fusion de trois modèles différents</t>
  </si>
  <si>
    <t xml:space="preserve">Refonte, ajout des liens vers le guide </t>
  </si>
  <si>
    <t xml:space="preserve"> Synchronisation avec le MASVS (fusion de 7.9 dans 7.8)</t>
  </si>
  <si>
    <t xml:space="preserve"> Synchronisation avec le MASVS (mise à jour des exigences des domaines 4 et R)</t>
  </si>
  <si>
    <t xml:space="preserve"> Synchronisation avec le MASVS (mise à jour des exigences des domaines 1, 4 et 6)</t>
  </si>
  <si>
    <t xml:space="preserve"> Synchronisation avec le MASVS (mise à jour des exigences des domaines 3 et 8)</t>
  </si>
  <si>
    <t xml:space="preserve"> Synchronisation avec le MASVS (mise à jour du domaine 2), mise à jour des liens vers le nouveau Gitbook</t>
  </si>
  <si>
    <t>Version du MASVS</t>
  </si>
  <si>
    <t>1.1.0</t>
  </si>
  <si>
    <t>Tester les bibliothéques tiérces utilisées par l'application</t>
  </si>
  <si>
    <t>Tester la gestion d'erreur dans les contrôles de sécurité</t>
  </si>
  <si>
    <t>Vérification que les opérations critiques utilisent des canals de communications sécurisés</t>
  </si>
  <si>
    <t>Vérification du fournisseur de sécurité 'Security Provider</t>
  </si>
  <si>
    <t>Tester la validation et l'assainissement des entrées</t>
  </si>
  <si>
    <t>Vérification de la gestion de la mémoire</t>
  </si>
  <si>
    <t>Mise à jour des liens vers le guide 1.1.0</t>
  </si>
  <si>
    <t>V1:Architecture, Design et Modèle de Menaces</t>
  </si>
  <si>
    <t>Architecture, Design et Modèle de Menaces</t>
  </si>
  <si>
    <t>Interactions avec la Plateforme</t>
  </si>
  <si>
    <t>V6: Interactions avec la Plateforme</t>
  </si>
  <si>
    <t>Version en ligne du MSTG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</si>
</sst>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2"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10"/>
      <name val="Arial"/>
      <family val="2"/>
    </font>
    <font>
      <b/>
      <sz val="11"/>
      <color theme="0"/>
      <name val="Calibri"/>
      <family val="2"/>
    </font>
    <font>
      <b/>
      <sz val="12"/>
      <name val="Calibri"/>
      <family val="2"/>
      <scheme val="minor"/>
    </font>
    <font>
      <b/>
      <sz val="12"/>
      <name val="Calibri"/>
      <family val="2"/>
    </font>
    <font>
      <sz val="12"/>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8">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43">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1"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2" fillId="0" borderId="0" xfId="9" applyFont="1" applyBorder="1" applyAlignment="1">
      <alignment horizontal="left" wrapText="1"/>
    </xf>
    <xf numFmtId="0" fontId="21" fillId="0" borderId="0" xfId="0" applyFont="1" applyAlignment="1">
      <alignment wrapText="1"/>
    </xf>
    <xf numFmtId="0" fontId="14" fillId="0" borderId="0" xfId="0" applyFont="1" applyAlignment="1">
      <alignment wrapText="1"/>
    </xf>
    <xf numFmtId="0" fontId="0" fillId="0" borderId="0" xfId="0" applyAlignment="1">
      <alignmen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1" fillId="0" borderId="2" xfId="0" applyFont="1" applyBorder="1"/>
    <xf numFmtId="0" fontId="21" fillId="0" borderId="2" xfId="0" applyFont="1" applyBorder="1" applyAlignment="1"/>
    <xf numFmtId="14" fontId="21" fillId="0" borderId="2" xfId="0" applyNumberFormat="1" applyFont="1" applyBorder="1"/>
    <xf numFmtId="0" fontId="25" fillId="0" borderId="2" xfId="0" applyFont="1" applyBorder="1"/>
    <xf numFmtId="0" fontId="0" fillId="0" borderId="2" xfId="0" applyBorder="1" applyAlignment="1">
      <alignment horizontal="center"/>
    </xf>
    <xf numFmtId="0" fontId="21"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4" xfId="0" applyFont="1" applyBorder="1" applyAlignment="1" applyProtection="1">
      <alignment vertical="center"/>
    </xf>
    <xf numFmtId="0" fontId="15" fillId="0" borderId="7" xfId="0" applyFont="1" applyBorder="1" applyAlignment="1">
      <alignment vertical="center" wrapText="1"/>
    </xf>
    <xf numFmtId="0" fontId="21" fillId="0" borderId="2" xfId="0" quotePrefix="1" applyFont="1" applyBorder="1" applyAlignment="1">
      <alignment horizontal="center"/>
    </xf>
    <xf numFmtId="0" fontId="16" fillId="2" borderId="2" xfId="0" applyFont="1" applyFill="1" applyBorder="1" applyAlignment="1">
      <alignment horizontal="center" vertical="center" wrapText="1"/>
    </xf>
    <xf numFmtId="0" fontId="16" fillId="2" borderId="2" xfId="0" applyFont="1" applyFill="1" applyBorder="1" applyAlignment="1">
      <alignment vertical="center" wrapText="1"/>
    </xf>
    <xf numFmtId="0" fontId="18" fillId="3" borderId="2" xfId="0" applyFont="1" applyFill="1" applyBorder="1" applyAlignment="1">
      <alignment horizontal="center" vertical="center" wrapText="1"/>
    </xf>
    <xf numFmtId="0" fontId="18" fillId="3" borderId="2" xfId="0" applyFont="1" applyFill="1" applyBorder="1" applyAlignment="1">
      <alignment vertical="center" wrapText="1"/>
    </xf>
    <xf numFmtId="0" fontId="16" fillId="4" borderId="2" xfId="0" applyFont="1" applyFill="1" applyBorder="1" applyAlignment="1">
      <alignment horizontal="center" vertical="center" wrapText="1"/>
    </xf>
    <xf numFmtId="0" fontId="15" fillId="0" borderId="2" xfId="0" applyFont="1" applyBorder="1" applyAlignment="1">
      <alignment vertical="center" wrapText="1"/>
    </xf>
    <xf numFmtId="0" fontId="15" fillId="5"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2" fillId="0" borderId="2" xfId="9" applyFont="1" applyBorder="1" applyAlignment="1">
      <alignment horizontal="left" wrapText="1"/>
    </xf>
    <xf numFmtId="0" fontId="16" fillId="4" borderId="2"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28" fillId="2" borderId="32" xfId="0" applyFont="1" applyFill="1" applyBorder="1" applyAlignment="1">
      <alignment vertical="center" wrapText="1"/>
    </xf>
    <xf numFmtId="0" fontId="28" fillId="2" borderId="32" xfId="0" applyFont="1" applyFill="1" applyBorder="1" applyAlignment="1">
      <alignment horizontal="center" vertical="center" wrapText="1"/>
    </xf>
    <xf numFmtId="0" fontId="28" fillId="2" borderId="33" xfId="0" applyFont="1" applyFill="1" applyBorder="1" applyAlignment="1">
      <alignment horizontal="center" vertical="center" wrapText="1"/>
    </xf>
    <xf numFmtId="0" fontId="28" fillId="2" borderId="2" xfId="0" applyFont="1" applyFill="1" applyBorder="1" applyAlignment="1">
      <alignment horizontal="center" vertical="center" wrapText="1"/>
    </xf>
    <xf numFmtId="0" fontId="18" fillId="0" borderId="0" xfId="0" applyFont="1" applyAlignment="1">
      <alignment horizontal="left"/>
    </xf>
    <xf numFmtId="0" fontId="15" fillId="0" borderId="2" xfId="0" applyFont="1" applyBorder="1" applyAlignment="1">
      <alignment vertical="top" wrapText="1"/>
    </xf>
    <xf numFmtId="0" fontId="28" fillId="2" borderId="1" xfId="0" applyFont="1" applyFill="1" applyBorder="1" applyAlignment="1">
      <alignment vertical="center" wrapText="1"/>
    </xf>
    <xf numFmtId="0" fontId="29" fillId="0" borderId="2" xfId="0" applyFont="1" applyBorder="1"/>
    <xf numFmtId="0" fontId="30" fillId="0" borderId="2" xfId="0" applyFont="1" applyBorder="1"/>
    <xf numFmtId="0" fontId="31" fillId="0" borderId="2" xfId="0" applyFont="1" applyBorder="1"/>
    <xf numFmtId="14" fontId="31" fillId="0" borderId="2" xfId="0" applyNumberFormat="1" applyFont="1" applyBorder="1"/>
    <xf numFmtId="0" fontId="31" fillId="0" borderId="2" xfId="0" quotePrefix="1" applyFont="1" applyBorder="1" applyAlignment="1">
      <alignment horizontal="center"/>
    </xf>
    <xf numFmtId="0" fontId="1" fillId="0" borderId="15" xfId="9" quotePrefix="1" applyBorder="1" applyAlignment="1" applyProtection="1">
      <alignment horizontal="left" vertical="center" wrapText="1"/>
    </xf>
    <xf numFmtId="0" fontId="1" fillId="0" borderId="0" xfId="9" quotePrefix="1" applyFill="1"/>
    <xf numFmtId="0" fontId="1" fillId="0" borderId="0" xfId="9" applyFill="1"/>
    <xf numFmtId="0" fontId="1" fillId="0" borderId="0" xfId="9" applyBorder="1" applyAlignment="1">
      <alignment horizontal="left" wrapText="1"/>
    </xf>
    <xf numFmtId="0" fontId="1" fillId="0" borderId="36" xfId="9" applyFill="1" applyBorder="1"/>
    <xf numFmtId="0" fontId="0" fillId="0" borderId="0" xfId="0" applyFill="1"/>
    <xf numFmtId="0" fontId="0" fillId="0" borderId="37" xfId="0" applyFill="1" applyBorder="1"/>
    <xf numFmtId="0" fontId="1" fillId="0" borderId="37" xfId="9" applyFill="1" applyBorder="1"/>
    <xf numFmtId="0" fontId="4" fillId="0" borderId="13" xfId="0" applyFont="1" applyBorder="1" applyAlignment="1" applyProtection="1">
      <alignment horizontal="left" vertical="center"/>
    </xf>
    <xf numFmtId="0" fontId="4" fillId="0" borderId="12" xfId="0" applyFont="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4" fillId="0" borderId="14" xfId="0" applyFont="1" applyBorder="1" applyAlignment="1" applyProtection="1">
      <alignment horizontal="left" vertical="center"/>
    </xf>
    <xf numFmtId="0" fontId="23" fillId="8" borderId="3" xfId="0" applyFont="1" applyFill="1" applyBorder="1" applyAlignment="1" applyProtection="1">
      <alignment horizontal="left" vertical="top" wrapText="1"/>
    </xf>
    <xf numFmtId="0" fontId="23" fillId="8" borderId="4" xfId="0" applyFont="1" applyFill="1" applyBorder="1" applyAlignment="1" applyProtection="1">
      <alignment horizontal="left" vertical="top"/>
    </xf>
    <xf numFmtId="0" fontId="23" fillId="8" borderId="5" xfId="0" applyFont="1" applyFill="1" applyBorder="1" applyAlignment="1" applyProtection="1">
      <alignment horizontal="left" vertical="top"/>
    </xf>
    <xf numFmtId="0" fontId="23" fillId="8" borderId="6" xfId="0" applyFont="1" applyFill="1" applyBorder="1" applyAlignment="1" applyProtection="1">
      <alignment horizontal="left" vertical="top"/>
    </xf>
    <xf numFmtId="0" fontId="23" fillId="8" borderId="0" xfId="0" applyFont="1" applyFill="1" applyBorder="1" applyAlignment="1" applyProtection="1">
      <alignment horizontal="left" vertical="top"/>
    </xf>
    <xf numFmtId="0" fontId="23" fillId="8" borderId="7" xfId="0" applyFont="1" applyFill="1" applyBorder="1" applyAlignment="1" applyProtection="1">
      <alignment horizontal="left" vertical="top"/>
    </xf>
    <xf numFmtId="0" fontId="23" fillId="8" borderId="8" xfId="0" applyFont="1" applyFill="1" applyBorder="1" applyAlignment="1" applyProtection="1">
      <alignment horizontal="left" vertical="top"/>
    </xf>
    <xf numFmtId="0" fontId="23" fillId="8" borderId="9" xfId="0" applyFont="1" applyFill="1" applyBorder="1" applyAlignment="1" applyProtection="1">
      <alignment horizontal="left" vertical="top"/>
    </xf>
    <xf numFmtId="0" fontId="23"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0" fontId="27" fillId="0" borderId="30" xfId="0" applyFont="1" applyBorder="1" applyAlignment="1">
      <alignment horizontal="center"/>
    </xf>
    <xf numFmtId="0" fontId="27" fillId="0" borderId="31" xfId="0" applyFont="1" applyBorder="1" applyAlignment="1">
      <alignment horizontal="center"/>
    </xf>
    <xf numFmtId="0" fontId="27" fillId="0" borderId="17" xfId="0" applyFont="1" applyBorder="1" applyAlignment="1">
      <alignment horizontal="center"/>
    </xf>
    <xf numFmtId="0" fontId="20" fillId="0" borderId="0" xfId="0" applyFont="1" applyAlignment="1">
      <alignment horizontal="left" vertical="top"/>
    </xf>
    <xf numFmtId="0" fontId="26" fillId="0" borderId="20" xfId="0" applyFont="1" applyBorder="1" applyAlignment="1">
      <alignment horizontal="left"/>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sz="1300" b="1" i="0" u="sng" strike="noStrike" baseline="0"/>
              <a:t>Diagramme de conformité </a:t>
            </a:r>
            <a:r>
              <a:rPr lang="fr-FR" sz="1300" b="1" i="0" u="sng" strike="noStrike" baseline="0">
                <a:solidFill>
                  <a:sysClr val="windowText" lastClr="000000"/>
                </a:solidFill>
              </a:rPr>
              <a:t>au</a:t>
            </a:r>
            <a:r>
              <a:rPr lang="fr-FR" sz="1300" b="1" i="0" u="sng" strike="noStrike" baseline="0"/>
              <a:t> </a:t>
            </a:r>
            <a:r>
              <a:rPr lang="fr-FR" sz="1300" b="1" i="0" u="sng" strike="noStrike" baseline="0">
                <a:effectLst/>
              </a:rPr>
              <a:t>MASVS </a:t>
            </a:r>
            <a:r>
              <a:rPr lang="fr-FR" sz="1300" b="1" i="0" u="sng" strike="noStrike" baseline="0"/>
              <a:t> </a:t>
            </a:r>
            <a:r>
              <a:rPr lang="fr-FR" b="1" u="sng">
                <a:latin typeface="Trebuchet MS" panose="020B0603020202020204" pitchFamily="34" charset="0"/>
              </a:rPr>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Synthèse!$G$43:$G$50</c:f>
              <c:numCache>
                <c:formatCode>0.00%</c:formatCode>
                <c:ptCount val="8"/>
                <c:pt idx="0">
                  <c:v>0.7142857142857143</c:v>
                </c:pt>
                <c:pt idx="1">
                  <c:v>0.7142857142857143</c:v>
                </c:pt>
                <c:pt idx="2">
                  <c:v>0.42857142857142855</c:v>
                </c:pt>
                <c:pt idx="3">
                  <c:v>0.4</c:v>
                </c:pt>
                <c:pt idx="4">
                  <c:v>0.44444444444444442</c:v>
                </c:pt>
                <c:pt idx="5">
                  <c:v>0.46153846153846156</c:v>
                </c:pt>
                <c:pt idx="6">
                  <c:v>0.46153846153846156</c:v>
                </c:pt>
                <c:pt idx="7">
                  <c:v>0.41666666666666669</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ysClr val="windowText" lastClr="000000"/>
                </a:solidFill>
                <a:latin typeface="Trebuchet MS" panose="020B0603020202020204" pitchFamily="34" charset="0"/>
                <a:ea typeface="Arial"/>
                <a:cs typeface="Arial"/>
              </a:defRPr>
            </a:pPr>
            <a:r>
              <a:rPr lang="fr-FR" sz="1300" b="1" i="0" u="sng" strike="noStrike" baseline="0">
                <a:solidFill>
                  <a:sysClr val="windowText" lastClr="000000"/>
                </a:solidFill>
                <a:effectLst/>
              </a:rPr>
              <a:t>Diagramme de conformité au MASVS </a:t>
            </a:r>
            <a:r>
              <a:rPr lang="fr-FR" b="1" u="sng">
                <a:solidFill>
                  <a:sysClr val="windowText" lastClr="000000"/>
                </a:solidFill>
                <a:latin typeface="Trebuchet MS" panose="020B0603020202020204" pitchFamily="34" charset="0"/>
              </a:rPr>
              <a:t>-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274293</xdr:colOff>
      <xdr:row>11</xdr:row>
      <xdr:rowOff>95250</xdr:rowOff>
    </xdr:from>
    <xdr:to>
      <xdr:col>9</xdr:col>
      <xdr:colOff>542924</xdr:colOff>
      <xdr:row>38</xdr:row>
      <xdr:rowOff>161925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mobile-security.gitbook.io/mobile-security-testing-guide/android-testing-guide/android-network-ap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47"/>
  <sheetViews>
    <sheetView showGridLines="0" topLeftCell="A57" zoomScale="120" zoomScaleNormal="120" zoomScalePageLayoutView="120" workbookViewId="0">
      <selection activeCell="E12" sqref="E12"/>
    </sheetView>
  </sheetViews>
  <sheetFormatPr defaultColWidth="8.875" defaultRowHeight="15.75" x14ac:dyDescent="0.25"/>
  <cols>
    <col min="1" max="1" width="2.375" customWidth="1"/>
    <col min="3" max="3" width="14.875" customWidth="1"/>
    <col min="4" max="4" width="92.5" customWidth="1"/>
  </cols>
  <sheetData>
    <row r="1" spans="2:4" ht="8.1" customHeight="1" x14ac:dyDescent="0.25"/>
    <row r="2" spans="2:4" x14ac:dyDescent="0.25">
      <c r="B2" s="111" t="s">
        <v>230</v>
      </c>
      <c r="C2" s="112"/>
      <c r="D2" s="113"/>
    </row>
    <row r="3" spans="2:4" x14ac:dyDescent="0.25">
      <c r="B3" s="114"/>
      <c r="C3" s="115"/>
      <c r="D3" s="116"/>
    </row>
    <row r="4" spans="2:4" x14ac:dyDescent="0.25">
      <c r="B4" s="114"/>
      <c r="C4" s="115"/>
      <c r="D4" s="116"/>
    </row>
    <row r="5" spans="2:4" x14ac:dyDescent="0.25">
      <c r="B5" s="114"/>
      <c r="C5" s="115"/>
      <c r="D5" s="116"/>
    </row>
    <row r="6" spans="2:4" x14ac:dyDescent="0.25">
      <c r="B6" s="114"/>
      <c r="C6" s="115"/>
      <c r="D6" s="116"/>
    </row>
    <row r="7" spans="2:4" x14ac:dyDescent="0.25">
      <c r="B7" s="114"/>
      <c r="C7" s="115"/>
      <c r="D7" s="116"/>
    </row>
    <row r="8" spans="2:4" hidden="1" x14ac:dyDescent="0.25">
      <c r="B8" s="117"/>
      <c r="C8" s="118"/>
      <c r="D8" s="119"/>
    </row>
    <row r="9" spans="2:4" ht="18" x14ac:dyDescent="0.35">
      <c r="B9" s="120" t="s">
        <v>66</v>
      </c>
      <c r="C9" s="108"/>
      <c r="D9" s="109"/>
    </row>
    <row r="10" spans="2:4" x14ac:dyDescent="0.25">
      <c r="B10" s="1" t="s">
        <v>214</v>
      </c>
      <c r="C10" s="2"/>
      <c r="D10" s="3"/>
    </row>
    <row r="11" spans="2:4" x14ac:dyDescent="0.25">
      <c r="B11" s="106" t="s">
        <v>246</v>
      </c>
      <c r="C11" s="107"/>
      <c r="D11" s="12" t="s">
        <v>247</v>
      </c>
    </row>
    <row r="12" spans="2:4" x14ac:dyDescent="0.25">
      <c r="B12" s="79" t="s">
        <v>259</v>
      </c>
      <c r="C12" s="80"/>
      <c r="D12" s="93" t="str">
        <f>HYPERLINK(CONCATENATE("https://github.com/OWASP/owasp-mstg/blob/",VERSION_MASVS,"/Document/"))</f>
        <v>https://github.com/OWASP/owasp-mstg/blob/1.1.0/Document/</v>
      </c>
    </row>
    <row r="13" spans="2:4" x14ac:dyDescent="0.25">
      <c r="B13" s="79" t="s">
        <v>86</v>
      </c>
      <c r="C13" s="80"/>
      <c r="D13" s="12"/>
    </row>
    <row r="14" spans="2:4" x14ac:dyDescent="0.25">
      <c r="B14" s="101" t="s">
        <v>215</v>
      </c>
      <c r="C14" s="110"/>
      <c r="D14" s="12"/>
    </row>
    <row r="15" spans="2:4" x14ac:dyDescent="0.25">
      <c r="B15" s="106" t="s">
        <v>87</v>
      </c>
      <c r="C15" s="107"/>
      <c r="D15" s="12"/>
    </row>
    <row r="16" spans="2:4" x14ac:dyDescent="0.25">
      <c r="B16" s="106" t="s">
        <v>216</v>
      </c>
      <c r="C16" s="107"/>
      <c r="D16" s="12"/>
    </row>
    <row r="17" spans="2:4" x14ac:dyDescent="0.25">
      <c r="B17" s="106" t="s">
        <v>88</v>
      </c>
      <c r="C17" s="107"/>
      <c r="D17" s="12"/>
    </row>
    <row r="18" spans="2:4" x14ac:dyDescent="0.25">
      <c r="B18" s="106" t="s">
        <v>217</v>
      </c>
      <c r="C18" s="107"/>
      <c r="D18" s="12" t="s">
        <v>218</v>
      </c>
    </row>
    <row r="19" spans="2:4" ht="70.5" customHeight="1" x14ac:dyDescent="0.25">
      <c r="B19" s="106" t="s">
        <v>219</v>
      </c>
      <c r="C19" s="107"/>
      <c r="D19" s="12" t="s">
        <v>220</v>
      </c>
    </row>
    <row r="20" spans="2:4" ht="18" x14ac:dyDescent="0.35">
      <c r="B20" s="108"/>
      <c r="C20" s="108"/>
      <c r="D20" s="109"/>
    </row>
    <row r="21" spans="2:4" x14ac:dyDescent="0.25">
      <c r="B21" s="1" t="s">
        <v>221</v>
      </c>
      <c r="C21" s="2"/>
      <c r="D21" s="3"/>
    </row>
    <row r="22" spans="2:4" x14ac:dyDescent="0.25">
      <c r="B22" s="78" t="s">
        <v>222</v>
      </c>
      <c r="C22" s="4"/>
      <c r="D22" s="12"/>
    </row>
    <row r="23" spans="2:4" x14ac:dyDescent="0.25">
      <c r="B23" s="106" t="s">
        <v>223</v>
      </c>
      <c r="C23" s="107"/>
      <c r="D23" s="12"/>
    </row>
    <row r="24" spans="2:4" x14ac:dyDescent="0.25">
      <c r="B24" s="106" t="s">
        <v>89</v>
      </c>
      <c r="C24" s="107"/>
      <c r="D24" s="12"/>
    </row>
    <row r="25" spans="2:4" x14ac:dyDescent="0.25">
      <c r="B25" s="106" t="s">
        <v>64</v>
      </c>
      <c r="C25" s="107"/>
      <c r="D25" s="12"/>
    </row>
    <row r="26" spans="2:4" x14ac:dyDescent="0.25">
      <c r="B26" s="106" t="s">
        <v>224</v>
      </c>
      <c r="C26" s="107"/>
      <c r="D26" s="12"/>
    </row>
    <row r="27" spans="2:4" ht="18" x14ac:dyDescent="0.35">
      <c r="B27" s="108"/>
      <c r="C27" s="108"/>
      <c r="D27" s="109"/>
    </row>
    <row r="28" spans="2:4" x14ac:dyDescent="0.25">
      <c r="B28" s="1" t="s">
        <v>225</v>
      </c>
      <c r="C28" s="2"/>
      <c r="D28" s="3"/>
    </row>
    <row r="29" spans="2:4" x14ac:dyDescent="0.25">
      <c r="B29" s="78" t="s">
        <v>222</v>
      </c>
      <c r="C29" s="65"/>
      <c r="D29" s="12"/>
    </row>
    <row r="30" spans="2:4" x14ac:dyDescent="0.25">
      <c r="B30" s="106" t="s">
        <v>226</v>
      </c>
      <c r="C30" s="107"/>
      <c r="D30" s="12"/>
    </row>
    <row r="31" spans="2:4" x14ac:dyDescent="0.25">
      <c r="B31" s="106" t="s">
        <v>89</v>
      </c>
      <c r="C31" s="107"/>
      <c r="D31" s="12"/>
    </row>
    <row r="32" spans="2:4" x14ac:dyDescent="0.25">
      <c r="B32" s="106" t="s">
        <v>64</v>
      </c>
      <c r="C32" s="107"/>
      <c r="D32" s="12"/>
    </row>
    <row r="33" spans="2:4" x14ac:dyDescent="0.25">
      <c r="B33" s="106" t="s">
        <v>227</v>
      </c>
      <c r="C33" s="107"/>
      <c r="D33" s="12"/>
    </row>
    <row r="34" spans="2:4" ht="18" x14ac:dyDescent="0.35">
      <c r="B34" s="108"/>
      <c r="C34" s="108"/>
      <c r="D34" s="109"/>
    </row>
    <row r="35" spans="2:4" x14ac:dyDescent="0.25">
      <c r="B35" s="1" t="s">
        <v>228</v>
      </c>
      <c r="C35" s="2"/>
      <c r="D35" s="3"/>
    </row>
    <row r="36" spans="2:4" ht="18" x14ac:dyDescent="0.25">
      <c r="B36" s="103"/>
      <c r="C36" s="104"/>
      <c r="D36" s="105"/>
    </row>
    <row r="37" spans="2:4" x14ac:dyDescent="0.25">
      <c r="B37" s="101" t="s">
        <v>119</v>
      </c>
      <c r="C37" s="102"/>
      <c r="D37" s="56"/>
    </row>
    <row r="38" spans="2:4" x14ac:dyDescent="0.25">
      <c r="B38" s="101" t="s">
        <v>120</v>
      </c>
      <c r="C38" s="102"/>
      <c r="D38" s="56"/>
    </row>
    <row r="39" spans="2:4" x14ac:dyDescent="0.25">
      <c r="B39" s="101" t="s">
        <v>121</v>
      </c>
      <c r="C39" s="102"/>
      <c r="D39" s="56"/>
    </row>
    <row r="40" spans="2:4" x14ac:dyDescent="0.25">
      <c r="B40" s="101" t="s">
        <v>229</v>
      </c>
      <c r="C40" s="102"/>
      <c r="D40" s="57"/>
    </row>
    <row r="41" spans="2:4" x14ac:dyDescent="0.25">
      <c r="B41" s="101" t="s">
        <v>122</v>
      </c>
      <c r="C41" s="102"/>
      <c r="D41" s="56"/>
    </row>
    <row r="42" spans="2:4" ht="18" x14ac:dyDescent="0.25">
      <c r="B42" s="103"/>
      <c r="C42" s="104"/>
      <c r="D42" s="105"/>
    </row>
    <row r="43" spans="2:4" x14ac:dyDescent="0.25">
      <c r="B43" s="101" t="s">
        <v>119</v>
      </c>
      <c r="C43" s="102"/>
      <c r="D43" s="56"/>
    </row>
    <row r="44" spans="2:4" x14ac:dyDescent="0.25">
      <c r="B44" s="101" t="s">
        <v>120</v>
      </c>
      <c r="C44" s="102"/>
      <c r="D44" s="56"/>
    </row>
    <row r="45" spans="2:4" x14ac:dyDescent="0.25">
      <c r="B45" s="101" t="s">
        <v>121</v>
      </c>
      <c r="C45" s="102"/>
      <c r="D45" s="56"/>
    </row>
    <row r="46" spans="2:4" x14ac:dyDescent="0.25">
      <c r="B46" s="101" t="s">
        <v>229</v>
      </c>
      <c r="C46" s="102"/>
      <c r="D46" s="57"/>
    </row>
    <row r="47" spans="2:4" x14ac:dyDescent="0.25">
      <c r="B47" s="101" t="s">
        <v>122</v>
      </c>
      <c r="C47" s="102"/>
      <c r="D47" s="56"/>
    </row>
  </sheetData>
  <mergeCells count="32">
    <mergeCell ref="B18:C18"/>
    <mergeCell ref="B16:C16"/>
    <mergeCell ref="B14:C14"/>
    <mergeCell ref="B2:D8"/>
    <mergeCell ref="B9:D9"/>
    <mergeCell ref="B11:C11"/>
    <mergeCell ref="B15:C15"/>
    <mergeCell ref="B17:C17"/>
    <mergeCell ref="B19:C19"/>
    <mergeCell ref="B23:C23"/>
    <mergeCell ref="B36:D36"/>
    <mergeCell ref="B37:C37"/>
    <mergeCell ref="B30:C30"/>
    <mergeCell ref="B34:D34"/>
    <mergeCell ref="B20:D20"/>
    <mergeCell ref="B27:D27"/>
    <mergeCell ref="B31:C31"/>
    <mergeCell ref="B32:C32"/>
    <mergeCell ref="B33:C33"/>
    <mergeCell ref="B24:C24"/>
    <mergeCell ref="B25:C25"/>
    <mergeCell ref="B26:C26"/>
    <mergeCell ref="B44:C44"/>
    <mergeCell ref="B45:C45"/>
    <mergeCell ref="B46:C46"/>
    <mergeCell ref="B47:C47"/>
    <mergeCell ref="B38:C38"/>
    <mergeCell ref="B39:C39"/>
    <mergeCell ref="B40:C40"/>
    <mergeCell ref="B41:C41"/>
    <mergeCell ref="B42:D42"/>
    <mergeCell ref="B43:C4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E22" zoomScaleNormal="100" zoomScalePageLayoutView="150" workbookViewId="0">
      <selection activeCell="C48" sqref="C48"/>
    </sheetView>
  </sheetViews>
  <sheetFormatPr defaultColWidth="8.875" defaultRowHeight="14.25" x14ac:dyDescent="0.2"/>
  <cols>
    <col min="1" max="1" width="1.875" style="5" customWidth="1"/>
    <col min="2" max="2" width="9.5" style="5" customWidth="1"/>
    <col min="3" max="3" width="54.875" style="5" customWidth="1"/>
    <col min="4" max="4" width="6" style="5" customWidth="1"/>
    <col min="5" max="5" width="4.625" style="5" customWidth="1"/>
    <col min="6" max="6" width="5.875" style="5" customWidth="1"/>
    <col min="7" max="7" width="10.125" style="5" customWidth="1"/>
    <col min="8" max="16384" width="8.875" style="5"/>
  </cols>
  <sheetData>
    <row r="1" spans="2:24" ht="15" thickBot="1" x14ac:dyDescent="0.25"/>
    <row r="2" spans="2:24" ht="16.5" thickBot="1" x14ac:dyDescent="0.35">
      <c r="B2" s="7"/>
      <c r="C2" s="22" t="s">
        <v>91</v>
      </c>
      <c r="D2" s="8"/>
      <c r="E2" s="8"/>
      <c r="F2" s="8"/>
    </row>
    <row r="3" spans="2:24" ht="15.75" x14ac:dyDescent="0.3">
      <c r="B3" s="8"/>
      <c r="C3" s="8"/>
      <c r="D3" s="8"/>
      <c r="E3" s="8"/>
      <c r="F3" s="8"/>
    </row>
    <row r="4" spans="2:24" ht="15.75" x14ac:dyDescent="0.3">
      <c r="B4" s="137"/>
      <c r="C4" s="137"/>
      <c r="D4" s="137"/>
      <c r="E4" s="137"/>
      <c r="F4" s="137"/>
    </row>
    <row r="5" spans="2:24" ht="15.95" customHeight="1" thickBot="1" x14ac:dyDescent="0.25">
      <c r="B5" s="20"/>
      <c r="C5" s="20"/>
      <c r="D5" s="20"/>
      <c r="E5" s="20"/>
      <c r="F5" s="20"/>
    </row>
    <row r="6" spans="2:24" ht="18.95" customHeight="1" thickBot="1" x14ac:dyDescent="0.35">
      <c r="B6" s="21"/>
      <c r="C6" s="21"/>
      <c r="D6" s="21"/>
      <c r="E6" s="21"/>
      <c r="F6" s="21"/>
      <c r="G6" s="138" t="s">
        <v>213</v>
      </c>
      <c r="H6" s="139"/>
      <c r="I6" s="140"/>
      <c r="V6" s="121" t="s">
        <v>90</v>
      </c>
      <c r="W6" s="122"/>
      <c r="X6" s="123"/>
    </row>
    <row r="7" spans="2:24" ht="16.5" thickBot="1" x14ac:dyDescent="0.35">
      <c r="B7" s="13"/>
      <c r="C7" s="13"/>
      <c r="D7" s="13"/>
      <c r="E7" s="13"/>
      <c r="F7" s="13"/>
    </row>
    <row r="8" spans="2:24" ht="15.95" customHeight="1" x14ac:dyDescent="0.2">
      <c r="B8" s="20"/>
      <c r="C8" s="20"/>
      <c r="D8" s="20"/>
      <c r="E8" s="20"/>
      <c r="F8" s="20"/>
      <c r="G8" s="124">
        <f>AVERAGE(G43:G50)*5</f>
        <v>2.5258318070818078</v>
      </c>
      <c r="H8" s="125"/>
      <c r="I8" s="126"/>
      <c r="V8" s="124" t="e">
        <f>AVERAGE(K43:K50)*5</f>
        <v>#REF!</v>
      </c>
      <c r="W8" s="125"/>
      <c r="X8" s="126"/>
    </row>
    <row r="9" spans="2:24" ht="90.95" customHeight="1" x14ac:dyDescent="0.3">
      <c r="B9" s="21"/>
      <c r="C9" s="21"/>
      <c r="D9" s="21"/>
      <c r="E9" s="21"/>
      <c r="F9" s="21"/>
      <c r="G9" s="127"/>
      <c r="H9" s="128"/>
      <c r="I9" s="129"/>
      <c r="V9" s="127"/>
      <c r="W9" s="128"/>
      <c r="X9" s="129"/>
    </row>
    <row r="10" spans="2:24" ht="16.5" customHeight="1" x14ac:dyDescent="0.3">
      <c r="B10" s="13"/>
      <c r="C10" s="13"/>
      <c r="D10" s="13"/>
      <c r="E10" s="13"/>
      <c r="F10" s="13"/>
      <c r="G10" s="127"/>
      <c r="H10" s="128"/>
      <c r="I10" s="129"/>
      <c r="V10" s="127"/>
      <c r="W10" s="128"/>
      <c r="X10" s="129"/>
    </row>
    <row r="11" spans="2:24" ht="17.25" customHeight="1" thickBot="1" x14ac:dyDescent="0.35">
      <c r="B11" s="13"/>
      <c r="C11" s="13"/>
      <c r="D11" s="13"/>
      <c r="E11" s="13"/>
      <c r="F11" s="13"/>
      <c r="G11" s="130"/>
      <c r="H11" s="131"/>
      <c r="I11" s="132"/>
      <c r="V11" s="130"/>
      <c r="W11" s="131"/>
      <c r="X11" s="132"/>
    </row>
    <row r="12" spans="2:24" ht="15.95" customHeight="1" x14ac:dyDescent="0.2">
      <c r="B12" s="133"/>
      <c r="C12" s="133"/>
      <c r="D12" s="133"/>
      <c r="E12" s="133"/>
      <c r="F12" s="133"/>
    </row>
    <row r="13" spans="2:24" ht="15" x14ac:dyDescent="0.2">
      <c r="B13" s="14"/>
      <c r="C13" s="14"/>
      <c r="D13" s="14"/>
      <c r="E13" s="14"/>
      <c r="F13" s="14"/>
    </row>
    <row r="14" spans="2:24" ht="15" x14ac:dyDescent="0.2">
      <c r="B14" s="15"/>
      <c r="C14" s="15"/>
      <c r="D14" s="15"/>
      <c r="E14" s="15"/>
      <c r="F14" s="16"/>
    </row>
    <row r="15" spans="2:24" ht="15.75" x14ac:dyDescent="0.3">
      <c r="B15" s="13"/>
      <c r="C15" s="13"/>
      <c r="D15" s="13"/>
      <c r="E15" s="13"/>
      <c r="F15" s="13"/>
    </row>
    <row r="16" spans="2:24" ht="15.95" customHeight="1" x14ac:dyDescent="0.2">
      <c r="B16" s="133"/>
      <c r="C16" s="133"/>
      <c r="D16" s="133"/>
      <c r="E16" s="133"/>
      <c r="F16" s="133"/>
    </row>
    <row r="17" spans="2:6" ht="15" x14ac:dyDescent="0.2">
      <c r="B17" s="14"/>
      <c r="C17" s="14"/>
      <c r="D17" s="14"/>
      <c r="E17" s="14"/>
      <c r="F17" s="14"/>
    </row>
    <row r="18" spans="2:6" ht="15" x14ac:dyDescent="0.2">
      <c r="B18" s="15"/>
      <c r="C18" s="15"/>
      <c r="D18" s="15"/>
      <c r="E18" s="15"/>
      <c r="F18" s="16"/>
    </row>
    <row r="20" spans="2:6" x14ac:dyDescent="0.2">
      <c r="B20" s="5" t="s">
        <v>65</v>
      </c>
    </row>
    <row r="23" spans="2:6" x14ac:dyDescent="0.2">
      <c r="C23" s="18"/>
    </row>
    <row r="24" spans="2:6" x14ac:dyDescent="0.2">
      <c r="C24" s="18"/>
    </row>
    <row r="25" spans="2:6" x14ac:dyDescent="0.2">
      <c r="C25" s="18"/>
    </row>
    <row r="26" spans="2:6" x14ac:dyDescent="0.2">
      <c r="C26" s="18"/>
    </row>
    <row r="27" spans="2:6" x14ac:dyDescent="0.2">
      <c r="C27" s="18"/>
    </row>
    <row r="28" spans="2:6" x14ac:dyDescent="0.2">
      <c r="C28" s="18"/>
    </row>
    <row r="29" spans="2:6" x14ac:dyDescent="0.2">
      <c r="C29" s="18"/>
    </row>
    <row r="30" spans="2:6" x14ac:dyDescent="0.2">
      <c r="C30" s="18"/>
    </row>
    <row r="31" spans="2:6" x14ac:dyDescent="0.2">
      <c r="C31" s="18"/>
    </row>
    <row r="32" spans="2:6" x14ac:dyDescent="0.2">
      <c r="C32" s="18"/>
    </row>
    <row r="35" spans="3:11" ht="15.75" customHeight="1" x14ac:dyDescent="0.2"/>
    <row r="41" spans="3:11" ht="16.5" x14ac:dyDescent="0.2">
      <c r="D41" s="134" t="s">
        <v>71</v>
      </c>
      <c r="E41" s="135"/>
      <c r="F41" s="135"/>
      <c r="G41" s="136"/>
      <c r="H41" s="134" t="s">
        <v>72</v>
      </c>
      <c r="I41" s="135"/>
      <c r="J41" s="135"/>
      <c r="K41" s="136"/>
    </row>
    <row r="42" spans="3:11" x14ac:dyDescent="0.2">
      <c r="D42" s="17" t="s">
        <v>67</v>
      </c>
      <c r="E42" s="17" t="s">
        <v>68</v>
      </c>
      <c r="F42" s="17" t="s">
        <v>69</v>
      </c>
      <c r="G42" s="17" t="s">
        <v>70</v>
      </c>
      <c r="H42" s="17" t="s">
        <v>67</v>
      </c>
      <c r="I42" s="17" t="s">
        <v>68</v>
      </c>
      <c r="J42" s="17" t="s">
        <v>69</v>
      </c>
      <c r="K42" s="17" t="s">
        <v>70</v>
      </c>
    </row>
    <row r="43" spans="3:11" ht="16.5" x14ac:dyDescent="0.2">
      <c r="C43" s="11" t="s">
        <v>255</v>
      </c>
      <c r="D43" s="9">
        <v>5</v>
      </c>
      <c r="E43" s="9">
        <v>2</v>
      </c>
      <c r="F43" s="10">
        <f>COUNTIFS('Exigences de Sécurité - Android'!F5:F14,'Exigences de Sécurité - Android'!B81)</f>
        <v>6</v>
      </c>
      <c r="G43" s="19">
        <f t="shared" ref="G43:G49" si="0">IF(D43+E43=0, 0, D43/(E43+D43))</f>
        <v>0.7142857142857143</v>
      </c>
      <c r="H43" s="9" t="e">
        <f>COUNTIFS(#REF!,'Exigences de Sécurité - Android'!B79)</f>
        <v>#REF!</v>
      </c>
      <c r="I43" s="9" t="e">
        <f>COUNTIFS(#REF!,'Exigences de Sécurité - Android'!B80)</f>
        <v>#REF!</v>
      </c>
      <c r="J43" s="10" t="e">
        <f>COUNTIFS(#REF!,'Exigences de Sécurité - Android'!B81)</f>
        <v>#REF!</v>
      </c>
      <c r="K43" s="19" t="e">
        <f t="shared" ref="K43:K49" si="1">IF(H43+I43=0, 0, H43/(H43+I43))</f>
        <v>#REF!</v>
      </c>
    </row>
    <row r="44" spans="3:11" ht="16.5" x14ac:dyDescent="0.2">
      <c r="C44" s="11" t="s">
        <v>211</v>
      </c>
      <c r="D44" s="9">
        <v>5</v>
      </c>
      <c r="E44" s="9">
        <v>2</v>
      </c>
      <c r="F44" s="9">
        <f>COUNTIFS('Exigences de Sécurité - Android'!F16:F27,'Exigences de Sécurité - Android'!B81)</f>
        <v>5</v>
      </c>
      <c r="G44" s="19">
        <f t="shared" si="0"/>
        <v>0.7142857142857143</v>
      </c>
      <c r="H44" s="9" t="e">
        <f>COUNTIFS(#REF!,'Exigences de Sécurité - Android'!B79)</f>
        <v>#REF!</v>
      </c>
      <c r="I44" s="9" t="e">
        <f>COUNTIFS(#REF!,'Exigences de Sécurité - Android'!B80)</f>
        <v>#REF!</v>
      </c>
      <c r="J44" s="9" t="e">
        <f>COUNTIFS(#REF!,'Exigences de Sécurité - Android'!B81)</f>
        <v>#REF!</v>
      </c>
      <c r="K44" s="19" t="e">
        <f t="shared" si="1"/>
        <v>#REF!</v>
      </c>
    </row>
    <row r="45" spans="3:11" ht="16.5" x14ac:dyDescent="0.2">
      <c r="C45" s="11" t="s">
        <v>129</v>
      </c>
      <c r="D45" s="9">
        <v>3</v>
      </c>
      <c r="E45" s="9">
        <v>4</v>
      </c>
      <c r="F45" s="9">
        <f>COUNTIFS('Exigences de Sécurité - Android'!F29:F34,'Exigences de Sécurité - Android'!B81)</f>
        <v>0</v>
      </c>
      <c r="G45" s="19">
        <f t="shared" si="0"/>
        <v>0.42857142857142855</v>
      </c>
      <c r="H45" s="9" t="e">
        <f>COUNTIFS(#REF!,'Exigences de Sécurité - Android'!B79)</f>
        <v>#REF!</v>
      </c>
      <c r="I45" s="9" t="e">
        <f>COUNTIFS(#REF!,'Exigences de Sécurité - Android'!B80)</f>
        <v>#REF!</v>
      </c>
      <c r="J45" s="9" t="e">
        <f>COUNTIFS(#REF!,'Exigences de Sécurité - Android'!B81)</f>
        <v>#REF!</v>
      </c>
      <c r="K45" s="19" t="e">
        <f t="shared" si="1"/>
        <v>#REF!</v>
      </c>
    </row>
    <row r="46" spans="3:11" ht="16.5" x14ac:dyDescent="0.2">
      <c r="C46" s="11" t="s">
        <v>92</v>
      </c>
      <c r="D46" s="9">
        <v>2</v>
      </c>
      <c r="E46" s="9">
        <v>3</v>
      </c>
      <c r="F46" s="9">
        <f>COUNTIFS('Exigences de Sécurité - Android'!F36:F46,'Exigences de Sécurité - Android'!B81)</f>
        <v>4</v>
      </c>
      <c r="G46" s="19">
        <f t="shared" si="0"/>
        <v>0.4</v>
      </c>
      <c r="H46" s="9" t="e">
        <f>COUNTIFS(#REF!,'Exigences de Sécurité - Android'!B79)</f>
        <v>#REF!</v>
      </c>
      <c r="I46" s="9" t="e">
        <f>COUNTIFS(#REF!,'Exigences de Sécurité - Android'!B80)</f>
        <v>#REF!</v>
      </c>
      <c r="J46" s="9" t="e">
        <f>COUNTIFS(#REF!,'Exigences de Sécurité - Android'!B81)</f>
        <v>#REF!</v>
      </c>
      <c r="K46" s="19" t="e">
        <f t="shared" si="1"/>
        <v>#REF!</v>
      </c>
    </row>
    <row r="47" spans="3:11" ht="16.5" x14ac:dyDescent="0.2">
      <c r="C47" s="11" t="s">
        <v>130</v>
      </c>
      <c r="D47" s="9">
        <v>4</v>
      </c>
      <c r="E47" s="9">
        <v>5</v>
      </c>
      <c r="F47" s="9">
        <f>COUNTIFS('Exigences de Sécurité - Android'!F48:F53,'Exigences de Sécurité - Android'!B81)</f>
        <v>3</v>
      </c>
      <c r="G47" s="19">
        <f t="shared" si="0"/>
        <v>0.44444444444444442</v>
      </c>
      <c r="H47" s="9" t="e">
        <f>COUNTIFS(#REF!,'Exigences de Sécurité - Android'!B79)</f>
        <v>#REF!</v>
      </c>
      <c r="I47" s="9" t="e">
        <f>COUNTIFS(#REF!,'Exigences de Sécurité - Android'!B80)</f>
        <v>#REF!</v>
      </c>
      <c r="J47" s="9" t="e">
        <f>COUNTIFS(#REF!,'Exigences de Sécurité - Android'!B81)</f>
        <v>#REF!</v>
      </c>
      <c r="K47" s="19" t="e">
        <f t="shared" si="1"/>
        <v>#REF!</v>
      </c>
    </row>
    <row r="48" spans="3:11" ht="16.5" x14ac:dyDescent="0.2">
      <c r="C48" s="11" t="s">
        <v>258</v>
      </c>
      <c r="D48" s="9">
        <v>6</v>
      </c>
      <c r="E48" s="9">
        <v>7</v>
      </c>
      <c r="F48" s="9">
        <f>COUNTIFS('Exigences de Sécurité - Android'!F55:F62,'Exigences de Sécurité - Android'!B81)</f>
        <v>0</v>
      </c>
      <c r="G48" s="19">
        <f t="shared" si="0"/>
        <v>0.46153846153846156</v>
      </c>
      <c r="H48" s="9" t="e">
        <f>COUNTIFS(#REF!,'Exigences de Sécurité - Android'!B79)</f>
        <v>#REF!</v>
      </c>
      <c r="I48" s="9" t="e">
        <f>COUNTIFS(#REF!,'Exigences de Sécurité - Android'!B80)</f>
        <v>#REF!</v>
      </c>
      <c r="J48" s="9" t="e">
        <f>COUNTIFS(#REF!,'Exigences de Sécurité - Android'!B81)</f>
        <v>#REF!</v>
      </c>
      <c r="K48" s="19" t="e">
        <f t="shared" si="1"/>
        <v>#REF!</v>
      </c>
    </row>
    <row r="49" spans="3:11" ht="16.5" x14ac:dyDescent="0.2">
      <c r="C49" s="11" t="s">
        <v>212</v>
      </c>
      <c r="D49" s="9">
        <v>6</v>
      </c>
      <c r="E49" s="9">
        <v>7</v>
      </c>
      <c r="F49" s="9">
        <f>COUNTIFS('Exigences de Sécurité - Android'!F64:F72,'Exigences de Sécurité - Android'!B81)</f>
        <v>0</v>
      </c>
      <c r="G49" s="19">
        <f t="shared" si="0"/>
        <v>0.46153846153846156</v>
      </c>
      <c r="H49" s="9" t="e">
        <f>COUNTIFS(#REF!,'Exigences de Sécurité - Android'!B79)</f>
        <v>#REF!</v>
      </c>
      <c r="I49" s="9" t="e">
        <f>COUNTIFS(#REF!,'Exigences de Sécurité - Android'!B80)</f>
        <v>#REF!</v>
      </c>
      <c r="J49" s="9" t="e">
        <f>COUNTIFS(#REF!,'Exigences de Sécurité - Android'!B81)</f>
        <v>#REF!</v>
      </c>
      <c r="K49" s="19" t="e">
        <f t="shared" si="1"/>
        <v>#REF!</v>
      </c>
    </row>
    <row r="50" spans="3:11" ht="16.5" x14ac:dyDescent="0.2">
      <c r="C50" s="11" t="s">
        <v>93</v>
      </c>
      <c r="D50" s="9">
        <v>5</v>
      </c>
      <c r="E50" s="9">
        <v>7</v>
      </c>
      <c r="F50" s="9">
        <f>COUNTIFS('Anti-RE - Android'!E4:E18,'Exigences de Sécurité - Android'!B81)</f>
        <v>12</v>
      </c>
      <c r="G50" s="19">
        <f>IF(D50+E50=0, 0, D50/(E50+D50))</f>
        <v>0.41666666666666669</v>
      </c>
      <c r="H50" s="9" t="e">
        <f>COUNTIFS(#REF!,'Exigences de Sécurité - Android'!B79)</f>
        <v>#REF!</v>
      </c>
      <c r="I50" s="9" t="e">
        <f>COUNTIFS(#REF!,'Exigences de Sécurité - Android'!B80)</f>
        <v>#REF!</v>
      </c>
      <c r="J50" s="9" t="e">
        <f>COUNTIFS(#REF!,'Exigences de Sécurité - Android'!B81)</f>
        <v>#REF!</v>
      </c>
      <c r="K50" s="19" t="e">
        <f>IF(H50+I50=0, 0, H50/(H50+I50))</f>
        <v>#REF!</v>
      </c>
    </row>
  </sheetData>
  <mergeCells count="9">
    <mergeCell ref="B4:F4"/>
    <mergeCell ref="G8:I11"/>
    <mergeCell ref="G6:I6"/>
    <mergeCell ref="V6:X6"/>
    <mergeCell ref="V8:X11"/>
    <mergeCell ref="B12:F12"/>
    <mergeCell ref="B16:F16"/>
    <mergeCell ref="D41:G41"/>
    <mergeCell ref="H41:K4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85"/>
  <sheetViews>
    <sheetView showGridLines="0" topLeftCell="A58" zoomScale="78" zoomScaleNormal="78" zoomScalePageLayoutView="130" workbookViewId="0">
      <selection activeCell="F68" sqref="F68"/>
    </sheetView>
  </sheetViews>
  <sheetFormatPr defaultColWidth="11" defaultRowHeight="15.75" x14ac:dyDescent="0.25"/>
  <cols>
    <col min="1" max="1" width="1.875" customWidth="1"/>
    <col min="2" max="2" width="8" customWidth="1"/>
    <col min="3" max="3" width="96.625" style="55" customWidth="1"/>
    <col min="4" max="4" width="7.75" customWidth="1"/>
    <col min="5" max="5" width="9.25" customWidth="1"/>
    <col min="6" max="6" width="5.875" bestFit="1" customWidth="1"/>
    <col min="7" max="7" width="53.5" bestFit="1" customWidth="1"/>
    <col min="8" max="8" width="30.875" customWidth="1"/>
    <col min="10" max="11" width="10.875" customWidth="1"/>
  </cols>
  <sheetData>
    <row r="1" spans="2:8" ht="18.75" x14ac:dyDescent="0.25">
      <c r="B1" s="141" t="s">
        <v>131</v>
      </c>
      <c r="C1" s="141"/>
      <c r="D1" s="141"/>
      <c r="E1" s="141"/>
      <c r="F1" s="141"/>
      <c r="G1" s="141"/>
      <c r="H1" s="141"/>
    </row>
    <row r="2" spans="2:8" x14ac:dyDescent="0.25">
      <c r="B2" s="45"/>
      <c r="C2" s="53"/>
      <c r="D2" s="45"/>
      <c r="E2" s="45"/>
      <c r="F2" s="45"/>
      <c r="G2" s="45"/>
      <c r="H2" s="45"/>
    </row>
    <row r="3" spans="2:8" x14ac:dyDescent="0.25">
      <c r="B3" s="25" t="s">
        <v>0</v>
      </c>
      <c r="C3" s="81" t="s">
        <v>231</v>
      </c>
      <c r="D3" s="26" t="s">
        <v>94</v>
      </c>
      <c r="E3" s="26" t="s">
        <v>95</v>
      </c>
      <c r="F3" s="26" t="s">
        <v>96</v>
      </c>
      <c r="G3" s="82" t="s">
        <v>233</v>
      </c>
      <c r="H3" s="83" t="s">
        <v>234</v>
      </c>
    </row>
    <row r="4" spans="2:8" x14ac:dyDescent="0.25">
      <c r="B4" s="27" t="s">
        <v>1</v>
      </c>
      <c r="C4" s="28" t="s">
        <v>256</v>
      </c>
      <c r="D4" s="29"/>
      <c r="E4" s="29"/>
      <c r="F4" s="29"/>
      <c r="G4" s="29"/>
      <c r="H4" s="30"/>
    </row>
    <row r="5" spans="2:8" x14ac:dyDescent="0.25">
      <c r="B5" s="31" t="s">
        <v>2</v>
      </c>
      <c r="C5" s="32" t="s">
        <v>132</v>
      </c>
      <c r="D5" s="24" t="s">
        <v>3</v>
      </c>
      <c r="E5" s="46" t="s">
        <v>3</v>
      </c>
      <c r="F5" s="33"/>
      <c r="G5" s="47" t="s">
        <v>75</v>
      </c>
      <c r="H5" s="66"/>
    </row>
    <row r="6" spans="2:8" ht="30" x14ac:dyDescent="0.25">
      <c r="B6" s="31">
        <v>1.2</v>
      </c>
      <c r="C6" s="32" t="s">
        <v>134</v>
      </c>
      <c r="D6" s="24" t="s">
        <v>3</v>
      </c>
      <c r="E6" s="46" t="s">
        <v>3</v>
      </c>
      <c r="F6" s="33"/>
      <c r="G6" s="47" t="s">
        <v>75</v>
      </c>
      <c r="H6" s="66"/>
    </row>
    <row r="7" spans="2:8" ht="30" x14ac:dyDescent="0.25">
      <c r="B7" s="31">
        <v>1.3</v>
      </c>
      <c r="C7" s="32" t="s">
        <v>135</v>
      </c>
      <c r="D7" s="24" t="s">
        <v>3</v>
      </c>
      <c r="E7" s="46" t="s">
        <v>3</v>
      </c>
      <c r="F7" s="33"/>
      <c r="G7" s="47" t="s">
        <v>75</v>
      </c>
      <c r="H7" s="66"/>
    </row>
    <row r="8" spans="2:8" x14ac:dyDescent="0.25">
      <c r="B8" s="31">
        <v>1.4</v>
      </c>
      <c r="C8" s="32" t="s">
        <v>133</v>
      </c>
      <c r="D8" s="24" t="s">
        <v>3</v>
      </c>
      <c r="E8" s="46" t="s">
        <v>3</v>
      </c>
      <c r="F8" s="33"/>
      <c r="G8" s="47" t="s">
        <v>75</v>
      </c>
      <c r="H8" s="66"/>
    </row>
    <row r="9" spans="2:8" x14ac:dyDescent="0.25">
      <c r="B9" s="31">
        <v>1.5</v>
      </c>
      <c r="C9" s="32" t="s">
        <v>136</v>
      </c>
      <c r="D9" s="32"/>
      <c r="E9" s="46" t="s">
        <v>3</v>
      </c>
      <c r="F9" s="33" t="s">
        <v>63</v>
      </c>
      <c r="G9" s="47" t="s">
        <v>75</v>
      </c>
      <c r="H9" s="66"/>
    </row>
    <row r="10" spans="2:8" ht="30" x14ac:dyDescent="0.25">
      <c r="B10" s="31">
        <v>1.6</v>
      </c>
      <c r="C10" s="32" t="s">
        <v>137</v>
      </c>
      <c r="D10" s="32"/>
      <c r="E10" s="46" t="s">
        <v>3</v>
      </c>
      <c r="F10" s="33" t="s">
        <v>63</v>
      </c>
      <c r="G10" s="47" t="s">
        <v>75</v>
      </c>
      <c r="H10" s="66"/>
    </row>
    <row r="11" spans="2:8" x14ac:dyDescent="0.25">
      <c r="B11" s="31" t="s">
        <v>4</v>
      </c>
      <c r="C11" s="32" t="s">
        <v>138</v>
      </c>
      <c r="D11" s="48"/>
      <c r="E11" s="46" t="s">
        <v>3</v>
      </c>
      <c r="F11" s="33" t="s">
        <v>63</v>
      </c>
      <c r="G11" s="47" t="s">
        <v>75</v>
      </c>
      <c r="H11" s="66"/>
    </row>
    <row r="12" spans="2:8" ht="30" x14ac:dyDescent="0.25">
      <c r="B12" s="31">
        <v>1.8</v>
      </c>
      <c r="C12" s="32" t="s">
        <v>139</v>
      </c>
      <c r="D12" s="32"/>
      <c r="E12" s="46" t="s">
        <v>3</v>
      </c>
      <c r="F12" s="33" t="s">
        <v>63</v>
      </c>
      <c r="G12" s="47" t="s">
        <v>75</v>
      </c>
      <c r="H12" s="66"/>
    </row>
    <row r="13" spans="2:8" x14ac:dyDescent="0.25">
      <c r="B13" s="31">
        <v>1.9</v>
      </c>
      <c r="C13" s="32" t="s">
        <v>140</v>
      </c>
      <c r="D13" s="32"/>
      <c r="E13" s="46" t="s">
        <v>3</v>
      </c>
      <c r="F13" s="33" t="s">
        <v>63</v>
      </c>
      <c r="G13" s="47" t="s">
        <v>75</v>
      </c>
      <c r="H13" s="66"/>
    </row>
    <row r="14" spans="2:8" x14ac:dyDescent="0.25">
      <c r="B14" s="64" t="s">
        <v>5</v>
      </c>
      <c r="C14" s="32" t="s">
        <v>141</v>
      </c>
      <c r="D14" s="32"/>
      <c r="E14" s="46" t="s">
        <v>3</v>
      </c>
      <c r="F14" s="33" t="s">
        <v>63</v>
      </c>
      <c r="G14" s="47" t="s">
        <v>75</v>
      </c>
      <c r="H14" s="66"/>
    </row>
    <row r="15" spans="2:8" x14ac:dyDescent="0.25">
      <c r="B15" s="34" t="s">
        <v>6</v>
      </c>
      <c r="C15" s="35" t="s">
        <v>232</v>
      </c>
      <c r="D15" s="35"/>
      <c r="E15" s="49"/>
      <c r="F15" s="35"/>
      <c r="G15" s="35"/>
      <c r="H15" s="36"/>
    </row>
    <row r="16" spans="2:8" ht="45" x14ac:dyDescent="0.25">
      <c r="B16" s="50" t="s">
        <v>7</v>
      </c>
      <c r="C16" s="51" t="s">
        <v>142</v>
      </c>
      <c r="D16" s="24" t="s">
        <v>3</v>
      </c>
      <c r="E16" s="46" t="s">
        <v>3</v>
      </c>
      <c r="F16" s="33"/>
      <c r="G16" s="94" t="str">
        <f>HYPERLINK(CONCATENATE(BASE_URL,"0x05d-Testing-Data-Storage.md#testing-local-storage-for-sensitive-data"),"Tester les données sensibles dans le stockage local du mobile")</f>
        <v>Tester les données sensibles dans le stockage local du mobile</v>
      </c>
      <c r="H16" s="66"/>
    </row>
    <row r="17" spans="2:8" ht="30" x14ac:dyDescent="0.25">
      <c r="B17" s="50" t="s">
        <v>39</v>
      </c>
      <c r="C17" s="51" t="s">
        <v>143</v>
      </c>
      <c r="D17" s="24"/>
      <c r="E17" s="46"/>
      <c r="F17" s="33"/>
      <c r="G17" s="95" t="str">
        <f>HYPERLINK(CONCATENATE(BASE_URL,"0x05d-Testing-Data-Storage.md#testing-local-storage-for-sensitive-data"),"Tester les données sensibles dans le stockage local du mobile")</f>
        <v>Tester les données sensibles dans le stockage local du mobile</v>
      </c>
      <c r="H17" s="66"/>
    </row>
    <row r="18" spans="2:8" x14ac:dyDescent="0.25">
      <c r="B18" s="50" t="s">
        <v>40</v>
      </c>
      <c r="C18" s="51" t="s">
        <v>144</v>
      </c>
      <c r="D18" s="24" t="s">
        <v>3</v>
      </c>
      <c r="E18" s="46" t="s">
        <v>3</v>
      </c>
      <c r="F18" s="33"/>
      <c r="G18" s="95" t="str">
        <f>HYPERLINK(CONCATENATE(BASE_URL,"0x05d-Testing-Data-Storage.md#testing-logs-for-sensitive-data"),"Tester les données sensibles dans les fichiers de logs")</f>
        <v>Tester les données sensibles dans les fichiers de logs</v>
      </c>
      <c r="H18" s="66"/>
    </row>
    <row r="19" spans="2:8" x14ac:dyDescent="0.25">
      <c r="B19" s="50" t="s">
        <v>8</v>
      </c>
      <c r="C19" s="51" t="s">
        <v>145</v>
      </c>
      <c r="D19" s="24" t="s">
        <v>3</v>
      </c>
      <c r="E19" s="46" t="s">
        <v>3</v>
      </c>
      <c r="F19" s="33"/>
      <c r="G19" s="95" t="str">
        <f>HYPERLINK(CONCATENATE(BASE_URL,"0x05d-Testing-Data-Storage.md#determining-whether-sensitive-data-is-sent-to-third-parties"),"Tester si des données sensibles sont envoyés à une entité tièrce")</f>
        <v>Tester si des données sensibles sont envoyés à une entité tièrce</v>
      </c>
      <c r="H19" s="66"/>
    </row>
    <row r="20" spans="2:8" x14ac:dyDescent="0.25">
      <c r="B20" s="50" t="s">
        <v>41</v>
      </c>
      <c r="C20" s="51" t="s">
        <v>146</v>
      </c>
      <c r="D20" s="24" t="s">
        <v>3</v>
      </c>
      <c r="E20" s="46" t="s">
        <v>3</v>
      </c>
      <c r="F20" s="33"/>
      <c r="G20" s="95" t="str">
        <f>HYPERLINK(CONCATENATE(BASE_URL,"0x05d-Testing-Data-Storage.md#determining-whether-the-keyboard-cache-is-disabled-for-text-input-fields"),"Tester si le cache de clavier est désactivé dans les champs d'entrée du text")</f>
        <v>Tester si le cache de clavier est désactivé dans les champs d'entrée du text</v>
      </c>
      <c r="H20" s="66"/>
    </row>
    <row r="21" spans="2:8" x14ac:dyDescent="0.25">
      <c r="B21" s="50" t="s">
        <v>9</v>
      </c>
      <c r="C21" s="51" t="s">
        <v>147</v>
      </c>
      <c r="D21" s="24" t="s">
        <v>3</v>
      </c>
      <c r="E21" s="46" t="s">
        <v>3</v>
      </c>
      <c r="F21" s="33"/>
      <c r="G21" s="95" t="str">
        <f>HYPERLINK(CONCATENATE(BASE_URL,"0x05d-Testing-Data-Storage.md#determining-whether-sensitive-stored-data-has-been-exposed-via-ipc-mechanisms"),"Vérifier si les données sensibles sont exposées via des méchanismes IPC")</f>
        <v>Vérifier si les données sensibles sont exposées via des méchanismes IPC</v>
      </c>
      <c r="H21" s="66"/>
    </row>
    <row r="22" spans="2:8" x14ac:dyDescent="0.25">
      <c r="B22" s="50" t="s">
        <v>10</v>
      </c>
      <c r="C22" s="51" t="s">
        <v>148</v>
      </c>
      <c r="D22" s="24" t="s">
        <v>3</v>
      </c>
      <c r="E22" s="46" t="s">
        <v>3</v>
      </c>
      <c r="F22" s="33"/>
      <c r="G22" s="95" t="str">
        <f>HYPERLINK(CONCATENATE(BASE_URL,"0x05d-Testing-Data-Storage.md#checking-for-sensitive-data-disclosure-through-the-user-interface"),"Tester si des données sensibles sont exposées via l'interface utilisateur")</f>
        <v>Tester si des données sensibles sont exposées via l'interface utilisateur</v>
      </c>
      <c r="H22" s="66"/>
    </row>
    <row r="23" spans="2:8" x14ac:dyDescent="0.25">
      <c r="B23" s="50" t="s">
        <v>11</v>
      </c>
      <c r="C23" s="51" t="s">
        <v>149</v>
      </c>
      <c r="D23" s="51"/>
      <c r="E23" s="46" t="s">
        <v>3</v>
      </c>
      <c r="F23" s="33" t="s">
        <v>63</v>
      </c>
      <c r="G23" s="95" t="str">
        <f>HYPERLINK(CONCATENATE(BASE_URL,"0x05d-Testing-Data-Storage.md#testing-backups-for-sensitive-data"),"Tester l'éxistence de données sensibles dans les backups")</f>
        <v>Tester l'éxistence de données sensibles dans les backups</v>
      </c>
      <c r="H23" s="66"/>
    </row>
    <row r="24" spans="2:8" x14ac:dyDescent="0.25">
      <c r="B24" s="50" t="s">
        <v>12</v>
      </c>
      <c r="C24" s="51" t="s">
        <v>150</v>
      </c>
      <c r="D24" s="51"/>
      <c r="E24" s="46" t="s">
        <v>3</v>
      </c>
      <c r="F24" s="33" t="s">
        <v>63</v>
      </c>
      <c r="G24" s="95" t="str">
        <f>HYPERLINK(CONCATENATE(BASE_URL,"0x05d-Testing-Data-Storage.md#finding-sensitive-information-in-auto-generated-screenshots"),"Tester l'existence des données sensibles dans les captures généré automatiquement")</f>
        <v>Tester l'existence des données sensibles dans les captures généré automatiquement</v>
      </c>
      <c r="H24" s="66"/>
    </row>
    <row r="25" spans="2:8" ht="30" x14ac:dyDescent="0.25">
      <c r="B25" s="50" t="s">
        <v>42</v>
      </c>
      <c r="C25" s="51" t="s">
        <v>151</v>
      </c>
      <c r="D25" s="51"/>
      <c r="E25" s="46" t="s">
        <v>3</v>
      </c>
      <c r="F25" s="33" t="s">
        <v>63</v>
      </c>
      <c r="G25" s="95" t="str">
        <f>HYPERLINK(CONCATENATE(BASE_URL,"0x05d-Testing-Data-Storage.md#checking-memory-for-sensitive-data"),"Tester l'existence des données sensibles dans la mémoire")</f>
        <v>Tester l'existence des données sensibles dans la mémoire</v>
      </c>
      <c r="H25" s="66"/>
    </row>
    <row r="26" spans="2:8" ht="30" x14ac:dyDescent="0.25">
      <c r="B26" s="50" t="s">
        <v>43</v>
      </c>
      <c r="C26" s="51" t="s">
        <v>152</v>
      </c>
      <c r="D26" s="51"/>
      <c r="E26" s="46" t="s">
        <v>3</v>
      </c>
      <c r="F26" s="33" t="s">
        <v>63</v>
      </c>
      <c r="G26" s="95" t="str">
        <f>HYPERLINK(CONCATENATE(BASE_URL,"0x05d-Testing-Data-Storage.md#testing-the-device-access-security-policy"),"Tester l'existence d'une politique de sécurité d'accès au mobile")</f>
        <v>Tester l'existence d'une politique de sécurité d'accès au mobile</v>
      </c>
      <c r="H26" s="66"/>
    </row>
    <row r="27" spans="2:8" ht="30" x14ac:dyDescent="0.25">
      <c r="B27" s="50" t="s">
        <v>13</v>
      </c>
      <c r="C27" s="51" t="s">
        <v>153</v>
      </c>
      <c r="D27" s="51"/>
      <c r="E27" s="46" t="s">
        <v>3</v>
      </c>
      <c r="F27" s="33" t="s">
        <v>63</v>
      </c>
      <c r="G27" s="52"/>
      <c r="H27" s="66"/>
    </row>
    <row r="28" spans="2:8" x14ac:dyDescent="0.25">
      <c r="B28" s="34" t="s">
        <v>14</v>
      </c>
      <c r="C28" s="35" t="s">
        <v>97</v>
      </c>
      <c r="D28" s="35"/>
      <c r="E28" s="49"/>
      <c r="F28" s="35"/>
      <c r="G28" s="35"/>
      <c r="H28" s="36"/>
    </row>
    <row r="29" spans="2:8" x14ac:dyDescent="0.25">
      <c r="B29" s="50" t="s">
        <v>15</v>
      </c>
      <c r="C29" s="51" t="s">
        <v>154</v>
      </c>
      <c r="D29" s="24" t="s">
        <v>3</v>
      </c>
      <c r="E29" s="46" t="s">
        <v>3</v>
      </c>
      <c r="F29" s="33"/>
      <c r="G29" s="95" t="str">
        <f>HYPERLINK(CONCATENATE(BASE_URL,"0x05e-Testing-Cryptography.md#testing-key-management"),"Vérification de la gestion des clés")</f>
        <v>Vérification de la gestion des clés</v>
      </c>
      <c r="H29" s="66"/>
    </row>
    <row r="30" spans="2:8" x14ac:dyDescent="0.25">
      <c r="B30" s="50" t="s">
        <v>16</v>
      </c>
      <c r="C30" s="51" t="s">
        <v>155</v>
      </c>
      <c r="D30" s="24" t="s">
        <v>3</v>
      </c>
      <c r="E30" s="46" t="s">
        <v>3</v>
      </c>
      <c r="F30" s="33"/>
      <c r="G30" s="95" t="str">
        <f>HYPERLINK(CONCATENATE(BASE_URL,"0x05e-Testing-Cryptography.md#verifying-the-configuration-of-cryptographic-standard-algorithms"),"Tester l'existence des implémentations personnalisées des primitives cryptographiques")</f>
        <v>Tester l'existence des implémentations personnalisées des primitives cryptographiques</v>
      </c>
      <c r="H30" s="66"/>
    </row>
    <row r="31" spans="2:8" ht="30" x14ac:dyDescent="0.25">
      <c r="B31" s="50" t="s">
        <v>17</v>
      </c>
      <c r="C31" s="51" t="s">
        <v>156</v>
      </c>
      <c r="D31" s="24" t="s">
        <v>3</v>
      </c>
      <c r="E31" s="46" t="s">
        <v>3</v>
      </c>
      <c r="F31" s="33"/>
      <c r="G31" s="95" t="str">
        <f>HYPERLINK(CONCATENATE(BASE_URL,"0x05e-Testing-Cryptography.md#verifying-the-configuration-of-cryptographic-standard-algorithms"),"Vérification de la configuration des algorithms standards de la cryptographie")</f>
        <v>Vérification de la configuration des algorithms standards de la cryptographie</v>
      </c>
      <c r="H31" s="66"/>
    </row>
    <row r="32" spans="2:8" ht="30" x14ac:dyDescent="0.25">
      <c r="B32" s="50" t="s">
        <v>18</v>
      </c>
      <c r="C32" s="51" t="s">
        <v>157</v>
      </c>
      <c r="D32" s="24" t="s">
        <v>3</v>
      </c>
      <c r="E32" s="46" t="s">
        <v>3</v>
      </c>
      <c r="F32" s="33"/>
      <c r="G32" s="95" t="str">
        <f>HYPERLINK(CONCATENATE(BASE_URL,"0x05e-Testing-Cryptography.md#verifying-the-configuration-of-cryptographic-standard-algorithms"),"Tester les algorithms de cryptographie non sécurisé et/ou obsolète")</f>
        <v>Tester les algorithms de cryptographie non sécurisé et/ou obsolète</v>
      </c>
      <c r="H32" s="66"/>
    </row>
    <row r="33" spans="2:10" x14ac:dyDescent="0.25">
      <c r="B33" s="50" t="s">
        <v>19</v>
      </c>
      <c r="C33" s="51" t="s">
        <v>158</v>
      </c>
      <c r="D33" s="24" t="s">
        <v>3</v>
      </c>
      <c r="E33" s="46" t="s">
        <v>3</v>
      </c>
      <c r="F33" s="33"/>
      <c r="G33" s="95" t="str">
        <f>HYPERLINK(CONCATENATE(BASE_URL,"0x05e-Testing-Cryptography.md#testing-key-management"),"Vérification de la gestion des clés")</f>
        <v>Vérification de la gestion des clés</v>
      </c>
      <c r="H33" s="66"/>
    </row>
    <row r="34" spans="2:10" x14ac:dyDescent="0.25">
      <c r="B34" s="50" t="s">
        <v>20</v>
      </c>
      <c r="C34" s="51" t="s">
        <v>159</v>
      </c>
      <c r="D34" s="24" t="s">
        <v>3</v>
      </c>
      <c r="E34" s="46" t="s">
        <v>3</v>
      </c>
      <c r="F34" s="33"/>
      <c r="G34" s="95" t="str">
        <f>HYPERLINK(CONCATENATE(BASE_URL,"0x05e-Testing-Cryptography.md#testing-random-number-generation")," Tester les générateurs  aléatoires des chiffres")</f>
        <v xml:space="preserve"> Tester les générateurs  aléatoires des chiffres</v>
      </c>
      <c r="H34" s="66"/>
    </row>
    <row r="35" spans="2:10" x14ac:dyDescent="0.25">
      <c r="B35" s="34" t="s">
        <v>21</v>
      </c>
      <c r="C35" s="35" t="s">
        <v>114</v>
      </c>
      <c r="D35" s="35"/>
      <c r="E35" s="49"/>
      <c r="F35" s="35"/>
      <c r="G35" s="35"/>
      <c r="H35" s="36"/>
    </row>
    <row r="36" spans="2:10" ht="30" x14ac:dyDescent="0.25">
      <c r="B36" s="50" t="s">
        <v>22</v>
      </c>
      <c r="C36" s="51" t="s">
        <v>160</v>
      </c>
      <c r="D36" s="24" t="s">
        <v>3</v>
      </c>
      <c r="E36" s="46" t="s">
        <v>3</v>
      </c>
      <c r="F36" s="33"/>
      <c r="G36" s="95" t="str">
        <f>HYPERLINK(CONCATENATE(BASE_URL,"0x04e-Testing-Authentication-and-Session-Management.md#testing-authentication"),"Vérification que l'utilisateur a été authentifier proprement")</f>
        <v>Vérification que l'utilisateur a été authentifier proprement</v>
      </c>
      <c r="H36" s="66"/>
    </row>
    <row r="37" spans="2:10" ht="30" x14ac:dyDescent="0.25">
      <c r="B37" s="50" t="s">
        <v>44</v>
      </c>
      <c r="C37" s="51" t="s">
        <v>161</v>
      </c>
      <c r="D37" s="24" t="s">
        <v>3</v>
      </c>
      <c r="E37" s="46" t="s">
        <v>3</v>
      </c>
      <c r="F37" s="33"/>
      <c r="G37" s="95" t="str">
        <f>HYPERLINK(CONCATENATE(BASE_URL,"0x04e-Testing-Authentication-and-Session-Management.md#testing-stateful-session-management"),"Tester la gestion de sessions")</f>
        <v>Tester la gestion de sessions</v>
      </c>
      <c r="H37" s="66"/>
    </row>
    <row r="38" spans="2:10" ht="30" x14ac:dyDescent="0.25">
      <c r="B38" s="50" t="s">
        <v>45</v>
      </c>
      <c r="C38" s="51" t="s">
        <v>162</v>
      </c>
      <c r="D38" s="24" t="s">
        <v>3</v>
      </c>
      <c r="E38" s="46" t="s">
        <v>3</v>
      </c>
      <c r="F38" s="33"/>
      <c r="G38" s="95" t="str">
        <f>HYPERLINK(CONCATENATE(BASE_URL,"0x04e-Testing-Authentication-and-Session-Management.md#testing-stateless-token-based-authentication"),"Tester l'Authentification sans état (stateless/passive)")</f>
        <v>Tester l'Authentification sans état (stateless/passive)</v>
      </c>
      <c r="H38" s="66"/>
      <c r="J38" s="52"/>
    </row>
    <row r="39" spans="2:10" x14ac:dyDescent="0.25">
      <c r="B39" s="50" t="s">
        <v>23</v>
      </c>
      <c r="C39" s="51" t="s">
        <v>163</v>
      </c>
      <c r="D39" s="24"/>
      <c r="E39" s="46"/>
      <c r="F39" s="33"/>
      <c r="G39" s="95" t="str">
        <f>HYPERLINK(CONCATENATE(BASE_URL,"0x04e-Testing-Authentication-and-Session-Management.md#user-logout-and-session-timeouts"),"Tester la fonctionalité du logout")</f>
        <v>Tester la fonctionalité du logout</v>
      </c>
      <c r="H39" s="66"/>
      <c r="J39" s="52"/>
    </row>
    <row r="40" spans="2:10" x14ac:dyDescent="0.25">
      <c r="B40" s="50" t="s">
        <v>24</v>
      </c>
      <c r="C40" s="51" t="s">
        <v>164</v>
      </c>
      <c r="D40" s="24" t="s">
        <v>3</v>
      </c>
      <c r="E40" s="46" t="s">
        <v>3</v>
      </c>
      <c r="F40" s="33"/>
      <c r="G40" s="95" t="str">
        <f>HYPERLINK(CONCATENATE(BASE_URL,"0x04e-Testing-Authentication-and-Session-Management.md#best-practices-for-passwords"),"Tester la politique des mots de pass")</f>
        <v>Tester la politique des mots de pass</v>
      </c>
      <c r="H40" s="66"/>
    </row>
    <row r="41" spans="2:10" ht="30" x14ac:dyDescent="0.25">
      <c r="B41" s="50" t="s">
        <v>46</v>
      </c>
      <c r="C41" s="51" t="s">
        <v>165</v>
      </c>
      <c r="D41" s="24" t="s">
        <v>3</v>
      </c>
      <c r="E41" s="46" t="s">
        <v>3</v>
      </c>
      <c r="F41" s="33"/>
      <c r="G41" s="95" t="str">
        <f>HYPERLINK(CONCATENATE(BASE_URL,"0x04e-Testing-Authentication-and-Session-Management.md#login-throttling"),"Tester les tentatives de login excessives ")</f>
        <v xml:space="preserve">Tester les tentatives de login excessives </v>
      </c>
      <c r="H41" s="66"/>
    </row>
    <row r="42" spans="2:10" ht="30" x14ac:dyDescent="0.25">
      <c r="B42" s="50" t="s">
        <v>47</v>
      </c>
      <c r="C42" s="51" t="s">
        <v>166</v>
      </c>
      <c r="D42" s="24" t="s">
        <v>3</v>
      </c>
      <c r="E42" s="46" t="s">
        <v>3</v>
      </c>
      <c r="F42" s="33"/>
      <c r="G42" s="95" t="str">
        <f>HYPERLINK(CONCATENATE(BASE_URL,"0x04e-Testing-Authentication-and-Session-Management.md#user-logout-and-session-timeouts"),"Tester le Timeout de la Session")</f>
        <v>Tester le Timeout de la Session</v>
      </c>
      <c r="H42" s="52"/>
    </row>
    <row r="43" spans="2:10" ht="45" x14ac:dyDescent="0.25">
      <c r="B43" s="50" t="s">
        <v>25</v>
      </c>
      <c r="C43" s="51" t="s">
        <v>167</v>
      </c>
      <c r="D43" s="51"/>
      <c r="E43" s="46" t="s">
        <v>3</v>
      </c>
      <c r="F43" s="33" t="s">
        <v>63</v>
      </c>
      <c r="G43" s="95" t="str">
        <f>HYPERLINK(CONCATENATE(BASE_URL,"0x05f-Testing-Local-Authentication.md#testing-biometric-authentication"),"Tester l'authentification Biometric")</f>
        <v>Tester l'authentification Biometric</v>
      </c>
      <c r="H43" s="66"/>
    </row>
    <row r="44" spans="2:10" ht="30" x14ac:dyDescent="0.25">
      <c r="B44" s="50" t="s">
        <v>26</v>
      </c>
      <c r="C44" s="51" t="s">
        <v>168</v>
      </c>
      <c r="D44" s="51"/>
      <c r="E44" s="46" t="s">
        <v>3</v>
      </c>
      <c r="F44" s="33" t="s">
        <v>63</v>
      </c>
      <c r="G44" s="95" t="str">
        <f>HYPERLINK(CONCATENATE(BASE_URL,"0x04e-Testing-Authentication-and-Session-Management.md#2-factor-authentication-and-step-up-authentication"),"Tester l'uthentification double. (Authentification par deux facteurs)")</f>
        <v>Tester l'uthentification double. (Authentification par deux facteurs)</v>
      </c>
      <c r="H44" s="66"/>
    </row>
    <row r="45" spans="2:10" x14ac:dyDescent="0.25">
      <c r="B45" s="50" t="s">
        <v>27</v>
      </c>
      <c r="C45" s="51" t="s">
        <v>169</v>
      </c>
      <c r="D45" s="51"/>
      <c r="E45" s="46" t="s">
        <v>3</v>
      </c>
      <c r="F45" s="33" t="s">
        <v>63</v>
      </c>
      <c r="G45" s="95" t="str">
        <f>HYPERLINK(CONCATENATE(BASE_URL,"0x04e-Testing-Authentication-and-Session-Management.md#2-factor-authentication-and-step-up-authentication"),"Tester l'authentification au démarrage")</f>
        <v>Tester l'authentification au démarrage</v>
      </c>
      <c r="H45" s="66"/>
    </row>
    <row r="46" spans="2:10" ht="30" x14ac:dyDescent="0.25">
      <c r="B46" s="50" t="s">
        <v>81</v>
      </c>
      <c r="C46" s="51" t="s">
        <v>170</v>
      </c>
      <c r="D46" s="51"/>
      <c r="E46" s="46" t="s">
        <v>3</v>
      </c>
      <c r="F46" s="33" t="s">
        <v>63</v>
      </c>
      <c r="G46" s="96" t="str">
        <f>HYPERLINK(CONCATENATE(BASE_URL,"0x04e-Testing-Authentication-and-Session-Management.md#login-activity-and-device-blocking"),"Vérification de la bonne détection des différents comptes")</f>
        <v>Vérification de la bonne détection des différents comptes</v>
      </c>
      <c r="H46" s="66"/>
    </row>
    <row r="47" spans="2:10" x14ac:dyDescent="0.25">
      <c r="B47" s="34" t="s">
        <v>28</v>
      </c>
      <c r="C47" s="35" t="s">
        <v>99</v>
      </c>
      <c r="D47" s="35"/>
      <c r="E47" s="49"/>
      <c r="F47" s="35"/>
      <c r="G47" s="35"/>
      <c r="H47" s="36"/>
    </row>
    <row r="48" spans="2:10" ht="30" x14ac:dyDescent="0.25">
      <c r="B48" s="50" t="s">
        <v>29</v>
      </c>
      <c r="C48" s="51" t="s">
        <v>171</v>
      </c>
      <c r="D48" s="24" t="s">
        <v>3</v>
      </c>
      <c r="E48" s="46" t="s">
        <v>3</v>
      </c>
      <c r="F48" s="33"/>
      <c r="G48" s="95" t="str">
        <f>HYPERLINK(CONCATENATE(BASE_URL,"0x04f-Testing-Network-Communication.md#verifying-data-encryption-on-the-network"),"Vérification du cryptage des données sensibles dans le réseau")</f>
        <v>Vérification du cryptage des données sensibles dans le réseau</v>
      </c>
      <c r="H48" s="66"/>
    </row>
    <row r="49" spans="2:8" ht="30" x14ac:dyDescent="0.25">
      <c r="B49" s="50" t="s">
        <v>48</v>
      </c>
      <c r="C49" s="51" t="s">
        <v>172</v>
      </c>
      <c r="D49" s="24" t="s">
        <v>3</v>
      </c>
      <c r="E49" s="46" t="s">
        <v>3</v>
      </c>
      <c r="F49" s="33"/>
      <c r="G49" s="95" t="str">
        <f>HYPERLINK(CONCATENATE(BASE_URL,"0x05g-Testing-Network-Communication.md#testing-the-network-security-configuration-settings"),"Vérification des réglages de TLS")</f>
        <v>Vérification des réglages de TLS</v>
      </c>
      <c r="H49" s="66"/>
    </row>
    <row r="50" spans="2:8" ht="30" x14ac:dyDescent="0.25">
      <c r="B50" s="50" t="s">
        <v>30</v>
      </c>
      <c r="C50" s="51" t="s">
        <v>173</v>
      </c>
      <c r="D50" s="24" t="s">
        <v>3</v>
      </c>
      <c r="E50" s="46" t="s">
        <v>3</v>
      </c>
      <c r="F50" s="33"/>
      <c r="G50" s="95" t="str">
        <f>HYPERLINK(CONCATENATE(BASE_URL,"0x05g-Testing-Network-Communication.md#testing-endpoint-identify-verification"),"Tester la vérification du validité du point terminal")</f>
        <v>Tester la vérification du validité du point terminal</v>
      </c>
      <c r="H50" s="66"/>
    </row>
    <row r="51" spans="2:8" ht="45" x14ac:dyDescent="0.25">
      <c r="B51" s="50" t="s">
        <v>49</v>
      </c>
      <c r="C51" s="51" t="s">
        <v>174</v>
      </c>
      <c r="D51" s="51"/>
      <c r="E51" s="46" t="s">
        <v>3</v>
      </c>
      <c r="F51" s="33" t="s">
        <v>63</v>
      </c>
      <c r="G51" s="96" t="str">
        <f>HYPERLINK(CONCATENATE(BASE_URL,"0x05g-Testing-Network-Communication.md#testing-custom-certificate-stores-and-certificate-pinning"),"Tester les magasins de certificats personnalisées et l'épinglage de certificats")</f>
        <v>Tester les magasins de certificats personnalisées et l'épinglage de certificats</v>
      </c>
      <c r="H51" s="66"/>
    </row>
    <row r="52" spans="2:8" ht="30" x14ac:dyDescent="0.25">
      <c r="B52" s="50" t="s">
        <v>31</v>
      </c>
      <c r="C52" s="51" t="s">
        <v>175</v>
      </c>
      <c r="D52" s="51"/>
      <c r="E52" s="46" t="s">
        <v>3</v>
      </c>
      <c r="F52" s="33" t="s">
        <v>63</v>
      </c>
      <c r="G52" s="95" t="str">
        <f>HYPERLINK(CONCATENATE(BASE_URL,"0x04f-Testing-Network-Communication.md#making-sure-that-critical-operations-use-secure-communication-channels"),"Vérification que les opérations critiques utilisent des canals de communications sécurisés")</f>
        <v>Vérification que les opérations critiques utilisent des canals de communications sécurisés</v>
      </c>
      <c r="H52" s="66"/>
    </row>
    <row r="53" spans="2:8" x14ac:dyDescent="0.25">
      <c r="B53" s="50">
        <v>5.6</v>
      </c>
      <c r="C53" s="51" t="s">
        <v>176</v>
      </c>
      <c r="D53" s="51"/>
      <c r="E53" s="46" t="s">
        <v>3</v>
      </c>
      <c r="F53" s="33" t="s">
        <v>63</v>
      </c>
      <c r="G53" s="95" t="str">
        <f>HYPERLINK(CONCATENATE(BASE_URL,"0x05g-Testing-Network-Communication.md#testing-the-security-provider"),"Vérification du fournisseur de sécurité 'Security Provider'")</f>
        <v>Vérification du fournisseur de sécurité 'Security Provider'</v>
      </c>
      <c r="H53" s="66"/>
    </row>
    <row r="54" spans="2:8" x14ac:dyDescent="0.25">
      <c r="B54" s="34" t="s">
        <v>32</v>
      </c>
      <c r="C54" s="35" t="s">
        <v>257</v>
      </c>
      <c r="D54" s="35"/>
      <c r="E54" s="49"/>
      <c r="F54" s="35"/>
      <c r="G54" s="35"/>
      <c r="H54" s="36"/>
    </row>
    <row r="55" spans="2:8" x14ac:dyDescent="0.25">
      <c r="B55" s="50" t="s">
        <v>50</v>
      </c>
      <c r="C55" s="51" t="s">
        <v>177</v>
      </c>
      <c r="D55" s="24" t="s">
        <v>3</v>
      </c>
      <c r="E55" s="46" t="s">
        <v>3</v>
      </c>
      <c r="F55" s="33"/>
      <c r="G55" s="95" t="str">
        <f>HYPERLINK(CONCATENATE(BASE_URL,"0x05h-Testing-Platform-Interaction.md#testing-app-permissions"),"Tester les permissions de l'App")</f>
        <v>Tester les permissions de l'App</v>
      </c>
      <c r="H55" s="66"/>
    </row>
    <row r="56" spans="2:8" ht="45" x14ac:dyDescent="0.25">
      <c r="B56" s="50" t="s">
        <v>51</v>
      </c>
      <c r="C56" s="51" t="s">
        <v>178</v>
      </c>
      <c r="D56" s="24" t="s">
        <v>3</v>
      </c>
      <c r="E56" s="46" t="s">
        <v>3</v>
      </c>
      <c r="F56" s="33"/>
      <c r="G56" s="95" t="str">
        <f>HYPERLINK(CONCATENATE(BASE_URL,"0x04h-Testing-Code-Quality.md#injection-flaws"),"Tester la validation et l'assainissement des entrées")</f>
        <v>Tester la validation et l'assainissement des entrées</v>
      </c>
      <c r="H56" s="66"/>
    </row>
    <row r="57" spans="2:8" ht="30" x14ac:dyDescent="0.25">
      <c r="B57" s="50" t="s">
        <v>52</v>
      </c>
      <c r="C57" s="51" t="s">
        <v>179</v>
      </c>
      <c r="D57" s="24" t="s">
        <v>3</v>
      </c>
      <c r="E57" s="46" t="s">
        <v>3</v>
      </c>
      <c r="F57" s="33"/>
      <c r="G57" s="95" t="str">
        <f>HYPERLINK(CONCATENATE(BASE_URL,"0x05h-Testing-Platform-Interaction.md#testing-custom-url-schemes"),"Tester les schémas d'URL propres à l'application")</f>
        <v>Tester les schémas d'URL propres à l'application</v>
      </c>
      <c r="H57" s="66"/>
    </row>
    <row r="58" spans="2:8" ht="15.95" customHeight="1" x14ac:dyDescent="0.25">
      <c r="B58" s="50" t="s">
        <v>53</v>
      </c>
      <c r="C58" s="51" t="s">
        <v>180</v>
      </c>
      <c r="D58" s="24" t="s">
        <v>3</v>
      </c>
      <c r="E58" s="46" t="s">
        <v>3</v>
      </c>
      <c r="F58" s="33"/>
      <c r="G58" s="95" t="str">
        <f>HYPERLINK(CONCATENATE(BASE_URL,"0x05h-Testing-Platform-Interaction.md#testing-for-sensitive-functionality-exposure-through-ipc"),"Tester l'exportation des fonctionnalités sensibles à travers les possibilités IPC")</f>
        <v>Tester l'exportation des fonctionnalités sensibles à travers les possibilités IPC</v>
      </c>
      <c r="H58" s="66"/>
    </row>
    <row r="59" spans="2:8" x14ac:dyDescent="0.25">
      <c r="B59" s="50" t="s">
        <v>54</v>
      </c>
      <c r="C59" s="51" t="s">
        <v>181</v>
      </c>
      <c r="D59" s="24" t="s">
        <v>3</v>
      </c>
      <c r="E59" s="46" t="s">
        <v>3</v>
      </c>
      <c r="F59" s="33"/>
      <c r="G59" s="95" t="str">
        <f>HYPERLINK(CONCATENATE(BASE_URL,"0x05h-Testing-Platform-Interaction.md#testing-javascript-execution-in-webviews"),"Tester l'execution du Javascript dans les WebViews")</f>
        <v>Tester l'execution du Javascript dans les WebViews</v>
      </c>
      <c r="H59" s="66"/>
    </row>
    <row r="60" spans="2:8" ht="45" x14ac:dyDescent="0.25">
      <c r="B60" s="50" t="s">
        <v>55</v>
      </c>
      <c r="C60" s="51" t="s">
        <v>182</v>
      </c>
      <c r="D60" s="24" t="s">
        <v>3</v>
      </c>
      <c r="E60" s="46" t="s">
        <v>3</v>
      </c>
      <c r="F60" s="33"/>
      <c r="G60" s="95" t="str">
        <f>HYPERLINK(CONCATENATE(BASE_URL,"0x05h-Testing-Platform-Interaction.md#testing-webview-protocol-handlers"),"Tester les gestionnaires de protocoles dans les WebViews")</f>
        <v>Tester les gestionnaires de protocoles dans les WebViews</v>
      </c>
      <c r="H60" s="66"/>
    </row>
    <row r="61" spans="2:8" ht="30" x14ac:dyDescent="0.25">
      <c r="B61" s="50" t="s">
        <v>83</v>
      </c>
      <c r="C61" s="51" t="s">
        <v>183</v>
      </c>
      <c r="D61" s="24" t="s">
        <v>3</v>
      </c>
      <c r="E61" s="46" t="s">
        <v>3</v>
      </c>
      <c r="F61" s="33"/>
      <c r="G61" s="95" t="str">
        <f>HYPERLINK(CONCATENATE(BASE_URL,"0x05h-Testing-Platform-Interaction.md#determining-whether-java-objects-are-exposed-through-webviews"),"Tester si des Objets Java sont exposés par des WebViews")</f>
        <v>Tester si des Objets Java sont exposés par des WebViews</v>
      </c>
      <c r="H61" s="66"/>
    </row>
    <row r="62" spans="2:8" x14ac:dyDescent="0.25">
      <c r="B62" s="50">
        <v>6.8</v>
      </c>
      <c r="C62" s="51" t="s">
        <v>184</v>
      </c>
      <c r="D62" s="24" t="s">
        <v>3</v>
      </c>
      <c r="E62" s="46" t="s">
        <v>3</v>
      </c>
      <c r="F62" s="33"/>
      <c r="G62" s="95" t="str">
        <f>HYPERLINK(CONCATENATE(BASE_URL,"0x05h-Testing-Platform-Interaction.md#testing-object-persistence"),"Tester la (Dé-)Sérialisation des Objets")</f>
        <v>Tester la (Dé-)Sérialisation des Objets</v>
      </c>
      <c r="H62" s="66"/>
    </row>
    <row r="63" spans="2:8" x14ac:dyDescent="0.25">
      <c r="B63" s="34" t="s">
        <v>33</v>
      </c>
      <c r="C63" s="35" t="s">
        <v>185</v>
      </c>
      <c r="D63" s="35"/>
      <c r="E63" s="49"/>
      <c r="F63" s="35"/>
      <c r="G63" s="35"/>
      <c r="H63" s="36"/>
    </row>
    <row r="64" spans="2:8" x14ac:dyDescent="0.25">
      <c r="B64" s="50" t="s">
        <v>56</v>
      </c>
      <c r="C64" s="51" t="s">
        <v>186</v>
      </c>
      <c r="D64" s="24" t="s">
        <v>3</v>
      </c>
      <c r="E64" s="46" t="s">
        <v>3</v>
      </c>
      <c r="F64" s="33"/>
      <c r="G64" s="95" t="str">
        <f>HYPERLINK(CONCATENATE(BASE_URL,"0x05i-Testing-Code-Quality-and-Build-Settings.md#making-sure-that-the-app-is-properly-signed"),"Vérifier que l'application est signée proprement")</f>
        <v>Vérifier que l'application est signée proprement</v>
      </c>
      <c r="H64" s="66"/>
    </row>
    <row r="65" spans="2:8" ht="30" x14ac:dyDescent="0.25">
      <c r="B65" s="50" t="s">
        <v>34</v>
      </c>
      <c r="C65" s="51" t="s">
        <v>187</v>
      </c>
      <c r="D65" s="24" t="s">
        <v>3</v>
      </c>
      <c r="E65" s="46" t="s">
        <v>3</v>
      </c>
      <c r="F65" s="33"/>
      <c r="G65" s="95" t="str">
        <f>HYPERLINK(CONCATENATE(BASE_URL,"0x05i-Testing-Code-Quality-and-Build-Settings.md#determining-whether-the-app-is-debuggable"),"Tester si l'application est déboggable")</f>
        <v>Tester si l'application est déboggable</v>
      </c>
      <c r="H65" s="66"/>
    </row>
    <row r="66" spans="2:8" x14ac:dyDescent="0.25">
      <c r="B66" s="50" t="s">
        <v>57</v>
      </c>
      <c r="C66" s="51" t="s">
        <v>188</v>
      </c>
      <c r="D66" s="24" t="s">
        <v>3</v>
      </c>
      <c r="E66" s="46" t="s">
        <v>3</v>
      </c>
      <c r="F66" s="33"/>
      <c r="G66" s="95" t="str">
        <f>HYPERLINK(CONCATENATE(BASE_URL,"0x05i-Testing-Code-Quality-and-Build-Settings.md#finding-debugging-symbols"),"Tester l'existence des symbols de déboggage")</f>
        <v>Tester l'existence des symbols de déboggage</v>
      </c>
      <c r="H66" s="66"/>
    </row>
    <row r="67" spans="2:8" ht="30" x14ac:dyDescent="0.25">
      <c r="B67" s="50" t="s">
        <v>58</v>
      </c>
      <c r="C67" s="51" t="s">
        <v>189</v>
      </c>
      <c r="D67" s="24" t="s">
        <v>3</v>
      </c>
      <c r="E67" s="46" t="s">
        <v>3</v>
      </c>
      <c r="F67" s="33"/>
      <c r="G67" s="95" t="str">
        <f>HYPERLINK(CONCATENATE(BASE_URL,"0x05i-Testing-Code-Quality-and-Build-Settings.md#finding-debugging-code-and-verbose-error-logging"),"Tester l'existence du code de déboggage ou des messages d'erreur inutilement longs")</f>
        <v>Tester l'existence du code de déboggage ou des messages d'erreur inutilement longs</v>
      </c>
      <c r="H67" s="66"/>
    </row>
    <row r="68" spans="2:8" ht="30" x14ac:dyDescent="0.25">
      <c r="B68" s="50" t="s">
        <v>59</v>
      </c>
      <c r="C68" s="51" t="s">
        <v>190</v>
      </c>
      <c r="D68" s="24" t="s">
        <v>3</v>
      </c>
      <c r="E68" s="46" t="s">
        <v>3</v>
      </c>
      <c r="F68" s="33"/>
      <c r="G68" s="52" t="s">
        <v>248</v>
      </c>
      <c r="H68" s="66"/>
    </row>
    <row r="69" spans="2:8" x14ac:dyDescent="0.25">
      <c r="B69" s="50" t="s">
        <v>35</v>
      </c>
      <c r="C69" s="51" t="s">
        <v>191</v>
      </c>
      <c r="D69" s="24" t="s">
        <v>3</v>
      </c>
      <c r="E69" s="46" t="s">
        <v>3</v>
      </c>
      <c r="F69" s="33"/>
      <c r="G69" s="95" t="str">
        <f>HYPERLINK(CONCATENATE(BASE_URL,"0x05i-Testing-Code-Quality-and-Build-Settings.md#testing-exception-handling"),"Tester la gestion des exceptions")</f>
        <v>Tester la gestion des exceptions</v>
      </c>
      <c r="H69" s="66"/>
    </row>
    <row r="70" spans="2:8" x14ac:dyDescent="0.25">
      <c r="B70" s="50" t="s">
        <v>36</v>
      </c>
      <c r="C70" s="51" t="s">
        <v>192</v>
      </c>
      <c r="D70" s="24" t="s">
        <v>3</v>
      </c>
      <c r="E70" s="46" t="s">
        <v>3</v>
      </c>
      <c r="F70" s="33"/>
      <c r="G70" s="95" t="s">
        <v>249</v>
      </c>
      <c r="H70" s="66"/>
    </row>
    <row r="71" spans="2:8" x14ac:dyDescent="0.25">
      <c r="B71" s="50" t="s">
        <v>37</v>
      </c>
      <c r="C71" s="51" t="s">
        <v>193</v>
      </c>
      <c r="D71" s="24" t="s">
        <v>3</v>
      </c>
      <c r="E71" s="46" t="s">
        <v>3</v>
      </c>
      <c r="F71" s="33"/>
      <c r="G71" s="95" t="str">
        <f>HYPERLINK(CONCATENATE(BASE_URL,"0x04h-Testing-Code-Quality.md#memory-corruption-bugs"),"Vérification de la gestion de la mémoire")</f>
        <v>Vérification de la gestion de la mémoire</v>
      </c>
      <c r="H71" s="66"/>
    </row>
    <row r="72" spans="2:8" ht="45" x14ac:dyDescent="0.25">
      <c r="B72" s="50" t="s">
        <v>82</v>
      </c>
      <c r="C72" s="51" t="s">
        <v>194</v>
      </c>
      <c r="D72" s="24" t="s">
        <v>3</v>
      </c>
      <c r="E72" s="46" t="s">
        <v>3</v>
      </c>
      <c r="F72" s="33"/>
      <c r="G72" s="95" t="str">
        <f>HYPERLINK(CONCATENATE(BASE_URL,"0x05i-Testing-Code-Quality-and-Build-Settings.md#make-sure-that-free-security-features-are-activated"),"Vérification de l'utilisation des fonctionnalitées de sécurité intégrées")</f>
        <v>Vérification de l'utilisation des fonctionnalitées de sécurité intégrées</v>
      </c>
      <c r="H72" s="66"/>
    </row>
    <row r="73" spans="2:8" x14ac:dyDescent="0.25">
      <c r="B73" s="37"/>
      <c r="C73" s="38"/>
      <c r="D73" s="39"/>
      <c r="E73" s="39"/>
      <c r="F73" s="39"/>
      <c r="G73" s="39"/>
      <c r="H73" s="40"/>
    </row>
    <row r="74" spans="2:8" x14ac:dyDescent="0.25">
      <c r="B74" s="41"/>
      <c r="C74" s="42"/>
      <c r="D74" s="41"/>
      <c r="E74" s="41"/>
      <c r="F74" s="41"/>
      <c r="G74" s="41"/>
      <c r="H74" s="41"/>
    </row>
    <row r="75" spans="2:8" x14ac:dyDescent="0.25">
      <c r="B75" s="41"/>
      <c r="C75" s="51"/>
      <c r="D75" s="41"/>
      <c r="E75" s="41"/>
      <c r="F75" s="41"/>
      <c r="G75" s="41"/>
      <c r="H75" s="41"/>
    </row>
    <row r="76" spans="2:8" x14ac:dyDescent="0.25">
      <c r="B76" s="41"/>
      <c r="C76" s="42"/>
      <c r="D76" s="41"/>
      <c r="E76" s="41"/>
      <c r="F76" s="41"/>
      <c r="G76" s="41"/>
      <c r="H76" s="41"/>
    </row>
    <row r="77" spans="2:8" x14ac:dyDescent="0.25">
      <c r="B77" s="85" t="s">
        <v>235</v>
      </c>
      <c r="C77" s="42"/>
      <c r="D77" s="41"/>
      <c r="E77" s="41"/>
      <c r="F77" s="41"/>
      <c r="G77" s="41"/>
      <c r="H77" s="41"/>
    </row>
    <row r="78" spans="2:8" x14ac:dyDescent="0.25">
      <c r="B78" s="87" t="s">
        <v>238</v>
      </c>
      <c r="C78" s="43" t="s">
        <v>108</v>
      </c>
      <c r="D78" s="41"/>
      <c r="E78" s="41"/>
      <c r="F78" s="41"/>
      <c r="G78" s="41"/>
      <c r="H78" s="41"/>
    </row>
    <row r="79" spans="2:8" x14ac:dyDescent="0.25">
      <c r="B79" s="86" t="s">
        <v>195</v>
      </c>
      <c r="C79" s="86" t="s">
        <v>236</v>
      </c>
      <c r="D79" s="41"/>
      <c r="E79" s="41"/>
      <c r="F79" s="41"/>
      <c r="G79" s="41"/>
      <c r="H79" s="41"/>
    </row>
    <row r="80" spans="2:8" x14ac:dyDescent="0.25">
      <c r="B80" s="86" t="s">
        <v>196</v>
      </c>
      <c r="C80" s="44" t="s">
        <v>109</v>
      </c>
      <c r="D80" s="41"/>
      <c r="E80" s="41"/>
      <c r="F80" s="41"/>
      <c r="G80" s="41"/>
      <c r="H80" s="41"/>
    </row>
    <row r="81" spans="2:8" x14ac:dyDescent="0.25">
      <c r="B81" s="44" t="s">
        <v>63</v>
      </c>
      <c r="C81" s="86" t="s">
        <v>237</v>
      </c>
      <c r="D81" s="41"/>
      <c r="E81" s="41"/>
      <c r="F81" s="41"/>
      <c r="G81" s="41"/>
      <c r="H81" s="41"/>
    </row>
    <row r="82" spans="2:8" x14ac:dyDescent="0.25">
      <c r="B82" s="41"/>
      <c r="C82" s="42"/>
      <c r="D82" s="41"/>
      <c r="E82" s="41"/>
      <c r="F82" s="41"/>
      <c r="G82" s="41"/>
      <c r="H82" s="23"/>
    </row>
    <row r="83" spans="2:8" x14ac:dyDescent="0.25">
      <c r="B83" s="41"/>
      <c r="C83" s="42"/>
      <c r="D83" s="41"/>
      <c r="E83" s="41"/>
      <c r="F83" s="41"/>
      <c r="G83" s="41"/>
      <c r="H83" s="23"/>
    </row>
    <row r="84" spans="2:8" x14ac:dyDescent="0.25">
      <c r="B84" s="41"/>
      <c r="C84" s="42"/>
      <c r="D84" s="41"/>
      <c r="E84" s="41"/>
      <c r="F84" s="41"/>
      <c r="G84" s="41"/>
      <c r="H84" s="23"/>
    </row>
    <row r="85" spans="2:8" x14ac:dyDescent="0.25">
      <c r="B85" s="23"/>
      <c r="C85" s="54"/>
      <c r="D85" s="23"/>
      <c r="E85" s="23"/>
      <c r="F85" s="23"/>
      <c r="G85" s="23"/>
      <c r="H85" s="23"/>
    </row>
  </sheetData>
  <mergeCells count="1">
    <mergeCell ref="B1:H1"/>
  </mergeCells>
  <dataValidations count="2">
    <dataValidation type="list" allowBlank="1" showInputMessage="1" showErrorMessage="1" sqref="F74:F1048576 H74:H1048576" xr:uid="{00000000-0002-0000-0200-000000000000}">
      <formula1>"Yes,No,N/A"</formula1>
    </dataValidation>
    <dataValidation type="list" allowBlank="1" showInputMessage="1" showErrorMessage="1" sqref="F16:F27 F5:F14 F29:F34 F36:F46 F48:F53 F55:F62 F64:F72" xr:uid="{00000000-0002-0000-0200-000001000000}">
      <formula1>$B$79:$B$81</formula1>
    </dataValidation>
  </dataValidations>
  <hyperlinks>
    <hyperlink ref="G51" r:id="rId1" location="testing-custom-certificate-stores-and-certificate-pinning" display="Testing Custom Certificate Stores and SSL Pinning" xr:uid="{00000000-0004-0000-0200-000011000000}"/>
  </hyperlinks>
  <pageMargins left="0.75" right="0.75" top="1" bottom="1" header="0.5" footer="0.5"/>
  <pageSetup paperSize="9" orientation="portrait" horizontalDpi="4294967292" verticalDpi="4294967292"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showGridLines="0" zoomScale="91" zoomScaleNormal="91" zoomScalePageLayoutView="130" workbookViewId="0">
      <selection activeCell="E5" sqref="E5"/>
    </sheetView>
  </sheetViews>
  <sheetFormatPr defaultColWidth="11" defaultRowHeight="15.75" x14ac:dyDescent="0.25"/>
  <cols>
    <col min="1" max="1" width="1.875" customWidth="1"/>
    <col min="2" max="2" width="7.375" customWidth="1"/>
    <col min="3" max="3" width="93.375" customWidth="1"/>
    <col min="4" max="4" width="3" bestFit="1" customWidth="1"/>
    <col min="5" max="5" width="5.875" bestFit="1" customWidth="1"/>
    <col min="6" max="6" width="69.25" customWidth="1"/>
    <col min="7" max="7" width="30.625" customWidth="1"/>
  </cols>
  <sheetData>
    <row r="1" spans="2:7" ht="18.75" x14ac:dyDescent="0.3">
      <c r="B1" s="6" t="s">
        <v>110</v>
      </c>
      <c r="C1" s="23"/>
      <c r="D1" s="23"/>
      <c r="E1" s="23"/>
      <c r="F1" s="23"/>
      <c r="G1" s="23"/>
    </row>
    <row r="2" spans="2:7" x14ac:dyDescent="0.25">
      <c r="B2" s="23"/>
      <c r="C2" s="23"/>
      <c r="D2" s="23"/>
      <c r="E2" s="23"/>
      <c r="F2" s="23"/>
      <c r="G2" s="23"/>
    </row>
    <row r="3" spans="2:7" x14ac:dyDescent="0.25">
      <c r="B3" s="68"/>
      <c r="C3" s="69" t="s">
        <v>111</v>
      </c>
      <c r="D3" s="68" t="s">
        <v>38</v>
      </c>
      <c r="E3" s="84" t="s">
        <v>96</v>
      </c>
      <c r="F3" s="84" t="s">
        <v>233</v>
      </c>
      <c r="G3" s="84" t="s">
        <v>234</v>
      </c>
    </row>
    <row r="4" spans="2:7" x14ac:dyDescent="0.25">
      <c r="B4" s="70"/>
      <c r="C4" s="71" t="s">
        <v>197</v>
      </c>
      <c r="D4" s="71"/>
      <c r="E4" s="71"/>
      <c r="F4" s="71"/>
      <c r="G4" s="71"/>
    </row>
    <row r="5" spans="2:7" ht="30" x14ac:dyDescent="0.25">
      <c r="B5" s="72">
        <v>8.1</v>
      </c>
      <c r="C5" s="73" t="s">
        <v>198</v>
      </c>
      <c r="D5" s="74" t="s">
        <v>3</v>
      </c>
      <c r="E5" s="75" t="s">
        <v>63</v>
      </c>
      <c r="F5" s="97" t="str">
        <f>HYPERLINK(CONCATENATE(BASE_URL,"0x05j-Testing-Resiliency-Against-Reverse-Engineering.md#testing-root-detection"),"Tester la détection des appareils rootés")</f>
        <v>Tester la détection des appareils rootés</v>
      </c>
      <c r="G5" s="73"/>
    </row>
    <row r="6" spans="2:7" ht="30" x14ac:dyDescent="0.25">
      <c r="B6" s="72">
        <v>8.1999999999999993</v>
      </c>
      <c r="C6" s="73" t="s">
        <v>199</v>
      </c>
      <c r="D6" s="74" t="s">
        <v>3</v>
      </c>
      <c r="E6" s="75" t="s">
        <v>63</v>
      </c>
      <c r="F6" s="97" t="str">
        <f>HYPERLINK(CONCATENATE(BASE_URL,"0x05j-Testing-Resiliency-Against-Reverse-Engineering.md#testing-anti-debugging"),"Tester la défense contre le déboggage")</f>
        <v>Tester la défense contre le déboggage</v>
      </c>
      <c r="G6" s="73"/>
    </row>
    <row r="7" spans="2:7" ht="30" x14ac:dyDescent="0.25">
      <c r="B7" s="72">
        <v>8.3000000000000007</v>
      </c>
      <c r="C7" s="73" t="s">
        <v>200</v>
      </c>
      <c r="D7" s="74" t="s">
        <v>3</v>
      </c>
      <c r="E7" s="75" t="s">
        <v>63</v>
      </c>
      <c r="F7" s="97" t="str">
        <f>HYPERLINK(CONCATENATE(BASE_URL,"0x05j-Testing-Resiliency-Against-Reverse-Engineering.md#testing-file-integrity-checks"),"Tester le méchanisme de vérification d'intégrité des fichiers")</f>
        <v>Tester le méchanisme de vérification d'intégrité des fichiers</v>
      </c>
      <c r="G7" s="73"/>
    </row>
    <row r="8" spans="2:7" x14ac:dyDescent="0.25">
      <c r="B8" s="72">
        <v>8.4</v>
      </c>
      <c r="C8" s="73" t="s">
        <v>201</v>
      </c>
      <c r="D8" s="74" t="s">
        <v>3</v>
      </c>
      <c r="E8" s="75" t="s">
        <v>63</v>
      </c>
      <c r="F8" s="95" t="str">
        <f>HYPERLINK(CONCATENATE(BASE_URL,"0x05j-Testing-Resiliency-Against-Reverse-Engineering.md#testing-the-detection-of-reverse-engineering-tools"),"Tester les méchanismes de détection des outils rétro-ingénierie")</f>
        <v>Tester les méchanismes de détection des outils rétro-ingénierie</v>
      </c>
      <c r="G8" s="73"/>
    </row>
    <row r="9" spans="2:7" x14ac:dyDescent="0.25">
      <c r="B9" s="72">
        <v>8.5</v>
      </c>
      <c r="C9" s="73" t="s">
        <v>202</v>
      </c>
      <c r="D9" s="74" t="s">
        <v>3</v>
      </c>
      <c r="E9" s="75" t="s">
        <v>63</v>
      </c>
      <c r="F9" s="97" t="str">
        <f>HYPERLINK(CONCATENATE(BASE_URL,"0x05j-Testing-Resiliency-Against-Reverse-Engineering.md#testing-emulator-detection"),"Tester le méchanisme de détection des émulateurs")</f>
        <v>Tester le méchanisme de détection des émulateurs</v>
      </c>
      <c r="G9" s="73"/>
    </row>
    <row r="10" spans="2:7" x14ac:dyDescent="0.25">
      <c r="B10" s="72">
        <v>8.6</v>
      </c>
      <c r="C10" s="73" t="s">
        <v>203</v>
      </c>
      <c r="D10" s="74" t="s">
        <v>3</v>
      </c>
      <c r="E10" s="75" t="s">
        <v>63</v>
      </c>
      <c r="F10" s="95" t="str">
        <f>HYPERLINK(CONCATENATE(BASE_URL,"0x05j-Testing-Resiliency-Against-Reverse-Engineering.md#testing-run-time-integrity-checks"),"Tester le méchanisme de vérification des modifications lors de l'exécution")</f>
        <v>Tester le méchanisme de vérification des modifications lors de l'exécution</v>
      </c>
      <c r="G10" s="73"/>
    </row>
    <row r="11" spans="2:7" ht="30" x14ac:dyDescent="0.25">
      <c r="B11" s="72">
        <v>8.6999999999999993</v>
      </c>
      <c r="C11" s="73" t="s">
        <v>204</v>
      </c>
      <c r="D11" s="74" t="s">
        <v>3</v>
      </c>
      <c r="E11" s="75" t="s">
        <v>63</v>
      </c>
      <c r="F11" s="76"/>
      <c r="G11" s="73"/>
    </row>
    <row r="12" spans="2:7" ht="30" x14ac:dyDescent="0.25">
      <c r="B12" s="72">
        <v>8.8000000000000007</v>
      </c>
      <c r="C12" s="73" t="s">
        <v>205</v>
      </c>
      <c r="D12" s="74" t="s">
        <v>3</v>
      </c>
      <c r="E12" s="75" t="s">
        <v>63</v>
      </c>
      <c r="F12" s="76"/>
      <c r="G12" s="73"/>
    </row>
    <row r="13" spans="2:7" ht="30" x14ac:dyDescent="0.25">
      <c r="B13" s="72">
        <v>8.9</v>
      </c>
      <c r="C13" s="73" t="s">
        <v>206</v>
      </c>
      <c r="D13" s="74" t="s">
        <v>3</v>
      </c>
      <c r="E13" s="75" t="s">
        <v>63</v>
      </c>
      <c r="F13" s="95" t="str">
        <f>HYPERLINK(CONCATENATE(BASE_URL,"0x05j-Testing-Resiliency-Against-Reverse-Engineering.md#testing-obfuscation"),"Tester l'obfuscation")</f>
        <v>Tester l'obfuscation</v>
      </c>
      <c r="G13" s="73"/>
    </row>
    <row r="14" spans="2:7" x14ac:dyDescent="0.25">
      <c r="B14" s="70"/>
      <c r="C14" s="71" t="s">
        <v>113</v>
      </c>
      <c r="D14" s="71"/>
      <c r="E14" s="71"/>
      <c r="F14" s="71"/>
      <c r="G14" s="71"/>
    </row>
    <row r="15" spans="2:7" ht="30" x14ac:dyDescent="0.25">
      <c r="B15" s="77" t="s">
        <v>60</v>
      </c>
      <c r="C15" s="73" t="s">
        <v>207</v>
      </c>
      <c r="D15" s="74" t="s">
        <v>3</v>
      </c>
      <c r="E15" s="75" t="s">
        <v>63</v>
      </c>
      <c r="F15" s="95" t="str">
        <f>HYPERLINK(CONCATENATE(BASE_URL,"0x05j-Testing-Resiliency-Against-Reverse-Engineering.md#testing-device-binding"),"Tester le méchanisme de 'liaison avec l'appareil'")</f>
        <v>Tester le méchanisme de 'liaison avec l'appareil'</v>
      </c>
      <c r="G15" s="73"/>
    </row>
    <row r="16" spans="2:7" x14ac:dyDescent="0.25">
      <c r="B16" s="70"/>
      <c r="C16" s="71" t="s">
        <v>112</v>
      </c>
      <c r="D16" s="71"/>
      <c r="E16" s="71"/>
      <c r="F16" s="71"/>
      <c r="G16" s="71"/>
    </row>
    <row r="17" spans="2:7" ht="45" x14ac:dyDescent="0.25">
      <c r="B17" s="72">
        <v>8.11</v>
      </c>
      <c r="C17" s="73" t="s">
        <v>208</v>
      </c>
      <c r="D17" s="74" t="s">
        <v>3</v>
      </c>
      <c r="E17" s="75" t="s">
        <v>63</v>
      </c>
      <c r="F17" s="76"/>
      <c r="G17" s="73"/>
    </row>
    <row r="18" spans="2:7" ht="75" x14ac:dyDescent="0.25">
      <c r="B18" s="72">
        <v>8.1199999999999992</v>
      </c>
      <c r="C18" s="73" t="s">
        <v>209</v>
      </c>
      <c r="D18" s="74" t="s">
        <v>3</v>
      </c>
      <c r="E18" s="75" t="s">
        <v>63</v>
      </c>
      <c r="F18" s="76"/>
      <c r="G18" s="73"/>
    </row>
    <row r="19" spans="2:7" x14ac:dyDescent="0.25">
      <c r="B19" s="68"/>
      <c r="C19" s="69"/>
      <c r="D19" s="68"/>
      <c r="E19" s="68"/>
      <c r="F19" s="68"/>
      <c r="G19" s="68"/>
    </row>
    <row r="20" spans="2:7" x14ac:dyDescent="0.25">
      <c r="B20" s="41"/>
      <c r="C20" s="41"/>
      <c r="D20" s="41"/>
      <c r="E20" s="41"/>
      <c r="F20" s="41"/>
      <c r="G20" s="41"/>
    </row>
    <row r="21" spans="2:7" x14ac:dyDescent="0.25">
      <c r="B21" s="41"/>
      <c r="C21" s="41"/>
      <c r="D21" s="41"/>
      <c r="E21" s="41"/>
      <c r="F21" s="41"/>
      <c r="G21" s="41"/>
    </row>
    <row r="22" spans="2:7" x14ac:dyDescent="0.25">
      <c r="B22" s="85" t="s">
        <v>235</v>
      </c>
      <c r="C22" s="42"/>
      <c r="D22" s="41"/>
      <c r="E22" s="41"/>
      <c r="F22" s="41"/>
      <c r="G22" s="41"/>
    </row>
    <row r="23" spans="2:7" ht="30" x14ac:dyDescent="0.25">
      <c r="B23" s="87" t="s">
        <v>238</v>
      </c>
      <c r="C23" s="43" t="s">
        <v>108</v>
      </c>
      <c r="D23" s="41"/>
      <c r="E23" s="41"/>
      <c r="F23" s="41"/>
      <c r="G23" s="41"/>
    </row>
    <row r="24" spans="2:7" x14ac:dyDescent="0.25">
      <c r="B24" s="86" t="s">
        <v>195</v>
      </c>
      <c r="C24" s="86" t="s">
        <v>236</v>
      </c>
      <c r="D24" s="41"/>
      <c r="E24" s="41"/>
      <c r="F24" s="41"/>
      <c r="G24" s="41"/>
    </row>
    <row r="25" spans="2:7" x14ac:dyDescent="0.25">
      <c r="B25" s="86" t="s">
        <v>196</v>
      </c>
      <c r="C25" s="44" t="s">
        <v>109</v>
      </c>
      <c r="D25" s="41"/>
      <c r="E25" s="41"/>
      <c r="F25" s="41"/>
      <c r="G25" s="41"/>
    </row>
    <row r="26" spans="2:7" x14ac:dyDescent="0.25">
      <c r="B26" s="44" t="s">
        <v>63</v>
      </c>
      <c r="C26" s="86" t="s">
        <v>237</v>
      </c>
      <c r="D26" s="41"/>
      <c r="E26" s="41"/>
      <c r="F26" s="41"/>
      <c r="G26" s="41"/>
    </row>
    <row r="27" spans="2:7" x14ac:dyDescent="0.25">
      <c r="B27" s="23"/>
      <c r="C27" s="23"/>
      <c r="D27" s="23"/>
      <c r="E27" s="23"/>
      <c r="F27" s="23"/>
      <c r="G27" s="23"/>
    </row>
    <row r="28" spans="2:7" x14ac:dyDescent="0.25">
      <c r="B28" s="23"/>
      <c r="C28" s="23"/>
      <c r="D28" s="23"/>
      <c r="E28" s="23"/>
      <c r="F28" s="23"/>
      <c r="G28" s="23"/>
    </row>
    <row r="29" spans="2:7" x14ac:dyDescent="0.25">
      <c r="B29" s="23"/>
      <c r="C29" s="23"/>
      <c r="D29" s="23"/>
      <c r="E29" s="23"/>
      <c r="F29" s="23"/>
      <c r="G29" s="23"/>
    </row>
  </sheetData>
  <dataValidations count="1">
    <dataValidation type="list" allowBlank="1" showInputMessage="1" showErrorMessage="1" sqref="E17:E18 E15 E5:E13" xr:uid="{00000000-0002-0000-0300-000000000000}">
      <formula1>$B$24:$B$26</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85"/>
  <sheetViews>
    <sheetView showGridLines="0" topLeftCell="A46" zoomScale="78" zoomScaleNormal="78" zoomScalePageLayoutView="130" workbookViewId="0">
      <selection activeCell="F21" sqref="F21"/>
    </sheetView>
  </sheetViews>
  <sheetFormatPr defaultColWidth="11" defaultRowHeight="15.75" x14ac:dyDescent="0.25"/>
  <cols>
    <col min="1" max="1" width="1.875" customWidth="1"/>
    <col min="2" max="2" width="8" customWidth="1"/>
    <col min="3" max="3" width="96.625" style="55" customWidth="1"/>
    <col min="4" max="4" width="7.75" customWidth="1"/>
    <col min="5" max="5" width="9.25" customWidth="1"/>
    <col min="6" max="6" width="5.875" bestFit="1" customWidth="1"/>
    <col min="7" max="7" width="53.5" bestFit="1" customWidth="1"/>
    <col min="8" max="8" width="30.875" customWidth="1"/>
    <col min="10" max="11" width="10.875" customWidth="1"/>
  </cols>
  <sheetData>
    <row r="1" spans="2:8" ht="18.75" x14ac:dyDescent="0.25">
      <c r="B1" s="141" t="s">
        <v>210</v>
      </c>
      <c r="C1" s="141"/>
      <c r="D1" s="141"/>
      <c r="E1" s="141"/>
      <c r="F1" s="141"/>
      <c r="G1" s="141"/>
      <c r="H1" s="141"/>
    </row>
    <row r="2" spans="2:8" x14ac:dyDescent="0.25">
      <c r="B2" s="45"/>
      <c r="C2" s="53"/>
      <c r="D2" s="45"/>
      <c r="E2" s="45"/>
      <c r="F2" s="45"/>
      <c r="G2" s="45"/>
      <c r="H2" s="45"/>
    </row>
    <row r="3" spans="2:8" x14ac:dyDescent="0.25">
      <c r="B3" s="25" t="s">
        <v>0</v>
      </c>
      <c r="C3" s="81" t="s">
        <v>231</v>
      </c>
      <c r="D3" s="26" t="s">
        <v>94</v>
      </c>
      <c r="E3" s="26" t="s">
        <v>95</v>
      </c>
      <c r="F3" s="26" t="s">
        <v>96</v>
      </c>
      <c r="G3" s="82" t="s">
        <v>233</v>
      </c>
      <c r="H3" s="83" t="s">
        <v>234</v>
      </c>
    </row>
    <row r="4" spans="2:8" x14ac:dyDescent="0.25">
      <c r="B4" s="27" t="s">
        <v>1</v>
      </c>
      <c r="C4" s="28" t="s">
        <v>256</v>
      </c>
      <c r="D4" s="29"/>
      <c r="E4" s="29"/>
      <c r="F4" s="29"/>
      <c r="G4" s="29"/>
      <c r="H4" s="30"/>
    </row>
    <row r="5" spans="2:8" x14ac:dyDescent="0.25">
      <c r="B5" s="31" t="s">
        <v>2</v>
      </c>
      <c r="C5" s="32" t="s">
        <v>132</v>
      </c>
      <c r="D5" s="24" t="s">
        <v>3</v>
      </c>
      <c r="E5" s="46" t="s">
        <v>3</v>
      </c>
      <c r="F5" s="33"/>
      <c r="G5" s="47" t="s">
        <v>75</v>
      </c>
      <c r="H5" s="66"/>
    </row>
    <row r="6" spans="2:8" ht="30" x14ac:dyDescent="0.25">
      <c r="B6" s="31">
        <v>1.2</v>
      </c>
      <c r="C6" s="32" t="s">
        <v>134</v>
      </c>
      <c r="D6" s="24" t="s">
        <v>3</v>
      </c>
      <c r="E6" s="46" t="s">
        <v>3</v>
      </c>
      <c r="F6" s="33"/>
      <c r="G6" s="47" t="s">
        <v>75</v>
      </c>
      <c r="H6" s="66"/>
    </row>
    <row r="7" spans="2:8" ht="30" x14ac:dyDescent="0.25">
      <c r="B7" s="31">
        <v>1.3</v>
      </c>
      <c r="C7" s="32" t="s">
        <v>135</v>
      </c>
      <c r="D7" s="24" t="s">
        <v>3</v>
      </c>
      <c r="E7" s="46" t="s">
        <v>3</v>
      </c>
      <c r="F7" s="33"/>
      <c r="G7" s="47" t="s">
        <v>75</v>
      </c>
      <c r="H7" s="66"/>
    </row>
    <row r="8" spans="2:8" x14ac:dyDescent="0.25">
      <c r="B8" s="31">
        <v>1.4</v>
      </c>
      <c r="C8" s="32" t="s">
        <v>133</v>
      </c>
      <c r="D8" s="24" t="s">
        <v>3</v>
      </c>
      <c r="E8" s="46" t="s">
        <v>3</v>
      </c>
      <c r="F8" s="33"/>
      <c r="G8" s="47" t="s">
        <v>75</v>
      </c>
      <c r="H8" s="66"/>
    </row>
    <row r="9" spans="2:8" x14ac:dyDescent="0.25">
      <c r="B9" s="31">
        <v>1.5</v>
      </c>
      <c r="C9" s="32" t="s">
        <v>136</v>
      </c>
      <c r="D9" s="32"/>
      <c r="E9" s="46" t="s">
        <v>3</v>
      </c>
      <c r="F9" s="33" t="s">
        <v>63</v>
      </c>
      <c r="G9" s="47" t="s">
        <v>75</v>
      </c>
      <c r="H9" s="66"/>
    </row>
    <row r="10" spans="2:8" ht="30" x14ac:dyDescent="0.25">
      <c r="B10" s="31">
        <v>1.6</v>
      </c>
      <c r="C10" s="32" t="s">
        <v>137</v>
      </c>
      <c r="D10" s="32"/>
      <c r="E10" s="46" t="s">
        <v>3</v>
      </c>
      <c r="F10" s="33" t="s">
        <v>63</v>
      </c>
      <c r="G10" s="47" t="s">
        <v>75</v>
      </c>
      <c r="H10" s="66"/>
    </row>
    <row r="11" spans="2:8" x14ac:dyDescent="0.25">
      <c r="B11" s="31" t="s">
        <v>4</v>
      </c>
      <c r="C11" s="32" t="s">
        <v>138</v>
      </c>
      <c r="D11" s="48"/>
      <c r="E11" s="46" t="s">
        <v>3</v>
      </c>
      <c r="F11" s="33" t="s">
        <v>63</v>
      </c>
      <c r="G11" s="47" t="s">
        <v>75</v>
      </c>
      <c r="H11" s="66"/>
    </row>
    <row r="12" spans="2:8" ht="30" x14ac:dyDescent="0.25">
      <c r="B12" s="31">
        <v>1.8</v>
      </c>
      <c r="C12" s="32" t="s">
        <v>139</v>
      </c>
      <c r="D12" s="32"/>
      <c r="E12" s="46" t="s">
        <v>3</v>
      </c>
      <c r="F12" s="33" t="s">
        <v>63</v>
      </c>
      <c r="G12" s="47" t="s">
        <v>75</v>
      </c>
      <c r="H12" s="66"/>
    </row>
    <row r="13" spans="2:8" x14ac:dyDescent="0.25">
      <c r="B13" s="31">
        <v>1.9</v>
      </c>
      <c r="C13" s="32" t="s">
        <v>140</v>
      </c>
      <c r="D13" s="32"/>
      <c r="E13" s="46" t="s">
        <v>3</v>
      </c>
      <c r="F13" s="33" t="s">
        <v>63</v>
      </c>
      <c r="G13" s="47" t="s">
        <v>75</v>
      </c>
      <c r="H13" s="66"/>
    </row>
    <row r="14" spans="2:8" x14ac:dyDescent="0.25">
      <c r="B14" s="64" t="s">
        <v>5</v>
      </c>
      <c r="C14" s="32" t="s">
        <v>141</v>
      </c>
      <c r="D14" s="32"/>
      <c r="E14" s="46" t="s">
        <v>3</v>
      </c>
      <c r="F14" s="33" t="s">
        <v>63</v>
      </c>
      <c r="G14" s="47" t="s">
        <v>75</v>
      </c>
      <c r="H14" s="66"/>
    </row>
    <row r="15" spans="2:8" x14ac:dyDescent="0.25">
      <c r="B15" s="34" t="s">
        <v>6</v>
      </c>
      <c r="C15" s="35" t="s">
        <v>232</v>
      </c>
      <c r="D15" s="35"/>
      <c r="E15" s="49"/>
      <c r="F15" s="35"/>
      <c r="G15" s="35"/>
      <c r="H15" s="36"/>
    </row>
    <row r="16" spans="2:8" ht="45" x14ac:dyDescent="0.25">
      <c r="B16" s="50" t="s">
        <v>7</v>
      </c>
      <c r="C16" s="51" t="s">
        <v>142</v>
      </c>
      <c r="D16" s="24" t="s">
        <v>3</v>
      </c>
      <c r="E16" s="46" t="s">
        <v>3</v>
      </c>
      <c r="F16" s="33"/>
      <c r="G16" s="95" t="str">
        <f>HYPERLINK(CONCATENATE(BASE_URL,"0x06d-Testing-Data-Storage.md#testing-local-data-storage"),"Tester les données sensibles dans le stockage local du mobile")</f>
        <v>Tester les données sensibles dans le stockage local du mobile</v>
      </c>
      <c r="H16" s="66"/>
    </row>
    <row r="17" spans="2:8" ht="30" x14ac:dyDescent="0.25">
      <c r="B17" s="50" t="s">
        <v>39</v>
      </c>
      <c r="C17" s="51" t="s">
        <v>143</v>
      </c>
      <c r="D17" s="24"/>
      <c r="E17" s="46"/>
      <c r="F17" s="33"/>
      <c r="G17" s="95" t="str">
        <f>HYPERLINK(CONCATENATE(BASE_URL,"0x06d-Testing-Data-Storage.md#testing-local-data-storage"),"Tester les données sensibles dans le stockage local du mobile")</f>
        <v>Tester les données sensibles dans le stockage local du mobile</v>
      </c>
      <c r="H17" s="66"/>
    </row>
    <row r="18" spans="2:8" x14ac:dyDescent="0.25">
      <c r="B18" s="50" t="s">
        <v>40</v>
      </c>
      <c r="C18" s="51" t="s">
        <v>144</v>
      </c>
      <c r="D18" s="24" t="s">
        <v>3</v>
      </c>
      <c r="E18" s="46" t="s">
        <v>3</v>
      </c>
      <c r="F18" s="33"/>
      <c r="G18" s="95" t="str">
        <f>HYPERLINK(CONCATENATE(BASE_URL,"0x06d-Testing-Data-Storage.md#checking-logs-for-sensitive-data"),"Tester les données sensibles dans les fichiers de logs")</f>
        <v>Tester les données sensibles dans les fichiers de logs</v>
      </c>
      <c r="H18" s="66"/>
    </row>
    <row r="19" spans="2:8" x14ac:dyDescent="0.25">
      <c r="B19" s="50" t="s">
        <v>8</v>
      </c>
      <c r="C19" s="51" t="s">
        <v>145</v>
      </c>
      <c r="D19" s="24" t="s">
        <v>3</v>
      </c>
      <c r="E19" s="46" t="s">
        <v>3</v>
      </c>
      <c r="F19" s="33"/>
      <c r="G19" s="95" t="str">
        <f>HYPERLINK(CONCATENATE(BASE_URL,"0x06d-Testing-Data-Storage.md#determining-whether-sensitive-data-is-sent-to-third-parties"),"Tester si des données sensibles sont envoyés à une entité tièrce")</f>
        <v>Tester si des données sensibles sont envoyés à une entité tièrce</v>
      </c>
      <c r="H19" s="66"/>
    </row>
    <row r="20" spans="2:8" x14ac:dyDescent="0.25">
      <c r="B20" s="50" t="s">
        <v>41</v>
      </c>
      <c r="C20" s="51" t="s">
        <v>146</v>
      </c>
      <c r="D20" s="24" t="s">
        <v>3</v>
      </c>
      <c r="E20" s="46" t="s">
        <v>3</v>
      </c>
      <c r="F20" s="33"/>
      <c r="G20" s="95" t="str">
        <f>HYPERLINK(CONCATENATE(BASE_URL,"0x06d-Testing-Data-Storage.md#finding-sensitive-data-in-the-keyboard-cache"),"Tester si le cache de clavier est désactivé dans les champs d'entrée du text")</f>
        <v>Tester si le cache de clavier est désactivé dans les champs d'entrée du text</v>
      </c>
      <c r="H20" s="66"/>
    </row>
    <row r="21" spans="2:8" x14ac:dyDescent="0.25">
      <c r="B21" s="50" t="s">
        <v>9</v>
      </c>
      <c r="C21" s="51" t="s">
        <v>147</v>
      </c>
      <c r="D21" s="24" t="s">
        <v>3</v>
      </c>
      <c r="E21" s="46" t="s">
        <v>3</v>
      </c>
      <c r="F21" s="33"/>
      <c r="G21" s="95" t="str">
        <f>HYPERLINK(CONCATENATE(BASE_URL,"0x06d-Testing-Data-Storage.md#determining-whether-sensitive-data-is-exposed-via-ipc-mechanisms"),"Vérifier si les données sensibles sont exposées via des méchanismes IPC")</f>
        <v>Vérifier si les données sensibles sont exposées via des méchanismes IPC</v>
      </c>
      <c r="H21" s="66"/>
    </row>
    <row r="22" spans="2:8" x14ac:dyDescent="0.25">
      <c r="B22" s="50" t="s">
        <v>10</v>
      </c>
      <c r="C22" s="51" t="s">
        <v>148</v>
      </c>
      <c r="D22" s="24" t="s">
        <v>3</v>
      </c>
      <c r="E22" s="46" t="s">
        <v>3</v>
      </c>
      <c r="F22" s="33"/>
      <c r="G22" s="95" t="str">
        <f>HYPERLINK(CONCATENATE(BASE_URL,"0x06d-Testing-Data-Storage.md#checking-for-sensitive-data-disclosed-through-the-user-interface"),"Tester si des données sensibles sont exposées via l'interface utilisateur")</f>
        <v>Tester si des données sensibles sont exposées via l'interface utilisateur</v>
      </c>
      <c r="H22" s="66"/>
    </row>
    <row r="23" spans="2:8" x14ac:dyDescent="0.25">
      <c r="B23" s="50" t="s">
        <v>11</v>
      </c>
      <c r="C23" s="51" t="s">
        <v>149</v>
      </c>
      <c r="D23" s="51"/>
      <c r="E23" s="46" t="s">
        <v>3</v>
      </c>
      <c r="F23" s="33" t="s">
        <v>63</v>
      </c>
      <c r="G23" s="95" t="str">
        <f>HYPERLINK(CONCATENATE(BASE_URL,"0x06d-Testing-Data-Storage.md#testing-backups-for-sensitive-data"),"Tester l'éxistence de données sensibles dans les backups")</f>
        <v>Tester l'éxistence de données sensibles dans les backups</v>
      </c>
      <c r="H23" s="66"/>
    </row>
    <row r="24" spans="2:8" x14ac:dyDescent="0.25">
      <c r="B24" s="50" t="s">
        <v>12</v>
      </c>
      <c r="C24" s="51" t="s">
        <v>150</v>
      </c>
      <c r="D24" s="51"/>
      <c r="E24" s="46" t="s">
        <v>3</v>
      </c>
      <c r="F24" s="33" t="s">
        <v>63</v>
      </c>
      <c r="G24" s="95" t="str">
        <f>HYPERLINK(CONCATENATE(BASE_URL,"0x06d-Testing-Data-Storage.md#testing-auto-generated-screenshots-for-sensitive-information"),"Tester l'existence des données sensibles dans les captures généré automatiquement")</f>
        <v>Tester l'existence des données sensibles dans les captures généré automatiquement</v>
      </c>
      <c r="H24" s="66"/>
    </row>
    <row r="25" spans="2:8" ht="30" x14ac:dyDescent="0.25">
      <c r="B25" s="50" t="s">
        <v>42</v>
      </c>
      <c r="C25" s="51" t="s">
        <v>151</v>
      </c>
      <c r="D25" s="51"/>
      <c r="E25" s="46" t="s">
        <v>3</v>
      </c>
      <c r="F25" s="33" t="s">
        <v>63</v>
      </c>
      <c r="G25" s="95" t="str">
        <f>HYPERLINK(CONCATENATE(BASE_URL,"0x06d-Testing-Data-Storage.md#testing-memory-for-sensitive-data"),"Tester l'existence des données sensibles dans la mémoire")</f>
        <v>Tester l'existence des données sensibles dans la mémoire</v>
      </c>
      <c r="H25" s="66"/>
    </row>
    <row r="26" spans="2:8" ht="30" x14ac:dyDescent="0.25">
      <c r="B26" s="50" t="s">
        <v>43</v>
      </c>
      <c r="C26" s="51" t="s">
        <v>152</v>
      </c>
      <c r="D26" s="51"/>
      <c r="E26" s="46" t="s">
        <v>3</v>
      </c>
      <c r="F26" s="33" t="s">
        <v>63</v>
      </c>
      <c r="G26" s="95" t="str">
        <f>HYPERLINK(CONCATENATE(BASE_URL,"0x06f-Testing-Local-Authentication.md#testing-local-authentication"),"Tester l'existence d'une politique de sécurité d'accès au mobile")</f>
        <v>Tester l'existence d'une politique de sécurité d'accès au mobile</v>
      </c>
      <c r="H26" s="66"/>
    </row>
    <row r="27" spans="2:8" ht="30" x14ac:dyDescent="0.25">
      <c r="B27" s="50" t="s">
        <v>13</v>
      </c>
      <c r="C27" s="51" t="s">
        <v>153</v>
      </c>
      <c r="D27" s="51"/>
      <c r="E27" s="46" t="s">
        <v>3</v>
      </c>
      <c r="F27" s="33" t="s">
        <v>63</v>
      </c>
      <c r="G27" s="52"/>
      <c r="H27" s="66"/>
    </row>
    <row r="28" spans="2:8" x14ac:dyDescent="0.25">
      <c r="B28" s="34" t="s">
        <v>14</v>
      </c>
      <c r="C28" s="35" t="s">
        <v>97</v>
      </c>
      <c r="D28" s="35"/>
      <c r="E28" s="49"/>
      <c r="F28" s="35"/>
      <c r="G28" s="35"/>
      <c r="H28" s="36"/>
    </row>
    <row r="29" spans="2:8" x14ac:dyDescent="0.25">
      <c r="B29" s="50" t="s">
        <v>15</v>
      </c>
      <c r="C29" s="51" t="s">
        <v>154</v>
      </c>
      <c r="D29" s="24" t="s">
        <v>3</v>
      </c>
      <c r="E29" s="46" t="s">
        <v>3</v>
      </c>
      <c r="F29" s="33"/>
      <c r="G29" s="95" t="str">
        <f>HYPERLINK(CONCATENATE(BASE_URL,"0x06e-Testing-Cryptography.md#testing-key-management"),"Vérification de la gestion des clés")</f>
        <v>Vérification de la gestion des clés</v>
      </c>
      <c r="H29" s="66"/>
    </row>
    <row r="30" spans="2:8" x14ac:dyDescent="0.25">
      <c r="B30" s="50" t="s">
        <v>16</v>
      </c>
      <c r="C30" s="51" t="s">
        <v>155</v>
      </c>
      <c r="D30" s="24" t="s">
        <v>3</v>
      </c>
      <c r="E30" s="46" t="s">
        <v>3</v>
      </c>
      <c r="F30" s="33"/>
      <c r="G30" s="95" t="str">
        <f>HYPERLINK(CONCATENATE(BASE_URL,"0x06e-Testing-Cryptography.md#verifying-the-configuration-of-cryptographic-standard-algorithms"),"Tester l'existence des implémentations personnalisées des primitives cryptographiques")</f>
        <v>Tester l'existence des implémentations personnalisées des primitives cryptographiques</v>
      </c>
      <c r="H30" s="66"/>
    </row>
    <row r="31" spans="2:8" ht="30" x14ac:dyDescent="0.25">
      <c r="B31" s="50" t="s">
        <v>17</v>
      </c>
      <c r="C31" s="51" t="s">
        <v>156</v>
      </c>
      <c r="D31" s="24" t="s">
        <v>3</v>
      </c>
      <c r="E31" s="46" t="s">
        <v>3</v>
      </c>
      <c r="F31" s="33"/>
      <c r="G31" s="95" t="str">
        <f>HYPERLINK(CONCATENATE(BASE_URL,"0x06e-Testing-Cryptography.md#verifying-the-configuration-of-cryptographic-standard-algorithms"),"Vérification de la configuration des algorithms standards de la cryptographie")</f>
        <v>Vérification de la configuration des algorithms standards de la cryptographie</v>
      </c>
      <c r="H31" s="66"/>
    </row>
    <row r="32" spans="2:8" ht="30" x14ac:dyDescent="0.25">
      <c r="B32" s="50" t="s">
        <v>18</v>
      </c>
      <c r="C32" s="51" t="s">
        <v>157</v>
      </c>
      <c r="D32" s="24" t="s">
        <v>3</v>
      </c>
      <c r="E32" s="46" t="s">
        <v>3</v>
      </c>
      <c r="F32" s="33"/>
      <c r="G32" s="95" t="str">
        <f>HYPERLINK(CONCATENATE(BASE_URL,"0x06e-Testing-Cryptography.md#verifying-the-configuration-of-cryptographic-standard-algorithms"),"Tester les algorithms de cryptographie non sécurisé et/ou obsolète")</f>
        <v>Tester les algorithms de cryptographie non sécurisé et/ou obsolète</v>
      </c>
      <c r="H32" s="66"/>
    </row>
    <row r="33" spans="2:10" x14ac:dyDescent="0.25">
      <c r="B33" s="50" t="s">
        <v>19</v>
      </c>
      <c r="C33" s="51" t="s">
        <v>158</v>
      </c>
      <c r="D33" s="24" t="s">
        <v>3</v>
      </c>
      <c r="E33" s="46" t="s">
        <v>3</v>
      </c>
      <c r="F33" s="33"/>
      <c r="G33" s="95" t="str">
        <f>HYPERLINK(CONCATENATE(BASE_URL,"0x06e-Testing-Cryptography.md#testing-key-management"),"Vérification de la gestion des clés")</f>
        <v>Vérification de la gestion des clés</v>
      </c>
      <c r="H33" s="66"/>
    </row>
    <row r="34" spans="2:10" x14ac:dyDescent="0.25">
      <c r="B34" s="50" t="s">
        <v>20</v>
      </c>
      <c r="C34" s="51" t="s">
        <v>159</v>
      </c>
      <c r="D34" s="24" t="s">
        <v>3</v>
      </c>
      <c r="E34" s="46" t="s">
        <v>3</v>
      </c>
      <c r="F34" s="33"/>
      <c r="G34" s="95" t="str">
        <f>HYPERLINK(CONCATENATE(BASE_URL,"0x06e-Testing-Cryptography.md#testing-random-number-generation")," Tester les générateurs  aléatoires des chiffres")</f>
        <v xml:space="preserve"> Tester les générateurs  aléatoires des chiffres</v>
      </c>
      <c r="H34" s="66"/>
    </row>
    <row r="35" spans="2:10" x14ac:dyDescent="0.25">
      <c r="B35" s="34" t="s">
        <v>21</v>
      </c>
      <c r="C35" s="35" t="s">
        <v>114</v>
      </c>
      <c r="D35" s="35"/>
      <c r="E35" s="49"/>
      <c r="F35" s="35"/>
      <c r="G35" s="35"/>
      <c r="H35" s="36"/>
    </row>
    <row r="36" spans="2:10" ht="30" x14ac:dyDescent="0.25">
      <c r="B36" s="50" t="s">
        <v>22</v>
      </c>
      <c r="C36" s="51" t="s">
        <v>160</v>
      </c>
      <c r="D36" s="24" t="s">
        <v>3</v>
      </c>
      <c r="E36" s="46" t="s">
        <v>3</v>
      </c>
      <c r="F36" s="33"/>
      <c r="G36" s="98" t="s">
        <v>98</v>
      </c>
      <c r="H36" s="66"/>
    </row>
    <row r="37" spans="2:10" ht="30" x14ac:dyDescent="0.25">
      <c r="B37" s="50" t="s">
        <v>44</v>
      </c>
      <c r="C37" s="51" t="s">
        <v>161</v>
      </c>
      <c r="D37" s="24" t="s">
        <v>3</v>
      </c>
      <c r="E37" s="46" t="s">
        <v>3</v>
      </c>
      <c r="F37" s="33"/>
      <c r="G37" s="98" t="s">
        <v>101</v>
      </c>
      <c r="H37" s="66"/>
    </row>
    <row r="38" spans="2:10" ht="30" x14ac:dyDescent="0.25">
      <c r="B38" s="50" t="s">
        <v>45</v>
      </c>
      <c r="C38" s="51" t="s">
        <v>162</v>
      </c>
      <c r="D38" s="24" t="s">
        <v>3</v>
      </c>
      <c r="E38" s="46" t="s">
        <v>3</v>
      </c>
      <c r="F38" s="33"/>
      <c r="G38" s="98" t="s">
        <v>100</v>
      </c>
      <c r="H38" s="66"/>
      <c r="J38" s="52"/>
    </row>
    <row r="39" spans="2:10" x14ac:dyDescent="0.25">
      <c r="B39" s="50" t="s">
        <v>23</v>
      </c>
      <c r="C39" s="51" t="s">
        <v>163</v>
      </c>
      <c r="D39" s="24"/>
      <c r="E39" s="46"/>
      <c r="F39" s="33"/>
      <c r="G39" s="98" t="s">
        <v>102</v>
      </c>
      <c r="H39" s="66"/>
      <c r="J39" s="52"/>
    </row>
    <row r="40" spans="2:10" x14ac:dyDescent="0.25">
      <c r="B40" s="50" t="s">
        <v>24</v>
      </c>
      <c r="C40" s="51" t="s">
        <v>164</v>
      </c>
      <c r="D40" s="24" t="s">
        <v>3</v>
      </c>
      <c r="E40" s="46" t="s">
        <v>3</v>
      </c>
      <c r="F40" s="33"/>
      <c r="G40" s="98" t="s">
        <v>103</v>
      </c>
      <c r="H40" s="66"/>
    </row>
    <row r="41" spans="2:10" ht="30" x14ac:dyDescent="0.25">
      <c r="B41" s="50" t="s">
        <v>46</v>
      </c>
      <c r="C41" s="51" t="s">
        <v>165</v>
      </c>
      <c r="D41" s="24" t="s">
        <v>3</v>
      </c>
      <c r="E41" s="46" t="s">
        <v>3</v>
      </c>
      <c r="F41" s="33"/>
      <c r="G41" s="98" t="s">
        <v>104</v>
      </c>
      <c r="H41" s="66"/>
    </row>
    <row r="42" spans="2:10" ht="30" x14ac:dyDescent="0.25">
      <c r="B42" s="50" t="s">
        <v>47</v>
      </c>
      <c r="C42" s="51" t="s">
        <v>166</v>
      </c>
      <c r="D42" s="24" t="s">
        <v>3</v>
      </c>
      <c r="E42" s="46" t="s">
        <v>3</v>
      </c>
      <c r="F42" s="33"/>
      <c r="G42" s="98" t="s">
        <v>105</v>
      </c>
      <c r="H42" s="52"/>
    </row>
    <row r="43" spans="2:10" ht="45" x14ac:dyDescent="0.25">
      <c r="B43" s="50" t="s">
        <v>25</v>
      </c>
      <c r="C43" s="51" t="s">
        <v>167</v>
      </c>
      <c r="D43" s="51"/>
      <c r="E43" s="46" t="s">
        <v>3</v>
      </c>
      <c r="F43" s="33" t="s">
        <v>63</v>
      </c>
      <c r="G43" s="95" t="str">
        <f>HYPERLINK(CONCATENATE(BASE_URL,"0x06f-Testing-Local-Authentication.md#testing-local-authentication"),"Tester  l'authentification Biometric")</f>
        <v>Tester  l'authentification Biometric</v>
      </c>
      <c r="H43" s="66"/>
    </row>
    <row r="44" spans="2:10" ht="30" x14ac:dyDescent="0.25">
      <c r="B44" s="50" t="s">
        <v>26</v>
      </c>
      <c r="C44" s="51" t="s">
        <v>168</v>
      </c>
      <c r="D44" s="51"/>
      <c r="E44" s="46" t="s">
        <v>3</v>
      </c>
      <c r="F44" s="33" t="s">
        <v>63</v>
      </c>
      <c r="G44" s="98" t="s">
        <v>107</v>
      </c>
      <c r="H44" s="66"/>
    </row>
    <row r="45" spans="2:10" x14ac:dyDescent="0.25">
      <c r="B45" s="50" t="s">
        <v>27</v>
      </c>
      <c r="C45" s="51" t="s">
        <v>169</v>
      </c>
      <c r="D45" s="51"/>
      <c r="E45" s="46" t="s">
        <v>3</v>
      </c>
      <c r="F45" s="33" t="s">
        <v>63</v>
      </c>
      <c r="G45" s="98" t="s">
        <v>106</v>
      </c>
      <c r="H45" s="66"/>
    </row>
    <row r="46" spans="2:10" ht="30" x14ac:dyDescent="0.25">
      <c r="B46" s="50" t="s">
        <v>81</v>
      </c>
      <c r="C46" s="51" t="s">
        <v>170</v>
      </c>
      <c r="D46" s="51"/>
      <c r="E46" s="46" t="s">
        <v>3</v>
      </c>
      <c r="F46" s="33" t="s">
        <v>63</v>
      </c>
      <c r="G46" s="52"/>
      <c r="H46" s="66"/>
    </row>
    <row r="47" spans="2:10" x14ac:dyDescent="0.25">
      <c r="B47" s="34" t="s">
        <v>28</v>
      </c>
      <c r="C47" s="35" t="s">
        <v>99</v>
      </c>
      <c r="D47" s="35"/>
      <c r="E47" s="49"/>
      <c r="F47" s="35"/>
      <c r="G47" s="35"/>
      <c r="H47" s="36"/>
    </row>
    <row r="48" spans="2:10" ht="30" x14ac:dyDescent="0.25">
      <c r="B48" s="50" t="s">
        <v>29</v>
      </c>
      <c r="C48" s="51" t="s">
        <v>171</v>
      </c>
      <c r="D48" s="24" t="s">
        <v>3</v>
      </c>
      <c r="E48" s="46" t="s">
        <v>3</v>
      </c>
      <c r="F48" s="33"/>
      <c r="G48" s="95" t="str">
        <f>HYPERLINK(CONCATENATE(BASE_URL,"0x06g-Testing-Network-Communication.md#app-transport-security"),"Vérification du cryptage des données sensibles dans le réseau")</f>
        <v>Vérification du cryptage des données sensibles dans le réseau</v>
      </c>
      <c r="H48" s="66"/>
    </row>
    <row r="49" spans="2:8" ht="30" x14ac:dyDescent="0.25">
      <c r="B49" s="50" t="s">
        <v>48</v>
      </c>
      <c r="C49" s="51" t="s">
        <v>172</v>
      </c>
      <c r="D49" s="24" t="s">
        <v>3</v>
      </c>
      <c r="E49" s="46" t="s">
        <v>3</v>
      </c>
      <c r="F49" s="33"/>
      <c r="G49" s="95" t="str">
        <f>HYPERLINK(CONCATENATE(BASE_URL,"0x06g-Testing-Network-Communication.md#app-transport-security"),"Vérification des réglages de TLS")</f>
        <v>Vérification des réglages de TLS</v>
      </c>
      <c r="H49" s="66"/>
    </row>
    <row r="50" spans="2:8" ht="30" x14ac:dyDescent="0.25">
      <c r="B50" s="50" t="s">
        <v>30</v>
      </c>
      <c r="C50" s="51" t="s">
        <v>173</v>
      </c>
      <c r="D50" s="24" t="s">
        <v>3</v>
      </c>
      <c r="E50" s="46" t="s">
        <v>3</v>
      </c>
      <c r="F50" s="33"/>
      <c r="G50" s="95" t="str">
        <f>HYPERLINK(CONCATENATE(BASE_URL,"0x06g-Testing-Network-Communication.md#app-transport-security"),"Tester la vérification du validité du point terminal")</f>
        <v>Tester la vérification du validité du point terminal</v>
      </c>
      <c r="H50" s="66"/>
    </row>
    <row r="51" spans="2:8" ht="45" x14ac:dyDescent="0.25">
      <c r="B51" s="50" t="s">
        <v>49</v>
      </c>
      <c r="C51" s="51" t="s">
        <v>174</v>
      </c>
      <c r="D51" s="51"/>
      <c r="E51" s="46" t="s">
        <v>3</v>
      </c>
      <c r="F51" s="33" t="s">
        <v>63</v>
      </c>
      <c r="G51" s="95" t="str">
        <f>HYPERLINK(CONCATENATE(BASE_URL,"0x06g-Testing-Network-Communication.md#testing-custom-certificate-stores-and-certificate-pinning"),"Tester les magasins de certificats personnalisées et l'épinglage de certificats")</f>
        <v>Tester les magasins de certificats personnalisées et l'épinglage de certificats</v>
      </c>
      <c r="H51" s="66"/>
    </row>
    <row r="52" spans="2:8" ht="30" x14ac:dyDescent="0.25">
      <c r="B52" s="50" t="s">
        <v>31</v>
      </c>
      <c r="C52" s="51" t="s">
        <v>175</v>
      </c>
      <c r="D52" s="51"/>
      <c r="E52" s="46" t="s">
        <v>3</v>
      </c>
      <c r="F52" s="33" t="s">
        <v>63</v>
      </c>
      <c r="G52" s="98" t="s">
        <v>250</v>
      </c>
      <c r="H52" s="66"/>
    </row>
    <row r="53" spans="2:8" x14ac:dyDescent="0.25">
      <c r="B53" s="50">
        <v>5.6</v>
      </c>
      <c r="C53" s="51" t="s">
        <v>176</v>
      </c>
      <c r="D53" s="51"/>
      <c r="E53" s="46" t="s">
        <v>3</v>
      </c>
      <c r="F53" s="33" t="s">
        <v>63</v>
      </c>
      <c r="G53" s="98" t="s">
        <v>251</v>
      </c>
      <c r="H53" s="66"/>
    </row>
    <row r="54" spans="2:8" x14ac:dyDescent="0.25">
      <c r="B54" s="34" t="s">
        <v>32</v>
      </c>
      <c r="C54" s="35" t="s">
        <v>257</v>
      </c>
      <c r="D54" s="35"/>
      <c r="E54" s="49"/>
      <c r="F54" s="35"/>
      <c r="G54" s="35"/>
      <c r="H54" s="36"/>
    </row>
    <row r="55" spans="2:8" x14ac:dyDescent="0.25">
      <c r="B55" s="50" t="s">
        <v>50</v>
      </c>
      <c r="C55" s="51" t="s">
        <v>177</v>
      </c>
      <c r="D55" s="24" t="s">
        <v>3</v>
      </c>
      <c r="E55" s="46" t="s">
        <v>3</v>
      </c>
      <c r="F55" s="33"/>
      <c r="G55" s="95" t="str">
        <f>HYPERLINK(CONCATENATE(BASE_URL,"0x06h-Testing-Platform-Interaction.md#testing-app-permissions"),"Tester les permissions de l'App")</f>
        <v>Tester les permissions de l'App</v>
      </c>
      <c r="H55" s="66"/>
    </row>
    <row r="56" spans="2:8" ht="45" x14ac:dyDescent="0.25">
      <c r="B56" s="50" t="s">
        <v>51</v>
      </c>
      <c r="C56" s="51" t="s">
        <v>178</v>
      </c>
      <c r="D56" s="24" t="s">
        <v>3</v>
      </c>
      <c r="E56" s="46" t="s">
        <v>3</v>
      </c>
      <c r="F56" s="33"/>
      <c r="G56" s="98" t="s">
        <v>252</v>
      </c>
      <c r="H56" s="66"/>
    </row>
    <row r="57" spans="2:8" ht="30" x14ac:dyDescent="0.25">
      <c r="B57" s="50" t="s">
        <v>52</v>
      </c>
      <c r="C57" s="51" t="s">
        <v>179</v>
      </c>
      <c r="D57" s="24" t="s">
        <v>3</v>
      </c>
      <c r="E57" s="46" t="s">
        <v>3</v>
      </c>
      <c r="F57" s="33"/>
      <c r="G57" s="95" t="str">
        <f>HYPERLINK(CONCATENATE(BASE_URL,"0x06h-Testing-Platform-Interaction.md#testing-custom-url-schemes"),"Tester les schémas d'URL propres à l'application")</f>
        <v>Tester les schémas d'URL propres à l'application</v>
      </c>
      <c r="H57" s="66"/>
    </row>
    <row r="58" spans="2:8" ht="15.95" customHeight="1" x14ac:dyDescent="0.25">
      <c r="B58" s="50" t="s">
        <v>53</v>
      </c>
      <c r="C58" s="51" t="s">
        <v>180</v>
      </c>
      <c r="D58" s="24" t="s">
        <v>3</v>
      </c>
      <c r="E58" s="46" t="s">
        <v>3</v>
      </c>
      <c r="F58" s="33"/>
      <c r="G58" s="98" t="s">
        <v>76</v>
      </c>
      <c r="H58" s="66"/>
    </row>
    <row r="59" spans="2:8" x14ac:dyDescent="0.25">
      <c r="B59" s="50" t="s">
        <v>54</v>
      </c>
      <c r="C59" s="51" t="s">
        <v>181</v>
      </c>
      <c r="D59" s="24" t="s">
        <v>3</v>
      </c>
      <c r="E59" s="46" t="s">
        <v>3</v>
      </c>
      <c r="F59" s="33"/>
      <c r="G59" s="95" t="str">
        <f>HYPERLINK(CONCATENATE(BASE_URL,"0x06h-Testing-Platform-Interaction.md#testing-ios-webviews"),"Tester l'execution du Javascript dans les WebViews")</f>
        <v>Tester l'execution du Javascript dans les WebViews</v>
      </c>
      <c r="H59" s="66"/>
    </row>
    <row r="60" spans="2:8" ht="45" x14ac:dyDescent="0.25">
      <c r="B60" s="50" t="s">
        <v>55</v>
      </c>
      <c r="C60" s="51" t="s">
        <v>182</v>
      </c>
      <c r="D60" s="24" t="s">
        <v>3</v>
      </c>
      <c r="E60" s="46" t="s">
        <v>3</v>
      </c>
      <c r="F60" s="33"/>
      <c r="G60" s="95" t="str">
        <f>HYPERLINK(CONCATENATE(BASE_URL,"0x06h-Testing-Platform-Interaction.md#testing-webview-protocol-handlers"),"Tester les gestionnaires de protocoles dans les WebViews")</f>
        <v>Tester les gestionnaires de protocoles dans les WebViews</v>
      </c>
      <c r="H60" s="66"/>
    </row>
    <row r="61" spans="2:8" ht="30" x14ac:dyDescent="0.25">
      <c r="B61" s="50" t="s">
        <v>83</v>
      </c>
      <c r="C61" s="51" t="s">
        <v>183</v>
      </c>
      <c r="D61" s="24" t="s">
        <v>3</v>
      </c>
      <c r="E61" s="46" t="s">
        <v>3</v>
      </c>
      <c r="F61" s="33"/>
      <c r="G61" s="95" t="str">
        <f>HYPERLINK(CONCATENATE(BASE_URL,"0x06h-Testing-Platform-Interaction.md#determining-whether-native-methods-are-exposed-through-webviews"),"Tester si des Objets Java sont exposés par des WebViews")</f>
        <v>Tester si des Objets Java sont exposés par des WebViews</v>
      </c>
      <c r="H61" s="66"/>
    </row>
    <row r="62" spans="2:8" x14ac:dyDescent="0.25">
      <c r="B62" s="50">
        <v>6.8</v>
      </c>
      <c r="C62" s="51" t="s">
        <v>184</v>
      </c>
      <c r="D62" s="24" t="s">
        <v>3</v>
      </c>
      <c r="E62" s="46" t="s">
        <v>3</v>
      </c>
      <c r="F62" s="33"/>
      <c r="G62" s="95" t="str">
        <f>HYPERLINK(CONCATENATE(BASE_URL,"0x06h-Testing-Platform-Interaction.md#testing-object-persistence"),"Tester la (Dé-)Sérialisation des Objets")</f>
        <v>Tester la (Dé-)Sérialisation des Objets</v>
      </c>
      <c r="H62" s="66"/>
    </row>
    <row r="63" spans="2:8" x14ac:dyDescent="0.25">
      <c r="B63" s="34" t="s">
        <v>33</v>
      </c>
      <c r="C63" s="35" t="s">
        <v>185</v>
      </c>
      <c r="D63" s="35"/>
      <c r="E63" s="49"/>
      <c r="F63" s="35"/>
      <c r="G63" s="35"/>
      <c r="H63" s="36"/>
    </row>
    <row r="64" spans="2:8" x14ac:dyDescent="0.25">
      <c r="B64" s="50" t="s">
        <v>56</v>
      </c>
      <c r="C64" s="51" t="s">
        <v>186</v>
      </c>
      <c r="D64" s="24" t="s">
        <v>3</v>
      </c>
      <c r="E64" s="46" t="s">
        <v>3</v>
      </c>
      <c r="F64" s="33"/>
      <c r="G64" s="95" t="str">
        <f>HYPERLINK(CONCATENATE(BASE_URL,"0x06i-Testing-Code-Quality-and-Build-Settings.md#making-sure-that-the-app-is-properly-signed"),"Vérifier que l'application est signée proprement")</f>
        <v>Vérifier que l'application est signée proprement</v>
      </c>
      <c r="H64" s="66"/>
    </row>
    <row r="65" spans="2:8" ht="30" x14ac:dyDescent="0.25">
      <c r="B65" s="50" t="s">
        <v>34</v>
      </c>
      <c r="C65" s="51" t="s">
        <v>187</v>
      </c>
      <c r="D65" s="24" t="s">
        <v>3</v>
      </c>
      <c r="E65" s="46" t="s">
        <v>3</v>
      </c>
      <c r="F65" s="33"/>
      <c r="G65" s="95" t="str">
        <f>HYPERLINK(CONCATENATE(BASE_URL,"0x06i-Testing-Code-Quality-and-Build-Settings.md#determining-whether-the-app-is-debuggable"),"Tester si l'application est déboggable")</f>
        <v>Tester si l'application est déboggable</v>
      </c>
      <c r="H65" s="66"/>
    </row>
    <row r="66" spans="2:8" x14ac:dyDescent="0.25">
      <c r="B66" s="50" t="s">
        <v>57</v>
      </c>
      <c r="C66" s="51" t="s">
        <v>188</v>
      </c>
      <c r="D66" s="24" t="s">
        <v>3</v>
      </c>
      <c r="E66" s="46" t="s">
        <v>3</v>
      </c>
      <c r="F66" s="33"/>
      <c r="G66" s="95" t="str">
        <f>HYPERLINK(CONCATENATE(BASE_URL,"0x06i-Testing-Code-Quality-and-Build-Settings.md#finding-debugging-symbols"),"Tester l'existence des symbols de déboggage")</f>
        <v>Tester l'existence des symbols de déboggage</v>
      </c>
      <c r="H66" s="66"/>
    </row>
    <row r="67" spans="2:8" ht="30" x14ac:dyDescent="0.25">
      <c r="B67" s="50" t="s">
        <v>58</v>
      </c>
      <c r="C67" s="51" t="s">
        <v>189</v>
      </c>
      <c r="D67" s="24" t="s">
        <v>3</v>
      </c>
      <c r="E67" s="46" t="s">
        <v>3</v>
      </c>
      <c r="F67" s="33"/>
      <c r="G67" s="95" t="str">
        <f>HYPERLINK(CONCATENATE(BASE_URL,"0x06i-Testing-Code-Quality-and-Build-Settings.md#finding-debugging-code-and-verbose-error-logging"),"Tester l'existence du code de déboggage ou des messages d'erreur inutilement longs")</f>
        <v>Tester l'existence du code de déboggage ou des messages d'erreur inutilement longs</v>
      </c>
      <c r="H67" s="66"/>
    </row>
    <row r="68" spans="2:8" ht="30" x14ac:dyDescent="0.25">
      <c r="B68" s="50" t="s">
        <v>59</v>
      </c>
      <c r="C68" s="51" t="s">
        <v>190</v>
      </c>
      <c r="D68" s="24" t="s">
        <v>3</v>
      </c>
      <c r="E68" s="46" t="s">
        <v>3</v>
      </c>
      <c r="F68" s="33"/>
      <c r="G68" s="52" t="s">
        <v>248</v>
      </c>
      <c r="H68" s="66"/>
    </row>
    <row r="69" spans="2:8" x14ac:dyDescent="0.25">
      <c r="B69" s="50" t="s">
        <v>35</v>
      </c>
      <c r="C69" s="51" t="s">
        <v>191</v>
      </c>
      <c r="D69" s="24" t="s">
        <v>3</v>
      </c>
      <c r="E69" s="46" t="s">
        <v>3</v>
      </c>
      <c r="F69" s="33"/>
      <c r="G69" s="95" t="str">
        <f>HYPERLINK(CONCATENATE(BASE_URL,"0x06i-Testing-Code-Quality-and-Build-Settings.md#testing-exception-handling"),"Tester la gestion des exceptions")</f>
        <v>Tester la gestion des exceptions</v>
      </c>
      <c r="H69" s="66"/>
    </row>
    <row r="70" spans="2:8" x14ac:dyDescent="0.25">
      <c r="B70" s="50" t="s">
        <v>36</v>
      </c>
      <c r="C70" s="51" t="s">
        <v>192</v>
      </c>
      <c r="D70" s="24" t="s">
        <v>3</v>
      </c>
      <c r="E70" s="46" t="s">
        <v>3</v>
      </c>
      <c r="F70" s="33"/>
      <c r="G70" s="98" t="s">
        <v>249</v>
      </c>
      <c r="H70" s="66"/>
    </row>
    <row r="71" spans="2:8" x14ac:dyDescent="0.25">
      <c r="B71" s="50" t="s">
        <v>37</v>
      </c>
      <c r="C71" s="51" t="s">
        <v>193</v>
      </c>
      <c r="D71" s="24" t="s">
        <v>3</v>
      </c>
      <c r="E71" s="46" t="s">
        <v>3</v>
      </c>
      <c r="F71" s="33"/>
      <c r="G71" s="98" t="s">
        <v>253</v>
      </c>
      <c r="H71" s="66"/>
    </row>
    <row r="72" spans="2:8" ht="45" x14ac:dyDescent="0.25">
      <c r="B72" s="50" t="s">
        <v>82</v>
      </c>
      <c r="C72" s="51" t="s">
        <v>194</v>
      </c>
      <c r="D72" s="24" t="s">
        <v>3</v>
      </c>
      <c r="E72" s="46" t="s">
        <v>3</v>
      </c>
      <c r="F72" s="33"/>
      <c r="G72" s="95" t="str">
        <f>HYPERLINK(CONCATENATE(BASE_URL,"0x06i-Testing-Code-Quality-and-Build-Settings.md#make-sure-that-free-security-features-are-activated"),"Vérification de l'utilisation des fonctionnalitées de sécurité intégrées")</f>
        <v>Vérification de l'utilisation des fonctionnalitées de sécurité intégrées</v>
      </c>
      <c r="H72" s="66"/>
    </row>
    <row r="73" spans="2:8" x14ac:dyDescent="0.25">
      <c r="B73" s="37"/>
      <c r="C73" s="38"/>
      <c r="D73" s="39"/>
      <c r="E73" s="39"/>
      <c r="F73" s="39"/>
      <c r="G73" s="39"/>
      <c r="H73" s="40"/>
    </row>
    <row r="74" spans="2:8" x14ac:dyDescent="0.25">
      <c r="B74" s="41"/>
      <c r="C74" s="42"/>
      <c r="D74" s="41"/>
      <c r="E74" s="41"/>
      <c r="F74" s="41"/>
      <c r="G74" s="41"/>
      <c r="H74" s="41"/>
    </row>
    <row r="75" spans="2:8" x14ac:dyDescent="0.25">
      <c r="B75" s="41"/>
      <c r="C75" s="51"/>
      <c r="D75" s="41"/>
      <c r="E75" s="41"/>
      <c r="F75" s="41"/>
      <c r="G75" s="41"/>
      <c r="H75" s="41"/>
    </row>
    <row r="76" spans="2:8" x14ac:dyDescent="0.25">
      <c r="B76" s="41"/>
      <c r="C76" s="42"/>
      <c r="D76" s="41"/>
      <c r="E76" s="41"/>
      <c r="F76" s="41"/>
      <c r="G76" s="41"/>
      <c r="H76" s="41"/>
    </row>
    <row r="77" spans="2:8" x14ac:dyDescent="0.25">
      <c r="B77" s="85" t="s">
        <v>235</v>
      </c>
      <c r="C77" s="42"/>
      <c r="D77" s="41"/>
      <c r="E77" s="41"/>
      <c r="F77" s="41"/>
      <c r="G77" s="41"/>
      <c r="H77" s="41"/>
    </row>
    <row r="78" spans="2:8" x14ac:dyDescent="0.25">
      <c r="B78" s="87" t="s">
        <v>238</v>
      </c>
      <c r="C78" s="43" t="s">
        <v>108</v>
      </c>
      <c r="D78" s="41"/>
      <c r="E78" s="41"/>
      <c r="F78" s="41"/>
      <c r="G78" s="41"/>
      <c r="H78" s="41"/>
    </row>
    <row r="79" spans="2:8" x14ac:dyDescent="0.25">
      <c r="B79" s="86" t="s">
        <v>195</v>
      </c>
      <c r="C79" s="86" t="s">
        <v>236</v>
      </c>
      <c r="D79" s="41"/>
      <c r="E79" s="41"/>
      <c r="F79" s="41"/>
      <c r="G79" s="41"/>
      <c r="H79" s="41"/>
    </row>
    <row r="80" spans="2:8" x14ac:dyDescent="0.25">
      <c r="B80" s="86" t="s">
        <v>196</v>
      </c>
      <c r="C80" s="44" t="s">
        <v>109</v>
      </c>
      <c r="D80" s="41"/>
      <c r="E80" s="41"/>
      <c r="F80" s="41"/>
      <c r="G80" s="41"/>
      <c r="H80" s="41"/>
    </row>
    <row r="81" spans="2:8" x14ac:dyDescent="0.25">
      <c r="B81" s="44" t="s">
        <v>63</v>
      </c>
      <c r="C81" s="86" t="s">
        <v>237</v>
      </c>
      <c r="D81" s="41"/>
      <c r="E81" s="41"/>
      <c r="F81" s="41"/>
      <c r="G81" s="41"/>
      <c r="H81" s="41"/>
    </row>
    <row r="82" spans="2:8" x14ac:dyDescent="0.25">
      <c r="B82" s="41"/>
      <c r="C82" s="42"/>
      <c r="D82" s="41"/>
      <c r="E82" s="41"/>
      <c r="F82" s="41"/>
      <c r="G82" s="41"/>
      <c r="H82" s="23"/>
    </row>
    <row r="83" spans="2:8" x14ac:dyDescent="0.25">
      <c r="B83" s="41"/>
      <c r="C83" s="42"/>
      <c r="D83" s="41"/>
      <c r="E83" s="41"/>
      <c r="F83" s="41"/>
      <c r="G83" s="41"/>
      <c r="H83" s="23"/>
    </row>
    <row r="84" spans="2:8" x14ac:dyDescent="0.25">
      <c r="B84" s="41"/>
      <c r="C84" s="42"/>
      <c r="D84" s="41"/>
      <c r="E84" s="41"/>
      <c r="F84" s="41"/>
      <c r="G84" s="41"/>
      <c r="H84" s="23"/>
    </row>
    <row r="85" spans="2:8" x14ac:dyDescent="0.25">
      <c r="B85" s="23"/>
      <c r="C85" s="54"/>
      <c r="D85" s="23"/>
      <c r="E85" s="23"/>
      <c r="F85" s="23"/>
      <c r="G85" s="23"/>
      <c r="H85" s="23"/>
    </row>
  </sheetData>
  <mergeCells count="1">
    <mergeCell ref="B1:H1"/>
  </mergeCells>
  <dataValidations count="2">
    <dataValidation type="list" allowBlank="1" showInputMessage="1" showErrorMessage="1" sqref="F29:F34 F36:F46 F48:F53 F64:F72 F5:F14 F55:F62 F16:F27" xr:uid="{00000000-0002-0000-0400-000000000000}">
      <formula1>$B$79:$B$81</formula1>
    </dataValidation>
    <dataValidation type="list" allowBlank="1" showInputMessage="1" showErrorMessage="1" sqref="F74:F1048576 H74:H1048576" xr:uid="{00000000-0002-0000-0400-000001000000}">
      <formula1>"Yes,No,N/A"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29"/>
  <sheetViews>
    <sheetView showGridLines="0" tabSelected="1" zoomScale="71" zoomScaleNormal="71" zoomScalePageLayoutView="130" workbookViewId="0">
      <selection activeCell="E11" sqref="E11"/>
    </sheetView>
  </sheetViews>
  <sheetFormatPr defaultColWidth="11" defaultRowHeight="15.75" x14ac:dyDescent="0.25"/>
  <cols>
    <col min="1" max="1" width="1.875" customWidth="1"/>
    <col min="2" max="2" width="9.5" customWidth="1"/>
    <col min="3" max="3" width="93.375" customWidth="1"/>
    <col min="4" max="4" width="3" bestFit="1" customWidth="1"/>
    <col min="5" max="5" width="9.75" customWidth="1"/>
    <col min="6" max="6" width="56.75" customWidth="1"/>
    <col min="7" max="7" width="30.625" customWidth="1"/>
  </cols>
  <sheetData>
    <row r="1" spans="2:7" ht="18.75" x14ac:dyDescent="0.3">
      <c r="B1" s="6" t="s">
        <v>115</v>
      </c>
      <c r="C1" s="23"/>
      <c r="D1" s="23"/>
      <c r="E1" s="23"/>
      <c r="F1" s="23"/>
      <c r="G1" s="23"/>
    </row>
    <row r="2" spans="2:7" x14ac:dyDescent="0.25">
      <c r="B2" s="23"/>
      <c r="C2" s="23"/>
      <c r="D2" s="23"/>
      <c r="E2" s="23"/>
      <c r="F2" s="23"/>
      <c r="G2" s="23"/>
    </row>
    <row r="3" spans="2:7" x14ac:dyDescent="0.25">
      <c r="B3" s="68"/>
      <c r="C3" s="69" t="s">
        <v>111</v>
      </c>
      <c r="D3" s="68" t="s">
        <v>38</v>
      </c>
      <c r="E3" s="84" t="s">
        <v>96</v>
      </c>
      <c r="F3" s="84" t="s">
        <v>233</v>
      </c>
      <c r="G3" s="84" t="s">
        <v>234</v>
      </c>
    </row>
    <row r="4" spans="2:7" x14ac:dyDescent="0.25">
      <c r="B4" s="70"/>
      <c r="C4" s="71" t="s">
        <v>197</v>
      </c>
      <c r="D4" s="71"/>
      <c r="E4" s="71"/>
      <c r="F4" s="71"/>
      <c r="G4" s="71"/>
    </row>
    <row r="5" spans="2:7" ht="30" x14ac:dyDescent="0.25">
      <c r="B5" s="72">
        <v>8.1</v>
      </c>
      <c r="C5" s="73" t="s">
        <v>198</v>
      </c>
      <c r="D5" s="74" t="s">
        <v>3</v>
      </c>
      <c r="E5" s="75" t="s">
        <v>63</v>
      </c>
      <c r="F5" s="95" t="str">
        <f>HYPERLINK(CONCATENATE(BASE_URL,"0x06j-Testing-Resiliency-Against-Reverse-Engineering.md#jailbreak-detection"),"Tester la détection des appareils rootés")</f>
        <v>Tester la détection des appareils rootés</v>
      </c>
      <c r="G5" s="73"/>
    </row>
    <row r="6" spans="2:7" ht="30" x14ac:dyDescent="0.25">
      <c r="B6" s="72">
        <v>8.1999999999999993</v>
      </c>
      <c r="C6" s="73" t="s">
        <v>199</v>
      </c>
      <c r="D6" s="74" t="s">
        <v>3</v>
      </c>
      <c r="E6" s="75" t="s">
        <v>63</v>
      </c>
      <c r="F6" s="100" t="str">
        <f>HYPERLINK(CONCATENATE(BASE_URL,"0x06j-Testing-Resiliency-Against-Reverse-Engineering.md#anti-debugging-checks"),"Tester la défense contre le déboggage")</f>
        <v>Tester la défense contre le déboggage</v>
      </c>
      <c r="G6" s="73"/>
    </row>
    <row r="7" spans="2:7" ht="30" x14ac:dyDescent="0.25">
      <c r="B7" s="72">
        <v>8.3000000000000007</v>
      </c>
      <c r="C7" s="73" t="s">
        <v>200</v>
      </c>
      <c r="D7" s="74" t="s">
        <v>3</v>
      </c>
      <c r="E7" s="75" t="s">
        <v>63</v>
      </c>
      <c r="F7" s="100" t="str">
        <f>HYPERLINK(CONCATENATE(BASE_URL,"0x06j-Testing-Resiliency-Against-Reverse-Engineering.md#file-integrity-checks"),"Tester le méchanisme de vérification d'intégrité des fichiers")</f>
        <v>Tester le méchanisme de vérification d'intégrité des fichiers</v>
      </c>
      <c r="G7" s="73"/>
    </row>
    <row r="8" spans="2:7" x14ac:dyDescent="0.25">
      <c r="B8" s="72">
        <v>8.4</v>
      </c>
      <c r="C8" s="73" t="s">
        <v>201</v>
      </c>
      <c r="D8" s="74" t="s">
        <v>3</v>
      </c>
      <c r="E8" s="75" t="s">
        <v>63</v>
      </c>
      <c r="F8" s="99"/>
      <c r="G8" s="73"/>
    </row>
    <row r="9" spans="2:7" x14ac:dyDescent="0.25">
      <c r="B9" s="72">
        <v>8.5</v>
      </c>
      <c r="C9" s="73" t="s">
        <v>202</v>
      </c>
      <c r="D9" s="74" t="s">
        <v>3</v>
      </c>
      <c r="E9" s="75" t="s">
        <v>63</v>
      </c>
      <c r="F9" s="98"/>
      <c r="G9" s="73"/>
    </row>
    <row r="10" spans="2:7" x14ac:dyDescent="0.25">
      <c r="B10" s="72">
        <v>8.6</v>
      </c>
      <c r="C10" s="73" t="s">
        <v>203</v>
      </c>
      <c r="D10" s="74" t="s">
        <v>3</v>
      </c>
      <c r="E10" s="75" t="s">
        <v>63</v>
      </c>
      <c r="F10" s="99"/>
      <c r="G10" s="73"/>
    </row>
    <row r="11" spans="2:7" ht="30" x14ac:dyDescent="0.25">
      <c r="B11" s="72">
        <v>8.6999999999999993</v>
      </c>
      <c r="C11" s="73" t="s">
        <v>204</v>
      </c>
      <c r="D11" s="74" t="s">
        <v>3</v>
      </c>
      <c r="E11" s="75" t="s">
        <v>63</v>
      </c>
      <c r="F11" s="76"/>
      <c r="G11" s="73"/>
    </row>
    <row r="12" spans="2:7" ht="30" x14ac:dyDescent="0.25">
      <c r="B12" s="72">
        <v>8.8000000000000007</v>
      </c>
      <c r="C12" s="73" t="s">
        <v>205</v>
      </c>
      <c r="D12" s="74" t="s">
        <v>3</v>
      </c>
      <c r="E12" s="75" t="s">
        <v>63</v>
      </c>
      <c r="F12" s="76"/>
      <c r="G12" s="73"/>
    </row>
    <row r="13" spans="2:7" ht="30" x14ac:dyDescent="0.25">
      <c r="B13" s="72">
        <v>8.9</v>
      </c>
      <c r="C13" s="73" t="s">
        <v>206</v>
      </c>
      <c r="D13" s="74" t="s">
        <v>3</v>
      </c>
      <c r="E13" s="75" t="s">
        <v>63</v>
      </c>
      <c r="F13" s="98"/>
      <c r="G13" s="73"/>
    </row>
    <row r="14" spans="2:7" x14ac:dyDescent="0.25">
      <c r="B14" s="70"/>
      <c r="C14" s="71" t="s">
        <v>113</v>
      </c>
      <c r="D14" s="71"/>
      <c r="E14" s="71"/>
      <c r="F14" s="71"/>
      <c r="G14" s="71"/>
    </row>
    <row r="15" spans="2:7" ht="30" x14ac:dyDescent="0.25">
      <c r="B15" s="77" t="s">
        <v>60</v>
      </c>
      <c r="C15" s="73" t="s">
        <v>207</v>
      </c>
      <c r="D15" s="74" t="s">
        <v>3</v>
      </c>
      <c r="E15" s="75" t="s">
        <v>63</v>
      </c>
      <c r="F15" s="95" t="str">
        <f>HYPERLINK(CONCATENATE(BASE_URL,"0x06j-Testing-Resiliency-Against-Reverse-Engineering.md#device-binding"),"Tester le méchanisme de 'liaison avec l'appareil'")</f>
        <v>Tester le méchanisme de 'liaison avec l'appareil'</v>
      </c>
      <c r="G15" s="73"/>
    </row>
    <row r="16" spans="2:7" x14ac:dyDescent="0.25">
      <c r="B16" s="70"/>
      <c r="C16" s="71" t="s">
        <v>112</v>
      </c>
      <c r="D16" s="71"/>
      <c r="E16" s="71"/>
      <c r="F16" s="71"/>
      <c r="G16" s="71"/>
    </row>
    <row r="17" spans="2:7" ht="45" x14ac:dyDescent="0.25">
      <c r="B17" s="72">
        <v>8.11</v>
      </c>
      <c r="C17" s="73" t="s">
        <v>208</v>
      </c>
      <c r="D17" s="74" t="s">
        <v>3</v>
      </c>
      <c r="E17" s="75" t="s">
        <v>63</v>
      </c>
      <c r="F17" s="76"/>
      <c r="G17" s="73"/>
    </row>
    <row r="18" spans="2:7" ht="75" x14ac:dyDescent="0.25">
      <c r="B18" s="72">
        <v>8.1199999999999992</v>
      </c>
      <c r="C18" s="73" t="s">
        <v>209</v>
      </c>
      <c r="D18" s="74" t="s">
        <v>3</v>
      </c>
      <c r="E18" s="75" t="s">
        <v>63</v>
      </c>
      <c r="F18" s="76"/>
      <c r="G18" s="73"/>
    </row>
    <row r="19" spans="2:7" x14ac:dyDescent="0.25">
      <c r="B19" s="68"/>
      <c r="C19" s="69"/>
      <c r="D19" s="68"/>
      <c r="E19" s="68"/>
      <c r="F19" s="68"/>
      <c r="G19" s="68"/>
    </row>
    <row r="20" spans="2:7" x14ac:dyDescent="0.25">
      <c r="B20" s="41"/>
      <c r="C20" s="41"/>
      <c r="D20" s="41"/>
      <c r="E20" s="41"/>
      <c r="F20" s="41"/>
      <c r="G20" s="41"/>
    </row>
    <row r="21" spans="2:7" x14ac:dyDescent="0.25">
      <c r="B21" s="41"/>
      <c r="C21" s="41"/>
      <c r="D21" s="41"/>
      <c r="E21" s="41"/>
      <c r="F21" s="41"/>
      <c r="G21" s="41"/>
    </row>
    <row r="22" spans="2:7" x14ac:dyDescent="0.25">
      <c r="B22" s="85" t="s">
        <v>235</v>
      </c>
      <c r="C22" s="42"/>
      <c r="D22" s="41"/>
      <c r="E22" s="41"/>
      <c r="F22" s="41"/>
      <c r="G22" s="41"/>
    </row>
    <row r="23" spans="2:7" x14ac:dyDescent="0.25">
      <c r="B23" s="87" t="s">
        <v>238</v>
      </c>
      <c r="C23" s="43" t="s">
        <v>108</v>
      </c>
      <c r="D23" s="41"/>
      <c r="E23" s="41"/>
      <c r="F23" s="41"/>
      <c r="G23" s="41"/>
    </row>
    <row r="24" spans="2:7" x14ac:dyDescent="0.25">
      <c r="B24" s="86" t="s">
        <v>195</v>
      </c>
      <c r="C24" s="86" t="s">
        <v>236</v>
      </c>
      <c r="D24" s="41"/>
      <c r="E24" s="41"/>
      <c r="F24" s="41"/>
      <c r="G24" s="41"/>
    </row>
    <row r="25" spans="2:7" x14ac:dyDescent="0.25">
      <c r="B25" s="86" t="s">
        <v>196</v>
      </c>
      <c r="C25" s="44" t="s">
        <v>109</v>
      </c>
      <c r="D25" s="41"/>
      <c r="E25" s="41"/>
      <c r="F25" s="41"/>
      <c r="G25" s="41"/>
    </row>
    <row r="26" spans="2:7" x14ac:dyDescent="0.25">
      <c r="B26" s="44" t="s">
        <v>63</v>
      </c>
      <c r="C26" s="86" t="s">
        <v>237</v>
      </c>
      <c r="D26" s="41"/>
      <c r="E26" s="41"/>
      <c r="F26" s="41"/>
      <c r="G26" s="41"/>
    </row>
    <row r="27" spans="2:7" x14ac:dyDescent="0.25">
      <c r="B27" s="23"/>
      <c r="C27" s="23"/>
      <c r="D27" s="23"/>
      <c r="E27" s="23"/>
      <c r="F27" s="23"/>
      <c r="G27" s="23"/>
    </row>
    <row r="28" spans="2:7" x14ac:dyDescent="0.25">
      <c r="B28" s="23"/>
      <c r="C28" s="23"/>
      <c r="D28" s="23"/>
      <c r="E28" s="23"/>
      <c r="F28" s="23"/>
      <c r="G28" s="23"/>
    </row>
    <row r="29" spans="2:7" x14ac:dyDescent="0.25">
      <c r="B29" s="23"/>
      <c r="C29" s="23"/>
      <c r="D29" s="23"/>
      <c r="E29" s="23"/>
      <c r="F29" s="23"/>
      <c r="G29" s="23"/>
    </row>
  </sheetData>
  <dataValidations count="2">
    <dataValidation type="list" allowBlank="1" showInputMessage="1" showErrorMessage="1" sqref="E5:E8" xr:uid="{00000000-0002-0000-0500-000000000000}">
      <formula1>$B$24:$B$26</formula1>
    </dataValidation>
    <dataValidation type="list" allowBlank="1" showInputMessage="1" showErrorMessage="1" sqref="E18 E17 E15 E13 E12 E11 E10 E9" xr:uid="{26D81470-7AC7-4EC9-BAB0-839C3AE3AF8F}">
      <formula1>$B$24:$B$26</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15"/>
  <sheetViews>
    <sheetView showGridLines="0" workbookViewId="0">
      <selection activeCell="D15" sqref="D15"/>
    </sheetView>
  </sheetViews>
  <sheetFormatPr defaultColWidth="11" defaultRowHeight="15.75" x14ac:dyDescent="0.25"/>
  <cols>
    <col min="1" max="1" width="30.375" bestFit="1" customWidth="1"/>
    <col min="4" max="4" width="88.625" customWidth="1"/>
  </cols>
  <sheetData>
    <row r="1" spans="1:4" x14ac:dyDescent="0.25">
      <c r="A1" s="142" t="s">
        <v>118</v>
      </c>
      <c r="B1" s="142"/>
      <c r="C1" s="45"/>
      <c r="D1" s="45"/>
    </row>
    <row r="2" spans="1:4" x14ac:dyDescent="0.25">
      <c r="A2" s="88" t="s">
        <v>123</v>
      </c>
      <c r="B2" s="61" t="s">
        <v>64</v>
      </c>
      <c r="C2" s="61" t="s">
        <v>78</v>
      </c>
      <c r="D2" s="89" t="s">
        <v>234</v>
      </c>
    </row>
    <row r="3" spans="1:4" x14ac:dyDescent="0.25">
      <c r="A3" s="59" t="s">
        <v>61</v>
      </c>
      <c r="B3" s="62">
        <v>0.1</v>
      </c>
      <c r="C3" s="60">
        <v>42765</v>
      </c>
      <c r="D3" s="58" t="s">
        <v>125</v>
      </c>
    </row>
    <row r="4" spans="1:4" x14ac:dyDescent="0.25">
      <c r="A4" s="58" t="s">
        <v>62</v>
      </c>
      <c r="B4" s="62">
        <v>0.2</v>
      </c>
      <c r="C4" s="60">
        <v>42766</v>
      </c>
      <c r="D4" s="90" t="s">
        <v>239</v>
      </c>
    </row>
    <row r="5" spans="1:4" x14ac:dyDescent="0.25">
      <c r="A5" s="58" t="s">
        <v>73</v>
      </c>
      <c r="B5" s="62">
        <v>0.3</v>
      </c>
      <c r="C5" s="60">
        <v>42778</v>
      </c>
      <c r="D5" s="58" t="s">
        <v>117</v>
      </c>
    </row>
    <row r="6" spans="1:4" x14ac:dyDescent="0.25">
      <c r="A6" s="58" t="s">
        <v>74</v>
      </c>
      <c r="B6" s="62" t="s">
        <v>77</v>
      </c>
      <c r="C6" s="60">
        <v>42780</v>
      </c>
      <c r="D6" s="90" t="s">
        <v>240</v>
      </c>
    </row>
    <row r="7" spans="1:4" x14ac:dyDescent="0.25">
      <c r="A7" s="58" t="s">
        <v>62</v>
      </c>
      <c r="B7" s="63" t="s">
        <v>79</v>
      </c>
      <c r="C7" s="60">
        <v>42781</v>
      </c>
      <c r="D7" s="58" t="s">
        <v>126</v>
      </c>
    </row>
    <row r="8" spans="1:4" x14ac:dyDescent="0.25">
      <c r="A8" s="58" t="s">
        <v>74</v>
      </c>
      <c r="B8" s="63" t="s">
        <v>80</v>
      </c>
      <c r="C8" s="60">
        <v>42829</v>
      </c>
      <c r="D8" s="90" t="s">
        <v>241</v>
      </c>
    </row>
    <row r="9" spans="1:4" x14ac:dyDescent="0.25">
      <c r="A9" s="58" t="s">
        <v>62</v>
      </c>
      <c r="B9" s="63" t="s">
        <v>80</v>
      </c>
      <c r="C9" s="60">
        <v>42919</v>
      </c>
      <c r="D9" s="90" t="s">
        <v>242</v>
      </c>
    </row>
    <row r="10" spans="1:4" x14ac:dyDescent="0.25">
      <c r="A10" s="58" t="s">
        <v>62</v>
      </c>
      <c r="B10" s="63" t="s">
        <v>84</v>
      </c>
      <c r="C10" s="60">
        <v>42963</v>
      </c>
      <c r="D10" s="90" t="s">
        <v>243</v>
      </c>
    </row>
    <row r="11" spans="1:4" x14ac:dyDescent="0.25">
      <c r="A11" s="58" t="s">
        <v>62</v>
      </c>
      <c r="B11" s="67" t="s">
        <v>85</v>
      </c>
      <c r="C11" s="60">
        <v>43113</v>
      </c>
      <c r="D11" s="90" t="s">
        <v>244</v>
      </c>
    </row>
    <row r="12" spans="1:4" x14ac:dyDescent="0.25">
      <c r="A12" s="58" t="s">
        <v>62</v>
      </c>
      <c r="B12" s="67" t="s">
        <v>2</v>
      </c>
      <c r="C12" s="60">
        <v>43289</v>
      </c>
      <c r="D12" s="90" t="s">
        <v>245</v>
      </c>
    </row>
    <row r="13" spans="1:4" x14ac:dyDescent="0.25">
      <c r="A13" s="58" t="s">
        <v>116</v>
      </c>
      <c r="B13" s="92" t="s">
        <v>128</v>
      </c>
      <c r="C13" s="60">
        <v>43464</v>
      </c>
      <c r="D13" s="90" t="s">
        <v>127</v>
      </c>
    </row>
    <row r="14" spans="1:4" x14ac:dyDescent="0.25">
      <c r="A14" s="58" t="s">
        <v>124</v>
      </c>
      <c r="B14" s="92" t="s">
        <v>128</v>
      </c>
      <c r="C14" s="60">
        <v>43469</v>
      </c>
      <c r="D14" s="90" t="s">
        <v>127</v>
      </c>
    </row>
    <row r="15" spans="1:4" x14ac:dyDescent="0.25">
      <c r="A15" s="58" t="s">
        <v>116</v>
      </c>
      <c r="B15" s="92" t="s">
        <v>128</v>
      </c>
      <c r="C15" s="91">
        <v>43475</v>
      </c>
      <c r="D15" s="90" t="s">
        <v>254</v>
      </c>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Tableau de Bord</vt:lpstr>
      <vt:lpstr>Synthèse</vt:lpstr>
      <vt:lpstr>Exigences de Sécurité - Android</vt:lpstr>
      <vt:lpstr>Anti-RE - Android</vt:lpstr>
      <vt:lpstr>Exigences de Sécurité - IOS</vt:lpstr>
      <vt:lpstr>Anti-RE - IOS</vt:lpstr>
      <vt:lpstr>Historique des versions</vt:lpstr>
      <vt:lpstr>BASE_URL</vt:lpstr>
      <vt:lpstr>VERSION_MASVS</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abderrahmane.aftahi@gmail.com</cp:lastModifiedBy>
  <dcterms:created xsi:type="dcterms:W3CDTF">2017-01-25T17:37:15Z</dcterms:created>
  <dcterms:modified xsi:type="dcterms:W3CDTF">2019-01-10T13:56:12Z</dcterms:modified>
</cp:coreProperties>
</file>