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Chesapeake!$A$1:$E$45</definedName>
    <definedName name="_xlnm.Print_Area" localSheetId="7">Hampton!$A$1:$E$48</definedName>
    <definedName name="_xlnm.Print_Area" localSheetId="5">Suffolk!$A$1:$D$46</definedName>
    <definedName name="_xlnm.Print_Area" localSheetId="1">'System Total'!$A$1:$G$43</definedName>
  </definedNames>
  <calcPr calcId="125725"/>
</workbook>
</file>

<file path=xl/calcChain.xml><?xml version="1.0" encoding="utf-8"?>
<calcChain xmlns="http://schemas.openxmlformats.org/spreadsheetml/2006/main">
  <c r="C21" i="15"/>
  <c r="B4"/>
  <c r="D40" i="9"/>
  <c r="C10"/>
  <c r="C4"/>
  <c r="B4"/>
  <c r="E40" i="10"/>
  <c r="D10"/>
  <c r="D4"/>
  <c r="B4"/>
  <c r="D40" i="13"/>
  <c r="C10"/>
  <c r="C4"/>
  <c r="B4"/>
  <c r="D40" i="19"/>
  <c r="C10"/>
  <c r="B10"/>
  <c r="C4"/>
  <c r="B4"/>
  <c r="E40" i="14"/>
  <c r="B21"/>
  <c r="D10"/>
  <c r="D4"/>
  <c r="C4"/>
  <c r="B4"/>
  <c r="F40" i="7"/>
  <c r="C21"/>
  <c r="C19"/>
  <c r="C16"/>
  <c r="E10"/>
  <c r="D5"/>
  <c r="C5"/>
  <c r="E4"/>
  <c r="D4"/>
  <c r="C4"/>
  <c r="B4"/>
  <c r="E40" i="12"/>
  <c r="E39"/>
  <c r="E38"/>
  <c r="D10"/>
  <c r="B6"/>
  <c r="D5"/>
  <c r="B5"/>
  <c r="D4"/>
  <c r="B4"/>
  <c r="D10" i="7" l="1"/>
  <c r="B10" l="1"/>
  <c r="B10" i="14"/>
  <c r="C10" i="7"/>
  <c r="B10" i="15"/>
  <c r="B10" i="12"/>
  <c r="B10" i="9"/>
  <c r="B10" i="13" l="1"/>
  <c r="C10" i="14"/>
  <c r="B10" i="10"/>
  <c r="B21" i="7" l="1"/>
  <c r="B21" i="13"/>
  <c r="B16" i="15" l="1"/>
  <c r="B19" l="1"/>
  <c r="D19" i="12" l="1"/>
  <c r="D19" i="7" l="1"/>
  <c r="D19" i="14"/>
  <c r="C19" i="9"/>
  <c r="C19" i="19"/>
  <c r="E19" i="7"/>
  <c r="C19" i="13"/>
  <c r="D20" i="12"/>
  <c r="C20" i="13"/>
  <c r="C20" i="9"/>
  <c r="C20" i="19"/>
  <c r="E20" i="7"/>
  <c r="D20" i="14"/>
  <c r="D20" i="10"/>
  <c r="D19"/>
  <c r="C19" i="14" l="1"/>
  <c r="B19"/>
  <c r="B19" i="10" l="1"/>
  <c r="B19" i="9"/>
  <c r="B19" i="19"/>
  <c r="B19" i="13"/>
  <c r="B19" i="12"/>
  <c r="B19" i="7"/>
  <c r="B16" i="9" l="1"/>
  <c r="B16" i="14"/>
  <c r="B16" i="13"/>
  <c r="B16" i="10"/>
  <c r="B16" i="19"/>
  <c r="B16" i="7"/>
  <c r="B16" i="12"/>
  <c r="C16" i="9"/>
  <c r="C16" i="13"/>
  <c r="D16" i="10"/>
  <c r="E16" i="7"/>
  <c r="C16" i="19"/>
  <c r="D16" i="14"/>
  <c r="D16" i="7"/>
  <c r="C16" i="14"/>
  <c r="D16" i="12"/>
  <c r="C22" l="1"/>
  <c r="K10" i="33" l="1"/>
  <c r="K9"/>
  <c r="K7"/>
  <c r="K6" l="1"/>
  <c r="H6"/>
  <c r="E6"/>
  <c r="B6"/>
  <c r="K26"/>
  <c r="H26"/>
  <c r="E26"/>
  <c r="B26"/>
  <c r="K19"/>
  <c r="D22" i="15" l="1"/>
  <c r="E20" l="1"/>
  <c r="E21" l="1"/>
  <c r="E4" l="1"/>
  <c r="D21" i="9" l="1"/>
  <c r="D4" l="1"/>
  <c r="E21" i="10" l="1"/>
  <c r="E4" l="1"/>
  <c r="D4" i="13" l="1"/>
  <c r="D21" i="19"/>
  <c r="D10" l="1"/>
  <c r="D4"/>
  <c r="E4" i="14" l="1"/>
  <c r="E21" i="12" l="1"/>
  <c r="F4" i="7" l="1"/>
  <c r="E4" i="12" l="1"/>
  <c r="G40" i="16"/>
  <c r="C21" l="1"/>
  <c r="D20" l="1"/>
  <c r="D19"/>
  <c r="F10" l="1"/>
  <c r="F4" l="1"/>
  <c r="E4"/>
  <c r="D4" l="1"/>
  <c r="C4" s="1"/>
  <c r="B4"/>
  <c r="G4" l="1"/>
  <c r="E10" i="12" l="1"/>
  <c r="F10" i="7"/>
  <c r="E10" i="15"/>
  <c r="D10" i="16"/>
  <c r="D10" i="13" l="1"/>
  <c r="E10" i="10"/>
  <c r="C10" i="16"/>
  <c r="E10"/>
  <c r="D10" i="9"/>
  <c r="E10" i="14"/>
  <c r="B10" i="16"/>
  <c r="G10" l="1"/>
  <c r="E21" i="14" l="1"/>
  <c r="D5" i="16" l="1"/>
  <c r="E38" i="10" l="1"/>
  <c r="D38" i="19"/>
  <c r="F38" i="7"/>
  <c r="D38" i="9"/>
  <c r="D38" i="13"/>
  <c r="E38" i="14"/>
  <c r="G38" i="16" l="1"/>
  <c r="C5" i="14" l="1"/>
  <c r="C5" i="9" l="1"/>
  <c r="C5" i="13"/>
  <c r="D5" i="14"/>
  <c r="D5" i="10"/>
  <c r="C5" i="19"/>
  <c r="E5" i="7"/>
  <c r="F5" i="16"/>
  <c r="B5" i="15"/>
  <c r="B5" i="10"/>
  <c r="B5" i="19"/>
  <c r="B5" i="7"/>
  <c r="C5" i="12"/>
  <c r="D5" i="15"/>
  <c r="B5" i="9"/>
  <c r="B5" i="13"/>
  <c r="B5" i="14"/>
  <c r="B5" i="16"/>
  <c r="E5"/>
  <c r="C5" i="15" l="1"/>
  <c r="C5" i="16"/>
  <c r="C5" i="10"/>
  <c r="D39" i="9" l="1"/>
  <c r="D39" i="13"/>
  <c r="E39" i="14"/>
  <c r="E39" i="10"/>
  <c r="D39" i="19"/>
  <c r="F39" i="7"/>
  <c r="G39" i="16" l="1"/>
  <c r="B6" i="9" l="1"/>
  <c r="B6" i="13"/>
  <c r="B6" i="14"/>
  <c r="D6" i="12"/>
  <c r="B6" i="15"/>
  <c r="B6" i="10"/>
  <c r="B6" i="19"/>
  <c r="B6" i="7"/>
  <c r="C6" i="12"/>
  <c r="B6" i="16"/>
  <c r="B7" i="12"/>
  <c r="B8"/>
  <c r="C6" i="15" l="1"/>
  <c r="C8" s="1"/>
  <c r="C8" i="12"/>
  <c r="C6" i="19"/>
  <c r="B8"/>
  <c r="D6" i="15"/>
  <c r="B8"/>
  <c r="C6" i="14"/>
  <c r="B8"/>
  <c r="C6" i="9"/>
  <c r="B8"/>
  <c r="B13" i="12"/>
  <c r="B11"/>
  <c r="C13" i="33" s="1"/>
  <c r="E6" i="16"/>
  <c r="C6"/>
  <c r="B8"/>
  <c r="C6" i="33" s="1"/>
  <c r="C6" i="7"/>
  <c r="E6"/>
  <c r="B8"/>
  <c r="C6" i="10"/>
  <c r="B8"/>
  <c r="E6" i="12"/>
  <c r="D8"/>
  <c r="C6" i="13"/>
  <c r="B8"/>
  <c r="B21" i="16"/>
  <c r="D6" i="13" l="1"/>
  <c r="C8"/>
  <c r="D8" s="1"/>
  <c r="D6" i="10"/>
  <c r="C8"/>
  <c r="F6" i="7"/>
  <c r="E8"/>
  <c r="B11" i="16"/>
  <c r="B13"/>
  <c r="F6"/>
  <c r="E8"/>
  <c r="D6" i="9"/>
  <c r="C8"/>
  <c r="D8" s="1"/>
  <c r="D6" i="14"/>
  <c r="C8"/>
  <c r="E6" i="15"/>
  <c r="D8"/>
  <c r="E8" s="1"/>
  <c r="D6" i="19"/>
  <c r="C8"/>
  <c r="D8" s="1"/>
  <c r="C13" i="15"/>
  <c r="B13" i="13"/>
  <c r="B11"/>
  <c r="C36" i="33" s="1"/>
  <c r="D11" i="12"/>
  <c r="D13"/>
  <c r="B11" i="10"/>
  <c r="C41" i="33" s="1"/>
  <c r="B13" i="10"/>
  <c r="B13" i="7"/>
  <c r="B11"/>
  <c r="C18" i="33" s="1"/>
  <c r="D6" i="7"/>
  <c r="D6" i="16"/>
  <c r="C8" i="7"/>
  <c r="C8" i="16"/>
  <c r="C7"/>
  <c r="B7" s="1"/>
  <c r="B11" i="9"/>
  <c r="C46" i="33" s="1"/>
  <c r="B13" i="9"/>
  <c r="B11" i="14"/>
  <c r="C25" i="33" s="1"/>
  <c r="B13" i="14"/>
  <c r="B13" i="15"/>
  <c r="B11"/>
  <c r="C50" i="33" s="1"/>
  <c r="B11" i="19"/>
  <c r="C31" i="33" s="1"/>
  <c r="B13" i="19"/>
  <c r="E8" i="12"/>
  <c r="C13"/>
  <c r="E16" i="15"/>
  <c r="B17"/>
  <c r="I50" i="33" s="1"/>
  <c r="C22" i="7"/>
  <c r="E5" i="12" l="1"/>
  <c r="E7" s="1"/>
  <c r="D7" s="1"/>
  <c r="C7" s="1"/>
  <c r="E13"/>
  <c r="E11"/>
  <c r="C15" i="33" s="1"/>
  <c r="E5" i="15"/>
  <c r="E7" s="1"/>
  <c r="D7" s="1"/>
  <c r="C7" s="1"/>
  <c r="B7" s="1"/>
  <c r="E11"/>
  <c r="E13"/>
  <c r="D5" i="9"/>
  <c r="D7" s="1"/>
  <c r="C7" s="1"/>
  <c r="B7" s="1"/>
  <c r="D13"/>
  <c r="D11"/>
  <c r="C48" i="33" s="1"/>
  <c r="C11" i="16"/>
  <c r="C13"/>
  <c r="D5" i="13"/>
  <c r="D7" s="1"/>
  <c r="C7" s="1"/>
  <c r="B7" s="1"/>
  <c r="D13"/>
  <c r="D11"/>
  <c r="C38" i="33" s="1"/>
  <c r="E6" i="14"/>
  <c r="D8"/>
  <c r="G6" i="16"/>
  <c r="F8"/>
  <c r="E6" i="10"/>
  <c r="D8"/>
  <c r="D21" i="16"/>
  <c r="F21" i="7"/>
  <c r="D5" i="19"/>
  <c r="D7" s="1"/>
  <c r="C7" s="1"/>
  <c r="B7" s="1"/>
  <c r="D11"/>
  <c r="C33" i="33" s="1"/>
  <c r="D13" i="19"/>
  <c r="D8" i="16"/>
  <c r="C11" i="7"/>
  <c r="C19" i="33" s="1"/>
  <c r="C13" i="7"/>
  <c r="D8"/>
  <c r="F8" s="1"/>
  <c r="D7"/>
  <c r="C7" s="1"/>
  <c r="B7" s="1"/>
  <c r="C13" i="19"/>
  <c r="C11"/>
  <c r="C32" i="33" s="1"/>
  <c r="D11" i="15"/>
  <c r="D13"/>
  <c r="D35" s="1"/>
  <c r="D36" s="1"/>
  <c r="D17"/>
  <c r="D23"/>
  <c r="C13" i="14"/>
  <c r="C11"/>
  <c r="C11" i="9"/>
  <c r="C13"/>
  <c r="E11" i="16"/>
  <c r="C8" i="33" s="1"/>
  <c r="E13" i="16"/>
  <c r="E11" i="7"/>
  <c r="E13"/>
  <c r="C13" i="10"/>
  <c r="C17"/>
  <c r="C11" i="13"/>
  <c r="C13"/>
  <c r="E17" i="15"/>
  <c r="C16" i="16"/>
  <c r="B22" i="15"/>
  <c r="E19"/>
  <c r="F5" i="7" l="1"/>
  <c r="F7" s="1"/>
  <c r="E7" s="1"/>
  <c r="F13"/>
  <c r="F11"/>
  <c r="C22" i="33" s="1"/>
  <c r="D11" i="16"/>
  <c r="C7" i="33" s="1"/>
  <c r="D13" i="16"/>
  <c r="D11" i="10"/>
  <c r="D13"/>
  <c r="E8"/>
  <c r="F11" i="16"/>
  <c r="C9" i="33" s="1"/>
  <c r="F13" i="16"/>
  <c r="D13" i="14"/>
  <c r="D11"/>
  <c r="E8"/>
  <c r="D13" i="7"/>
  <c r="D11"/>
  <c r="D22" i="16"/>
  <c r="D23" s="1"/>
  <c r="G21"/>
  <c r="C17" i="7"/>
  <c r="D16" i="16"/>
  <c r="G8"/>
  <c r="B23" i="15"/>
  <c r="L50" i="33" s="1"/>
  <c r="B35" i="15"/>
  <c r="B36" s="1"/>
  <c r="E22"/>
  <c r="C19" i="16"/>
  <c r="C22" s="1"/>
  <c r="C17"/>
  <c r="C22" i="10" l="1"/>
  <c r="C22" i="15"/>
  <c r="C23" i="7"/>
  <c r="L19" i="33" s="1"/>
  <c r="C20"/>
  <c r="C26" s="1"/>
  <c r="L7"/>
  <c r="E5" i="14"/>
  <c r="E7" s="1"/>
  <c r="D7" s="1"/>
  <c r="C7" s="1"/>
  <c r="B7" s="1"/>
  <c r="E11"/>
  <c r="C28" i="33" s="1"/>
  <c r="E13" i="14"/>
  <c r="G5" i="16"/>
  <c r="G7" s="1"/>
  <c r="F7" s="1"/>
  <c r="E7" s="1"/>
  <c r="D7" s="1"/>
  <c r="G11"/>
  <c r="C10" i="33" s="1"/>
  <c r="G13" i="16"/>
  <c r="I19" i="33"/>
  <c r="E5" i="10"/>
  <c r="E7" s="1"/>
  <c r="D7" s="1"/>
  <c r="C7" s="1"/>
  <c r="B7" s="1"/>
  <c r="E13"/>
  <c r="E11"/>
  <c r="C43" i="33" s="1"/>
  <c r="E23" i="15"/>
  <c r="E35"/>
  <c r="C23" i="16"/>
  <c r="C35"/>
  <c r="C36" s="1"/>
  <c r="C23" i="10" l="1"/>
  <c r="C35"/>
  <c r="C36" s="1"/>
  <c r="C23" i="12"/>
  <c r="C35"/>
  <c r="C23" i="15"/>
  <c r="C35"/>
  <c r="E42"/>
  <c r="E36"/>
  <c r="D22" i="7"/>
  <c r="D22" i="12"/>
  <c r="D20" i="13"/>
  <c r="D20" i="9"/>
  <c r="D20" i="19"/>
  <c r="F20" i="7"/>
  <c r="E20" i="14"/>
  <c r="E20" i="10"/>
  <c r="C22" i="13" l="1"/>
  <c r="C22" i="9"/>
  <c r="E22" i="7"/>
  <c r="D22" i="10"/>
  <c r="D23" i="12"/>
  <c r="C22" i="19"/>
  <c r="D22" i="14"/>
  <c r="D23" i="10"/>
  <c r="E20" i="12"/>
  <c r="F20" i="16"/>
  <c r="G20" s="1"/>
  <c r="F19"/>
  <c r="F22" l="1"/>
  <c r="B22" i="14"/>
  <c r="C22"/>
  <c r="C23" i="9"/>
  <c r="D23" i="14"/>
  <c r="C23" i="13"/>
  <c r="D23" i="7"/>
  <c r="L20" i="33" s="1"/>
  <c r="E23" i="7"/>
  <c r="C23" i="19"/>
  <c r="L32" i="33" s="1"/>
  <c r="B22" i="12"/>
  <c r="B22" i="7"/>
  <c r="E19" i="12" l="1"/>
  <c r="E22" s="1"/>
  <c r="B19" i="16"/>
  <c r="B22" s="1"/>
  <c r="L6" i="33" s="1"/>
  <c r="D19" i="13"/>
  <c r="B22"/>
  <c r="B22" i="10"/>
  <c r="E19"/>
  <c r="E22" s="1"/>
  <c r="B23" i="14"/>
  <c r="F19" i="7"/>
  <c r="F22" s="1"/>
  <c r="D19" i="19"/>
  <c r="B22"/>
  <c r="B22" i="9"/>
  <c r="D19"/>
  <c r="D22" s="1"/>
  <c r="E19" i="16"/>
  <c r="E22" s="1"/>
  <c r="E19" i="14"/>
  <c r="E22" s="1"/>
  <c r="B35"/>
  <c r="C17"/>
  <c r="I20" i="33" s="1"/>
  <c r="I26" s="1"/>
  <c r="D17" i="12" l="1"/>
  <c r="F16" i="16"/>
  <c r="D35" i="12"/>
  <c r="D17" i="14"/>
  <c r="D35"/>
  <c r="C17" i="19"/>
  <c r="C35"/>
  <c r="E17" i="7"/>
  <c r="E35"/>
  <c r="D17" i="10"/>
  <c r="D35"/>
  <c r="D36" s="1"/>
  <c r="C17" i="13"/>
  <c r="C35"/>
  <c r="E16" i="12"/>
  <c r="E17" s="1"/>
  <c r="I15" i="33" s="1"/>
  <c r="B17" i="12"/>
  <c r="I13" i="33" s="1"/>
  <c r="B16" i="16"/>
  <c r="I6" i="33" s="1"/>
  <c r="D16" i="19"/>
  <c r="D17" s="1"/>
  <c r="B17"/>
  <c r="I31" i="33" s="1"/>
  <c r="E16" i="10"/>
  <c r="E17" s="1"/>
  <c r="I43" i="33" s="1"/>
  <c r="B17" i="10"/>
  <c r="I41" i="33" s="1"/>
  <c r="D16" i="9"/>
  <c r="D17" s="1"/>
  <c r="I48" i="33" s="1"/>
  <c r="B17" i="9"/>
  <c r="I46" i="33" s="1"/>
  <c r="D23" i="9"/>
  <c r="L48" i="33" s="1"/>
  <c r="B23" i="19"/>
  <c r="B35"/>
  <c r="F23" i="7"/>
  <c r="L22" i="33" s="1"/>
  <c r="E23" i="10"/>
  <c r="L43" i="33" s="1"/>
  <c r="D21" i="13"/>
  <c r="D22" s="1"/>
  <c r="B23"/>
  <c r="B35"/>
  <c r="G19" i="16"/>
  <c r="B23" i="12"/>
  <c r="L13" i="33" s="1"/>
  <c r="B35" i="12"/>
  <c r="D17" i="7"/>
  <c r="E16" i="16"/>
  <c r="E17" s="1"/>
  <c r="D35" i="7"/>
  <c r="C35" s="1"/>
  <c r="C36" s="1"/>
  <c r="C17" i="9"/>
  <c r="C35"/>
  <c r="F16" i="7"/>
  <c r="F17" s="1"/>
  <c r="I22" i="33" s="1"/>
  <c r="B17" i="7"/>
  <c r="I18" i="33" s="1"/>
  <c r="D16" i="13"/>
  <c r="D17" s="1"/>
  <c r="I38" i="33" s="1"/>
  <c r="B17" i="13"/>
  <c r="I36" i="33" s="1"/>
  <c r="E16" i="14"/>
  <c r="E17" s="1"/>
  <c r="I28" i="33" s="1"/>
  <c r="B17" i="14"/>
  <c r="I25" i="33" s="1"/>
  <c r="E23" i="14"/>
  <c r="L28" i="33" s="1"/>
  <c r="C23" i="14"/>
  <c r="L26" i="33" s="1"/>
  <c r="C35" i="14"/>
  <c r="B23" i="9"/>
  <c r="B35"/>
  <c r="B23" i="7"/>
  <c r="L18" i="33" s="1"/>
  <c r="B35" i="7"/>
  <c r="B36" s="1"/>
  <c r="L25" i="33"/>
  <c r="B23" i="10"/>
  <c r="B35"/>
  <c r="B36" s="1"/>
  <c r="F41" i="33" s="1"/>
  <c r="E23" i="12"/>
  <c r="L15" i="33" s="1"/>
  <c r="E35" i="12"/>
  <c r="D22" i="19" l="1"/>
  <c r="L31" i="33"/>
  <c r="I32"/>
  <c r="I33"/>
  <c r="D17" i="16"/>
  <c r="I7" i="33" s="1"/>
  <c r="I8"/>
  <c r="E35" i="14"/>
  <c r="E36" s="1"/>
  <c r="E35" i="10"/>
  <c r="E42" s="1"/>
  <c r="D35" i="9"/>
  <c r="D36" s="1"/>
  <c r="E42" i="12"/>
  <c r="E36"/>
  <c r="F18" i="33"/>
  <c r="E42" i="14"/>
  <c r="F19" i="33"/>
  <c r="D23" i="19"/>
  <c r="L33" i="33" s="1"/>
  <c r="D35" i="19"/>
  <c r="D23" i="13"/>
  <c r="L38" i="33" s="1"/>
  <c r="D35" i="13"/>
  <c r="L41" i="33"/>
  <c r="L46"/>
  <c r="B23" i="16"/>
  <c r="G22" s="1"/>
  <c r="B35"/>
  <c r="F6" i="33" s="1"/>
  <c r="L36"/>
  <c r="E36" i="10"/>
  <c r="F43" i="33" s="1"/>
  <c r="D42" i="9"/>
  <c r="B17" i="16"/>
  <c r="G16"/>
  <c r="G17" s="1"/>
  <c r="I10" i="33" s="1"/>
  <c r="F17" i="16"/>
  <c r="I9" i="33" s="1"/>
  <c r="I14" s="1"/>
  <c r="I21" s="1"/>
  <c r="I27" s="1"/>
  <c r="I37" s="1"/>
  <c r="I42" s="1"/>
  <c r="I47" s="1"/>
  <c r="F35" i="16"/>
  <c r="E35"/>
  <c r="D35" s="1"/>
  <c r="D36" s="1"/>
  <c r="F7" i="33" s="1"/>
  <c r="F35" i="7"/>
  <c r="D36" i="12" l="1"/>
  <c r="B36" s="1"/>
  <c r="F13" i="33" s="1"/>
  <c r="F15"/>
  <c r="C36" i="9"/>
  <c r="B36" s="1"/>
  <c r="F46" i="33" s="1"/>
  <c r="F48"/>
  <c r="D36" i="14"/>
  <c r="C36" s="1"/>
  <c r="B36" s="1"/>
  <c r="F28" i="33"/>
  <c r="B36" i="16"/>
  <c r="G23"/>
  <c r="G35"/>
  <c r="F42" i="7"/>
  <c r="F36"/>
  <c r="D36" i="13"/>
  <c r="D42"/>
  <c r="D36" i="19"/>
  <c r="D42"/>
  <c r="C36" l="1"/>
  <c r="F33" i="33"/>
  <c r="F25"/>
  <c r="E36" i="7"/>
  <c r="D36" s="1"/>
  <c r="F22" i="33"/>
  <c r="C36" i="13"/>
  <c r="B36" s="1"/>
  <c r="F36" i="33" s="1"/>
  <c r="F38"/>
  <c r="F23" i="16"/>
  <c r="L10" i="33"/>
  <c r="G36" i="16"/>
  <c r="G42"/>
  <c r="B36" i="19" l="1"/>
  <c r="F31" i="33" s="1"/>
  <c r="F32"/>
  <c r="F20"/>
  <c r="F26" s="1"/>
  <c r="E23" i="16"/>
  <c r="L8" i="33" s="1"/>
  <c r="L9"/>
  <c r="L14" s="1"/>
  <c r="L21" s="1"/>
  <c r="L27" s="1"/>
  <c r="L37" s="1"/>
  <c r="L42" s="1"/>
  <c r="L47" s="1"/>
  <c r="F36" i="16"/>
  <c r="F10" i="33"/>
  <c r="E36" i="16" l="1"/>
  <c r="F8" i="33" s="1"/>
  <c r="F9"/>
  <c r="F14" s="1"/>
  <c r="F21" s="1"/>
  <c r="F27" s="1"/>
  <c r="F37" s="1"/>
  <c r="F42" s="1"/>
  <c r="F47" s="1"/>
</calcChain>
</file>

<file path=xl/sharedStrings.xml><?xml version="1.0" encoding="utf-8"?>
<sst xmlns="http://schemas.openxmlformats.org/spreadsheetml/2006/main" count="286" uniqueCount="62">
  <si>
    <t>Total</t>
  </si>
  <si>
    <t>Regular Bus</t>
  </si>
  <si>
    <t>CMAQ Bus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</si>
  <si>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</si>
  <si>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</si>
  <si>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</si>
  <si>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</si>
  <si>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</si>
  <si>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</si>
  <si>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</si>
  <si>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</si>
  <si>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</si>
  <si>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</si>
  <si>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</si>
  <si>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</si>
  <si>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</si>
  <si>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</si>
  <si>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</si>
  <si>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</si>
  <si>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</si>
  <si>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</si>
  <si>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</si>
  <si>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</si>
  <si>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MAX</t>
  </si>
  <si>
    <t>Navy Shuttle</t>
  </si>
  <si>
    <t>Net Operating Cost</t>
  </si>
  <si>
    <t>Residential Bus</t>
  </si>
  <si>
    <t>CMAQ MAX</t>
  </si>
  <si>
    <t>Passenger Revenue</t>
  </si>
  <si>
    <t>Federal Assistance</t>
  </si>
  <si>
    <t>Federal Assistance %</t>
  </si>
  <si>
    <t>Total Local Cost</t>
  </si>
  <si>
    <t>Service Cost Per Hour</t>
  </si>
  <si>
    <t>Light Rail</t>
  </si>
  <si>
    <t>Budget</t>
  </si>
  <si>
    <t>September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</si>
  <si>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</si>
  <si>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</si>
  <si>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</si>
  <si>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</si>
  <si>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</si>
  <si>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</si>
  <si>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</si>
  <si>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</si>
  <si>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</si>
  <si>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*MAX services are funded by Passenger Revenue, Federal Maintenance and State Operating Assistance and therefore do not require any municipal funds.</t>
  </si>
  <si>
    <t>Suffolk</t>
  </si>
  <si>
    <t>Total MAX Cost</t>
  </si>
  <si>
    <t>Local Assistance</t>
  </si>
  <si>
    <t>State Assistance</t>
  </si>
  <si>
    <t>State Assistance %</t>
  </si>
  <si>
    <t>Local Assistance %</t>
  </si>
  <si>
    <t>September 2011 Comparison Summary</t>
  </si>
  <si>
    <t>September 2011 Operating Financial Summary - System</t>
  </si>
  <si>
    <t>September 2011 Operating Financial Summary - Chesapeake</t>
  </si>
  <si>
    <t>September 2011 Operating Financial Summary - Norfolk</t>
  </si>
  <si>
    <t>September 2011 Operating Financial Summary - Portsmouth</t>
  </si>
  <si>
    <t>September 2011 Operating Financial Summary - Suffolk</t>
  </si>
  <si>
    <t>September 2011 Operating Financial Summary - Virginia Beach</t>
  </si>
  <si>
    <t>September 2011 Operating Financial Summary - Hampton</t>
  </si>
  <si>
    <t>September 2011 Operating Financial Summary - Newport News</t>
  </si>
  <si>
    <t>September 2011 Operating Financial Summary - MAX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</si>
</sst>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6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164" fontId="5" fillId="2" borderId="0" xfId="1" applyNumberFormat="1" applyFont="1" applyFill="1" applyAlignment="1">
      <alignment horizontal="center"/>
    </xf>
    <xf numFmtId="0" fontId="3" fillId="2" borderId="1" xfId="0" applyFont="1" applyFill="1" applyBorder="1"/>
    <xf numFmtId="164" fontId="3" fillId="2" borderId="2" xfId="1" applyNumberFormat="1" applyFont="1" applyFill="1" applyBorder="1"/>
    <xf numFmtId="164" fontId="3" fillId="2" borderId="3" xfId="1" applyNumberFormat="1" applyFont="1" applyFill="1" applyBorder="1"/>
    <xf numFmtId="0" fontId="3" fillId="2" borderId="4" xfId="0" applyFont="1" applyFill="1" applyBorder="1"/>
    <xf numFmtId="44" fontId="3" fillId="2" borderId="0" xfId="2" applyFont="1" applyFill="1" applyBorder="1"/>
    <xf numFmtId="44" fontId="3" fillId="2" borderId="5" xfId="2" applyFont="1" applyFill="1" applyBorder="1"/>
    <xf numFmtId="0" fontId="5" fillId="2" borderId="6" xfId="0" applyFont="1" applyFill="1" applyBorder="1"/>
    <xf numFmtId="165" fontId="5" fillId="2" borderId="7" xfId="2" applyNumberFormat="1" applyFont="1" applyFill="1" applyBorder="1"/>
    <xf numFmtId="165" fontId="5" fillId="2" borderId="8" xfId="2" applyNumberFormat="1" applyFont="1" applyFill="1" applyBorder="1"/>
    <xf numFmtId="0" fontId="5" fillId="2" borderId="1" xfId="0" applyFont="1" applyFill="1" applyBorder="1"/>
    <xf numFmtId="165" fontId="5" fillId="2" borderId="2" xfId="2" applyNumberFormat="1" applyFont="1" applyFill="1" applyBorder="1"/>
    <xf numFmtId="165" fontId="5" fillId="2" borderId="3" xfId="2" applyNumberFormat="1" applyFont="1" applyFill="1" applyBorder="1"/>
    <xf numFmtId="0" fontId="3" fillId="2" borderId="6" xfId="0" applyFont="1" applyFill="1" applyBorder="1"/>
    <xf numFmtId="166" fontId="3" fillId="2" borderId="7" xfId="3" applyNumberFormat="1" applyFont="1" applyFill="1" applyBorder="1"/>
    <xf numFmtId="166" fontId="3" fillId="2" borderId="8" xfId="3" applyNumberFormat="1" applyFont="1" applyFill="1" applyBorder="1"/>
    <xf numFmtId="165" fontId="5" fillId="2" borderId="0" xfId="2" applyNumberFormat="1" applyFont="1" applyFill="1"/>
    <xf numFmtId="165" fontId="3" fillId="2" borderId="0" xfId="2" applyNumberFormat="1" applyFont="1" applyFill="1"/>
    <xf numFmtId="165" fontId="3" fillId="2" borderId="0" xfId="2" applyNumberFormat="1" applyFont="1" applyFill="1" applyBorder="1"/>
    <xf numFmtId="165" fontId="5" fillId="2" borderId="0" xfId="2" applyNumberFormat="1" applyFont="1" applyFill="1" applyBorder="1"/>
    <xf numFmtId="164" fontId="5" fillId="2" borderId="2" xfId="1" applyNumberFormat="1" applyFont="1" applyFill="1" applyBorder="1"/>
    <xf numFmtId="43" fontId="3" fillId="2" borderId="0" xfId="1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0" borderId="0" xfId="0" applyFont="1"/>
    <xf numFmtId="165" fontId="5" fillId="2" borderId="5" xfId="2" applyNumberFormat="1" applyFont="1" applyFill="1" applyBorder="1"/>
    <xf numFmtId="165" fontId="3" fillId="2" borderId="5" xfId="2" applyNumberFormat="1" applyFont="1" applyFill="1" applyBorder="1"/>
    <xf numFmtId="166" fontId="4" fillId="2" borderId="5" xfId="3" applyNumberFormat="1" applyFont="1" applyFill="1" applyBorder="1"/>
    <xf numFmtId="0" fontId="5" fillId="2" borderId="9" xfId="0" applyFont="1" applyFill="1" applyBorder="1"/>
    <xf numFmtId="165" fontId="5" fillId="2" borderId="10" xfId="2" applyNumberFormat="1" applyFont="1" applyFill="1" applyBorder="1"/>
    <xf numFmtId="165" fontId="5" fillId="2" borderId="11" xfId="2" applyNumberFormat="1" applyFont="1" applyFill="1" applyBorder="1"/>
    <xf numFmtId="166" fontId="4" fillId="2" borderId="0" xfId="3" applyNumberFormat="1" applyFont="1" applyFill="1" applyBorder="1"/>
    <xf numFmtId="0" fontId="7" fillId="2" borderId="0" xfId="0" applyFont="1" applyFill="1"/>
    <xf numFmtId="44" fontId="3" fillId="0" borderId="0" xfId="2" applyFont="1" applyBorder="1"/>
    <xf numFmtId="0" fontId="3" fillId="2" borderId="0" xfId="0" applyFont="1" applyFill="1" applyAlignment="1">
      <alignment vertical="center" wrapText="1"/>
    </xf>
    <xf numFmtId="164" fontId="5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5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4" fontId="3" fillId="0" borderId="0" xfId="1" applyNumberFormat="1" applyFont="1" applyBorder="1"/>
    <xf numFmtId="166" fontId="6" fillId="2" borderId="0" xfId="3" applyNumberFormat="1" applyFont="1" applyFill="1" applyBorder="1"/>
    <xf numFmtId="164" fontId="3" fillId="2" borderId="0" xfId="1" applyNumberFormat="1" applyFont="1" applyFill="1" applyBorder="1"/>
    <xf numFmtId="164" fontId="3" fillId="0" borderId="5" xfId="1" applyNumberFormat="1" applyFont="1" applyBorder="1"/>
    <xf numFmtId="166" fontId="6" fillId="2" borderId="5" xfId="3" applyNumberFormat="1" applyFont="1" applyFill="1" applyBorder="1"/>
    <xf numFmtId="164" fontId="3" fillId="2" borderId="5" xfId="1" applyNumberFormat="1" applyFont="1" applyFill="1" applyBorder="1"/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9" fillId="2" borderId="0" xfId="0" applyFont="1" applyFill="1" applyAlignment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2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 applyAlignment="1">
      <alignment horizontal="center"/>
    </xf>
    <xf numFmtId="166" fontId="12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2" fillId="3" borderId="0" xfId="4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2" fillId="3" borderId="0" xfId="3" applyNumberFormat="1" applyFont="1" applyFill="1"/>
    <xf numFmtId="166" fontId="11" fillId="3" borderId="0" xfId="3" applyNumberFormat="1" applyFont="1" applyFill="1"/>
    <xf numFmtId="0" fontId="15" fillId="2" borderId="0" xfId="0" applyFont="1" applyFill="1"/>
    <xf numFmtId="0" fontId="14" fillId="0" borderId="0" xfId="0" applyFont="1"/>
    <xf numFmtId="0" fontId="14" fillId="2" borderId="0" xfId="0" applyFont="1" applyFill="1"/>
    <xf numFmtId="166" fontId="11" fillId="3" borderId="12" xfId="5" applyNumberFormat="1" applyFont="1" applyFill="1" applyBorder="1" applyAlignment="1">
      <alignment horizontal="center" wrapText="1"/>
    </xf>
    <xf numFmtId="166" fontId="11" fillId="3" borderId="12" xfId="5" applyNumberFormat="1" applyFont="1" applyFill="1" applyBorder="1" applyAlignment="1">
      <alignment horizontal="center"/>
    </xf>
    <xf numFmtId="0" fontId="13" fillId="3" borderId="0" xfId="4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li\Local%20Settings\Temporary%20Internet%20Files\Content.Outlook\VYBP6ZIK\September%20Allocation%20ResultsV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Sept"/>
      <sheetName val="Sheet1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2774.9</v>
          </cell>
          <cell r="F14">
            <v>26719.706137141726</v>
          </cell>
          <cell r="S14">
            <v>65289.179811126807</v>
          </cell>
          <cell r="W14">
            <v>125614.85472433167</v>
          </cell>
        </row>
        <row r="26">
          <cell r="E26">
            <v>3002.5</v>
          </cell>
          <cell r="F26">
            <v>49420.560365451885</v>
          </cell>
          <cell r="G26">
            <v>61.956909959548057</v>
          </cell>
          <cell r="I26">
            <v>16.46888580700217</v>
          </cell>
          <cell r="U26">
            <v>40054.295733843093</v>
          </cell>
          <cell r="W26">
            <v>43335.907784296018</v>
          </cell>
        </row>
        <row r="28">
          <cell r="E28">
            <v>1741.36</v>
          </cell>
          <cell r="F28">
            <v>6267.59</v>
          </cell>
          <cell r="G28">
            <v>52.185547414315131</v>
          </cell>
          <cell r="U28">
            <v>20335.942269129755</v>
          </cell>
          <cell r="W28">
            <v>25711.961991040171</v>
          </cell>
          <cell r="X28">
            <v>17177.567548254006</v>
          </cell>
        </row>
        <row r="30">
          <cell r="AF30">
            <v>22891.237142857142</v>
          </cell>
          <cell r="AG30">
            <v>-2586.9670022336359</v>
          </cell>
          <cell r="AK30">
            <v>7474.8352618048602</v>
          </cell>
        </row>
        <row r="64">
          <cell r="E64">
            <v>23321.1</v>
          </cell>
          <cell r="F64">
            <v>437795.70674095477</v>
          </cell>
          <cell r="Q64">
            <v>128848.57267443548</v>
          </cell>
          <cell r="U64">
            <v>275092.67179110902</v>
          </cell>
          <cell r="W64">
            <v>297630.76440268965</v>
          </cell>
        </row>
        <row r="65">
          <cell r="E65">
            <v>2359.8000000000002</v>
          </cell>
          <cell r="F65">
            <v>125018.07372418136</v>
          </cell>
          <cell r="G65">
            <v>329.15842868039664</v>
          </cell>
          <cell r="Q65">
            <v>429011.56311859336</v>
          </cell>
          <cell r="U65">
            <v>122341.70050910456</v>
          </cell>
          <cell r="W65">
            <v>45454.545454545456</v>
          </cell>
        </row>
        <row r="68">
          <cell r="E68">
            <v>246.05</v>
          </cell>
          <cell r="F68">
            <v>16185.583366260213</v>
          </cell>
          <cell r="G68">
            <v>372.60174761227393</v>
          </cell>
          <cell r="U68">
            <v>16283.920419098666</v>
          </cell>
          <cell r="W68">
            <v>32173.665046891198</v>
          </cell>
        </row>
        <row r="69">
          <cell r="E69">
            <v>4089.39</v>
          </cell>
          <cell r="F69">
            <v>14718.72</v>
          </cell>
          <cell r="U69">
            <v>47756.69531627954</v>
          </cell>
          <cell r="W69">
            <v>60381.678829500954</v>
          </cell>
          <cell r="X69">
            <v>40339.604077361641</v>
          </cell>
        </row>
        <row r="71">
          <cell r="AK71">
            <v>47296.336034858461</v>
          </cell>
        </row>
        <row r="83">
          <cell r="E83">
            <v>5493.9</v>
          </cell>
          <cell r="F83">
            <v>73742.953128818306</v>
          </cell>
          <cell r="N83">
            <v>10474.282240420491</v>
          </cell>
          <cell r="U83">
            <v>71140.763211701749</v>
          </cell>
          <cell r="W83">
            <v>76969.26129303698</v>
          </cell>
        </row>
        <row r="85">
          <cell r="E85">
            <v>246.05</v>
          </cell>
          <cell r="F85">
            <v>16300.934809244349</v>
          </cell>
          <cell r="U85">
            <v>16283.920419098666</v>
          </cell>
          <cell r="W85">
            <v>32173.665046891198</v>
          </cell>
        </row>
        <row r="86">
          <cell r="E86">
            <v>1025.5899999999999</v>
          </cell>
          <cell r="F86">
            <v>3691.36</v>
          </cell>
          <cell r="U86">
            <v>11977.040377519173</v>
          </cell>
          <cell r="W86">
            <v>15143.296675237109</v>
          </cell>
          <cell r="X86">
            <v>10116.886515030683</v>
          </cell>
        </row>
        <row r="88">
          <cell r="AK88">
            <v>10660.368762389962</v>
          </cell>
        </row>
        <row r="95">
          <cell r="E95">
            <v>1002.4</v>
          </cell>
          <cell r="F95">
            <v>5206</v>
          </cell>
          <cell r="U95">
            <v>13372.331738086366</v>
          </cell>
          <cell r="W95">
            <v>14467.914725388286</v>
          </cell>
        </row>
        <row r="96">
          <cell r="E96">
            <v>170.95</v>
          </cell>
          <cell r="F96">
            <v>615.28</v>
          </cell>
          <cell r="U96">
            <v>1996.3874965014311</v>
          </cell>
          <cell r="W96">
            <v>2524.1534791015742</v>
          </cell>
          <cell r="X96">
            <v>1686.3286008487748</v>
          </cell>
        </row>
        <row r="97">
          <cell r="AK97">
            <v>1848.831532641927</v>
          </cell>
        </row>
        <row r="116">
          <cell r="E116">
            <v>8832</v>
          </cell>
          <cell r="F116">
            <v>183502.23871666691</v>
          </cell>
          <cell r="Q116">
            <v>14828.638280171515</v>
          </cell>
          <cell r="U116">
            <v>114390.21786066893</v>
          </cell>
          <cell r="W116">
            <v>123762.10445879809</v>
          </cell>
        </row>
        <row r="126">
          <cell r="E126">
            <v>3572.83</v>
          </cell>
          <cell r="F126">
            <v>12859.52</v>
          </cell>
          <cell r="U126">
            <v>41724.20672199595</v>
          </cell>
          <cell r="W126">
            <v>52754.438577001914</v>
          </cell>
          <cell r="X126">
            <v>35244.021146361672</v>
          </cell>
        </row>
        <row r="128">
          <cell r="AK128">
            <v>19546.120817371251</v>
          </cell>
        </row>
        <row r="151">
          <cell r="E151">
            <v>7572.4</v>
          </cell>
          <cell r="F151">
            <v>133521.45354374521</v>
          </cell>
          <cell r="U151">
            <v>101018.20117067556</v>
          </cell>
          <cell r="W151">
            <v>109294.53059310679</v>
          </cell>
        </row>
        <row r="153">
          <cell r="E153">
            <v>2717.66</v>
          </cell>
          <cell r="F153">
            <v>9781.5300000000007</v>
          </cell>
          <cell r="U153">
            <v>31737.364397438305</v>
          </cell>
          <cell r="W153">
            <v>40127.469692981475</v>
          </cell>
          <cell r="X153">
            <v>26808.235070972103</v>
          </cell>
        </row>
        <row r="155">
          <cell r="AK155">
            <v>16213.906678124504</v>
          </cell>
        </row>
        <row r="173">
          <cell r="E173">
            <v>11088</v>
          </cell>
          <cell r="F173">
            <v>243747.83946753509</v>
          </cell>
          <cell r="U173">
            <v>147917.41252184921</v>
          </cell>
          <cell r="W173">
            <v>160036.15171099891</v>
          </cell>
        </row>
        <row r="178">
          <cell r="E178">
            <v>3196.22</v>
          </cell>
          <cell r="F178">
            <v>11504</v>
          </cell>
          <cell r="U178">
            <v>37326.081568106485</v>
          </cell>
          <cell r="W178">
            <v>47193.622889581951</v>
          </cell>
          <cell r="X178">
            <v>31528.968707837797</v>
          </cell>
        </row>
        <row r="180">
          <cell r="AK180">
            <v>22507.449912809025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zoomScaleNormal="100" workbookViewId="0">
      <selection activeCell="C6" sqref="C6"/>
    </sheetView>
  </sheetViews>
  <sheetFormatPr defaultRowHeight="12.75"/>
  <cols>
    <col min="1" max="1" width="14.140625" style="101" bestFit="1" customWidth="1"/>
    <col min="2" max="2" width="8.42578125" style="106" bestFit="1" customWidth="1"/>
    <col min="3" max="3" width="12" style="106" customWidth="1"/>
    <col min="4" max="4" width="1.42578125" style="103" customWidth="1"/>
    <col min="5" max="5" width="8.42578125" style="106" bestFit="1" customWidth="1"/>
    <col min="6" max="6" width="11.140625" style="106" bestFit="1" customWidth="1"/>
    <col min="7" max="7" width="1.42578125" style="103" customWidth="1"/>
    <col min="8" max="8" width="7.7109375" style="106" bestFit="1" customWidth="1"/>
    <col min="9" max="9" width="11.140625" style="106" bestFit="1" customWidth="1"/>
    <col min="10" max="10" width="1.42578125" style="103" customWidth="1"/>
    <col min="11" max="11" width="8.28515625" style="106" bestFit="1" customWidth="1"/>
    <col min="12" max="12" width="11.140625" style="106" bestFit="1" customWidth="1"/>
    <col min="13" max="16384" width="9.140625" style="101"/>
  </cols>
  <sheetData>
    <row r="1" spans="1:12" ht="15.75">
      <c r="A1" s="118" t="s">
        <v>52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3" spans="1:12">
      <c r="B3" s="116" t="s">
        <v>28</v>
      </c>
      <c r="C3" s="116"/>
      <c r="E3" s="117" t="s">
        <v>48</v>
      </c>
      <c r="F3" s="117"/>
      <c r="H3" s="116" t="s">
        <v>49</v>
      </c>
      <c r="I3" s="116"/>
      <c r="K3" s="116" t="s">
        <v>29</v>
      </c>
      <c r="L3" s="116"/>
    </row>
    <row r="4" spans="1:12">
      <c r="B4" s="100" t="s">
        <v>34</v>
      </c>
      <c r="C4" s="100" t="s">
        <v>35</v>
      </c>
      <c r="E4" s="100" t="s">
        <v>34</v>
      </c>
      <c r="F4" s="100" t="s">
        <v>35</v>
      </c>
      <c r="H4" s="100" t="s">
        <v>34</v>
      </c>
      <c r="I4" s="100" t="s">
        <v>35</v>
      </c>
      <c r="K4" s="100" t="s">
        <v>34</v>
      </c>
      <c r="L4" s="100" t="s">
        <v>35</v>
      </c>
    </row>
    <row r="5" spans="1:12">
      <c r="A5" s="99" t="s">
        <v>43</v>
      </c>
      <c r="B5" s="100"/>
      <c r="C5" s="100"/>
      <c r="E5" s="100"/>
      <c r="F5" s="100"/>
      <c r="H5" s="100"/>
      <c r="I5" s="100"/>
      <c r="K5" s="100"/>
      <c r="L5" s="100"/>
    </row>
    <row r="6" spans="1:12">
      <c r="A6" s="101" t="s">
        <v>36</v>
      </c>
      <c r="B6" s="104">
        <f>+(13097789+535473+545502+107507+1180000)/(50891442+2525033+1920156+985275+4504336)</f>
        <v>0.25426971141830529</v>
      </c>
      <c r="C6" s="104">
        <f>+('System Total'!B10)/('System Total'!B8)</f>
        <v>0.23825099214677944</v>
      </c>
      <c r="E6" s="104">
        <f>+(13097789+535473+545502+107507+1180000)/(50891442+2525033+1920156+985275+4504336)</f>
        <v>0.25426971141830529</v>
      </c>
      <c r="F6" s="104">
        <f>+('System Total'!B35)/('System Total'!B8)</f>
        <v>0.39333056377236553</v>
      </c>
      <c r="H6" s="104">
        <f>+(13097789+535473+545502+107507+1180000)/(50891442+2525033+1920156+985275+4504336)</f>
        <v>0.25426971141830529</v>
      </c>
      <c r="I6" s="104">
        <f>+('System Total'!B16)/('System Total'!B8)</f>
        <v>0.16130643173139972</v>
      </c>
      <c r="K6" s="104">
        <f>+(13097789+535473+545502+107507+1180000)/(50891442+2525033+1920156+985275+4504336)</f>
        <v>0.25426971141830529</v>
      </c>
      <c r="L6" s="104">
        <f>+('System Total'!B22)/('System Total'!B8)</f>
        <v>0.20711201234945534</v>
      </c>
    </row>
    <row r="7" spans="1:12">
      <c r="A7" s="101" t="s">
        <v>33</v>
      </c>
      <c r="B7" s="104">
        <v>8.7999999999999995E-2</v>
      </c>
      <c r="C7" s="104">
        <f>+'System Total'!D11</f>
        <v>0.1532814320921724</v>
      </c>
      <c r="E7" s="104">
        <v>0.19500000000000001</v>
      </c>
      <c r="F7" s="104">
        <f>+'System Total'!D36</f>
        <v>0.11498792341123239</v>
      </c>
      <c r="H7" s="104">
        <v>0.15</v>
      </c>
      <c r="I7" s="104">
        <f>+'System Total'!D17</f>
        <v>0.15</v>
      </c>
      <c r="K7" s="104">
        <f>(6441940+500000)/12251467</f>
        <v>0.566621123821335</v>
      </c>
      <c r="L7" s="104">
        <f>+'System Total'!D23</f>
        <v>0.58173064449659517</v>
      </c>
    </row>
    <row r="8" spans="1:12">
      <c r="A8" s="101" t="s">
        <v>15</v>
      </c>
      <c r="B8" s="104">
        <v>0.253</v>
      </c>
      <c r="C8" s="104">
        <f>+'System Total'!E11</f>
        <v>0.16967636442266967</v>
      </c>
      <c r="E8" s="104">
        <v>0.29299999999999998</v>
      </c>
      <c r="F8" s="104">
        <f>+'System Total'!E36</f>
        <v>0.32413784575824306</v>
      </c>
      <c r="H8" s="104">
        <v>0.158</v>
      </c>
      <c r="I8" s="104">
        <f>+'System Total'!E17</f>
        <v>0.17010111088753657</v>
      </c>
      <c r="K8" s="104">
        <v>0.29799999999999999</v>
      </c>
      <c r="L8" s="104">
        <f>+'System Total'!E23</f>
        <v>0.33608467893155081</v>
      </c>
    </row>
    <row r="9" spans="1:12">
      <c r="A9" s="101" t="s">
        <v>44</v>
      </c>
      <c r="B9" s="104">
        <v>6.5000000000000002E-2</v>
      </c>
      <c r="C9" s="104">
        <f>+'System Total'!F11</f>
        <v>5.242558933309429E-2</v>
      </c>
      <c r="E9" s="104">
        <v>0.378</v>
      </c>
      <c r="F9" s="104">
        <f>+'System Total'!F36</f>
        <v>0.41872146406273708</v>
      </c>
      <c r="H9" s="104">
        <v>0.158</v>
      </c>
      <c r="I9" s="104">
        <f>+'System Total'!F17</f>
        <v>0.17010111088753652</v>
      </c>
      <c r="K9" s="104">
        <f>+(2712149+1954819)/11700148</f>
        <v>0.39888110817059752</v>
      </c>
      <c r="L9" s="104">
        <f>+'System Total'!F23</f>
        <v>0.35875183571663211</v>
      </c>
    </row>
    <row r="10" spans="1:12" s="99" customFormat="1">
      <c r="A10" s="99" t="s">
        <v>0</v>
      </c>
      <c r="B10" s="100">
        <v>0.20399999999999999</v>
      </c>
      <c r="C10" s="100">
        <f>+'System Total'!G11</f>
        <v>0.19335540535705184</v>
      </c>
      <c r="D10" s="105"/>
      <c r="E10" s="100">
        <v>0.32800000000000001</v>
      </c>
      <c r="F10" s="100">
        <f>+'System Total'!G36</f>
        <v>0.35142067802372706</v>
      </c>
      <c r="G10" s="105"/>
      <c r="H10" s="100">
        <v>0.153</v>
      </c>
      <c r="I10" s="100">
        <f>+'System Total'!G17</f>
        <v>0.16590801566446314</v>
      </c>
      <c r="J10" s="105"/>
      <c r="K10" s="100">
        <f>+(16698216+1954819+8491940)/86272736</f>
        <v>0.3146414065273182</v>
      </c>
      <c r="L10" s="100">
        <f>+'System Total'!G23</f>
        <v>0.28931590095475795</v>
      </c>
    </row>
    <row r="11" spans="1:12">
      <c r="A11" s="99"/>
      <c r="B11" s="100"/>
      <c r="C11" s="100"/>
      <c r="E11" s="100"/>
      <c r="F11" s="100"/>
      <c r="H11" s="100"/>
      <c r="I11" s="100"/>
      <c r="K11" s="100"/>
      <c r="L11" s="100"/>
    </row>
    <row r="12" spans="1:12">
      <c r="A12" s="99" t="s">
        <v>37</v>
      </c>
      <c r="B12" s="100"/>
      <c r="C12" s="100"/>
      <c r="E12" s="100"/>
      <c r="F12" s="100"/>
      <c r="H12" s="100"/>
      <c r="I12" s="100"/>
      <c r="K12" s="100"/>
      <c r="L12" s="100"/>
    </row>
    <row r="13" spans="1:12">
      <c r="A13" s="101" t="s">
        <v>36</v>
      </c>
      <c r="B13" s="106">
        <v>0.22800000000000001</v>
      </c>
      <c r="C13" s="106">
        <f>+Chesapeake!B11</f>
        <v>0.20987741925880438</v>
      </c>
      <c r="E13" s="106">
        <v>0.39400000000000002</v>
      </c>
      <c r="F13" s="106">
        <f>+Chesapeake!B36</f>
        <v>0.4359841295291304</v>
      </c>
      <c r="H13" s="106">
        <v>0.158</v>
      </c>
      <c r="I13" s="106">
        <f>+Chesapeake!B17</f>
        <v>0.1701011108875366</v>
      </c>
      <c r="K13" s="104">
        <v>0.22800000000000001</v>
      </c>
      <c r="L13" s="104">
        <f>+Chesapeake!B23</f>
        <v>0.18403734032452865</v>
      </c>
    </row>
    <row r="14" spans="1:12">
      <c r="A14" s="101" t="s">
        <v>44</v>
      </c>
      <c r="B14" s="104">
        <v>6.5000000000000002E-2</v>
      </c>
      <c r="C14" s="104">
        <v>5.1999999999999998E-2</v>
      </c>
      <c r="E14" s="104">
        <v>0.378</v>
      </c>
      <c r="F14" s="104">
        <f>+F9</f>
        <v>0.41872146406273708</v>
      </c>
      <c r="H14" s="104">
        <v>0.158</v>
      </c>
      <c r="I14" s="104">
        <f>+I9</f>
        <v>0.17010111088753652</v>
      </c>
      <c r="K14" s="104">
        <v>0.39899999999999997</v>
      </c>
      <c r="L14" s="104">
        <f>+L9</f>
        <v>0.35875183571663211</v>
      </c>
    </row>
    <row r="15" spans="1:12" s="99" customFormat="1">
      <c r="A15" s="99" t="s">
        <v>0</v>
      </c>
      <c r="B15" s="100">
        <v>0.17899999999999999</v>
      </c>
      <c r="C15" s="100">
        <f>+Chesapeake!E11</f>
        <v>0.15685674628355051</v>
      </c>
      <c r="D15" s="105"/>
      <c r="E15" s="100">
        <v>0.38900000000000001</v>
      </c>
      <c r="F15" s="100">
        <f>+Chesapeake!E36</f>
        <v>0.43017105702884817</v>
      </c>
      <c r="G15" s="105"/>
      <c r="H15" s="100">
        <v>0.158</v>
      </c>
      <c r="I15" s="100">
        <f>+Chesapeake!E17</f>
        <v>0.17010111088753657</v>
      </c>
      <c r="J15" s="105"/>
      <c r="K15" s="100">
        <v>0.27400000000000002</v>
      </c>
      <c r="L15" s="100">
        <f>+Chesapeake!E23</f>
        <v>0.24287108580006478</v>
      </c>
    </row>
    <row r="16" spans="1:12">
      <c r="B16" s="104"/>
      <c r="C16" s="104"/>
      <c r="E16" s="104"/>
      <c r="F16" s="104"/>
      <c r="H16" s="104"/>
      <c r="I16" s="104"/>
      <c r="K16" s="104"/>
      <c r="L16" s="104"/>
    </row>
    <row r="17" spans="1:12">
      <c r="A17" s="99" t="s">
        <v>38</v>
      </c>
      <c r="B17" s="102"/>
      <c r="C17" s="102"/>
      <c r="D17" s="107"/>
      <c r="E17" s="102"/>
      <c r="F17" s="102"/>
      <c r="G17" s="107"/>
      <c r="H17" s="102"/>
      <c r="I17" s="102"/>
      <c r="J17" s="107"/>
      <c r="K17" s="102"/>
      <c r="L17" s="102"/>
    </row>
    <row r="18" spans="1:12">
      <c r="A18" s="101" t="s">
        <v>36</v>
      </c>
      <c r="B18" s="106">
        <v>0.27</v>
      </c>
      <c r="C18" s="106">
        <f>+Norfolk!B11</f>
        <v>0.23936659008877642</v>
      </c>
      <c r="E18" s="106">
        <v>0.34599999999999997</v>
      </c>
      <c r="F18" s="106">
        <f>+Norfolk!B36</f>
        <v>0.37704604969097261</v>
      </c>
      <c r="H18" s="106">
        <v>0.15</v>
      </c>
      <c r="I18" s="106">
        <f>+Norfolk!B17</f>
        <v>0.15040804144754025</v>
      </c>
      <c r="K18" s="104">
        <v>0.23292828570380039</v>
      </c>
      <c r="L18" s="104">
        <f>+Norfolk!B23</f>
        <v>0.23317931877271081</v>
      </c>
    </row>
    <row r="19" spans="1:12">
      <c r="A19" s="101" t="s">
        <v>33</v>
      </c>
      <c r="B19" s="104">
        <v>8.7999999999999995E-2</v>
      </c>
      <c r="C19" s="104">
        <f>+Norfolk!C11</f>
        <v>0.1532814320921724</v>
      </c>
      <c r="E19" s="104">
        <v>0.19500000000000001</v>
      </c>
      <c r="F19" s="104">
        <f>+Norfolk!C36</f>
        <v>0.11498792341123239</v>
      </c>
      <c r="H19" s="104">
        <v>0.15</v>
      </c>
      <c r="I19" s="104">
        <f>+Norfolk!C17</f>
        <v>0.15</v>
      </c>
      <c r="K19" s="104">
        <f>+SUM(500000+6441940)/12251467</f>
        <v>0.566621123821335</v>
      </c>
      <c r="L19" s="104">
        <f>+Norfolk!C23</f>
        <v>0.58173064449659517</v>
      </c>
    </row>
    <row r="20" spans="1:12">
      <c r="A20" s="101" t="s">
        <v>15</v>
      </c>
      <c r="B20" s="104">
        <v>0.253</v>
      </c>
      <c r="C20" s="104">
        <f>+Norfolk!D11</f>
        <v>0.16907388639253054</v>
      </c>
      <c r="E20" s="104">
        <v>0.29299999999999998</v>
      </c>
      <c r="F20" s="104">
        <f>+Norfolk!D36</f>
        <v>0.32474032378838213</v>
      </c>
      <c r="H20" s="104">
        <v>0.158</v>
      </c>
      <c r="I20" s="104">
        <f>+Portsmouth!C17</f>
        <v>0.17010111088753657</v>
      </c>
      <c r="K20" s="104">
        <v>0.29599999999999999</v>
      </c>
      <c r="L20" s="104">
        <f>+Norfolk!D23</f>
        <v>0.33608467893155081</v>
      </c>
    </row>
    <row r="21" spans="1:12">
      <c r="A21" s="101" t="s">
        <v>44</v>
      </c>
      <c r="B21" s="104">
        <v>6.5000000000000002E-2</v>
      </c>
      <c r="C21" s="104">
        <v>5.1999999999999998E-2</v>
      </c>
      <c r="E21" s="104">
        <v>0.378</v>
      </c>
      <c r="F21" s="104">
        <f>+F14</f>
        <v>0.41872146406273708</v>
      </c>
      <c r="H21" s="104">
        <v>0.158</v>
      </c>
      <c r="I21" s="104">
        <f>+I14</f>
        <v>0.17010111088753652</v>
      </c>
      <c r="K21" s="104">
        <v>0.39888115771480304</v>
      </c>
      <c r="L21" s="104">
        <f>+L14</f>
        <v>0.35875183571663211</v>
      </c>
    </row>
    <row r="22" spans="1:12" s="99" customFormat="1">
      <c r="A22" s="99" t="s">
        <v>0</v>
      </c>
      <c r="B22" s="100">
        <v>0.19400000000000001</v>
      </c>
      <c r="C22" s="100">
        <f>+Norfolk!F11</f>
        <v>0.19652558348072524</v>
      </c>
      <c r="D22" s="105"/>
      <c r="E22" s="100">
        <v>0.30099999999999999</v>
      </c>
      <c r="F22" s="100">
        <f>+Norfolk!F36</f>
        <v>0.30851268995700959</v>
      </c>
      <c r="G22" s="105"/>
      <c r="H22" s="100">
        <v>0.158</v>
      </c>
      <c r="I22" s="100">
        <f>+Norfolk!F17</f>
        <v>0.15275202786514741</v>
      </c>
      <c r="J22" s="105"/>
      <c r="K22" s="100">
        <v>0.36499999999999999</v>
      </c>
      <c r="L22" s="100">
        <f>+Norfolk!F23</f>
        <v>0.34220969869711776</v>
      </c>
    </row>
    <row r="23" spans="1:12">
      <c r="B23" s="104"/>
      <c r="C23" s="104"/>
      <c r="E23" s="104"/>
      <c r="F23" s="104"/>
      <c r="H23" s="104"/>
      <c r="I23" s="104"/>
      <c r="K23" s="104"/>
      <c r="L23" s="104"/>
    </row>
    <row r="24" spans="1:12">
      <c r="A24" s="99" t="s">
        <v>39</v>
      </c>
      <c r="B24" s="102"/>
      <c r="C24" s="102"/>
      <c r="D24" s="107"/>
      <c r="E24" s="102"/>
      <c r="F24" s="102"/>
      <c r="G24" s="107"/>
      <c r="H24" s="102"/>
      <c r="I24" s="102"/>
      <c r="J24" s="107"/>
      <c r="K24" s="102"/>
      <c r="L24" s="102"/>
    </row>
    <row r="25" spans="1:12">
      <c r="A25" s="101" t="s">
        <v>36</v>
      </c>
      <c r="B25" s="106">
        <v>0.223</v>
      </c>
      <c r="C25" s="106">
        <f>+Portsmouth!B11</f>
        <v>0.17115155185126998</v>
      </c>
      <c r="E25" s="106">
        <v>0.39400000000000002</v>
      </c>
      <c r="F25" s="106">
        <f>+Portsmouth!B36</f>
        <v>0.46078683619675465</v>
      </c>
      <c r="H25" s="106">
        <v>0.15</v>
      </c>
      <c r="I25" s="106">
        <f>+Portsmouth!B17</f>
        <v>0.16511207521479421</v>
      </c>
      <c r="K25" s="104">
        <v>0.25849924500743804</v>
      </c>
      <c r="L25" s="104">
        <f>+Portsmouth!B23</f>
        <v>0.20294953673718105</v>
      </c>
    </row>
    <row r="26" spans="1:12">
      <c r="A26" s="101" t="s">
        <v>15</v>
      </c>
      <c r="B26" s="106">
        <f>+B20</f>
        <v>0.253</v>
      </c>
      <c r="C26" s="106">
        <f>+C20</f>
        <v>0.16907388639253054</v>
      </c>
      <c r="E26" s="106">
        <f>+E20</f>
        <v>0.29299999999999998</v>
      </c>
      <c r="F26" s="106">
        <f>+F20</f>
        <v>0.32474032378838213</v>
      </c>
      <c r="H26" s="106">
        <f>+H20</f>
        <v>0.158</v>
      </c>
      <c r="I26" s="106">
        <f>+I20</f>
        <v>0.17010111088753657</v>
      </c>
      <c r="K26" s="104">
        <f>+K20</f>
        <v>0.29599999999999999</v>
      </c>
      <c r="L26" s="104">
        <f>+L20</f>
        <v>0.33608467893155081</v>
      </c>
    </row>
    <row r="27" spans="1:12">
      <c r="A27" s="101" t="s">
        <v>44</v>
      </c>
      <c r="B27" s="104">
        <v>6.5000000000000002E-2</v>
      </c>
      <c r="C27" s="104">
        <v>5.1999999999999998E-2</v>
      </c>
      <c r="E27" s="104">
        <v>0.378</v>
      </c>
      <c r="F27" s="104">
        <f>+F21</f>
        <v>0.41872146406273708</v>
      </c>
      <c r="H27" s="104">
        <v>0.158</v>
      </c>
      <c r="I27" s="104">
        <f>+I21</f>
        <v>0.17010111088753652</v>
      </c>
      <c r="K27" s="104">
        <v>0.39888050988310603</v>
      </c>
      <c r="L27" s="104">
        <f>+L21</f>
        <v>0.35875183571663211</v>
      </c>
    </row>
    <row r="28" spans="1:12" s="99" customFormat="1">
      <c r="A28" s="99" t="s">
        <v>0</v>
      </c>
      <c r="B28" s="100">
        <v>0.20699999999999999</v>
      </c>
      <c r="C28" s="100">
        <f>+Portsmouth!E11</f>
        <v>0.15700899044077798</v>
      </c>
      <c r="D28" s="105"/>
      <c r="E28" s="100">
        <v>0.38200000000000001</v>
      </c>
      <c r="F28" s="100">
        <f>+Portsmouth!E36</f>
        <v>0.43381710542062302</v>
      </c>
      <c r="G28" s="105"/>
      <c r="H28" s="100">
        <v>0.158</v>
      </c>
      <c r="I28" s="100">
        <f>+Portsmouth!E17</f>
        <v>0.16650048597440845</v>
      </c>
      <c r="J28" s="105"/>
      <c r="K28" s="100">
        <v>0.25900000000000001</v>
      </c>
      <c r="L28" s="100">
        <f>+Portsmouth!E23</f>
        <v>0.24267341816419061</v>
      </c>
    </row>
    <row r="29" spans="1:12">
      <c r="B29" s="104"/>
      <c r="C29" s="104"/>
      <c r="E29" s="104"/>
      <c r="F29" s="104"/>
      <c r="H29" s="104"/>
      <c r="I29" s="104"/>
      <c r="K29" s="104"/>
      <c r="L29" s="104"/>
    </row>
    <row r="30" spans="1:12">
      <c r="A30" s="99" t="s">
        <v>46</v>
      </c>
      <c r="B30" s="104"/>
      <c r="C30" s="104"/>
      <c r="E30" s="104"/>
      <c r="F30" s="104"/>
      <c r="H30" s="104"/>
      <c r="I30" s="104"/>
      <c r="K30" s="104"/>
      <c r="L30" s="104"/>
    </row>
    <row r="31" spans="1:12">
      <c r="A31" s="101" t="s">
        <v>36</v>
      </c>
      <c r="B31" s="106">
        <v>9.5000000000000001E-2</v>
      </c>
      <c r="C31" s="106">
        <f>+Suffolk!B11</f>
        <v>6.6222286481148931E-2</v>
      </c>
      <c r="E31" s="111">
        <v>0.52600000000000002</v>
      </c>
      <c r="F31" s="106">
        <f>+Suffolk!B36</f>
        <v>0.57963926230678586</v>
      </c>
      <c r="H31" s="106">
        <v>0.158</v>
      </c>
      <c r="I31" s="106">
        <f>+Suffolk!B17</f>
        <v>0.1701011108875366</v>
      </c>
      <c r="K31" s="104">
        <v>0.22</v>
      </c>
      <c r="L31" s="104">
        <f>+Suffolk!B23</f>
        <v>0.18403734032452865</v>
      </c>
    </row>
    <row r="32" spans="1:12">
      <c r="A32" s="101" t="s">
        <v>44</v>
      </c>
      <c r="B32" s="104">
        <v>6.6000000000000003E-2</v>
      </c>
      <c r="C32" s="104">
        <f>+Suffolk!C11</f>
        <v>5.2424597774878158E-2</v>
      </c>
      <c r="E32" s="111">
        <v>0.377</v>
      </c>
      <c r="F32" s="104">
        <f>+Suffolk!C36</f>
        <v>0.41872245562095306</v>
      </c>
      <c r="H32" s="104">
        <v>0.158</v>
      </c>
      <c r="I32" s="104">
        <f>+I31</f>
        <v>0.1701011108875366</v>
      </c>
      <c r="K32" s="104">
        <v>0.39900000000000002</v>
      </c>
      <c r="L32" s="104">
        <f>+Suffolk!C23</f>
        <v>0.35875183571663216</v>
      </c>
    </row>
    <row r="33" spans="1:12" s="99" customFormat="1">
      <c r="A33" s="99" t="s">
        <v>0</v>
      </c>
      <c r="B33" s="100">
        <v>9.1999999999999998E-2</v>
      </c>
      <c r="C33" s="100">
        <f>+Suffolk!D11</f>
        <v>6.4429974916771729E-2</v>
      </c>
      <c r="D33" s="105"/>
      <c r="E33" s="112">
        <v>0.50900000000000001</v>
      </c>
      <c r="F33" s="100">
        <f>+Suffolk!D36</f>
        <v>0.55873626473483817</v>
      </c>
      <c r="G33" s="105"/>
      <c r="H33" s="100">
        <v>0.158</v>
      </c>
      <c r="I33" s="100">
        <f>+I31</f>
        <v>0.1701011108875366</v>
      </c>
      <c r="J33" s="105"/>
      <c r="K33" s="100">
        <v>0.26900000000000002</v>
      </c>
      <c r="L33" s="100">
        <f>+Suffolk!D23</f>
        <v>0.20673264946085354</v>
      </c>
    </row>
    <row r="34" spans="1:12">
      <c r="B34" s="104"/>
      <c r="C34" s="104"/>
      <c r="E34" s="104"/>
      <c r="F34" s="104"/>
      <c r="H34" s="104"/>
      <c r="I34" s="104"/>
      <c r="K34" s="104"/>
      <c r="L34" s="104"/>
    </row>
    <row r="35" spans="1:12">
      <c r="A35" s="99" t="s">
        <v>40</v>
      </c>
      <c r="B35" s="102"/>
      <c r="C35" s="102"/>
      <c r="D35" s="107"/>
      <c r="E35" s="102"/>
      <c r="F35" s="102"/>
      <c r="G35" s="107"/>
      <c r="H35" s="102"/>
      <c r="I35" s="102"/>
      <c r="J35" s="107"/>
      <c r="K35" s="102"/>
      <c r="L35" s="102"/>
    </row>
    <row r="36" spans="1:12">
      <c r="A36" s="101" t="s">
        <v>36</v>
      </c>
      <c r="B36" s="106">
        <v>0.28100000000000003</v>
      </c>
      <c r="C36" s="106">
        <f>+'Virginia Beach'!B11</f>
        <v>0.26492526201739769</v>
      </c>
      <c r="E36" s="106">
        <v>0.33700000000000002</v>
      </c>
      <c r="F36" s="106">
        <f>+'Virginia Beach'!B36</f>
        <v>0.3698418790213841</v>
      </c>
      <c r="H36" s="106">
        <v>0.152</v>
      </c>
      <c r="I36" s="106">
        <f>+'Virginia Beach'!B17</f>
        <v>0.16514707750109006</v>
      </c>
      <c r="K36" s="104">
        <v>0.23022872222423335</v>
      </c>
      <c r="L36" s="104">
        <f>+'Virginia Beach'!B23</f>
        <v>0.20008578146012809</v>
      </c>
    </row>
    <row r="37" spans="1:12">
      <c r="A37" s="101" t="s">
        <v>44</v>
      </c>
      <c r="B37" s="104">
        <v>6.5000000000000002E-2</v>
      </c>
      <c r="C37" s="104">
        <v>5.1999999999999998E-2</v>
      </c>
      <c r="E37" s="104">
        <v>0.378</v>
      </c>
      <c r="F37" s="104">
        <f>+F27</f>
        <v>0.41872146406273708</v>
      </c>
      <c r="H37" s="104">
        <v>0.158</v>
      </c>
      <c r="I37" s="104">
        <f>+I27</f>
        <v>0.17010111088753652</v>
      </c>
      <c r="K37" s="104">
        <v>0.39900000000000002</v>
      </c>
      <c r="L37" s="104">
        <f>+L27</f>
        <v>0.35875183571663211</v>
      </c>
    </row>
    <row r="38" spans="1:12" s="99" customFormat="1">
      <c r="A38" s="99" t="s">
        <v>0</v>
      </c>
      <c r="B38" s="100">
        <v>0.23200000000000001</v>
      </c>
      <c r="C38" s="100">
        <f>+'Virginia Beach'!D11</f>
        <v>0.20935266815357775</v>
      </c>
      <c r="D38" s="105"/>
      <c r="E38" s="100">
        <v>0.34599999999999997</v>
      </c>
      <c r="F38" s="100">
        <f>+'Virginia Beach'!D36</f>
        <v>0.38262478225453173</v>
      </c>
      <c r="G38" s="105"/>
      <c r="H38" s="100">
        <v>0.158</v>
      </c>
      <c r="I38" s="100">
        <f>+'Virginia Beach'!D17</f>
        <v>0.16644264920645824</v>
      </c>
      <c r="J38" s="105"/>
      <c r="K38" s="100">
        <v>0.26900000000000002</v>
      </c>
      <c r="L38" s="100">
        <f>+'Virginia Beach'!D23</f>
        <v>0.24157990038543228</v>
      </c>
    </row>
    <row r="39" spans="1:12">
      <c r="B39" s="104"/>
      <c r="C39" s="104"/>
      <c r="E39" s="104"/>
      <c r="F39" s="104"/>
      <c r="H39" s="104"/>
      <c r="I39" s="104"/>
      <c r="K39" s="104"/>
      <c r="L39" s="104"/>
    </row>
    <row r="40" spans="1:12">
      <c r="A40" s="99" t="s">
        <v>41</v>
      </c>
      <c r="B40" s="102"/>
      <c r="C40" s="102"/>
      <c r="D40" s="107"/>
      <c r="E40" s="102"/>
      <c r="F40" s="102"/>
      <c r="G40" s="107"/>
      <c r="H40" s="102"/>
      <c r="I40" s="102"/>
      <c r="J40" s="107"/>
      <c r="K40" s="102"/>
      <c r="L40" s="102"/>
    </row>
    <row r="41" spans="1:12">
      <c r="A41" s="101" t="s">
        <v>36</v>
      </c>
      <c r="B41" s="106">
        <v>0.23300000000000001</v>
      </c>
      <c r="C41" s="106">
        <f>+Hampton!B11</f>
        <v>0.22483223133954147</v>
      </c>
      <c r="E41" s="106">
        <v>0.38800000000000001</v>
      </c>
      <c r="F41" s="106">
        <f>+Hampton!B36</f>
        <v>0.42102931744839334</v>
      </c>
      <c r="H41" s="106">
        <v>0.158</v>
      </c>
      <c r="I41" s="106">
        <f>+Hampton!B17</f>
        <v>0.17010111088753657</v>
      </c>
      <c r="K41" s="104">
        <v>0.22</v>
      </c>
      <c r="L41" s="104">
        <f>+Hampton!B23</f>
        <v>0.18403734032452862</v>
      </c>
    </row>
    <row r="42" spans="1:12">
      <c r="A42" s="101" t="s">
        <v>44</v>
      </c>
      <c r="B42" s="104">
        <v>6.5000000000000002E-2</v>
      </c>
      <c r="C42" s="104">
        <v>5.1999999999999998E-2</v>
      </c>
      <c r="D42" s="108"/>
      <c r="E42" s="104">
        <v>0.378</v>
      </c>
      <c r="F42" s="104">
        <f>+F37</f>
        <v>0.41872146406273708</v>
      </c>
      <c r="G42" s="108"/>
      <c r="H42" s="104">
        <v>0.158</v>
      </c>
      <c r="I42" s="104">
        <f>+I37</f>
        <v>0.17010111088753652</v>
      </c>
      <c r="J42" s="108"/>
      <c r="K42" s="104">
        <v>0.36899999999999999</v>
      </c>
      <c r="L42" s="104">
        <f>+L37</f>
        <v>0.35875183571663211</v>
      </c>
    </row>
    <row r="43" spans="1:12" s="99" customFormat="1">
      <c r="A43" s="99" t="s">
        <v>0</v>
      </c>
      <c r="B43" s="100">
        <v>0.19700000000000001</v>
      </c>
      <c r="C43" s="100">
        <f>+Hampton!E11</f>
        <v>0.18361562914499927</v>
      </c>
      <c r="D43" s="109"/>
      <c r="E43" s="100">
        <v>0.38600000000000001</v>
      </c>
      <c r="F43" s="100">
        <f>+Hampton!E36</f>
        <v>0.42047759466127033</v>
      </c>
      <c r="G43" s="109"/>
      <c r="H43" s="100">
        <v>0.158</v>
      </c>
      <c r="I43" s="100">
        <f>+Hampton!E17</f>
        <v>0.17010111088753657</v>
      </c>
      <c r="J43" s="109"/>
      <c r="K43" s="100">
        <v>0.25900000000000001</v>
      </c>
      <c r="L43" s="100">
        <f>+Hampton!E23</f>
        <v>0.22580566530619384</v>
      </c>
    </row>
    <row r="44" spans="1:12">
      <c r="B44" s="104"/>
      <c r="C44" s="104"/>
      <c r="D44" s="108"/>
      <c r="E44" s="104"/>
      <c r="F44" s="104"/>
      <c r="G44" s="108"/>
      <c r="H44" s="104"/>
      <c r="I44" s="104"/>
      <c r="J44" s="108"/>
      <c r="K44" s="104"/>
      <c r="L44" s="104"/>
    </row>
    <row r="45" spans="1:12">
      <c r="A45" s="99" t="s">
        <v>42</v>
      </c>
      <c r="B45" s="102"/>
      <c r="C45" s="102"/>
      <c r="D45" s="107"/>
      <c r="E45" s="102"/>
      <c r="F45" s="102"/>
      <c r="G45" s="107"/>
      <c r="H45" s="102"/>
      <c r="I45" s="102"/>
      <c r="J45" s="107"/>
      <c r="K45" s="102"/>
      <c r="L45" s="102"/>
    </row>
    <row r="46" spans="1:12">
      <c r="A46" s="101" t="s">
        <v>36</v>
      </c>
      <c r="B46" s="106">
        <v>0.26600000000000001</v>
      </c>
      <c r="C46" s="106">
        <f>+'Newport News'!B11</f>
        <v>0.28030356644955673</v>
      </c>
      <c r="E46" s="106">
        <v>0.35499999999999998</v>
      </c>
      <c r="F46" s="106">
        <f>+'Newport News'!B36</f>
        <v>0.36555798233837794</v>
      </c>
      <c r="H46" s="106">
        <v>0.158</v>
      </c>
      <c r="I46" s="106">
        <f>+'Newport News'!B17</f>
        <v>0.1701011108875366</v>
      </c>
      <c r="K46" s="104">
        <v>0.22047103061235362</v>
      </c>
      <c r="L46" s="104">
        <f>+'Newport News'!B23</f>
        <v>0.18403734032452862</v>
      </c>
    </row>
    <row r="47" spans="1:12">
      <c r="A47" s="101" t="s">
        <v>44</v>
      </c>
      <c r="B47" s="104">
        <v>6.5000000000000002E-2</v>
      </c>
      <c r="C47" s="104">
        <v>5.1999999999999998E-2</v>
      </c>
      <c r="D47" s="108"/>
      <c r="E47" s="104">
        <v>0.378</v>
      </c>
      <c r="F47" s="104">
        <f>+F42</f>
        <v>0.41872146406273708</v>
      </c>
      <c r="G47" s="108"/>
      <c r="H47" s="104">
        <v>0.158</v>
      </c>
      <c r="I47" s="104">
        <f>+I42</f>
        <v>0.17010111088753652</v>
      </c>
      <c r="J47" s="108"/>
      <c r="K47" s="104">
        <v>0.39900000000000002</v>
      </c>
      <c r="L47" s="104">
        <f>+L42</f>
        <v>0.35875183571663211</v>
      </c>
    </row>
    <row r="48" spans="1:12" s="99" customFormat="1">
      <c r="A48" s="99" t="s">
        <v>0</v>
      </c>
      <c r="B48" s="110">
        <v>0.23100000000000001</v>
      </c>
      <c r="C48" s="110">
        <f>+'Newport News'!D11</f>
        <v>0.23438675491853145</v>
      </c>
      <c r="D48" s="105"/>
      <c r="E48" s="110">
        <v>0.35899999999999999</v>
      </c>
      <c r="F48" s="110">
        <f>+'Newport News'!D36</f>
        <v>0.37627027811475355</v>
      </c>
      <c r="G48" s="105"/>
      <c r="H48" s="100">
        <v>0.158</v>
      </c>
      <c r="I48" s="110">
        <f>+'Newport News'!D17</f>
        <v>0.1701011108875366</v>
      </c>
      <c r="J48" s="105"/>
      <c r="K48" s="110">
        <v>0.252</v>
      </c>
      <c r="L48" s="110">
        <f>+'Newport News'!D23</f>
        <v>0.21924185607917845</v>
      </c>
    </row>
    <row r="50" spans="1:12" s="99" customFormat="1">
      <c r="A50" s="99" t="s">
        <v>23</v>
      </c>
      <c r="B50" s="110">
        <v>0.21199999999999999</v>
      </c>
      <c r="C50" s="110">
        <f>+MAX!B11</f>
        <v>0.1227793716556856</v>
      </c>
      <c r="D50" s="105"/>
      <c r="E50" s="110">
        <v>0</v>
      </c>
      <c r="F50" s="110">
        <v>0</v>
      </c>
      <c r="G50" s="105"/>
      <c r="H50" s="110">
        <v>0.313</v>
      </c>
      <c r="I50" s="110">
        <f>+MAX!B17</f>
        <v>0.30000945489375552</v>
      </c>
      <c r="J50" s="105"/>
      <c r="K50" s="110">
        <v>0.47499999999999998</v>
      </c>
      <c r="L50" s="110">
        <f>+MAX!B23</f>
        <v>0.57721117345055883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F47"/>
  <sheetViews>
    <sheetView zoomScaleNormal="100" workbookViewId="0">
      <selection activeCell="G38" sqref="G38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5" ht="15.75">
      <c r="A1" s="114" t="s">
        <v>61</v>
      </c>
    </row>
    <row r="3" spans="1:5" ht="13.5" thickBot="1">
      <c r="A3" s="6"/>
      <c r="B3" s="7" t="s">
        <v>23</v>
      </c>
      <c r="C3" s="7" t="s">
        <v>27</v>
      </c>
      <c r="D3" s="7" t="s">
        <v>24</v>
      </c>
      <c r="E3" s="7" t="s">
        <v>0</v>
      </c>
    </row>
    <row r="4" spans="1:5">
      <c r="A4" s="8" t="s">
        <v>3</v>
      </c>
      <c r="B4" s="9">
        <f>+'[1]Cost Allocation'!$E$14</f>
        <v>2774.9</v>
      </c>
      <c r="C4" s="9"/>
      <c r="D4" s="9">
        <v>0</v>
      </c>
      <c r="E4" s="10">
        <f>SUM(B4:D4)</f>
        <v>2774.9</v>
      </c>
    </row>
    <row r="5" spans="1:5" hidden="1">
      <c r="A5" s="11" t="s">
        <v>4</v>
      </c>
      <c r="B5" s="12">
        <f>+Chesapeake!B5</f>
        <v>61.956909959548057</v>
      </c>
      <c r="C5" s="12">
        <f>+Chesapeake!C5</f>
        <v>61.956909959548057</v>
      </c>
      <c r="D5" s="12">
        <f>+Chesapeake!B5</f>
        <v>61.956909959548057</v>
      </c>
      <c r="E5" s="13">
        <f>(E8/E4)-E6</f>
        <v>61.956909959548057</v>
      </c>
    </row>
    <row r="6" spans="1:5" hidden="1">
      <c r="A6" s="11" t="s">
        <v>5</v>
      </c>
      <c r="B6" s="12">
        <f>+Chesapeake!B6</f>
        <v>16.46888580700217</v>
      </c>
      <c r="C6" s="12">
        <f>+Chesapeake!C6</f>
        <v>16.46888580700217</v>
      </c>
      <c r="D6" s="12">
        <f>B6</f>
        <v>16.46888580700217</v>
      </c>
      <c r="E6" s="13">
        <f>D6</f>
        <v>16.46888580700217</v>
      </c>
    </row>
    <row r="7" spans="1:5">
      <c r="A7" s="11" t="s">
        <v>32</v>
      </c>
      <c r="B7" s="12">
        <f>SUM(B5:B6)</f>
        <v>78.425795766550223</v>
      </c>
      <c r="C7" s="12">
        <f>SUM(C5:C6)</f>
        <v>78.425795766550223</v>
      </c>
      <c r="D7" s="12">
        <f>SUM(D5:D6)</f>
        <v>78.425795766550223</v>
      </c>
      <c r="E7" s="13">
        <f>SUM(E5:E6)</f>
        <v>78.425795766550223</v>
      </c>
    </row>
    <row r="8" spans="1:5" ht="13.5" thickBot="1">
      <c r="A8" s="14" t="s">
        <v>6</v>
      </c>
      <c r="B8" s="15">
        <f>SUM(B5:B6)*B4</f>
        <v>217623.74067260022</v>
      </c>
      <c r="C8" s="15">
        <f>SUM(C5:C6)*C4</f>
        <v>0</v>
      </c>
      <c r="D8" s="15">
        <f>SUM(D5:D6)*D4</f>
        <v>0</v>
      </c>
      <c r="E8" s="16">
        <f>SUM(B8:D8)</f>
        <v>217623.74067260022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27">
        <f>+'[1]Cost Allocation'!$F$14</f>
        <v>26719.706137141726</v>
      </c>
      <c r="C10" s="27"/>
      <c r="D10" s="27">
        <v>0</v>
      </c>
      <c r="E10" s="19">
        <f>SUM(B10:D10)</f>
        <v>26719.706137141726</v>
      </c>
    </row>
    <row r="11" spans="1:5" ht="13.5" thickBot="1">
      <c r="A11" s="20" t="s">
        <v>7</v>
      </c>
      <c r="B11" s="21">
        <f>B10/B8</f>
        <v>0.1227793716556856</v>
      </c>
      <c r="C11" s="21"/>
      <c r="D11" s="21" t="e">
        <f>D10/D8</f>
        <v>#DIV/0!</v>
      </c>
      <c r="E11" s="22">
        <f>E10/E8</f>
        <v>0.1227793716556856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B8-B10</f>
        <v>190904.03453545849</v>
      </c>
      <c r="C13" s="36">
        <f>C8-C10</f>
        <v>0</v>
      </c>
      <c r="D13" s="36">
        <f>D8-D10</f>
        <v>0</v>
      </c>
      <c r="E13" s="37">
        <f>E8-E10</f>
        <v>190904.03453545849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49</v>
      </c>
      <c r="B16" s="18">
        <f>+'[1]Cost Allocation'!$S$14</f>
        <v>65289.179811126807</v>
      </c>
      <c r="C16" s="18">
        <v>0</v>
      </c>
      <c r="D16" s="18">
        <v>0</v>
      </c>
      <c r="E16" s="19">
        <f>SUM(B16:D16)</f>
        <v>65289.179811126807</v>
      </c>
    </row>
    <row r="17" spans="1:6">
      <c r="A17" s="66" t="s">
        <v>50</v>
      </c>
      <c r="B17" s="38">
        <f>B16/B$8</f>
        <v>0.30000945489375552</v>
      </c>
      <c r="C17" s="38"/>
      <c r="D17" s="38" t="e">
        <f>D16/D$8</f>
        <v>#DIV/0!</v>
      </c>
      <c r="E17" s="34">
        <f>E16/E$8</f>
        <v>0.30000945489375552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Allocation'!$W$14</f>
        <v>125614.85472433167</v>
      </c>
      <c r="C19" s="25"/>
      <c r="D19" s="25">
        <v>0</v>
      </c>
      <c r="E19" s="33">
        <f>SUM(B19:D19)</f>
        <v>125614.85472433167</v>
      </c>
    </row>
    <row r="20" spans="1:6" hidden="1">
      <c r="A20" s="66" t="s">
        <v>10</v>
      </c>
      <c r="B20" s="25">
        <v>0</v>
      </c>
      <c r="C20" s="25">
        <v>0</v>
      </c>
      <c r="D20" s="25">
        <v>0</v>
      </c>
      <c r="E20" s="33">
        <f>SUM(B20:D20)</f>
        <v>0</v>
      </c>
    </row>
    <row r="21" spans="1:6" hidden="1">
      <c r="A21" s="66" t="s">
        <v>11</v>
      </c>
      <c r="B21" s="40">
        <v>0</v>
      </c>
      <c r="C21" s="25">
        <f>+'[1]Cost Allocation'!$Q$8+'[1]Cost Allocation'!$Q$10</f>
        <v>0</v>
      </c>
      <c r="D21" s="25">
        <v>0</v>
      </c>
      <c r="E21" s="33">
        <f>SUM(C21:D21)</f>
        <v>0</v>
      </c>
    </row>
    <row r="22" spans="1:6" s="31" customFormat="1">
      <c r="A22" s="95" t="s">
        <v>29</v>
      </c>
      <c r="B22" s="26">
        <f>SUM(B19:B21)</f>
        <v>125614.85472433167</v>
      </c>
      <c r="C22" s="26">
        <f>+Norfolk!D11</f>
        <v>0.16907388639253054</v>
      </c>
      <c r="D22" s="26">
        <f>SUM(D19:D21)</f>
        <v>0</v>
      </c>
      <c r="E22" s="32">
        <f>SUM(E19:E21)</f>
        <v>125614.85472433167</v>
      </c>
    </row>
    <row r="23" spans="1:6">
      <c r="A23" s="66" t="s">
        <v>30</v>
      </c>
      <c r="B23" s="38">
        <f>+B22/B8</f>
        <v>0.57721117345055883</v>
      </c>
      <c r="C23" s="38" t="e">
        <f>+C22/C8</f>
        <v>#DIV/0!</v>
      </c>
      <c r="D23" s="38" t="e">
        <f>+D22/D8</f>
        <v>#DIV/0!</v>
      </c>
      <c r="E23" s="34">
        <f>+E22/E8</f>
        <v>0.57721117345055883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48</v>
      </c>
      <c r="B35" s="26">
        <f>+B13-B22-B16</f>
        <v>0</v>
      </c>
      <c r="C35" s="26">
        <f>+C13-C22-C16</f>
        <v>-0.16907388639253054</v>
      </c>
      <c r="D35" s="26">
        <f>+D13-D22-D16</f>
        <v>0</v>
      </c>
      <c r="E35" s="32">
        <f>+E13-E22-E16</f>
        <v>0</v>
      </c>
    </row>
    <row r="36" spans="1:5" ht="13.5" thickBot="1">
      <c r="A36" s="58" t="s">
        <v>51</v>
      </c>
      <c r="B36" s="21">
        <f>ABS(B35/B8)</f>
        <v>0</v>
      </c>
      <c r="C36" s="21"/>
      <c r="D36" s="21" t="e">
        <f>ABS(D35/D8)</f>
        <v>#DIV/0!</v>
      </c>
      <c r="E36" s="22">
        <f>ABS(E35/E8)</f>
        <v>0</v>
      </c>
    </row>
    <row r="37" spans="1:5">
      <c r="A37" s="6"/>
      <c r="B37" s="5"/>
      <c r="C37" s="5"/>
      <c r="D37" s="5"/>
      <c r="E37" s="5"/>
    </row>
    <row r="38" spans="1:5" ht="13.5" customHeight="1">
      <c r="A38" s="121" t="s">
        <v>12</v>
      </c>
      <c r="B38" s="121"/>
      <c r="C38" s="121"/>
      <c r="D38" s="121"/>
      <c r="E38" s="24">
        <v>0</v>
      </c>
    </row>
    <row r="39" spans="1:5" ht="13.5" customHeight="1">
      <c r="A39" s="121" t="s">
        <v>13</v>
      </c>
      <c r="B39" s="121"/>
      <c r="C39" s="121"/>
      <c r="D39" s="121"/>
      <c r="E39" s="28">
        <v>0</v>
      </c>
    </row>
    <row r="40" spans="1:5" ht="13.5" customHeight="1">
      <c r="A40" s="121" t="s">
        <v>14</v>
      </c>
      <c r="B40" s="121"/>
      <c r="C40" s="121"/>
      <c r="D40" s="121"/>
      <c r="E40" s="28">
        <v>0</v>
      </c>
    </row>
    <row r="41" spans="1:5">
      <c r="A41" s="6"/>
      <c r="B41" s="5"/>
      <c r="C41" s="5"/>
      <c r="D41" s="29"/>
      <c r="E41" s="5"/>
    </row>
    <row r="42" spans="1:5" ht="13.5" customHeight="1">
      <c r="A42" s="122" t="s">
        <v>47</v>
      </c>
      <c r="B42" s="122"/>
      <c r="C42" s="122"/>
      <c r="D42" s="122"/>
      <c r="E42" s="23">
        <f>SUM(E38:E40)+E35</f>
        <v>0</v>
      </c>
    </row>
    <row r="44" spans="1:5">
      <c r="A44" s="3"/>
    </row>
    <row r="45" spans="1:5" ht="12.75" customHeight="1">
      <c r="A45" s="124" t="s">
        <v>45</v>
      </c>
      <c r="B45" s="124"/>
      <c r="C45" s="124"/>
      <c r="D45" s="124"/>
      <c r="E45" s="124"/>
    </row>
    <row r="46" spans="1:5">
      <c r="A46" s="124"/>
      <c r="B46" s="124"/>
      <c r="C46" s="124"/>
      <c r="D46" s="124"/>
      <c r="E46" s="124"/>
    </row>
    <row r="47" spans="1:5">
      <c r="A47" s="124"/>
      <c r="B47" s="124"/>
      <c r="C47" s="124"/>
      <c r="D47" s="124"/>
      <c r="E47" s="124"/>
    </row>
  </sheetData>
  <mergeCells count="5">
    <mergeCell ref="A38:D38"/>
    <mergeCell ref="A39:D39"/>
    <mergeCell ref="A40:D40"/>
    <mergeCell ref="A42:D42"/>
    <mergeCell ref="A45:E47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7"/>
  <sheetViews>
    <sheetView zoomScaleNormal="100" workbookViewId="0">
      <selection activeCell="E11" sqref="E11"/>
    </sheetView>
  </sheetViews>
  <sheetFormatPr defaultRowHeight="12"/>
  <cols>
    <col min="1" max="1" width="24.42578125" style="44" bestFit="1" customWidth="1"/>
    <col min="2" max="2" width="14.85546875" style="54" bestFit="1" customWidth="1"/>
    <col min="3" max="3" width="12.7109375" style="54" bestFit="1" customWidth="1"/>
    <col min="4" max="4" width="12.28515625" style="54" bestFit="1" customWidth="1"/>
    <col min="5" max="5" width="12.5703125" style="54" bestFit="1" customWidth="1"/>
    <col min="6" max="6" width="14.42578125" style="54" bestFit="1" customWidth="1"/>
    <col min="7" max="7" width="14.85546875" style="54" bestFit="1" customWidth="1"/>
    <col min="8" max="8" width="21" style="44" bestFit="1" customWidth="1"/>
    <col min="9" max="9" width="12.85546875" style="44" bestFit="1" customWidth="1"/>
    <col min="10" max="16384" width="9.140625" style="44"/>
  </cols>
  <sheetData>
    <row r="1" spans="1:7" ht="15.75">
      <c r="A1" s="115" t="s">
        <v>53</v>
      </c>
    </row>
    <row r="2" spans="1:7" ht="15">
      <c r="A2" s="113"/>
    </row>
    <row r="3" spans="1:7" s="80" customFormat="1" ht="12.75" thickBot="1">
      <c r="B3" s="81" t="s">
        <v>1</v>
      </c>
      <c r="C3" s="81" t="s">
        <v>23</v>
      </c>
      <c r="D3" s="81" t="s">
        <v>33</v>
      </c>
      <c r="E3" s="81" t="s">
        <v>15</v>
      </c>
      <c r="F3" s="81" t="s">
        <v>44</v>
      </c>
      <c r="G3" s="81" t="s">
        <v>0</v>
      </c>
    </row>
    <row r="4" spans="1:7">
      <c r="A4" s="45" t="s">
        <v>3</v>
      </c>
      <c r="B4" s="46">
        <f>+Chesapeake!B4+Norfolk!B4+Portsmouth!B4+Suffolk!B4+'Virginia Beach'!B4+Hampton!B4+'Newport News'!B4</f>
        <v>60312.3</v>
      </c>
      <c r="C4" s="46">
        <f>+MAX!E4</f>
        <v>2774.9</v>
      </c>
      <c r="D4" s="46">
        <f>+Norfolk!C4</f>
        <v>2359.8000000000002</v>
      </c>
      <c r="E4" s="46">
        <f>Norfolk!D4+Portsmouth!C4</f>
        <v>492.1</v>
      </c>
      <c r="F4" s="46">
        <f>+Chesapeake!D4+Norfolk!E4+Portsmouth!D4+Suffolk!C4+'Virginia Beach'!C4+Hampton!D4+'Newport News'!C4</f>
        <v>16514</v>
      </c>
      <c r="G4" s="47">
        <f>SUM(B4:F4)</f>
        <v>82453.100000000006</v>
      </c>
    </row>
    <row r="5" spans="1:7" hidden="1">
      <c r="A5" s="48" t="s">
        <v>4</v>
      </c>
      <c r="B5" s="49">
        <f>+Chesapeake!B5</f>
        <v>61.956909959548057</v>
      </c>
      <c r="C5" s="49">
        <f>B5</f>
        <v>61.956909959548057</v>
      </c>
      <c r="D5" s="49">
        <f>+Norfolk!C5</f>
        <v>329.15842868039664</v>
      </c>
      <c r="E5" s="49">
        <f>+Portsmouth!C5</f>
        <v>372.60174761227393</v>
      </c>
      <c r="F5" s="49">
        <f>+Chesapeake!D5</f>
        <v>52.185547414315131</v>
      </c>
      <c r="G5" s="50">
        <f>(G8/G4)-G6</f>
        <v>69.501152533985987</v>
      </c>
    </row>
    <row r="6" spans="1:7" hidden="1">
      <c r="A6" s="48" t="s">
        <v>5</v>
      </c>
      <c r="B6" s="49">
        <f>+Chesapeake!B6</f>
        <v>16.46888580700217</v>
      </c>
      <c r="C6" s="49">
        <f>B6</f>
        <v>16.46888580700217</v>
      </c>
      <c r="D6" s="49">
        <f>+Norfolk!C6</f>
        <v>16.46888580700217</v>
      </c>
      <c r="E6" s="49">
        <f>B6</f>
        <v>16.46888580700217</v>
      </c>
      <c r="F6" s="49">
        <f>+E6</f>
        <v>16.46888580700217</v>
      </c>
      <c r="G6" s="50">
        <f>F6</f>
        <v>16.46888580700217</v>
      </c>
    </row>
    <row r="7" spans="1:7">
      <c r="A7" s="48" t="s">
        <v>32</v>
      </c>
      <c r="B7" s="49">
        <f t="shared" ref="B7:G7" si="0">SUM(B5:B6)</f>
        <v>78.425795766550223</v>
      </c>
      <c r="C7" s="49">
        <f t="shared" si="0"/>
        <v>78.425795766550223</v>
      </c>
      <c r="D7" s="49">
        <f t="shared" si="0"/>
        <v>345.62731448739879</v>
      </c>
      <c r="E7" s="49">
        <f t="shared" si="0"/>
        <v>389.07063341927608</v>
      </c>
      <c r="F7" s="49">
        <f t="shared" si="0"/>
        <v>68.654433221317305</v>
      </c>
      <c r="G7" s="50">
        <f t="shared" si="0"/>
        <v>85.970038340988154</v>
      </c>
    </row>
    <row r="8" spans="1:7" ht="12.75" thickBot="1">
      <c r="A8" s="51" t="s">
        <v>6</v>
      </c>
      <c r="B8" s="52">
        <f>SUM(B5:B6)*B4</f>
        <v>4730040.1220109072</v>
      </c>
      <c r="C8" s="52">
        <f>SUM(C5:C6)*C4</f>
        <v>217623.74067260022</v>
      </c>
      <c r="D8" s="52">
        <f>+Norfolk!C8</f>
        <v>815611.33672736376</v>
      </c>
      <c r="E8" s="52">
        <f>SUM(E5:E6)*E4</f>
        <v>191461.65870562577</v>
      </c>
      <c r="F8" s="52">
        <f>SUM(F5:F6)*F4</f>
        <v>1133759.3102168341</v>
      </c>
      <c r="G8" s="53">
        <f>SUM(B8:F8)</f>
        <v>7088496.1683333311</v>
      </c>
    </row>
    <row r="9" spans="1:7" ht="12.75" thickBot="1"/>
    <row r="10" spans="1:7">
      <c r="A10" s="55" t="s">
        <v>28</v>
      </c>
      <c r="B10" s="56">
        <f>+Chesapeake!B10+Norfolk!B10+Portsmouth!B10+Suffolk!B10+'Virginia Beach'!B10+Hampton!B10+'Newport News'!B10</f>
        <v>1126936.7519631723</v>
      </c>
      <c r="C10" s="56">
        <f>+MAX!E10</f>
        <v>26719.706137141726</v>
      </c>
      <c r="D10" s="56">
        <f>+Norfolk!C10</f>
        <v>125018.07372418136</v>
      </c>
      <c r="E10" s="56">
        <f>Norfolk!D10+Portsmouth!C10</f>
        <v>32486.518175504563</v>
      </c>
      <c r="F10" s="56">
        <f>+Chesapeake!D10+Norfolk!E10+Portsmouth!D10+Suffolk!C10+'Virginia Beach'!C10+Hampton!D10+'Newport News'!C10</f>
        <v>59438</v>
      </c>
      <c r="G10" s="57">
        <f>SUM(B10:F10)</f>
        <v>1370599.05</v>
      </c>
    </row>
    <row r="11" spans="1:7" ht="12.75" thickBot="1">
      <c r="A11" s="58" t="s">
        <v>7</v>
      </c>
      <c r="B11" s="59">
        <f t="shared" ref="B11:G11" si="1">B10/B8</f>
        <v>0.23825099214677944</v>
      </c>
      <c r="C11" s="59">
        <f>C10/C8</f>
        <v>0.1227793716556856</v>
      </c>
      <c r="D11" s="59">
        <f t="shared" si="1"/>
        <v>0.1532814320921724</v>
      </c>
      <c r="E11" s="59">
        <f t="shared" si="1"/>
        <v>0.16967636442266967</v>
      </c>
      <c r="F11" s="59">
        <f t="shared" si="1"/>
        <v>5.242558933309429E-2</v>
      </c>
      <c r="G11" s="60">
        <f t="shared" si="1"/>
        <v>0.19335540535705184</v>
      </c>
    </row>
    <row r="12" spans="1:7" ht="12.75" thickBot="1"/>
    <row r="13" spans="1:7" ht="12.75" thickBot="1">
      <c r="A13" s="61" t="s">
        <v>25</v>
      </c>
      <c r="B13" s="62">
        <f t="shared" ref="B13:G13" si="2">+B8-B10</f>
        <v>3603103.3700477351</v>
      </c>
      <c r="C13" s="62">
        <f t="shared" si="2"/>
        <v>190904.03453545849</v>
      </c>
      <c r="D13" s="62">
        <f t="shared" si="2"/>
        <v>690593.26300318236</v>
      </c>
      <c r="E13" s="62">
        <f t="shared" si="2"/>
        <v>158975.14053012122</v>
      </c>
      <c r="F13" s="62">
        <f t="shared" si="2"/>
        <v>1074321.3102168341</v>
      </c>
      <c r="G13" s="63">
        <f t="shared" si="2"/>
        <v>5717897.1183333313</v>
      </c>
    </row>
    <row r="14" spans="1:7" ht="12.75" thickBot="1">
      <c r="A14" s="64"/>
      <c r="B14" s="65"/>
      <c r="C14" s="65"/>
      <c r="D14" s="65"/>
      <c r="E14" s="65"/>
      <c r="F14" s="65"/>
      <c r="G14" s="65"/>
    </row>
    <row r="15" spans="1:7" ht="12.75" hidden="1" thickBot="1">
      <c r="A15" s="82"/>
      <c r="B15" s="70"/>
      <c r="C15" s="70"/>
      <c r="D15" s="70"/>
      <c r="E15" s="70"/>
      <c r="F15" s="70"/>
      <c r="G15" s="70"/>
    </row>
    <row r="16" spans="1:7" s="64" customFormat="1">
      <c r="A16" s="87" t="s">
        <v>49</v>
      </c>
      <c r="B16" s="56">
        <f>+Chesapeake!B16+Norfolk!B16+Portsmouth!B16+Suffolk!B16+'Virginia Beach'!B16+Hampton!B16+'Newport News'!B16</f>
        <v>762985.89402793394</v>
      </c>
      <c r="C16" s="56">
        <f>+MAX!E16</f>
        <v>65289.179811126807</v>
      </c>
      <c r="D16" s="56">
        <f>+Norfolk!C16</f>
        <v>122341.70050910456</v>
      </c>
      <c r="E16" s="56">
        <f>Norfolk!D16+Portsmouth!C16</f>
        <v>32567.840838197331</v>
      </c>
      <c r="F16" s="56">
        <f>+Chesapeake!D16+Norfolk!E16+Portsmouth!D16+Suffolk!C16+'Virginia Beach'!C16+Hampton!D16+'Newport News'!C16</f>
        <v>192853.71814697061</v>
      </c>
      <c r="G16" s="57">
        <f>SUM(B16:F16)</f>
        <v>1176038.3333333333</v>
      </c>
    </row>
    <row r="17" spans="1:8">
      <c r="A17" s="66" t="s">
        <v>50</v>
      </c>
      <c r="B17" s="72">
        <f t="shared" ref="B17:G17" si="3">B16/B$8</f>
        <v>0.16130643173139972</v>
      </c>
      <c r="C17" s="72">
        <f t="shared" si="3"/>
        <v>0.30000945489375552</v>
      </c>
      <c r="D17" s="72">
        <f t="shared" si="3"/>
        <v>0.15</v>
      </c>
      <c r="E17" s="72">
        <f t="shared" si="3"/>
        <v>0.17010111088753657</v>
      </c>
      <c r="F17" s="72">
        <f t="shared" si="3"/>
        <v>0.17010111088753652</v>
      </c>
      <c r="G17" s="73">
        <f t="shared" si="3"/>
        <v>0.16590801566446314</v>
      </c>
    </row>
    <row r="18" spans="1:8">
      <c r="A18" s="66"/>
      <c r="B18" s="70"/>
      <c r="C18" s="70"/>
      <c r="D18" s="70"/>
      <c r="E18" s="70"/>
      <c r="F18" s="70"/>
      <c r="G18" s="71"/>
      <c r="H18" s="86"/>
    </row>
    <row r="19" spans="1:8" hidden="1">
      <c r="A19" s="66" t="s">
        <v>9</v>
      </c>
      <c r="B19" s="67">
        <f>+Chesapeake!B19+Norfolk!B19+Portsmouth!B19+Suffolk!B19+'Virginia Beach'!B19+Hampton!B19+'Newport News'!B19</f>
        <v>825496.63496831479</v>
      </c>
      <c r="C19" s="67">
        <f>+MAX!E19</f>
        <v>125614.85472433167</v>
      </c>
      <c r="D19" s="67">
        <f>+Norfolk!C19</f>
        <v>45454.545454545456</v>
      </c>
      <c r="E19" s="67">
        <f>Norfolk!D19+Portsmouth!C19</f>
        <v>64347.330093782395</v>
      </c>
      <c r="F19" s="67">
        <f>+Chesapeake!D19+Norfolk!E19+Portsmouth!D19+Suffolk!C19+'Virginia Beach'!C19+Hampton!D19+'Newport News'!C19</f>
        <v>243836.62213444515</v>
      </c>
      <c r="G19" s="68">
        <f>SUM(B19:F19)</f>
        <v>1304749.9873754196</v>
      </c>
    </row>
    <row r="20" spans="1:8" hidden="1">
      <c r="A20" s="66" t="s">
        <v>10</v>
      </c>
      <c r="B20" s="67">
        <v>0</v>
      </c>
      <c r="C20" s="67">
        <v>0</v>
      </c>
      <c r="D20" s="67">
        <f>+Norfolk!C20</f>
        <v>0</v>
      </c>
      <c r="E20" s="67">
        <v>0</v>
      </c>
      <c r="F20" s="67">
        <f>+Chesapeake!D20+Norfolk!E20+Portsmouth!D20+Suffolk!C20+'Virginia Beach'!C20+Hampton!D20+'Newport News'!C20</f>
        <v>162901.61166666669</v>
      </c>
      <c r="G20" s="68">
        <f>SUM(B20:F20)</f>
        <v>162901.61166666669</v>
      </c>
    </row>
    <row r="21" spans="1:8" hidden="1">
      <c r="A21" s="66" t="s">
        <v>11</v>
      </c>
      <c r="B21" s="67">
        <f>+Norfolk!B21+Portsmouth!B21+'Virginia Beach'!B21</f>
        <v>154151.49319502749</v>
      </c>
      <c r="C21" s="67">
        <f>+MAX!E21</f>
        <v>0</v>
      </c>
      <c r="D21" s="67">
        <f>+Norfolk!C21</f>
        <v>429011.56311859336</v>
      </c>
      <c r="E21" s="67">
        <v>0</v>
      </c>
      <c r="F21" s="67">
        <v>0</v>
      </c>
      <c r="G21" s="68">
        <f>SUM(B21:F21)</f>
        <v>583163.05631362088</v>
      </c>
    </row>
    <row r="22" spans="1:8" s="64" customFormat="1">
      <c r="A22" s="95" t="s">
        <v>29</v>
      </c>
      <c r="B22" s="70">
        <f>SUM(B19:B21)</f>
        <v>979648.12816334225</v>
      </c>
      <c r="C22" s="70">
        <f>SUM(C19:C21)</f>
        <v>125614.85472433167</v>
      </c>
      <c r="D22" s="70">
        <f t="shared" ref="D22:G22" si="4">SUM(D19:D21)</f>
        <v>474466.10857313883</v>
      </c>
      <c r="E22" s="70">
        <f t="shared" si="4"/>
        <v>64347.330093782395</v>
      </c>
      <c r="F22" s="70">
        <f t="shared" si="4"/>
        <v>406738.23380111181</v>
      </c>
      <c r="G22" s="71">
        <f t="shared" si="4"/>
        <v>2050814.6553557073</v>
      </c>
    </row>
    <row r="23" spans="1:8">
      <c r="A23" s="66" t="s">
        <v>30</v>
      </c>
      <c r="B23" s="72">
        <f t="shared" ref="B23:G23" si="5">+B22/B8</f>
        <v>0.20711201234945534</v>
      </c>
      <c r="C23" s="72">
        <f t="shared" si="5"/>
        <v>0.57721117345055883</v>
      </c>
      <c r="D23" s="72">
        <f t="shared" si="5"/>
        <v>0.58173064449659517</v>
      </c>
      <c r="E23" s="72">
        <f t="shared" si="5"/>
        <v>0.33608467893155081</v>
      </c>
      <c r="F23" s="72">
        <f t="shared" si="5"/>
        <v>0.35875183571663211</v>
      </c>
      <c r="G23" s="73">
        <f t="shared" si="5"/>
        <v>0.28931590095475795</v>
      </c>
    </row>
    <row r="24" spans="1:8" hidden="1">
      <c r="A24" s="66"/>
      <c r="B24" s="72"/>
      <c r="C24" s="72"/>
      <c r="D24" s="72"/>
      <c r="E24" s="72"/>
      <c r="F24" s="72"/>
      <c r="G24" s="73"/>
    </row>
    <row r="25" spans="1:8" hidden="1">
      <c r="A25" s="66"/>
      <c r="B25" s="72"/>
      <c r="C25" s="72"/>
      <c r="D25" s="72"/>
      <c r="E25" s="72"/>
      <c r="F25" s="72"/>
      <c r="G25" s="73"/>
    </row>
    <row r="26" spans="1:8" hidden="1">
      <c r="A26" s="48"/>
      <c r="B26" s="74"/>
      <c r="C26" s="74"/>
      <c r="D26" s="74"/>
      <c r="E26" s="74"/>
      <c r="F26" s="74"/>
      <c r="G26" s="96"/>
    </row>
    <row r="27" spans="1:8" hidden="1">
      <c r="A27" s="48"/>
      <c r="B27" s="74"/>
      <c r="C27" s="74"/>
      <c r="D27" s="74"/>
      <c r="E27" s="74"/>
      <c r="F27" s="74"/>
      <c r="G27" s="96"/>
    </row>
    <row r="28" spans="1:8" hidden="1">
      <c r="A28" s="69"/>
      <c r="B28" s="70"/>
      <c r="C28" s="70"/>
      <c r="D28" s="70"/>
      <c r="E28" s="70"/>
      <c r="F28" s="70"/>
      <c r="G28" s="71"/>
    </row>
    <row r="29" spans="1:8" hidden="1">
      <c r="A29" s="48"/>
      <c r="B29" s="74"/>
      <c r="C29" s="74"/>
      <c r="D29" s="74"/>
      <c r="E29" s="74"/>
      <c r="F29" s="74"/>
      <c r="G29" s="96"/>
    </row>
    <row r="30" spans="1:8" hidden="1">
      <c r="A30" s="48"/>
      <c r="B30" s="74"/>
      <c r="C30" s="74"/>
      <c r="D30" s="74"/>
      <c r="E30" s="74"/>
      <c r="F30" s="74"/>
      <c r="G30" s="96"/>
    </row>
    <row r="31" spans="1:8" hidden="1">
      <c r="A31" s="48"/>
      <c r="B31" s="74"/>
      <c r="C31" s="74"/>
      <c r="D31" s="74"/>
      <c r="E31" s="74"/>
      <c r="F31" s="74"/>
      <c r="G31" s="96"/>
    </row>
    <row r="32" spans="1:8" hidden="1">
      <c r="A32" s="48"/>
      <c r="B32" s="74"/>
      <c r="C32" s="74"/>
      <c r="D32" s="74"/>
      <c r="E32" s="74"/>
      <c r="F32" s="74"/>
      <c r="G32" s="96"/>
    </row>
    <row r="33" spans="1:8" hidden="1">
      <c r="A33" s="69"/>
      <c r="B33" s="94"/>
      <c r="C33" s="94"/>
      <c r="D33" s="94"/>
      <c r="E33" s="94"/>
      <c r="F33" s="94"/>
      <c r="G33" s="97"/>
    </row>
    <row r="34" spans="1:8">
      <c r="A34" s="48"/>
      <c r="B34" s="74"/>
      <c r="C34" s="74"/>
      <c r="D34" s="74"/>
      <c r="E34" s="74"/>
      <c r="F34" s="74"/>
      <c r="G34" s="96"/>
    </row>
    <row r="35" spans="1:8" s="64" customFormat="1">
      <c r="A35" s="69" t="s">
        <v>48</v>
      </c>
      <c r="B35" s="70">
        <f t="shared" ref="B35:G35" si="6">+B13-B22-B16</f>
        <v>1860469.3478564587</v>
      </c>
      <c r="C35" s="70">
        <f t="shared" si="6"/>
        <v>0</v>
      </c>
      <c r="D35" s="70">
        <f t="shared" si="6"/>
        <v>93785.453920938977</v>
      </c>
      <c r="E35" s="70">
        <f t="shared" si="6"/>
        <v>62059.969598141499</v>
      </c>
      <c r="F35" s="70">
        <f t="shared" si="6"/>
        <v>474729.35826875165</v>
      </c>
      <c r="G35" s="71">
        <f t="shared" si="6"/>
        <v>2491044.1296442905</v>
      </c>
    </row>
    <row r="36" spans="1:8" ht="12.75" thickBot="1">
      <c r="A36" s="58" t="s">
        <v>51</v>
      </c>
      <c r="B36" s="59">
        <f t="shared" ref="B36:G36" si="7">ABS(B35/B8)</f>
        <v>0.39333056377236553</v>
      </c>
      <c r="C36" s="59">
        <f t="shared" si="7"/>
        <v>0</v>
      </c>
      <c r="D36" s="59">
        <f t="shared" si="7"/>
        <v>0.11498792341123239</v>
      </c>
      <c r="E36" s="59">
        <f t="shared" si="7"/>
        <v>0.32413784575824306</v>
      </c>
      <c r="F36" s="59">
        <f t="shared" si="7"/>
        <v>0.41872146406273708</v>
      </c>
      <c r="G36" s="60">
        <f t="shared" si="7"/>
        <v>0.35142067802372706</v>
      </c>
    </row>
    <row r="38" spans="1:8" ht="13.5" customHeight="1">
      <c r="E38" s="119" t="s">
        <v>12</v>
      </c>
      <c r="F38" s="119"/>
      <c r="G38" s="67">
        <f>+Chesapeake!E38+Norfolk!F38+Portsmouth!E38+Suffolk!D38+'Virginia Beach'!D38+Hampton!E38+'Newport News'!D38</f>
        <v>160238.65999999997</v>
      </c>
    </row>
    <row r="39" spans="1:8" ht="13.5" customHeight="1">
      <c r="E39" s="119" t="s">
        <v>13</v>
      </c>
      <c r="F39" s="119"/>
      <c r="G39" s="74">
        <f>Chesapeake!E39+Hampton!E39+'Newport News'!D39+Norfolk!F39+Portsmouth!E39+'Virginia Beach'!D39+Suffolk!D39</f>
        <v>-18108.769015635451</v>
      </c>
    </row>
    <row r="40" spans="1:8" ht="13.5" customHeight="1">
      <c r="E40" s="98" t="s">
        <v>14</v>
      </c>
      <c r="F40" s="98"/>
      <c r="G40" s="74">
        <f>Chesapeake!E40+Hampton!E40+'Newport News'!D40+Norfolk!F40+Portsmouth!E40+'Virginia Beach'!D40+Suffolk!D40</f>
        <v>125547.84899999999</v>
      </c>
    </row>
    <row r="41" spans="1:8">
      <c r="F41" s="75"/>
    </row>
    <row r="42" spans="1:8" ht="13.5" customHeight="1">
      <c r="E42" s="120" t="s">
        <v>31</v>
      </c>
      <c r="F42" s="120"/>
      <c r="G42" s="65">
        <f>+SUM(G38:G40)+G35</f>
        <v>2758721.8696286548</v>
      </c>
    </row>
    <row r="45" spans="1:8">
      <c r="F45" s="76"/>
    </row>
    <row r="46" spans="1:8">
      <c r="F46" s="77"/>
      <c r="G46" s="78"/>
      <c r="H46" s="64"/>
    </row>
    <row r="57" spans="9:9">
      <c r="I57" s="79"/>
    </row>
  </sheetData>
  <mergeCells count="3">
    <mergeCell ref="E38:F38"/>
    <mergeCell ref="E39:F39"/>
    <mergeCell ref="E42:F42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45"/>
  <sheetViews>
    <sheetView zoomScaleNormal="100" workbookViewId="0">
      <selection activeCell="B4" sqref="B4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5" ht="15.75">
      <c r="A1" s="115" t="s">
        <v>54</v>
      </c>
    </row>
    <row r="3" spans="1:5" ht="13.5" thickBot="1">
      <c r="A3" s="6"/>
      <c r="B3" s="7" t="s">
        <v>1</v>
      </c>
      <c r="C3" s="7" t="s">
        <v>2</v>
      </c>
      <c r="D3" s="7" t="s">
        <v>44</v>
      </c>
      <c r="E3" s="7" t="s">
        <v>0</v>
      </c>
    </row>
    <row r="4" spans="1:5">
      <c r="A4" s="8" t="s">
        <v>3</v>
      </c>
      <c r="B4" s="9">
        <f>+'[1]Cost Allocation'!$E$26</f>
        <v>3002.5</v>
      </c>
      <c r="C4" s="9"/>
      <c r="D4" s="9">
        <f>+'[1]Cost Allocation'!$E$28</f>
        <v>1741.36</v>
      </c>
      <c r="E4" s="10">
        <f>SUM(B4:D4)</f>
        <v>4743.8599999999997</v>
      </c>
    </row>
    <row r="5" spans="1:5" hidden="1">
      <c r="A5" s="11" t="s">
        <v>4</v>
      </c>
      <c r="B5" s="12">
        <f>+'[1]Cost Allocation'!$G$26</f>
        <v>61.956909959548057</v>
      </c>
      <c r="C5" s="12">
        <f>+B5</f>
        <v>61.956909959548057</v>
      </c>
      <c r="D5" s="12">
        <f>+'[1]Cost Allocation'!$G$28</f>
        <v>52.185547414315131</v>
      </c>
      <c r="E5" s="13">
        <f>(E8/E4)-E6</f>
        <v>58.370071418409253</v>
      </c>
    </row>
    <row r="6" spans="1:5" hidden="1">
      <c r="A6" s="11" t="s">
        <v>5</v>
      </c>
      <c r="B6" s="12">
        <f>+'[1]Cost Allocation'!$I$26</f>
        <v>16.46888580700217</v>
      </c>
      <c r="C6" s="12">
        <f>+B6</f>
        <v>16.46888580700217</v>
      </c>
      <c r="D6" s="12">
        <f>+B6</f>
        <v>16.46888580700217</v>
      </c>
      <c r="E6" s="13">
        <f>D6</f>
        <v>16.46888580700217</v>
      </c>
    </row>
    <row r="7" spans="1:5">
      <c r="A7" s="11" t="s">
        <v>32</v>
      </c>
      <c r="B7" s="12">
        <f>SUM(B5:B6)</f>
        <v>78.425795766550223</v>
      </c>
      <c r="C7" s="12">
        <f>SUM(C5:C6)</f>
        <v>78.425795766550223</v>
      </c>
      <c r="D7" s="12">
        <f>SUM(D5:D6)</f>
        <v>68.654433221317305</v>
      </c>
      <c r="E7" s="13">
        <f>SUM(E5:E6)</f>
        <v>74.83895722541142</v>
      </c>
    </row>
    <row r="8" spans="1:5" ht="13.5" thickBot="1">
      <c r="A8" s="14" t="s">
        <v>6</v>
      </c>
      <c r="B8" s="15">
        <f>SUM(B5:B6)*B4</f>
        <v>235473.45178906704</v>
      </c>
      <c r="C8" s="15">
        <f>SUM(C5:C6)*C4</f>
        <v>0</v>
      </c>
      <c r="D8" s="15">
        <f>SUM(D5:D6)*D4</f>
        <v>119552.0838342731</v>
      </c>
      <c r="E8" s="16">
        <f>SUM(B8:D8)</f>
        <v>355025.53562334017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18">
        <f>+'[1]Cost Allocation'!$F$26</f>
        <v>49420.560365451885</v>
      </c>
      <c r="C10" s="18">
        <v>0</v>
      </c>
      <c r="D10" s="18">
        <f>+'[1]Cost Allocation'!$F$28</f>
        <v>6267.59</v>
      </c>
      <c r="E10" s="19">
        <f>SUM(B10:D10)</f>
        <v>55688.150365451889</v>
      </c>
    </row>
    <row r="11" spans="1:5" ht="13.5" thickBot="1">
      <c r="A11" s="20" t="s">
        <v>7</v>
      </c>
      <c r="B11" s="21">
        <f>B10/B8</f>
        <v>0.20987741925880438</v>
      </c>
      <c r="C11" s="21">
        <v>0</v>
      </c>
      <c r="D11" s="21">
        <f>D10/D8</f>
        <v>5.2425602289696033E-2</v>
      </c>
      <c r="E11" s="22">
        <f>E10/E8</f>
        <v>0.15685674628355051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+B8-B10</f>
        <v>186052.89142361516</v>
      </c>
      <c r="C13" s="36">
        <f>+C8-C10</f>
        <v>0</v>
      </c>
      <c r="D13" s="36">
        <f>+D8-D10</f>
        <v>113284.4938342731</v>
      </c>
      <c r="E13" s="37">
        <f>+E8-E10</f>
        <v>299337.38525788829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49</v>
      </c>
      <c r="B16" s="18">
        <f>+'[1]Cost Allocation'!$U$26</f>
        <v>40054.295733843093</v>
      </c>
      <c r="C16" s="18">
        <v>0</v>
      </c>
      <c r="D16" s="18">
        <f>+'[1]Cost Allocation'!$U$28</f>
        <v>20335.942269129755</v>
      </c>
      <c r="E16" s="19">
        <f>SUM(B16:D16)</f>
        <v>60390.238002972852</v>
      </c>
    </row>
    <row r="17" spans="1:6">
      <c r="A17" s="66" t="s">
        <v>50</v>
      </c>
      <c r="B17" s="38">
        <f>B16/B$8</f>
        <v>0.1701011108875366</v>
      </c>
      <c r="C17" s="38">
        <v>0</v>
      </c>
      <c r="D17" s="38">
        <f>D16/D$8</f>
        <v>0.17010111088753654</v>
      </c>
      <c r="E17" s="34">
        <f>E16/E$8</f>
        <v>0.17010111088753657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Allocation'!$W$26</f>
        <v>43335.907784296018</v>
      </c>
      <c r="C19" s="25">
        <v>0</v>
      </c>
      <c r="D19" s="25">
        <f>+'[1]Cost Allocation'!$W$28</f>
        <v>25711.961991040171</v>
      </c>
      <c r="E19" s="33">
        <f>SUM(B19:D19)</f>
        <v>69047.869775336192</v>
      </c>
    </row>
    <row r="20" spans="1:6" hidden="1">
      <c r="A20" s="66" t="s">
        <v>10</v>
      </c>
      <c r="B20" s="40">
        <v>0</v>
      </c>
      <c r="C20" s="25">
        <v>0</v>
      </c>
      <c r="D20" s="25">
        <f>+'[1]Cost Allocation'!$X$28</f>
        <v>17177.567548254006</v>
      </c>
      <c r="E20" s="33">
        <f>SUM(B20:D20)</f>
        <v>17177.567548254006</v>
      </c>
    </row>
    <row r="21" spans="1:6" hidden="1">
      <c r="A21" s="66" t="s">
        <v>11</v>
      </c>
      <c r="B21" s="25">
        <v>0</v>
      </c>
      <c r="C21" s="25">
        <v>0</v>
      </c>
      <c r="D21" s="25">
        <v>0</v>
      </c>
      <c r="E21" s="33">
        <f>SUM(B21:D21)</f>
        <v>0</v>
      </c>
    </row>
    <row r="22" spans="1:6" s="31" customFormat="1">
      <c r="A22" s="95" t="s">
        <v>29</v>
      </c>
      <c r="B22" s="26">
        <f>SUM(B19:B21)</f>
        <v>43335.907784296018</v>
      </c>
      <c r="C22" s="26">
        <f>SUM(C19:C21)</f>
        <v>0</v>
      </c>
      <c r="D22" s="26">
        <f>SUM(D19:D21)</f>
        <v>42889.529539294177</v>
      </c>
      <c r="E22" s="32">
        <f>SUM(E19:E21)</f>
        <v>86225.437323590202</v>
      </c>
    </row>
    <row r="23" spans="1:6">
      <c r="A23" s="66" t="s">
        <v>30</v>
      </c>
      <c r="B23" s="38">
        <f>+B22/B8</f>
        <v>0.18403734032452865</v>
      </c>
      <c r="C23" s="38" t="e">
        <f>+C22/C8</f>
        <v>#DIV/0!</v>
      </c>
      <c r="D23" s="38">
        <f>+D22/D8</f>
        <v>0.35875183571663216</v>
      </c>
      <c r="E23" s="34">
        <f>+E22/E8</f>
        <v>0.24287108580006478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48</v>
      </c>
      <c r="B35" s="26">
        <f>+B13-B22-B16</f>
        <v>102662.68790547605</v>
      </c>
      <c r="C35" s="26">
        <f>+C13-C22-C16</f>
        <v>0</v>
      </c>
      <c r="D35" s="26">
        <f>+D13-D22-D16</f>
        <v>50059.022025849175</v>
      </c>
      <c r="E35" s="32">
        <f>+E13-E22-E16</f>
        <v>152721.70993132523</v>
      </c>
    </row>
    <row r="36" spans="1:5" ht="13.5" thickBot="1">
      <c r="A36" s="58" t="s">
        <v>51</v>
      </c>
      <c r="B36" s="21">
        <f>ABS(B35/B8)</f>
        <v>0.4359841295291304</v>
      </c>
      <c r="C36" s="21">
        <v>0</v>
      </c>
      <c r="D36" s="21">
        <f>ABS(D35/D8)</f>
        <v>0.41872145110613535</v>
      </c>
      <c r="E36" s="22">
        <f>ABS(E35/E8)</f>
        <v>0.43017105702884817</v>
      </c>
    </row>
    <row r="37" spans="1:5">
      <c r="A37" s="6"/>
      <c r="B37" s="5"/>
      <c r="C37" s="5"/>
      <c r="D37" s="5"/>
      <c r="E37" s="5"/>
    </row>
    <row r="38" spans="1:5" ht="13.5" customHeight="1">
      <c r="A38" s="6"/>
      <c r="B38" s="121" t="s">
        <v>12</v>
      </c>
      <c r="C38" s="121"/>
      <c r="D38" s="121"/>
      <c r="E38" s="24">
        <f>+'[1]Cost Allocation'!$AF$30</f>
        <v>22891.237142857142</v>
      </c>
    </row>
    <row r="39" spans="1:5" ht="13.5" customHeight="1">
      <c r="A39" s="6"/>
      <c r="B39" s="121" t="s">
        <v>13</v>
      </c>
      <c r="C39" s="121"/>
      <c r="D39" s="121"/>
      <c r="E39" s="24">
        <f>+'[1]Cost Allocation'!$AG$30</f>
        <v>-2586.9670022336359</v>
      </c>
    </row>
    <row r="40" spans="1:5" ht="13.5" customHeight="1">
      <c r="A40" s="6"/>
      <c r="B40" s="121" t="s">
        <v>14</v>
      </c>
      <c r="C40" s="121"/>
      <c r="D40" s="121"/>
      <c r="E40" s="24">
        <f>+'[1]Cost Allocation'!$AK$30</f>
        <v>7474.8352618048602</v>
      </c>
    </row>
    <row r="41" spans="1:5">
      <c r="A41" s="6"/>
      <c r="B41" s="5"/>
      <c r="C41" s="5"/>
      <c r="D41" s="29"/>
      <c r="E41" s="5"/>
    </row>
    <row r="42" spans="1:5" ht="13.5" customHeight="1">
      <c r="A42" s="4"/>
      <c r="B42" s="122" t="s">
        <v>20</v>
      </c>
      <c r="C42" s="122"/>
      <c r="D42" s="122"/>
      <c r="E42" s="23">
        <f>SUM(E38:E40)+E35</f>
        <v>180500.81533375359</v>
      </c>
    </row>
    <row r="43" spans="1:5">
      <c r="A43" s="6"/>
      <c r="B43" s="5"/>
      <c r="C43" s="5"/>
      <c r="D43" s="5"/>
      <c r="E43" s="5"/>
    </row>
    <row r="44" spans="1:5">
      <c r="A44" s="39"/>
      <c r="B44" s="5"/>
      <c r="C44" s="5"/>
      <c r="D44" s="5"/>
      <c r="E44" s="5"/>
    </row>
    <row r="45" spans="1:5">
      <c r="A45" s="6"/>
      <c r="B45" s="5"/>
      <c r="C45" s="5"/>
      <c r="D45" s="5"/>
      <c r="E45" s="5"/>
    </row>
  </sheetData>
  <mergeCells count="4">
    <mergeCell ref="B38:D38"/>
    <mergeCell ref="B39:D39"/>
    <mergeCell ref="B40:D40"/>
    <mergeCell ref="B42:D42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2"/>
  <sheetViews>
    <sheetView zoomScaleNormal="100" workbookViewId="0">
      <selection activeCell="I51" sqref="I51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6" ht="15.75">
      <c r="A1" s="114" t="s">
        <v>55</v>
      </c>
    </row>
    <row r="3" spans="1:6" ht="13.5" thickBot="1">
      <c r="A3" s="6"/>
      <c r="B3" s="7" t="s">
        <v>1</v>
      </c>
      <c r="C3" s="7" t="s">
        <v>33</v>
      </c>
      <c r="D3" s="7" t="s">
        <v>15</v>
      </c>
      <c r="E3" s="7" t="s">
        <v>44</v>
      </c>
      <c r="F3" s="7" t="s">
        <v>0</v>
      </c>
    </row>
    <row r="4" spans="1:6">
      <c r="A4" s="8" t="s">
        <v>3</v>
      </c>
      <c r="B4" s="9">
        <f>+'[1]Cost Allocation'!$E$64</f>
        <v>23321.1</v>
      </c>
      <c r="C4" s="9">
        <f>+'[1]Cost Allocation'!$E$65</f>
        <v>2359.8000000000002</v>
      </c>
      <c r="D4" s="9">
        <f>+'[1]Cost Allocation'!$E$68</f>
        <v>246.05</v>
      </c>
      <c r="E4" s="9">
        <f>+'[1]Cost Allocation'!$E$69</f>
        <v>4089.39</v>
      </c>
      <c r="F4" s="10">
        <f>SUM(B4:E4)</f>
        <v>30016.339999999997</v>
      </c>
    </row>
    <row r="5" spans="1:6" hidden="1">
      <c r="A5" s="11" t="s">
        <v>4</v>
      </c>
      <c r="B5" s="12">
        <f>+Chesapeake!B5</f>
        <v>61.956909959548057</v>
      </c>
      <c r="C5" s="12">
        <f>+'[1]Cost Allocation'!$G$65</f>
        <v>329.15842868039664</v>
      </c>
      <c r="D5" s="12">
        <f>+'[1]Cost Allocation'!$G$68</f>
        <v>372.60174761227393</v>
      </c>
      <c r="E5" s="12">
        <f>+Chesapeake!D5</f>
        <v>52.185547414315131</v>
      </c>
      <c r="F5" s="13">
        <f>(F8/F4)-F6</f>
        <v>84.178719610660153</v>
      </c>
    </row>
    <row r="6" spans="1:6" hidden="1">
      <c r="A6" s="11" t="s">
        <v>5</v>
      </c>
      <c r="B6" s="12">
        <f>+Chesapeake!B6</f>
        <v>16.46888580700217</v>
      </c>
      <c r="C6" s="12">
        <f>+B6</f>
        <v>16.46888580700217</v>
      </c>
      <c r="D6" s="12">
        <f>+C6</f>
        <v>16.46888580700217</v>
      </c>
      <c r="E6" s="12">
        <f>+B6</f>
        <v>16.46888580700217</v>
      </c>
      <c r="F6" s="13">
        <f>E6</f>
        <v>16.46888580700217</v>
      </c>
    </row>
    <row r="7" spans="1:6">
      <c r="A7" s="11" t="s">
        <v>32</v>
      </c>
      <c r="B7" s="12">
        <f>SUM(B5:B6)</f>
        <v>78.425795766550223</v>
      </c>
      <c r="C7" s="12">
        <f>SUM(C5:C6)</f>
        <v>345.62731448739879</v>
      </c>
      <c r="D7" s="12">
        <f>SUM(D5:D6)</f>
        <v>389.07063341927608</v>
      </c>
      <c r="E7" s="12">
        <f>SUM(E5:E6)</f>
        <v>68.654433221317305</v>
      </c>
      <c r="F7" s="13">
        <f>SUM(F5:F6)</f>
        <v>100.64760541766232</v>
      </c>
    </row>
    <row r="8" spans="1:6" ht="13.5" thickBot="1">
      <c r="A8" s="14" t="s">
        <v>6</v>
      </c>
      <c r="B8" s="15">
        <f>SUM(B5:B6)*B4</f>
        <v>1828975.8256512943</v>
      </c>
      <c r="C8" s="15">
        <f>SUM(C5:C6)*C4</f>
        <v>815611.33672736376</v>
      </c>
      <c r="D8" s="15">
        <f>SUM(D5:D6)*D4</f>
        <v>95730.829352812885</v>
      </c>
      <c r="E8" s="15">
        <f>SUM(E5:E6)*E4</f>
        <v>280754.75267092278</v>
      </c>
      <c r="F8" s="16">
        <f>SUM(B8:E8)</f>
        <v>3021072.7444023937</v>
      </c>
    </row>
    <row r="9" spans="1:6" ht="13.5" thickBot="1">
      <c r="A9" s="6"/>
      <c r="B9" s="5"/>
      <c r="C9" s="5"/>
      <c r="D9" s="5"/>
      <c r="E9" s="5"/>
      <c r="F9" s="5"/>
    </row>
    <row r="10" spans="1:6">
      <c r="A10" s="17" t="s">
        <v>28</v>
      </c>
      <c r="B10" s="27">
        <f>+'[1]Cost Allocation'!$F$64</f>
        <v>437795.70674095477</v>
      </c>
      <c r="C10" s="27">
        <f>+'[1]Cost Allocation'!$F$65</f>
        <v>125018.07372418136</v>
      </c>
      <c r="D10" s="18">
        <f>+'[1]Cost Allocation'!$F$68</f>
        <v>16185.583366260213</v>
      </c>
      <c r="E10" s="18">
        <f>+'[1]Cost Allocation'!$F$69</f>
        <v>14718.72</v>
      </c>
      <c r="F10" s="19">
        <f>SUM(B10:E10)</f>
        <v>593718.0838313963</v>
      </c>
    </row>
    <row r="11" spans="1:6" ht="13.5" thickBot="1">
      <c r="A11" s="20" t="s">
        <v>7</v>
      </c>
      <c r="B11" s="21">
        <f>B10/B8</f>
        <v>0.23936659008877642</v>
      </c>
      <c r="C11" s="21">
        <f>C10/C8</f>
        <v>0.1532814320921724</v>
      </c>
      <c r="D11" s="21">
        <f>D10/D8</f>
        <v>0.16907388639253054</v>
      </c>
      <c r="E11" s="21">
        <f>E10/E8</f>
        <v>5.2425541722715026E-2</v>
      </c>
      <c r="F11" s="22">
        <f>F10/F8</f>
        <v>0.19652558348072524</v>
      </c>
    </row>
    <row r="12" spans="1:6" ht="13.5" thickBot="1">
      <c r="A12" s="6"/>
      <c r="B12" s="5"/>
      <c r="C12" s="5"/>
      <c r="D12" s="5"/>
      <c r="E12" s="5"/>
      <c r="F12" s="5"/>
    </row>
    <row r="13" spans="1:6" ht="13.5" thickBot="1">
      <c r="A13" s="35" t="s">
        <v>25</v>
      </c>
      <c r="B13" s="36">
        <f>B8-B10</f>
        <v>1391180.1189103397</v>
      </c>
      <c r="C13" s="36">
        <f>C8-C10</f>
        <v>690593.26300318236</v>
      </c>
      <c r="D13" s="36">
        <f>D8-D10</f>
        <v>79545.245986552676</v>
      </c>
      <c r="E13" s="36">
        <f>E8-E10</f>
        <v>266036.03267092281</v>
      </c>
      <c r="F13" s="37">
        <f>F8-F10</f>
        <v>2427354.6605709973</v>
      </c>
    </row>
    <row r="14" spans="1:6" ht="13.5" thickBot="1">
      <c r="A14" s="4"/>
      <c r="B14" s="23"/>
      <c r="C14" s="23"/>
      <c r="D14" s="23"/>
      <c r="E14" s="23"/>
      <c r="F14" s="23"/>
    </row>
    <row r="15" spans="1:6" ht="13.5" hidden="1" thickBot="1">
      <c r="A15" s="83"/>
      <c r="B15" s="26"/>
      <c r="C15" s="26"/>
      <c r="D15" s="26"/>
      <c r="E15" s="26"/>
      <c r="F15" s="26"/>
    </row>
    <row r="16" spans="1:6" s="31" customFormat="1">
      <c r="A16" s="87" t="s">
        <v>49</v>
      </c>
      <c r="B16" s="18">
        <f>+'[1]Cost Allocation'!$U$64</f>
        <v>275092.67179110902</v>
      </c>
      <c r="C16" s="18">
        <f>+'[1]Cost Allocation'!$U$65</f>
        <v>122341.70050910456</v>
      </c>
      <c r="D16" s="18">
        <f>+'[1]Cost Allocation'!$U$68</f>
        <v>16283.920419098666</v>
      </c>
      <c r="E16" s="18">
        <f>+'[1]Cost Allocation'!$U$69</f>
        <v>47756.69531627954</v>
      </c>
      <c r="F16" s="19">
        <f>SUM(B16:E16)</f>
        <v>461474.98803559178</v>
      </c>
    </row>
    <row r="17" spans="1:7">
      <c r="A17" s="66" t="s">
        <v>50</v>
      </c>
      <c r="B17" s="38">
        <f>B16/B$8</f>
        <v>0.15040804144754025</v>
      </c>
      <c r="C17" s="38">
        <f>C16/C$8</f>
        <v>0.15</v>
      </c>
      <c r="D17" s="38">
        <f>D16/D$8</f>
        <v>0.17010111088753657</v>
      </c>
      <c r="E17" s="38">
        <f>E16/E$8</f>
        <v>0.17010111088753657</v>
      </c>
      <c r="F17" s="34">
        <f>F16/F$8</f>
        <v>0.15275202786514741</v>
      </c>
    </row>
    <row r="18" spans="1:7">
      <c r="A18" s="66"/>
      <c r="B18" s="26"/>
      <c r="C18" s="26"/>
      <c r="D18" s="26"/>
      <c r="E18" s="26"/>
      <c r="F18" s="32"/>
      <c r="G18" s="84"/>
    </row>
    <row r="19" spans="1:7" hidden="1">
      <c r="A19" s="66" t="s">
        <v>9</v>
      </c>
      <c r="B19" s="25">
        <f>+'[1]Cost Allocation'!$W$64</f>
        <v>297630.76440268965</v>
      </c>
      <c r="C19" s="25">
        <f>+'[1]Cost Allocation'!$W$65</f>
        <v>45454.545454545456</v>
      </c>
      <c r="D19" s="25">
        <f>+'[1]Cost Allocation'!$W$68</f>
        <v>32173.665046891198</v>
      </c>
      <c r="E19" s="25">
        <f>+'[1]Cost Allocation'!$W$69</f>
        <v>60381.678829500954</v>
      </c>
      <c r="F19" s="33">
        <f>SUM(B19:E19)</f>
        <v>435640.65373362729</v>
      </c>
    </row>
    <row r="20" spans="1:7" hidden="1">
      <c r="A20" s="66" t="s">
        <v>10</v>
      </c>
      <c r="B20" s="25">
        <v>0</v>
      </c>
      <c r="C20" s="25">
        <v>0</v>
      </c>
      <c r="D20" s="25">
        <v>0</v>
      </c>
      <c r="E20" s="25">
        <f>+'[1]Cost Allocation'!$X$69</f>
        <v>40339.604077361641</v>
      </c>
      <c r="F20" s="33">
        <f>SUM(B20:E20)</f>
        <v>40339.604077361641</v>
      </c>
    </row>
    <row r="21" spans="1:7" hidden="1">
      <c r="A21" s="66" t="s">
        <v>11</v>
      </c>
      <c r="B21" s="25">
        <f>+'[1]Cost Allocation'!$Q$64</f>
        <v>128848.57267443548</v>
      </c>
      <c r="C21" s="25">
        <f>+'[1]Cost Allocation'!$Q$65</f>
        <v>429011.56311859336</v>
      </c>
      <c r="D21" s="25">
        <v>0</v>
      </c>
      <c r="E21" s="25">
        <v>0</v>
      </c>
      <c r="F21" s="33">
        <f>SUM(B21:E21)</f>
        <v>557860.13579302887</v>
      </c>
    </row>
    <row r="22" spans="1:7" s="31" customFormat="1">
      <c r="A22" s="95" t="s">
        <v>29</v>
      </c>
      <c r="B22" s="26">
        <f>SUM(B19:B21)</f>
        <v>426479.33707712509</v>
      </c>
      <c r="C22" s="26">
        <f>SUM(C19:C21)</f>
        <v>474466.10857313883</v>
      </c>
      <c r="D22" s="26">
        <f>SUM(D19:D21)</f>
        <v>32173.665046891198</v>
      </c>
      <c r="E22" s="26">
        <f>SUM(E19:E21)</f>
        <v>100721.28290686259</v>
      </c>
      <c r="F22" s="32">
        <f>SUM(F19:F21)</f>
        <v>1033840.3936040178</v>
      </c>
    </row>
    <row r="23" spans="1:7">
      <c r="A23" s="66" t="s">
        <v>30</v>
      </c>
      <c r="B23" s="38">
        <f>+B22/B8</f>
        <v>0.23317931877271081</v>
      </c>
      <c r="C23" s="38">
        <f>+C22/C8</f>
        <v>0.58173064449659517</v>
      </c>
      <c r="D23" s="38">
        <f>+D22/D8</f>
        <v>0.33608467893155081</v>
      </c>
      <c r="E23" s="38">
        <f>+E22/E8</f>
        <v>0.35875183571663216</v>
      </c>
      <c r="F23" s="34">
        <f>+F22/F8</f>
        <v>0.34220969869711776</v>
      </c>
    </row>
    <row r="24" spans="1:7" hidden="1">
      <c r="A24" s="66"/>
      <c r="B24" s="38"/>
      <c r="C24" s="38"/>
      <c r="D24" s="38"/>
      <c r="E24" s="38"/>
      <c r="F24" s="34"/>
    </row>
    <row r="25" spans="1:7" hidden="1">
      <c r="A25" s="66"/>
      <c r="B25" s="38"/>
      <c r="C25" s="38"/>
      <c r="D25" s="38"/>
      <c r="E25" s="38"/>
      <c r="F25" s="34"/>
    </row>
    <row r="26" spans="1:7" hidden="1">
      <c r="A26" s="48"/>
      <c r="B26" s="88"/>
      <c r="C26" s="88"/>
      <c r="D26" s="88"/>
      <c r="E26" s="88"/>
      <c r="F26" s="91"/>
    </row>
    <row r="27" spans="1:7" hidden="1">
      <c r="A27" s="48"/>
      <c r="B27" s="88"/>
      <c r="C27" s="88"/>
      <c r="D27" s="88"/>
      <c r="E27" s="88"/>
      <c r="F27" s="91"/>
    </row>
    <row r="28" spans="1:7" hidden="1">
      <c r="A28" s="69"/>
      <c r="B28" s="26"/>
      <c r="C28" s="26"/>
      <c r="D28" s="26"/>
      <c r="E28" s="26"/>
      <c r="F28" s="32"/>
    </row>
    <row r="29" spans="1:7" hidden="1">
      <c r="A29" s="48"/>
      <c r="B29" s="88"/>
      <c r="C29" s="88"/>
      <c r="D29" s="88"/>
      <c r="E29" s="88"/>
      <c r="F29" s="91"/>
    </row>
    <row r="30" spans="1:7" hidden="1">
      <c r="A30" s="48"/>
      <c r="B30" s="88"/>
      <c r="C30" s="88"/>
      <c r="D30" s="88"/>
      <c r="E30" s="88"/>
      <c r="F30" s="91"/>
    </row>
    <row r="31" spans="1:7" hidden="1">
      <c r="A31" s="48"/>
      <c r="B31" s="88"/>
      <c r="C31" s="88"/>
      <c r="D31" s="88"/>
      <c r="E31" s="88"/>
      <c r="F31" s="91"/>
    </row>
    <row r="32" spans="1:7" hidden="1">
      <c r="A32" s="48"/>
      <c r="B32" s="88"/>
      <c r="C32" s="88"/>
      <c r="D32" s="88"/>
      <c r="E32" s="88"/>
      <c r="F32" s="91"/>
    </row>
    <row r="33" spans="1:6" hidden="1">
      <c r="A33" s="69"/>
      <c r="B33" s="89"/>
      <c r="C33" s="89"/>
      <c r="D33" s="89"/>
      <c r="E33" s="89"/>
      <c r="F33" s="92"/>
    </row>
    <row r="34" spans="1:6">
      <c r="A34" s="48"/>
      <c r="B34" s="90"/>
      <c r="C34" s="90"/>
      <c r="D34" s="90"/>
      <c r="E34" s="90"/>
      <c r="F34" s="93"/>
    </row>
    <row r="35" spans="1:6" s="31" customFormat="1">
      <c r="A35" s="69" t="s">
        <v>48</v>
      </c>
      <c r="B35" s="26">
        <f>+B13-B22-B16</f>
        <v>689608.11004210555</v>
      </c>
      <c r="C35" s="26">
        <f>+C13-C22-C16</f>
        <v>93785.453920938977</v>
      </c>
      <c r="D35" s="26">
        <f>+D13-D22-D16</f>
        <v>31087.660520562815</v>
      </c>
      <c r="E35" s="26">
        <f>+E13-E22-E16</f>
        <v>117558.05444778068</v>
      </c>
      <c r="F35" s="32">
        <f>+F13-F22-F16</f>
        <v>932039.2789313877</v>
      </c>
    </row>
    <row r="36" spans="1:6" ht="13.5" thickBot="1">
      <c r="A36" s="58" t="s">
        <v>51</v>
      </c>
      <c r="B36" s="21">
        <f>ABS(B35/B8)</f>
        <v>0.37704604969097261</v>
      </c>
      <c r="C36" s="21">
        <f>ABS(C35/C8)</f>
        <v>0.11498792341123239</v>
      </c>
      <c r="D36" s="21">
        <f>ABS(D35/D8)</f>
        <v>0.32474032378838213</v>
      </c>
      <c r="E36" s="21">
        <f>ABS(E35/E8)</f>
        <v>0.41872151167311633</v>
      </c>
      <c r="F36" s="22">
        <f>ABS(F35/F8)</f>
        <v>0.30851268995700959</v>
      </c>
    </row>
    <row r="37" spans="1:6">
      <c r="A37" s="6"/>
      <c r="B37" s="5"/>
      <c r="C37" s="5"/>
      <c r="D37" s="5"/>
      <c r="E37" s="5"/>
      <c r="F37" s="5"/>
    </row>
    <row r="38" spans="1:6" ht="13.5" customHeight="1">
      <c r="A38" s="6"/>
      <c r="B38" s="5"/>
      <c r="C38" s="5"/>
      <c r="D38" s="121" t="s">
        <v>12</v>
      </c>
      <c r="E38" s="121"/>
      <c r="F38" s="24">
        <f>+Chesapeake!E38</f>
        <v>22891.237142857142</v>
      </c>
    </row>
    <row r="39" spans="1:6" ht="13.5" customHeight="1">
      <c r="A39" s="6"/>
      <c r="B39" s="5"/>
      <c r="C39" s="5"/>
      <c r="D39" s="121" t="s">
        <v>13</v>
      </c>
      <c r="E39" s="121"/>
      <c r="F39" s="24">
        <f>+Chesapeake!E39</f>
        <v>-2586.9670022336359</v>
      </c>
    </row>
    <row r="40" spans="1:6" ht="13.5" customHeight="1">
      <c r="A40" s="6"/>
      <c r="B40" s="121" t="s">
        <v>14</v>
      </c>
      <c r="C40" s="121"/>
      <c r="D40" s="121"/>
      <c r="E40" s="121"/>
      <c r="F40" s="24">
        <f>+'[1]Cost Allocation'!$AK$71</f>
        <v>47296.336034858461</v>
      </c>
    </row>
    <row r="41" spans="1:6">
      <c r="A41" s="6"/>
      <c r="B41" s="5"/>
      <c r="C41" s="5"/>
      <c r="D41" s="5"/>
      <c r="E41" s="29"/>
      <c r="F41" s="5"/>
    </row>
    <row r="42" spans="1:6" ht="13.5" customHeight="1">
      <c r="A42" s="4"/>
      <c r="B42" s="5"/>
      <c r="C42" s="5"/>
      <c r="D42" s="122" t="s">
        <v>16</v>
      </c>
      <c r="E42" s="122"/>
      <c r="F42" s="23">
        <f>SUM(F38:F40)+F35</f>
        <v>999639.88510686962</v>
      </c>
    </row>
  </sheetData>
  <mergeCells count="4">
    <mergeCell ref="D38:E38"/>
    <mergeCell ref="D39:E39"/>
    <mergeCell ref="D42:E42"/>
    <mergeCell ref="B40:E40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ignoredErrors>
    <ignoredError sqref="E6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F44"/>
  <sheetViews>
    <sheetView zoomScaleNormal="100" workbookViewId="0">
      <selection activeCell="A2" sqref="A2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5" ht="15.75">
      <c r="A1" s="114" t="s">
        <v>56</v>
      </c>
    </row>
    <row r="3" spans="1:5" s="43" customFormat="1" ht="13.5" thickBot="1">
      <c r="A3" s="41"/>
      <c r="B3" s="42" t="s">
        <v>1</v>
      </c>
      <c r="C3" s="42" t="s">
        <v>15</v>
      </c>
      <c r="D3" s="42" t="s">
        <v>44</v>
      </c>
      <c r="E3" s="42" t="s">
        <v>0</v>
      </c>
    </row>
    <row r="4" spans="1:5">
      <c r="A4" s="8" t="s">
        <v>3</v>
      </c>
      <c r="B4" s="9">
        <f>+'[1]Cost Allocation'!$E$83</f>
        <v>5493.9</v>
      </c>
      <c r="C4" s="9">
        <f>+'[1]Cost Allocation'!$E$85</f>
        <v>246.05</v>
      </c>
      <c r="D4" s="9">
        <f>+'[1]Cost Allocation'!$E$86</f>
        <v>1025.5899999999999</v>
      </c>
      <c r="E4" s="10">
        <f>SUM(B4:D4)</f>
        <v>6765.54</v>
      </c>
    </row>
    <row r="5" spans="1:5" hidden="1">
      <c r="A5" s="11" t="s">
        <v>4</v>
      </c>
      <c r="B5" s="12">
        <f>+Chesapeake!B5</f>
        <v>61.956909959548057</v>
      </c>
      <c r="C5" s="12">
        <f>+Norfolk!D5</f>
        <v>372.60174761227393</v>
      </c>
      <c r="D5" s="12">
        <f>+Chesapeake!D5</f>
        <v>52.185547414315131</v>
      </c>
      <c r="E5" s="13">
        <f>(E8/E4)-E6</f>
        <v>71.773236607781271</v>
      </c>
    </row>
    <row r="6" spans="1:5" hidden="1">
      <c r="A6" s="11" t="s">
        <v>5</v>
      </c>
      <c r="B6" s="12">
        <f>+Chesapeake!B6</f>
        <v>16.46888580700217</v>
      </c>
      <c r="C6" s="12">
        <f>B6</f>
        <v>16.46888580700217</v>
      </c>
      <c r="D6" s="12">
        <f>C6</f>
        <v>16.46888580700217</v>
      </c>
      <c r="E6" s="13">
        <f>D6</f>
        <v>16.46888580700217</v>
      </c>
    </row>
    <row r="7" spans="1:5">
      <c r="A7" s="11" t="s">
        <v>32</v>
      </c>
      <c r="B7" s="12">
        <f>SUM(B5:B6)</f>
        <v>78.425795766550223</v>
      </c>
      <c r="C7" s="12">
        <f>SUM(C5:C6)</f>
        <v>389.07063341927608</v>
      </c>
      <c r="D7" s="12">
        <f>SUM(D5:D6)</f>
        <v>68.654433221317305</v>
      </c>
      <c r="E7" s="13">
        <f>SUM(E5:E6)</f>
        <v>88.242122414783438</v>
      </c>
    </row>
    <row r="8" spans="1:5" ht="13.5" thickBot="1">
      <c r="A8" s="14" t="s">
        <v>6</v>
      </c>
      <c r="B8" s="15">
        <f>SUM(B5:B6)*B4</f>
        <v>430863.47936185024</v>
      </c>
      <c r="C8" s="15">
        <f>SUM(C5:C6)*C4</f>
        <v>95730.829352812885</v>
      </c>
      <c r="D8" s="15">
        <f>SUM(D5:D6)*D4</f>
        <v>70411.300167450812</v>
      </c>
      <c r="E8" s="16">
        <f>SUM(B8:D8)</f>
        <v>597005.60888211394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18">
        <f>+'[1]Cost Allocation'!$F$83</f>
        <v>73742.953128818306</v>
      </c>
      <c r="C10" s="18">
        <f>+'[1]Cost Allocation'!$F$85</f>
        <v>16300.934809244349</v>
      </c>
      <c r="D10" s="18">
        <f>+'[1]Cost Allocation'!$F$86</f>
        <v>3691.36</v>
      </c>
      <c r="E10" s="19">
        <f>SUM(B10:D10)</f>
        <v>93735.247938062661</v>
      </c>
    </row>
    <row r="11" spans="1:5" ht="13.5" thickBot="1">
      <c r="A11" s="20" t="s">
        <v>7</v>
      </c>
      <c r="B11" s="21">
        <f>B10/B8</f>
        <v>0.17115155185126998</v>
      </c>
      <c r="C11" s="21">
        <f>C10/C8</f>
        <v>0.1702788424528088</v>
      </c>
      <c r="D11" s="21">
        <f>D10/D8</f>
        <v>5.242567586767008E-2</v>
      </c>
      <c r="E11" s="22">
        <f>E10/E8</f>
        <v>0.15700899044077798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B8-B10</f>
        <v>357120.52623303194</v>
      </c>
      <c r="C13" s="36">
        <f>C8-C10</f>
        <v>79429.894543568531</v>
      </c>
      <c r="D13" s="36">
        <f>D8-D10</f>
        <v>66719.940167450812</v>
      </c>
      <c r="E13" s="37">
        <f>E8-E10</f>
        <v>503270.3609440513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49</v>
      </c>
      <c r="B16" s="18">
        <f>+'[1]Cost Allocation'!$U$83</f>
        <v>71140.763211701749</v>
      </c>
      <c r="C16" s="18">
        <f>+'[1]Cost Allocation'!$U$85</f>
        <v>16283.920419098666</v>
      </c>
      <c r="D16" s="18">
        <f>+'[1]Cost Allocation'!$U$86</f>
        <v>11977.040377519173</v>
      </c>
      <c r="E16" s="19">
        <f>SUM(B16:D16)</f>
        <v>99401.724008319579</v>
      </c>
    </row>
    <row r="17" spans="1:6">
      <c r="A17" s="66" t="s">
        <v>50</v>
      </c>
      <c r="B17" s="38">
        <f>B16/B$8</f>
        <v>0.16511207521479421</v>
      </c>
      <c r="C17" s="38">
        <f>C16/C$8</f>
        <v>0.17010111088753657</v>
      </c>
      <c r="D17" s="38">
        <f>D16/D$8</f>
        <v>0.17010111088753657</v>
      </c>
      <c r="E17" s="34">
        <f>E16/E$8</f>
        <v>0.16650048597440845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Allocation'!$W$83</f>
        <v>76969.26129303698</v>
      </c>
      <c r="C19" s="25">
        <f>+'[1]Cost Allocation'!$W$85</f>
        <v>32173.665046891198</v>
      </c>
      <c r="D19" s="25">
        <f>+'[1]Cost Allocation'!$W$86</f>
        <v>15143.296675237109</v>
      </c>
      <c r="E19" s="33">
        <f>SUM(B19:D19)</f>
        <v>124286.22301516529</v>
      </c>
    </row>
    <row r="20" spans="1:6" hidden="1">
      <c r="A20" s="66" t="s">
        <v>10</v>
      </c>
      <c r="B20" s="25">
        <v>0</v>
      </c>
      <c r="C20" s="25">
        <v>0</v>
      </c>
      <c r="D20" s="25">
        <f>+'[1]Cost Allocation'!$X$86</f>
        <v>10116.886515030683</v>
      </c>
      <c r="E20" s="33">
        <f>SUM(B20:D20)</f>
        <v>10116.886515030683</v>
      </c>
    </row>
    <row r="21" spans="1:6" hidden="1">
      <c r="A21" s="66" t="s">
        <v>11</v>
      </c>
      <c r="B21" s="25">
        <f>+'[1]Cost Allocation'!$N$83</f>
        <v>10474.282240420491</v>
      </c>
      <c r="C21" s="25">
        <v>0</v>
      </c>
      <c r="D21" s="25">
        <v>0</v>
      </c>
      <c r="E21" s="33">
        <f>SUM(B21:D21)</f>
        <v>10474.282240420491</v>
      </c>
    </row>
    <row r="22" spans="1:6" s="31" customFormat="1">
      <c r="A22" s="95" t="s">
        <v>29</v>
      </c>
      <c r="B22" s="26">
        <f>SUM(B19:B21)</f>
        <v>87443.543533457472</v>
      </c>
      <c r="C22" s="26">
        <f>SUM(C19:C21)</f>
        <v>32173.665046891198</v>
      </c>
      <c r="D22" s="26">
        <f>SUM(D19:D21)</f>
        <v>25260.183190267791</v>
      </c>
      <c r="E22" s="32">
        <f>SUM(E19:E21)</f>
        <v>144877.39177061646</v>
      </c>
    </row>
    <row r="23" spans="1:6">
      <c r="A23" s="66" t="s">
        <v>30</v>
      </c>
      <c r="B23" s="38">
        <f>+B22/B8</f>
        <v>0.20294953673718105</v>
      </c>
      <c r="C23" s="38">
        <f>+C22/C8</f>
        <v>0.33608467893155081</v>
      </c>
      <c r="D23" s="38">
        <f>+D22/D8</f>
        <v>0.35875183571663222</v>
      </c>
      <c r="E23" s="34">
        <f>+E22/E8</f>
        <v>0.24267341816419061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48</v>
      </c>
      <c r="B35" s="26">
        <f>+B13-B22-B16</f>
        <v>198536.21948787267</v>
      </c>
      <c r="C35" s="26">
        <f>+C13-C22-C16</f>
        <v>30972.30907757867</v>
      </c>
      <c r="D35" s="26">
        <f>+D13-D22-D16</f>
        <v>29482.716599663843</v>
      </c>
      <c r="E35" s="32">
        <f>+E13-E22-E16</f>
        <v>258991.24516511525</v>
      </c>
    </row>
    <row r="36" spans="1:5" ht="13.5" thickBot="1">
      <c r="A36" s="58" t="s">
        <v>51</v>
      </c>
      <c r="B36" s="21">
        <f>ABS(B35/B8)</f>
        <v>0.46078683619675465</v>
      </c>
      <c r="C36" s="21">
        <f>ABS(C35/C8)</f>
        <v>0.32353536772810382</v>
      </c>
      <c r="D36" s="21">
        <f>ABS(D35/D8)</f>
        <v>0.41872137752816108</v>
      </c>
      <c r="E36" s="22">
        <f>ABS(E35/E8)</f>
        <v>0.43381710542062302</v>
      </c>
    </row>
    <row r="37" spans="1:5">
      <c r="A37" s="6"/>
      <c r="B37" s="5"/>
      <c r="C37" s="5"/>
      <c r="D37" s="5"/>
      <c r="E37" s="5"/>
    </row>
    <row r="38" spans="1:5" ht="13.5" customHeight="1">
      <c r="A38" s="6"/>
      <c r="B38" s="5"/>
      <c r="C38" s="121" t="s">
        <v>12</v>
      </c>
      <c r="D38" s="121"/>
      <c r="E38" s="24">
        <f>+Chesapeake!E38</f>
        <v>22891.237142857142</v>
      </c>
    </row>
    <row r="39" spans="1:5" ht="13.5" customHeight="1">
      <c r="A39" s="6"/>
      <c r="B39" s="5"/>
      <c r="C39" s="121" t="s">
        <v>13</v>
      </c>
      <c r="D39" s="121"/>
      <c r="E39" s="24">
        <f>+Chesapeake!E39</f>
        <v>-2586.9670022336359</v>
      </c>
    </row>
    <row r="40" spans="1:5" ht="13.5" customHeight="1">
      <c r="A40" s="6"/>
      <c r="B40" s="121" t="s">
        <v>14</v>
      </c>
      <c r="C40" s="121"/>
      <c r="D40" s="121"/>
      <c r="E40" s="24">
        <f>+'[1]Cost Allocation'!$AK$88</f>
        <v>10660.368762389962</v>
      </c>
    </row>
    <row r="41" spans="1:5">
      <c r="A41" s="6"/>
      <c r="B41" s="5"/>
      <c r="C41" s="5"/>
      <c r="D41" s="29"/>
      <c r="E41" s="5"/>
    </row>
    <row r="42" spans="1:5" ht="13.5" customHeight="1">
      <c r="A42" s="4"/>
      <c r="B42" s="5"/>
      <c r="C42" s="122" t="s">
        <v>22</v>
      </c>
      <c r="D42" s="122"/>
      <c r="E42" s="23">
        <f>SUM(E38:E40)+E35</f>
        <v>289955.88406812871</v>
      </c>
    </row>
    <row r="44" spans="1:5">
      <c r="A44" s="31"/>
    </row>
  </sheetData>
  <mergeCells count="4">
    <mergeCell ref="C38:D38"/>
    <mergeCell ref="C39:D39"/>
    <mergeCell ref="B40:D40"/>
    <mergeCell ref="C42:D42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ignoredErrors>
    <ignoredError sqref="C6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46"/>
  <sheetViews>
    <sheetView zoomScaleNormal="100" workbookViewId="0">
      <selection activeCell="A2" sqref="A2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4" ht="15.75">
      <c r="A1" s="114" t="s">
        <v>57</v>
      </c>
    </row>
    <row r="3" spans="1:4" ht="13.5" thickBot="1">
      <c r="A3" s="6"/>
      <c r="B3" s="7" t="s">
        <v>1</v>
      </c>
      <c r="C3" s="7" t="s">
        <v>44</v>
      </c>
      <c r="D3" s="7" t="s">
        <v>0</v>
      </c>
    </row>
    <row r="4" spans="1:4">
      <c r="A4" s="8" t="s">
        <v>3</v>
      </c>
      <c r="B4" s="9">
        <f>+'[1]Cost Allocation'!$E$95</f>
        <v>1002.4</v>
      </c>
      <c r="C4" s="9">
        <f>+'[1]Cost Allocation'!$E$96</f>
        <v>170.95</v>
      </c>
      <c r="D4" s="10">
        <f>SUM(B4:C4)</f>
        <v>1173.3499999999999</v>
      </c>
    </row>
    <row r="5" spans="1:4" hidden="1">
      <c r="A5" s="11" t="s">
        <v>4</v>
      </c>
      <c r="B5" s="12">
        <f>+Chesapeake!B5</f>
        <v>61.956909959548057</v>
      </c>
      <c r="C5" s="12">
        <f>+Chesapeake!D5</f>
        <v>52.185547414315131</v>
      </c>
      <c r="D5" s="13">
        <f>(D8/D4)-D6</f>
        <v>60.533281522076223</v>
      </c>
    </row>
    <row r="6" spans="1:4" hidden="1">
      <c r="A6" s="11" t="s">
        <v>5</v>
      </c>
      <c r="B6" s="12">
        <f>+Chesapeake!B6</f>
        <v>16.46888580700217</v>
      </c>
      <c r="C6" s="12">
        <f>+B6</f>
        <v>16.46888580700217</v>
      </c>
      <c r="D6" s="13">
        <f>C6</f>
        <v>16.46888580700217</v>
      </c>
    </row>
    <row r="7" spans="1:4">
      <c r="A7" s="11" t="s">
        <v>32</v>
      </c>
      <c r="B7" s="12">
        <f>SUM(B5:B6)</f>
        <v>78.425795766550223</v>
      </c>
      <c r="C7" s="12">
        <f>SUM(C5:C6)</f>
        <v>68.654433221317305</v>
      </c>
      <c r="D7" s="13">
        <f>SUM(D5:D6)</f>
        <v>77.002167329078389</v>
      </c>
    </row>
    <row r="8" spans="1:4" ht="13.5" thickBot="1">
      <c r="A8" s="14" t="s">
        <v>6</v>
      </c>
      <c r="B8" s="15">
        <f>SUM(B5:B6)*B4</f>
        <v>78614.017676389936</v>
      </c>
      <c r="C8" s="15">
        <f>SUM(C5:C6)*C4</f>
        <v>11736.475359184193</v>
      </c>
      <c r="D8" s="16">
        <f>SUM(B8:C8)</f>
        <v>90350.493035574123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Allocation'!$F$95</f>
        <v>5206</v>
      </c>
      <c r="C10" s="18">
        <f>+'[1]Cost Allocation'!$F$96</f>
        <v>615.28</v>
      </c>
      <c r="D10" s="19">
        <f>SUM(B10:C10)</f>
        <v>5821.28</v>
      </c>
    </row>
    <row r="11" spans="1:4" ht="13.5" thickBot="1">
      <c r="A11" s="20" t="s">
        <v>7</v>
      </c>
      <c r="B11" s="21">
        <f>B10/B8</f>
        <v>6.6222286481148931E-2</v>
      </c>
      <c r="C11" s="21">
        <f>C10/C8</f>
        <v>5.2424597774878158E-2</v>
      </c>
      <c r="D11" s="22">
        <f>D10/D8</f>
        <v>6.4429974916771729E-2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25</v>
      </c>
      <c r="B13" s="36">
        <f>B8-B10</f>
        <v>73408.017676389936</v>
      </c>
      <c r="C13" s="36">
        <f>C8-C10</f>
        <v>11121.195359184192</v>
      </c>
      <c r="D13" s="37">
        <f>D8-D10</f>
        <v>84529.213035574125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49</v>
      </c>
      <c r="B16" s="18">
        <f>+'[1]Cost Allocation'!$U$95</f>
        <v>13372.331738086366</v>
      </c>
      <c r="C16" s="18">
        <f>+'[1]Cost Allocation'!$U$96</f>
        <v>1996.3874965014311</v>
      </c>
      <c r="D16" s="19">
        <f>SUM(B16:C16)</f>
        <v>15368.719234587797</v>
      </c>
    </row>
    <row r="17" spans="1:5">
      <c r="A17" s="66" t="s">
        <v>50</v>
      </c>
      <c r="B17" s="38">
        <f>B16/B$8</f>
        <v>0.1701011108875366</v>
      </c>
      <c r="C17" s="38">
        <f>C16/C$8</f>
        <v>0.17010111088753657</v>
      </c>
      <c r="D17" s="34">
        <f>D16/D$8</f>
        <v>0.1701011108875366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Allocation'!$W$95</f>
        <v>14467.914725388286</v>
      </c>
      <c r="C19" s="25">
        <f>+'[1]Cost Allocation'!$W$96</f>
        <v>2524.1534791015742</v>
      </c>
      <c r="D19" s="33">
        <f>SUM(B19:C19)</f>
        <v>16992.06820448986</v>
      </c>
    </row>
    <row r="20" spans="1:5" hidden="1">
      <c r="A20" s="66" t="s">
        <v>10</v>
      </c>
      <c r="B20" s="25">
        <v>0</v>
      </c>
      <c r="C20" s="25">
        <f>+'[1]Cost Allocation'!$X$96</f>
        <v>1686.3286008487748</v>
      </c>
      <c r="D20" s="33">
        <f>SUM(B20:C20)</f>
        <v>1686.3286008487748</v>
      </c>
    </row>
    <row r="21" spans="1:5" hidden="1">
      <c r="A21" s="66" t="s">
        <v>11</v>
      </c>
      <c r="B21" s="25">
        <v>0</v>
      </c>
      <c r="C21" s="25">
        <v>0</v>
      </c>
      <c r="D21" s="33">
        <f>SUM(B21:C21)</f>
        <v>0</v>
      </c>
    </row>
    <row r="22" spans="1:5" s="31" customFormat="1">
      <c r="A22" s="95" t="s">
        <v>29</v>
      </c>
      <c r="B22" s="26">
        <f>SUM(B19:B21)</f>
        <v>14467.914725388286</v>
      </c>
      <c r="C22" s="26">
        <f>SUM(C19:C21)</f>
        <v>4210.4820799503486</v>
      </c>
      <c r="D22" s="32">
        <f>SUM(D19:D21)</f>
        <v>18678.396805338634</v>
      </c>
    </row>
    <row r="23" spans="1:5">
      <c r="A23" s="66" t="s">
        <v>30</v>
      </c>
      <c r="B23" s="38">
        <f>+B22/B8</f>
        <v>0.18403734032452865</v>
      </c>
      <c r="C23" s="38">
        <f>+C22/C8</f>
        <v>0.35875183571663216</v>
      </c>
      <c r="D23" s="34">
        <f>+D22/D8</f>
        <v>0.20673264946085354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48</v>
      </c>
      <c r="B35" s="26">
        <f>+B13-B22-B16</f>
        <v>45567.771212915286</v>
      </c>
      <c r="C35" s="26">
        <f>+C13-C22-C16</f>
        <v>4914.3257827324123</v>
      </c>
      <c r="D35" s="32">
        <f>+D13-D22-D16</f>
        <v>50482.096995647691</v>
      </c>
    </row>
    <row r="36" spans="1:4" ht="13.5" thickBot="1">
      <c r="A36" s="58" t="s">
        <v>51</v>
      </c>
      <c r="B36" s="21">
        <f>ABS(B35/B8)</f>
        <v>0.57963926230678586</v>
      </c>
      <c r="C36" s="21">
        <f>ABS(C35/C8)</f>
        <v>0.41872245562095306</v>
      </c>
      <c r="D36" s="22">
        <f>ABS(D35/D8)</f>
        <v>0.55873626473483817</v>
      </c>
    </row>
    <row r="37" spans="1:4">
      <c r="A37" s="6"/>
      <c r="B37" s="5"/>
      <c r="C37" s="5"/>
      <c r="D37" s="5"/>
    </row>
    <row r="38" spans="1:4" ht="13.5" customHeight="1">
      <c r="A38" s="121" t="s">
        <v>12</v>
      </c>
      <c r="B38" s="121"/>
      <c r="C38" s="121"/>
      <c r="D38" s="24">
        <f>+Chesapeake!E38</f>
        <v>22891.237142857142</v>
      </c>
    </row>
    <row r="39" spans="1:4" ht="13.5" customHeight="1">
      <c r="A39" s="121" t="s">
        <v>13</v>
      </c>
      <c r="B39" s="121"/>
      <c r="C39" s="121"/>
      <c r="D39" s="24">
        <f>+Chesapeake!E39</f>
        <v>-2586.9670022336359</v>
      </c>
    </row>
    <row r="40" spans="1:4" ht="13.5" customHeight="1">
      <c r="A40" s="121" t="s">
        <v>14</v>
      </c>
      <c r="B40" s="121"/>
      <c r="C40" s="121"/>
      <c r="D40" s="24">
        <f>+'[1]Cost Allocation'!$AK$97</f>
        <v>1848.831532641927</v>
      </c>
    </row>
    <row r="41" spans="1:4">
      <c r="A41" s="6"/>
      <c r="B41" s="5"/>
      <c r="C41" s="29"/>
      <c r="D41" s="5"/>
    </row>
    <row r="42" spans="1:4" ht="13.5" customHeight="1">
      <c r="A42" s="4"/>
      <c r="B42" s="5"/>
      <c r="C42" s="30" t="s">
        <v>19</v>
      </c>
      <c r="D42" s="23">
        <f>SUM(D38:D40)+D35</f>
        <v>72635.19866891313</v>
      </c>
    </row>
    <row r="43" spans="1:4">
      <c r="A43" s="6"/>
      <c r="B43" s="5"/>
      <c r="C43" s="5"/>
      <c r="D43" s="5"/>
    </row>
    <row r="44" spans="1:4">
      <c r="A44" s="4"/>
      <c r="B44" s="5"/>
      <c r="C44" s="5"/>
      <c r="D44" s="5"/>
    </row>
    <row r="45" spans="1:4">
      <c r="A45" s="6"/>
      <c r="B45" s="5"/>
      <c r="C45" s="5"/>
      <c r="D45" s="5"/>
    </row>
    <row r="46" spans="1:4">
      <c r="A46" s="6"/>
      <c r="B46" s="5"/>
      <c r="C46" s="5"/>
      <c r="D46" s="29"/>
    </row>
  </sheetData>
  <mergeCells count="3">
    <mergeCell ref="A38:C38"/>
    <mergeCell ref="A39:C39"/>
    <mergeCell ref="A40:C40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E42"/>
  <sheetViews>
    <sheetView zoomScaleNormal="100" workbookViewId="0">
      <selection activeCell="A2" sqref="A2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4" ht="15.75">
      <c r="A1" s="114" t="s">
        <v>58</v>
      </c>
    </row>
    <row r="3" spans="1:4" ht="13.5" thickBot="1">
      <c r="A3" s="6"/>
      <c r="B3" s="7" t="s">
        <v>1</v>
      </c>
      <c r="C3" s="7" t="s">
        <v>44</v>
      </c>
      <c r="D3" s="7" t="s">
        <v>0</v>
      </c>
    </row>
    <row r="4" spans="1:4">
      <c r="A4" s="8" t="s">
        <v>3</v>
      </c>
      <c r="B4" s="9">
        <f>+'[1]Cost Allocation'!$E$116</f>
        <v>8832</v>
      </c>
      <c r="C4" s="9">
        <f>+'[1]Cost Allocation'!$E$126</f>
        <v>3572.83</v>
      </c>
      <c r="D4" s="10">
        <f>SUM(B4:C4)</f>
        <v>12404.83</v>
      </c>
    </row>
    <row r="5" spans="1:4" hidden="1">
      <c r="A5" s="11" t="s">
        <v>4</v>
      </c>
      <c r="B5" s="12">
        <f>+Chesapeake!B5</f>
        <v>61.956909959548057</v>
      </c>
      <c r="C5" s="12">
        <f>+Chesapeake!D5</f>
        <v>52.185547414315131</v>
      </c>
      <c r="D5" s="13">
        <f>(D8/D4)-D6</f>
        <v>59.142569316227309</v>
      </c>
    </row>
    <row r="6" spans="1:4" hidden="1">
      <c r="A6" s="11" t="s">
        <v>5</v>
      </c>
      <c r="B6" s="12">
        <f>+Chesapeake!B6</f>
        <v>16.46888580700217</v>
      </c>
      <c r="C6" s="12">
        <f>+B6</f>
        <v>16.46888580700217</v>
      </c>
      <c r="D6" s="13">
        <f>C6</f>
        <v>16.46888580700217</v>
      </c>
    </row>
    <row r="7" spans="1:4">
      <c r="A7" s="11" t="s">
        <v>32</v>
      </c>
      <c r="B7" s="12">
        <f>SUM(B5:B6)</f>
        <v>78.425795766550223</v>
      </c>
      <c r="C7" s="12">
        <f>SUM(C5:C6)</f>
        <v>68.654433221317305</v>
      </c>
      <c r="D7" s="13">
        <f>SUM(D5:D6)</f>
        <v>75.611455123229476</v>
      </c>
    </row>
    <row r="8" spans="1:4" ht="13.5" thickBot="1">
      <c r="A8" s="14" t="s">
        <v>6</v>
      </c>
      <c r="B8" s="15">
        <f>SUM(B5:B6)*B4</f>
        <v>692656.62821017159</v>
      </c>
      <c r="C8" s="15">
        <f>SUM(C5:C6)*C4</f>
        <v>245290.61864611911</v>
      </c>
      <c r="D8" s="16">
        <f>SUM(B8:C8)</f>
        <v>937947.24685629073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Allocation'!$F$116</f>
        <v>183502.23871666691</v>
      </c>
      <c r="C10" s="18">
        <f>+'[1]Cost Allocation'!$F$126</f>
        <v>12859.52</v>
      </c>
      <c r="D10" s="19">
        <f>SUM(B10:C10)</f>
        <v>196361.7587166669</v>
      </c>
    </row>
    <row r="11" spans="1:4" ht="13.5" thickBot="1">
      <c r="A11" s="20" t="s">
        <v>7</v>
      </c>
      <c r="B11" s="21">
        <f>B10/B8</f>
        <v>0.26492526201739769</v>
      </c>
      <c r="C11" s="21">
        <f>C10/C8</f>
        <v>5.2425649504975302E-2</v>
      </c>
      <c r="D11" s="22">
        <f>D10/D8</f>
        <v>0.20935266815357775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8</v>
      </c>
      <c r="B13" s="36">
        <f>B8-B10</f>
        <v>509154.38949350466</v>
      </c>
      <c r="C13" s="36">
        <f>C8-C10</f>
        <v>232431.09864611912</v>
      </c>
      <c r="D13" s="37">
        <f>D8-D10</f>
        <v>741585.48813962378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49</v>
      </c>
      <c r="B16" s="18">
        <f>+'[1]Cost Allocation'!$U$116</f>
        <v>114390.21786066893</v>
      </c>
      <c r="C16" s="18">
        <f>+'[1]Cost Allocation'!$U$126</f>
        <v>41724.20672199595</v>
      </c>
      <c r="D16" s="19">
        <f>SUM(B16:C16)</f>
        <v>156114.42458266488</v>
      </c>
    </row>
    <row r="17" spans="1:5">
      <c r="A17" s="66" t="s">
        <v>50</v>
      </c>
      <c r="B17" s="38">
        <f>B16/B$8</f>
        <v>0.16514707750109006</v>
      </c>
      <c r="C17" s="38">
        <f>C16/C$8</f>
        <v>0.17010111088753657</v>
      </c>
      <c r="D17" s="34">
        <f>D16/D$8</f>
        <v>0.16644264920645824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Allocation'!$W$116</f>
        <v>123762.10445879809</v>
      </c>
      <c r="C19" s="25">
        <f>+'[1]Cost Allocation'!$W$126</f>
        <v>52754.438577001914</v>
      </c>
      <c r="D19" s="33">
        <f>SUM(B19:C19)</f>
        <v>176516.54303579999</v>
      </c>
    </row>
    <row r="20" spans="1:5" hidden="1">
      <c r="A20" s="66" t="s">
        <v>10</v>
      </c>
      <c r="B20" s="25">
        <v>0</v>
      </c>
      <c r="C20" s="25">
        <f>+'[1]Cost Allocation'!$X$126</f>
        <v>35244.021146361672</v>
      </c>
      <c r="D20" s="33">
        <f>SUM(B20:C20)</f>
        <v>35244.021146361672</v>
      </c>
    </row>
    <row r="21" spans="1:5" hidden="1">
      <c r="A21" s="66" t="s">
        <v>11</v>
      </c>
      <c r="B21" s="25">
        <f>+'[1]Cost Allocation'!$Q$116</f>
        <v>14828.638280171515</v>
      </c>
      <c r="C21" s="25">
        <v>0</v>
      </c>
      <c r="D21" s="33">
        <f>SUM(B21:C21)</f>
        <v>14828.638280171515</v>
      </c>
    </row>
    <row r="22" spans="1:5" s="31" customFormat="1">
      <c r="A22" s="95" t="s">
        <v>29</v>
      </c>
      <c r="B22" s="26">
        <f>SUM(B19:B21)</f>
        <v>138590.74273896959</v>
      </c>
      <c r="C22" s="26">
        <f>SUM(C19:C21)</f>
        <v>87998.459723363587</v>
      </c>
      <c r="D22" s="32">
        <f>SUM(D19:D21)</f>
        <v>226589.20246233317</v>
      </c>
    </row>
    <row r="23" spans="1:5">
      <c r="A23" s="66" t="s">
        <v>30</v>
      </c>
      <c r="B23" s="38">
        <f>+B22/B8</f>
        <v>0.20008578146012809</v>
      </c>
      <c r="C23" s="38">
        <f>+C22/C8</f>
        <v>0.35875183571663216</v>
      </c>
      <c r="D23" s="34">
        <f>+D22/D8</f>
        <v>0.24157990038543228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48</v>
      </c>
      <c r="B35" s="26">
        <f>+B13-B22-B16</f>
        <v>256173.4288938661</v>
      </c>
      <c r="C35" s="26">
        <f>+C13-C22-C16</f>
        <v>102708.43220075959</v>
      </c>
      <c r="D35" s="32">
        <f>+D13-D22-D16</f>
        <v>358881.86109462578</v>
      </c>
    </row>
    <row r="36" spans="1:4" ht="13.5" thickBot="1">
      <c r="A36" s="58" t="s">
        <v>51</v>
      </c>
      <c r="B36" s="21">
        <f>ABS(B35/B8)</f>
        <v>0.3698418790213841</v>
      </c>
      <c r="C36" s="21">
        <f>ABS(C35/C8)</f>
        <v>0.41872140389085605</v>
      </c>
      <c r="D36" s="22">
        <f>ABS(D35/D8)</f>
        <v>0.38262478225453173</v>
      </c>
    </row>
    <row r="37" spans="1:4">
      <c r="A37" s="6"/>
      <c r="B37" s="5"/>
      <c r="C37" s="5"/>
      <c r="D37" s="5"/>
    </row>
    <row r="38" spans="1:4">
      <c r="A38" s="6"/>
      <c r="B38" s="5"/>
      <c r="C38" s="29" t="s">
        <v>12</v>
      </c>
      <c r="D38" s="24">
        <f>+Chesapeake!E38</f>
        <v>22891.237142857142</v>
      </c>
    </row>
    <row r="39" spans="1:4">
      <c r="A39" s="6"/>
      <c r="B39" s="5"/>
      <c r="C39" s="29" t="s">
        <v>13</v>
      </c>
      <c r="D39" s="5">
        <f>+Chesapeake!E39</f>
        <v>-2586.9670022336359</v>
      </c>
    </row>
    <row r="40" spans="1:4">
      <c r="A40" s="6"/>
      <c r="B40" s="5"/>
      <c r="C40" s="29" t="s">
        <v>14</v>
      </c>
      <c r="D40" s="5">
        <f>+'[1]Cost Allocation'!$AK$128</f>
        <v>19546.120817371251</v>
      </c>
    </row>
    <row r="41" spans="1:4">
      <c r="A41" s="6"/>
      <c r="B41" s="5"/>
      <c r="C41" s="29"/>
      <c r="D41" s="5"/>
    </row>
    <row r="42" spans="1:4">
      <c r="A42" s="4"/>
      <c r="B42" s="5"/>
      <c r="C42" s="30" t="s">
        <v>21</v>
      </c>
      <c r="D42" s="23">
        <f>SUM(D38:D40)+D35</f>
        <v>398732.25205262052</v>
      </c>
    </row>
  </sheetData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F51"/>
  <sheetViews>
    <sheetView zoomScaleNormal="100" workbookViewId="0">
      <selection activeCell="A2" sqref="A2"/>
    </sheetView>
  </sheetViews>
  <sheetFormatPr defaultRowHeight="12.75"/>
  <cols>
    <col min="1" max="1" width="28.5703125" style="6" customWidth="1"/>
    <col min="2" max="2" width="13.28515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5" ht="15.75">
      <c r="A1" s="114" t="s">
        <v>59</v>
      </c>
    </row>
    <row r="3" spans="1:5" ht="13.5" thickBot="1">
      <c r="B3" s="7" t="s">
        <v>1</v>
      </c>
      <c r="C3" s="7" t="s">
        <v>26</v>
      </c>
      <c r="D3" s="7" t="s">
        <v>44</v>
      </c>
      <c r="E3" s="7" t="s">
        <v>0</v>
      </c>
    </row>
    <row r="4" spans="1:5">
      <c r="A4" s="8" t="s">
        <v>3</v>
      </c>
      <c r="B4" s="9">
        <f>+'[1]Cost Allocation'!$E$151</f>
        <v>7572.4</v>
      </c>
      <c r="C4" s="9"/>
      <c r="D4" s="9">
        <f>+'[1]Cost Allocation'!$E$153</f>
        <v>2717.66</v>
      </c>
      <c r="E4" s="10">
        <f>SUM(B4:D4)</f>
        <v>10290.06</v>
      </c>
    </row>
    <row r="5" spans="1:5" hidden="1">
      <c r="A5" s="11" t="s">
        <v>4</v>
      </c>
      <c r="B5" s="12">
        <f>+Chesapeake!B5</f>
        <v>61.956909959548057</v>
      </c>
      <c r="C5" s="12">
        <f>B5</f>
        <v>61.956909959548057</v>
      </c>
      <c r="D5" s="12">
        <f>+Chesapeake!D5</f>
        <v>52.185547414315131</v>
      </c>
      <c r="E5" s="13">
        <f>(E8/E4)-E6</f>
        <v>59.376240737534019</v>
      </c>
    </row>
    <row r="6" spans="1:5" hidden="1">
      <c r="A6" s="11" t="s">
        <v>5</v>
      </c>
      <c r="B6" s="12">
        <f>+Chesapeake!B6</f>
        <v>16.46888580700217</v>
      </c>
      <c r="C6" s="12">
        <f>B6</f>
        <v>16.46888580700217</v>
      </c>
      <c r="D6" s="12">
        <f>C6</f>
        <v>16.46888580700217</v>
      </c>
      <c r="E6" s="13">
        <f>D6</f>
        <v>16.46888580700217</v>
      </c>
    </row>
    <row r="7" spans="1:5">
      <c r="A7" s="11" t="s">
        <v>32</v>
      </c>
      <c r="B7" s="12">
        <f>SUM(B5:B6)</f>
        <v>78.425795766550223</v>
      </c>
      <c r="C7" s="12">
        <f>SUM(C5:C6)</f>
        <v>78.425795766550223</v>
      </c>
      <c r="D7" s="12">
        <f>SUM(D5:D6)</f>
        <v>68.654433221317305</v>
      </c>
      <c r="E7" s="13">
        <f>SUM(E5:E6)</f>
        <v>75.845126544536186</v>
      </c>
    </row>
    <row r="8" spans="1:5" ht="13.5" thickBot="1">
      <c r="A8" s="14" t="s">
        <v>6</v>
      </c>
      <c r="B8" s="15">
        <f>SUM(B5:B6)*B4</f>
        <v>593871.49586262484</v>
      </c>
      <c r="C8" s="15">
        <f>SUM(C5:C6)*C4</f>
        <v>0</v>
      </c>
      <c r="D8" s="15">
        <f>SUM(D5:D6)*D4</f>
        <v>186579.40698824517</v>
      </c>
      <c r="E8" s="16">
        <f>SUM(B8:D8)</f>
        <v>780450.90285087004</v>
      </c>
    </row>
    <row r="9" spans="1:5" ht="13.5" thickBot="1"/>
    <row r="10" spans="1:5">
      <c r="A10" s="17" t="s">
        <v>28</v>
      </c>
      <c r="B10" s="18">
        <f>+'[1]Cost Allocation'!$F$151</f>
        <v>133521.45354374521</v>
      </c>
      <c r="C10" s="18"/>
      <c r="D10" s="18">
        <f>+'[1]Cost Allocation'!$F$153</f>
        <v>9781.5300000000007</v>
      </c>
      <c r="E10" s="19">
        <f>SUM(B10:D10)</f>
        <v>143302.98354374521</v>
      </c>
    </row>
    <row r="11" spans="1:5" ht="13.5" thickBot="1">
      <c r="A11" s="20" t="s">
        <v>7</v>
      </c>
      <c r="B11" s="21">
        <f>B10/B8</f>
        <v>0.22483223133954147</v>
      </c>
      <c r="C11" s="21">
        <v>0.7</v>
      </c>
      <c r="D11" s="21">
        <f>D10/D8</f>
        <v>5.2425560558332432E-2</v>
      </c>
      <c r="E11" s="22">
        <f>E10/E8</f>
        <v>0.18361562914499927</v>
      </c>
    </row>
    <row r="12" spans="1:5" ht="13.5" thickBot="1"/>
    <row r="13" spans="1:5" ht="13.5" thickBot="1">
      <c r="A13" s="35" t="s">
        <v>25</v>
      </c>
      <c r="B13" s="36">
        <f>B8-B10</f>
        <v>460350.04231887963</v>
      </c>
      <c r="C13" s="36">
        <f>C8-C10</f>
        <v>0</v>
      </c>
      <c r="D13" s="36">
        <f>D8-D10</f>
        <v>176797.87698824517</v>
      </c>
      <c r="E13" s="37">
        <f>E8-E10</f>
        <v>637147.9193071248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4" customFormat="1">
      <c r="A16" s="87" t="s">
        <v>49</v>
      </c>
      <c r="B16" s="18">
        <f>+'[1]Cost Allocation'!$U$151</f>
        <v>101018.20117067556</v>
      </c>
      <c r="C16" s="18">
        <v>0</v>
      </c>
      <c r="D16" s="18">
        <f>+'[1]Cost Allocation'!$U$153</f>
        <v>31737.364397438305</v>
      </c>
      <c r="E16" s="19">
        <f>SUM(B16:D16)</f>
        <v>132755.56556811387</v>
      </c>
    </row>
    <row r="17" spans="1:6">
      <c r="A17" s="66" t="s">
        <v>50</v>
      </c>
      <c r="B17" s="38">
        <f>B16/B$8</f>
        <v>0.17010111088753657</v>
      </c>
      <c r="C17" s="38" t="e">
        <f>C16/C$8</f>
        <v>#DIV/0!</v>
      </c>
      <c r="D17" s="38">
        <f>D16/D$8</f>
        <v>0.17010111088753654</v>
      </c>
      <c r="E17" s="34">
        <f>E16/E$8</f>
        <v>0.17010111088753657</v>
      </c>
    </row>
    <row r="18" spans="1:6">
      <c r="A18" s="66"/>
      <c r="B18" s="26"/>
      <c r="C18" s="26"/>
      <c r="D18" s="26"/>
      <c r="E18" s="32"/>
      <c r="F18" s="85"/>
    </row>
    <row r="19" spans="1:6" hidden="1">
      <c r="A19" s="66" t="s">
        <v>9</v>
      </c>
      <c r="B19" s="25">
        <f>+'[1]Cost Allocation'!$W$151</f>
        <v>109294.53059310679</v>
      </c>
      <c r="C19" s="25">
        <v>0</v>
      </c>
      <c r="D19" s="25">
        <f>+'[1]Cost Allocation'!$W$153</f>
        <v>40127.469692981475</v>
      </c>
      <c r="E19" s="33">
        <f>SUM(B19:D19)</f>
        <v>149422.00028608827</v>
      </c>
    </row>
    <row r="20" spans="1:6" hidden="1">
      <c r="A20" s="66" t="s">
        <v>10</v>
      </c>
      <c r="B20" s="25">
        <v>0</v>
      </c>
      <c r="C20" s="25">
        <v>0</v>
      </c>
      <c r="D20" s="25">
        <f>+'[1]Cost Allocation'!$X$153</f>
        <v>26808.235070972103</v>
      </c>
      <c r="E20" s="33">
        <f>SUM(B20:D20)</f>
        <v>26808.235070972103</v>
      </c>
    </row>
    <row r="21" spans="1:6" hidden="1">
      <c r="A21" s="66" t="s">
        <v>11</v>
      </c>
      <c r="B21" s="25">
        <v>0</v>
      </c>
      <c r="C21" s="25">
        <v>0</v>
      </c>
      <c r="D21" s="25">
        <v>0</v>
      </c>
      <c r="E21" s="33">
        <f>SUM(B21:D21)</f>
        <v>0</v>
      </c>
    </row>
    <row r="22" spans="1:6" s="4" customFormat="1">
      <c r="A22" s="95" t="s">
        <v>29</v>
      </c>
      <c r="B22" s="26">
        <f>SUM(B19:B21)</f>
        <v>109294.53059310679</v>
      </c>
      <c r="C22" s="26">
        <f>+Norfolk!D11</f>
        <v>0.16907388639253054</v>
      </c>
      <c r="D22" s="26">
        <f>SUM(D19:D21)</f>
        <v>66935.704763953574</v>
      </c>
      <c r="E22" s="32">
        <f>SUM(E19:E21)</f>
        <v>176230.23535706036</v>
      </c>
    </row>
    <row r="23" spans="1:6">
      <c r="A23" s="66" t="s">
        <v>30</v>
      </c>
      <c r="B23" s="38">
        <f>+B22/B8</f>
        <v>0.18403734032452862</v>
      </c>
      <c r="C23" s="38" t="e">
        <f>+C22/C8</f>
        <v>#DIV/0!</v>
      </c>
      <c r="D23" s="38">
        <f>+D22/D8</f>
        <v>0.35875183571663211</v>
      </c>
      <c r="E23" s="34">
        <f>+E22/E8</f>
        <v>0.22580566530619384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90"/>
      <c r="C26" s="90"/>
      <c r="D26" s="90"/>
      <c r="E26" s="93"/>
    </row>
    <row r="27" spans="1:6" hidden="1">
      <c r="A27" s="48"/>
      <c r="B27" s="90"/>
      <c r="C27" s="90"/>
      <c r="D27" s="90"/>
      <c r="E27" s="93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90"/>
      <c r="C29" s="90"/>
      <c r="D29" s="90"/>
      <c r="E29" s="93"/>
    </row>
    <row r="30" spans="1:6" hidden="1">
      <c r="A30" s="48"/>
      <c r="B30" s="90"/>
      <c r="C30" s="90"/>
      <c r="D30" s="90"/>
      <c r="E30" s="93"/>
    </row>
    <row r="31" spans="1:6" hidden="1">
      <c r="A31" s="48"/>
      <c r="B31" s="90"/>
      <c r="C31" s="90"/>
      <c r="D31" s="90"/>
      <c r="E31" s="93"/>
    </row>
    <row r="32" spans="1:6" hidden="1">
      <c r="A32" s="48"/>
      <c r="B32" s="90"/>
      <c r="C32" s="90"/>
      <c r="D32" s="90"/>
      <c r="E32" s="93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4" customFormat="1">
      <c r="A35" s="69" t="s">
        <v>48</v>
      </c>
      <c r="B35" s="26">
        <f>+B13-B22-B16</f>
        <v>250037.3105550973</v>
      </c>
      <c r="C35" s="26">
        <f>+C13-C22-C16</f>
        <v>-0.16907388639253054</v>
      </c>
      <c r="D35" s="26">
        <f>+D13-D22-D16</f>
        <v>78124.807826853299</v>
      </c>
      <c r="E35" s="32">
        <f>+E13-E22-E16</f>
        <v>328162.1183819506</v>
      </c>
    </row>
    <row r="36" spans="1:5" ht="13.5" thickBot="1">
      <c r="A36" s="58" t="s">
        <v>51</v>
      </c>
      <c r="B36" s="21">
        <f>ABS(B35/B8)</f>
        <v>0.42102931744839334</v>
      </c>
      <c r="C36" s="21" t="e">
        <f>-(C35/C8)</f>
        <v>#DIV/0!</v>
      </c>
      <c r="D36" s="21">
        <f>ABS(D35/D8)</f>
        <v>0.41872149283749893</v>
      </c>
      <c r="E36" s="22">
        <f>ABS(E35/E8)</f>
        <v>0.42047759466127033</v>
      </c>
    </row>
    <row r="38" spans="1:5" ht="13.5" customHeight="1">
      <c r="B38" s="121" t="s">
        <v>12</v>
      </c>
      <c r="C38" s="121"/>
      <c r="D38" s="121"/>
      <c r="E38" s="24">
        <f>+Chesapeake!E38</f>
        <v>22891.237142857142</v>
      </c>
    </row>
    <row r="39" spans="1:5" ht="13.5" customHeight="1">
      <c r="B39" s="121" t="s">
        <v>13</v>
      </c>
      <c r="C39" s="121"/>
      <c r="D39" s="121"/>
      <c r="E39" s="5">
        <f>+Chesapeake!E39</f>
        <v>-2586.9670022336359</v>
      </c>
    </row>
    <row r="40" spans="1:5" ht="13.5" customHeight="1">
      <c r="B40" s="121" t="s">
        <v>14</v>
      </c>
      <c r="C40" s="121"/>
      <c r="D40" s="121"/>
      <c r="E40" s="5">
        <f>+'[1]Cost Allocation'!$AK$155</f>
        <v>16213.906678124504</v>
      </c>
    </row>
    <row r="41" spans="1:5">
      <c r="D41" s="29"/>
    </row>
    <row r="42" spans="1:5" ht="13.5" customHeight="1">
      <c r="B42" s="122" t="s">
        <v>17</v>
      </c>
      <c r="C42" s="122"/>
      <c r="D42" s="122"/>
      <c r="E42" s="23">
        <f>SUM(E38:E40)+E35</f>
        <v>364680.2952006986</v>
      </c>
    </row>
    <row r="50" spans="1:5">
      <c r="A50" s="123"/>
      <c r="B50" s="123"/>
      <c r="C50" s="123"/>
      <c r="D50" s="123"/>
      <c r="E50" s="123"/>
    </row>
    <row r="51" spans="1:5">
      <c r="A51" s="123"/>
      <c r="B51" s="123"/>
      <c r="C51" s="123"/>
      <c r="D51" s="123"/>
      <c r="E51" s="123"/>
    </row>
  </sheetData>
  <mergeCells count="5">
    <mergeCell ref="A50:E51"/>
    <mergeCell ref="B38:D38"/>
    <mergeCell ref="B39:D39"/>
    <mergeCell ref="B40:D40"/>
    <mergeCell ref="B42:D42"/>
  </mergeCells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ignoredErrors>
    <ignoredError sqref="C36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E44"/>
  <sheetViews>
    <sheetView zoomScaleNormal="100" workbookViewId="0">
      <selection activeCell="A2" sqref="A2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4" ht="15.75">
      <c r="A1" s="114" t="s">
        <v>60</v>
      </c>
    </row>
    <row r="3" spans="1:4" ht="13.5" thickBot="1">
      <c r="A3" s="6"/>
      <c r="B3" s="7" t="s">
        <v>1</v>
      </c>
      <c r="C3" s="7" t="s">
        <v>44</v>
      </c>
      <c r="D3" s="7" t="s">
        <v>0</v>
      </c>
    </row>
    <row r="4" spans="1:4">
      <c r="A4" s="8" t="s">
        <v>3</v>
      </c>
      <c r="B4" s="9">
        <f>+'[1]Cost Allocation'!$E$173</f>
        <v>11088</v>
      </c>
      <c r="C4" s="9">
        <f>+'[1]Cost Allocation'!$E$178</f>
        <v>3196.22</v>
      </c>
      <c r="D4" s="10">
        <f>SUM(B4:C4)</f>
        <v>14284.22</v>
      </c>
    </row>
    <row r="5" spans="1:4" hidden="1">
      <c r="A5" s="11" t="s">
        <v>4</v>
      </c>
      <c r="B5" s="12">
        <f>+Chesapeake!B5</f>
        <v>61.956909959548057</v>
      </c>
      <c r="C5" s="12">
        <f>+Chesapeake!D5</f>
        <v>52.185547414315131</v>
      </c>
      <c r="D5" s="13">
        <f>(D8/D4)-D6</f>
        <v>59.770481551533877</v>
      </c>
    </row>
    <row r="6" spans="1:4" hidden="1">
      <c r="A6" s="11" t="s">
        <v>5</v>
      </c>
      <c r="B6" s="12">
        <f>+Chesapeake!B6</f>
        <v>16.46888580700217</v>
      </c>
      <c r="C6" s="12">
        <f>+B6</f>
        <v>16.46888580700217</v>
      </c>
      <c r="D6" s="13">
        <f>C6</f>
        <v>16.46888580700217</v>
      </c>
    </row>
    <row r="7" spans="1:4">
      <c r="A7" s="11" t="s">
        <v>32</v>
      </c>
      <c r="B7" s="12">
        <f>SUM(B5:B6)</f>
        <v>78.425795766550223</v>
      </c>
      <c r="C7" s="12">
        <f>SUM(C5:C6)</f>
        <v>68.654433221317305</v>
      </c>
      <c r="D7" s="13">
        <f>SUM(D5:D6)</f>
        <v>76.239367358536043</v>
      </c>
    </row>
    <row r="8" spans="1:4" ht="13.5" thickBot="1">
      <c r="A8" s="14" t="s">
        <v>6</v>
      </c>
      <c r="B8" s="15">
        <f>SUM(B5:B6)*B4</f>
        <v>869585.22345950885</v>
      </c>
      <c r="C8" s="15">
        <f>SUM(C5:C6)*C4</f>
        <v>219434.67255063879</v>
      </c>
      <c r="D8" s="16">
        <f>SUM(B8:C8)</f>
        <v>1089019.8960101476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Allocation'!$F$173</f>
        <v>243747.83946753509</v>
      </c>
      <c r="C10" s="18">
        <f>+'[1]Cost Allocation'!$F$178</f>
        <v>11504</v>
      </c>
      <c r="D10" s="19">
        <f>SUM(B10:C10)</f>
        <v>255251.83946753509</v>
      </c>
    </row>
    <row r="11" spans="1:4" ht="13.5" thickBot="1">
      <c r="A11" s="20" t="s">
        <v>7</v>
      </c>
      <c r="B11" s="21">
        <f>B10/B8</f>
        <v>0.28030356644955673</v>
      </c>
      <c r="C11" s="21">
        <f>C10/C8</f>
        <v>5.2425625660161929E-2</v>
      </c>
      <c r="D11" s="22">
        <f>D10/D8</f>
        <v>0.23438675491853145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25</v>
      </c>
      <c r="B13" s="36">
        <f>B8-B10</f>
        <v>625837.38399197371</v>
      </c>
      <c r="C13" s="36">
        <f>C8-C10</f>
        <v>207930.67255063879</v>
      </c>
      <c r="D13" s="37">
        <f>D8-D10</f>
        <v>833768.05654261261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49</v>
      </c>
      <c r="B16" s="18">
        <f>+'[1]Cost Allocation'!$U$173</f>
        <v>147917.41252184921</v>
      </c>
      <c r="C16" s="18">
        <f>+'[1]Cost Allocation'!$U$178</f>
        <v>37326.081568106485</v>
      </c>
      <c r="D16" s="19">
        <f>SUM(B16:C16)</f>
        <v>185243.4940899557</v>
      </c>
    </row>
    <row r="17" spans="1:5">
      <c r="A17" s="66" t="s">
        <v>50</v>
      </c>
      <c r="B17" s="38">
        <f>B16/B$8</f>
        <v>0.1701011108875366</v>
      </c>
      <c r="C17" s="38">
        <f>C16/C$8</f>
        <v>0.17010111088753657</v>
      </c>
      <c r="D17" s="34">
        <f>D16/D$8</f>
        <v>0.1701011108875366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Allocation'!$W$173</f>
        <v>160036.15171099891</v>
      </c>
      <c r="C19" s="25">
        <f>+'[1]Cost Allocation'!$W$178</f>
        <v>47193.622889581951</v>
      </c>
      <c r="D19" s="33">
        <f>SUM(B19:C19)</f>
        <v>207229.77460058086</v>
      </c>
    </row>
    <row r="20" spans="1:5" hidden="1">
      <c r="A20" s="66" t="s">
        <v>10</v>
      </c>
      <c r="B20" s="25">
        <v>0</v>
      </c>
      <c r="C20" s="25">
        <f>+'[1]Cost Allocation'!$X$178</f>
        <v>31528.968707837797</v>
      </c>
      <c r="D20" s="33">
        <f>SUM(B20:C20)</f>
        <v>31528.968707837797</v>
      </c>
    </row>
    <row r="21" spans="1:5" hidden="1">
      <c r="A21" s="66" t="s">
        <v>11</v>
      </c>
      <c r="B21" s="25">
        <v>0</v>
      </c>
      <c r="C21" s="25">
        <v>0</v>
      </c>
      <c r="D21" s="33">
        <f>SUM(B21:C21)</f>
        <v>0</v>
      </c>
    </row>
    <row r="22" spans="1:5" s="31" customFormat="1">
      <c r="A22" s="95" t="s">
        <v>29</v>
      </c>
      <c r="B22" s="26">
        <f>SUM(B19:B21)</f>
        <v>160036.15171099891</v>
      </c>
      <c r="C22" s="26">
        <f>SUM(C19:C21)</f>
        <v>78722.591597419756</v>
      </c>
      <c r="D22" s="32">
        <f>SUM(D19:D21)</f>
        <v>238758.74330841866</v>
      </c>
    </row>
    <row r="23" spans="1:5">
      <c r="A23" s="66" t="s">
        <v>30</v>
      </c>
      <c r="B23" s="38">
        <f>+B22/B8</f>
        <v>0.18403734032452862</v>
      </c>
      <c r="C23" s="38">
        <f>+C22/C8</f>
        <v>0.35875183571663222</v>
      </c>
      <c r="D23" s="34">
        <f>+D22/D8</f>
        <v>0.21924185607917845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48</v>
      </c>
      <c r="B35" s="26">
        <f>+B13-B22-B16</f>
        <v>317883.81975912559</v>
      </c>
      <c r="C35" s="26">
        <f>+C13-C22-C16</f>
        <v>91881.999385112547</v>
      </c>
      <c r="D35" s="32">
        <f>+D13-D22-D16</f>
        <v>409765.81914423825</v>
      </c>
    </row>
    <row r="36" spans="1:4" ht="13.5" thickBot="1">
      <c r="A36" s="58" t="s">
        <v>51</v>
      </c>
      <c r="B36" s="21">
        <f>ABS(B35/B8)</f>
        <v>0.36555798233837794</v>
      </c>
      <c r="C36" s="21">
        <f>ABS(C35/C8)</f>
        <v>0.41872142773566928</v>
      </c>
      <c r="D36" s="22">
        <f>ABS(D35/D8)</f>
        <v>0.37627027811475355</v>
      </c>
    </row>
    <row r="37" spans="1:4">
      <c r="A37" s="6"/>
      <c r="B37" s="5"/>
      <c r="C37" s="5"/>
      <c r="D37" s="5"/>
    </row>
    <row r="38" spans="1:4">
      <c r="B38" s="5"/>
      <c r="C38" s="29" t="s">
        <v>12</v>
      </c>
      <c r="D38" s="24">
        <f>+Chesapeake!E38</f>
        <v>22891.237142857142</v>
      </c>
    </row>
    <row r="39" spans="1:4">
      <c r="A39" s="6"/>
      <c r="B39" s="5"/>
      <c r="C39" s="29" t="s">
        <v>13</v>
      </c>
      <c r="D39" s="5">
        <f>+Chesapeake!E39</f>
        <v>-2586.9670022336359</v>
      </c>
    </row>
    <row r="40" spans="1:4">
      <c r="A40" s="6"/>
      <c r="B40" s="5"/>
      <c r="C40" s="29" t="s">
        <v>14</v>
      </c>
      <c r="D40" s="5">
        <f>+'[1]Cost Allocation'!$AK$180</f>
        <v>22507.449912809025</v>
      </c>
    </row>
    <row r="41" spans="1:4">
      <c r="A41" s="6"/>
      <c r="B41" s="5"/>
      <c r="C41" s="29"/>
      <c r="D41" s="5"/>
    </row>
    <row r="42" spans="1:4">
      <c r="A42" s="6"/>
      <c r="B42" s="5"/>
      <c r="C42" s="30" t="s">
        <v>18</v>
      </c>
      <c r="D42" s="23">
        <f>SUM(D38:D40)+D35</f>
        <v>452577.53919767076</v>
      </c>
    </row>
    <row r="44" spans="1:4">
      <c r="A44" s="3"/>
    </row>
  </sheetData>
  <phoneticPr fontId="0" type="noConversion"/>
  <printOptions horizontalCentered="1"/>
  <pageMargins left="0" right="0" top="0.79" bottom="1" header="0.5" footer="0.5"/>
  <pageSetup orientation="landscape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Suffolk!Print_Area</vt:lpstr>
      <vt:lpstr>'System Total'!Print_Area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2011-11-15T20:24:23Z</cp:lastPrinted>
  <dcterms:created xsi:type="dcterms:W3CDTF">2004-09-09T18:58:16Z</dcterms:created>
  <dcterms:modified xsi:type="dcterms:W3CDTF">2011-11-15T21:01:19Z</dcterms:modified>
</cp:coreProperties>
</file>