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240" windowWidth="11100" windowHeight="5835" tabRatio="601" activeTab="1"/>
  </bookViews>
  <sheets>
    <sheet name="Comparison Summary" sheetId="33" r:id="rId1"/>
    <sheet name="System Total" sheetId="16" r:id="rId2"/>
    <sheet name="Chesapeake" sheetId="12" r:id="rId3"/>
    <sheet name="Norfolk" sheetId="7" r:id="rId4"/>
    <sheet name="Portsmouth" sheetId="14" r:id="rId5"/>
    <sheet name="Suffolk" sheetId="19" r:id="rId6"/>
    <sheet name="Virginia Beach" sheetId="13" r:id="rId7"/>
    <sheet name="Hampton" sheetId="10" r:id="rId8"/>
    <sheet name="Newport News" sheetId="9" r:id="rId9"/>
    <sheet name="MAX" sheetId="15" r:id="rId10"/>
  </sheets>
  <externalReferences>
    <externalReference r:id="rId11"/>
  </externalReferences>
  <definedNames>
    <definedName name="_xlnm.Print_Area" localSheetId="2">Chesapeake!$A$1:$E$45</definedName>
    <definedName name="_xlnm.Print_Area" localSheetId="7">Hampton!$A$1:$E$48</definedName>
    <definedName name="_xlnm.Print_Area" localSheetId="5">Suffolk!$A$1:$D$46</definedName>
    <definedName name="_xlnm.Print_Area" localSheetId="1">'System Total'!$A$1:$G$43</definedName>
  </definedNames>
  <calcPr calcId="125725"/>
</workbook>
</file>

<file path=xl/calcChain.xml><?xml version="1.0" encoding="utf-8"?>
<calcChain xmlns="http://schemas.openxmlformats.org/spreadsheetml/2006/main">
  <c r="C21" i="15"/>
  <c r="B4"/>
  <c r="C10" i="9"/>
  <c r="C4"/>
  <c r="B4"/>
  <c r="D10" i="10"/>
  <c r="D4"/>
  <c r="B4"/>
  <c r="C10" i="13"/>
  <c r="C4"/>
  <c r="B4"/>
  <c r="C10" i="19"/>
  <c r="B10"/>
  <c r="C4"/>
  <c r="B4"/>
  <c r="D10" i="14"/>
  <c r="D4"/>
  <c r="C4"/>
  <c r="B4"/>
  <c r="C19" i="7"/>
  <c r="E10"/>
  <c r="E4"/>
  <c r="C4"/>
  <c r="B4"/>
  <c r="D10" i="12"/>
  <c r="D4"/>
  <c r="B4"/>
  <c r="C22"/>
  <c r="K10" i="33" l="1"/>
  <c r="K9"/>
  <c r="K7"/>
  <c r="K6" l="1"/>
  <c r="H6"/>
  <c r="E6"/>
  <c r="B6"/>
  <c r="K26"/>
  <c r="H26"/>
  <c r="E26"/>
  <c r="B26"/>
  <c r="K19"/>
  <c r="D22" i="15" l="1"/>
  <c r="E20" l="1"/>
  <c r="E21" l="1"/>
  <c r="E4" l="1"/>
  <c r="D21" i="9" l="1"/>
  <c r="D4" l="1"/>
  <c r="E21" i="10" l="1"/>
  <c r="E4" l="1"/>
  <c r="D4" i="13" l="1"/>
  <c r="D21" i="19"/>
  <c r="D10" l="1"/>
  <c r="D4"/>
  <c r="E4" i="14" l="1"/>
  <c r="E21" i="12" l="1"/>
  <c r="E4" l="1"/>
  <c r="C21" i="16" l="1"/>
  <c r="D20" l="1"/>
  <c r="D19"/>
  <c r="F10" l="1"/>
  <c r="F4" l="1"/>
  <c r="D4" l="1"/>
  <c r="C4" s="1"/>
  <c r="B4"/>
  <c r="D4" i="7" l="1"/>
  <c r="F4" l="1"/>
  <c r="E4" i="16"/>
  <c r="G4" s="1"/>
  <c r="B21" i="14" l="1"/>
  <c r="E21" s="1"/>
  <c r="E40"/>
  <c r="D40" i="19"/>
  <c r="F40" i="7"/>
  <c r="E40" i="12"/>
  <c r="D40" i="13"/>
  <c r="D40" i="9"/>
  <c r="E40" i="10"/>
  <c r="G40" i="16" l="1"/>
  <c r="C5" i="7" l="1"/>
  <c r="D5" i="16" l="1"/>
  <c r="E38" i="12"/>
  <c r="D38" i="19" l="1"/>
  <c r="E38" i="10"/>
  <c r="F38" i="7"/>
  <c r="D38" i="13"/>
  <c r="D38" i="9"/>
  <c r="E38" i="14"/>
  <c r="G38" i="16" l="1"/>
  <c r="D5" i="7"/>
  <c r="C5" i="14" l="1"/>
  <c r="B5" i="12"/>
  <c r="D5"/>
  <c r="C5" i="13" l="1"/>
  <c r="D5" i="10"/>
  <c r="E5" i="7"/>
  <c r="C5" i="9"/>
  <c r="D5" i="14"/>
  <c r="C5" i="19"/>
  <c r="F5" i="16"/>
  <c r="B5" i="15"/>
  <c r="B5" i="19"/>
  <c r="C5" i="12"/>
  <c r="B5" i="9"/>
  <c r="B5" i="14"/>
  <c r="B5" i="10"/>
  <c r="B5" i="7"/>
  <c r="D5" i="15"/>
  <c r="B5" i="13"/>
  <c r="B5" i="16"/>
  <c r="E5"/>
  <c r="C5" i="15" l="1"/>
  <c r="C5" i="16"/>
  <c r="C5" i="10"/>
  <c r="E39" i="12" l="1"/>
  <c r="D39" i="13" l="1"/>
  <c r="D39" i="9"/>
  <c r="E39" i="14"/>
  <c r="D39" i="19"/>
  <c r="E39" i="10"/>
  <c r="F39" i="7"/>
  <c r="G39" i="16" l="1"/>
  <c r="B6" i="12"/>
  <c r="B6" i="13" l="1"/>
  <c r="D6" i="12"/>
  <c r="B6" i="10"/>
  <c r="B6" i="7"/>
  <c r="B6" i="16"/>
  <c r="B6" i="9"/>
  <c r="B6" i="14"/>
  <c r="B6" i="15"/>
  <c r="B6" i="19"/>
  <c r="C6" i="12"/>
  <c r="B7"/>
  <c r="B8"/>
  <c r="C6" i="19" l="1"/>
  <c r="B8"/>
  <c r="C6" i="14"/>
  <c r="B8"/>
  <c r="C6" i="16"/>
  <c r="E6"/>
  <c r="B8"/>
  <c r="C6" i="10"/>
  <c r="B8"/>
  <c r="C6" i="13"/>
  <c r="B8"/>
  <c r="C6" i="15"/>
  <c r="C8" s="1"/>
  <c r="C13" s="1"/>
  <c r="C8" i="12"/>
  <c r="D6" i="15"/>
  <c r="B8"/>
  <c r="C6" i="9"/>
  <c r="B8"/>
  <c r="C6" i="7"/>
  <c r="E6"/>
  <c r="B8"/>
  <c r="E6" i="12"/>
  <c r="D8"/>
  <c r="E8" l="1"/>
  <c r="E5" s="1"/>
  <c r="E7" s="1"/>
  <c r="D7" s="1"/>
  <c r="C7" s="1"/>
  <c r="F6" i="7"/>
  <c r="E8"/>
  <c r="C13" i="12"/>
  <c r="C35" s="1"/>
  <c r="C23"/>
  <c r="C8" i="16"/>
  <c r="C7"/>
  <c r="B7" s="1"/>
  <c r="D6" i="14"/>
  <c r="C8"/>
  <c r="D6" i="19"/>
  <c r="C8"/>
  <c r="D11" i="12"/>
  <c r="D13"/>
  <c r="D6" i="7"/>
  <c r="D6" i="16"/>
  <c r="C8" i="7"/>
  <c r="D8" i="16" s="1"/>
  <c r="D6" i="9"/>
  <c r="C8"/>
  <c r="E6" i="15"/>
  <c r="D8"/>
  <c r="E8" s="1"/>
  <c r="D6" i="13"/>
  <c r="C8"/>
  <c r="D6" i="10"/>
  <c r="C8"/>
  <c r="F6" i="16"/>
  <c r="E8"/>
  <c r="B11" i="19"/>
  <c r="C31" i="33" s="1"/>
  <c r="B13" i="19"/>
  <c r="C21" i="7"/>
  <c r="C16"/>
  <c r="E5" i="15" l="1"/>
  <c r="E7" s="1"/>
  <c r="D7" s="1"/>
  <c r="C7" s="1"/>
  <c r="B7" s="1"/>
  <c r="G6" i="16"/>
  <c r="F8"/>
  <c r="E6" i="10"/>
  <c r="D8"/>
  <c r="E6" i="14"/>
  <c r="D8"/>
  <c r="D16" i="16"/>
  <c r="D17" s="1"/>
  <c r="I7" i="33" s="1"/>
  <c r="C17" i="7"/>
  <c r="C22"/>
  <c r="C23" s="1"/>
  <c r="D21" i="16"/>
  <c r="D22" s="1"/>
  <c r="D23" s="1"/>
  <c r="L7" i="33" s="1"/>
  <c r="C13" i="10"/>
  <c r="C17"/>
  <c r="D8" i="13"/>
  <c r="D5" s="1"/>
  <c r="D7" s="1"/>
  <c r="C7" s="1"/>
  <c r="B7" s="1"/>
  <c r="C11"/>
  <c r="C13"/>
  <c r="D11" i="15"/>
  <c r="D17"/>
  <c r="D13"/>
  <c r="D35" s="1"/>
  <c r="D36" s="1"/>
  <c r="D23"/>
  <c r="D8" i="9"/>
  <c r="D5" s="1"/>
  <c r="D7" s="1"/>
  <c r="C7" s="1"/>
  <c r="B7" s="1"/>
  <c r="C11"/>
  <c r="C13"/>
  <c r="D8" i="7"/>
  <c r="F8" s="1"/>
  <c r="F5" s="1"/>
  <c r="F7" s="1"/>
  <c r="E7" s="1"/>
  <c r="D7"/>
  <c r="C7" s="1"/>
  <c r="B7" s="1"/>
  <c r="D8" i="19"/>
  <c r="C13"/>
  <c r="C11"/>
  <c r="E11" i="7"/>
  <c r="E13"/>
  <c r="E8" i="10"/>
  <c r="E5" l="1"/>
  <c r="E7" s="1"/>
  <c r="D7" s="1"/>
  <c r="C7" s="1"/>
  <c r="B7" s="1"/>
  <c r="I19" i="33"/>
  <c r="D11" i="14"/>
  <c r="D13"/>
  <c r="E8"/>
  <c r="E5" s="1"/>
  <c r="E7" s="1"/>
  <c r="D7" s="1"/>
  <c r="C7" s="1"/>
  <c r="B7" s="1"/>
  <c r="D11" i="10"/>
  <c r="D13"/>
  <c r="F13" i="16"/>
  <c r="F11"/>
  <c r="C9" i="33" s="1"/>
  <c r="C32" s="1"/>
  <c r="G8" i="16"/>
  <c r="G5" s="1"/>
  <c r="G7" s="1"/>
  <c r="F7" s="1"/>
  <c r="E7" s="1"/>
  <c r="D7" s="1"/>
  <c r="D5" i="19"/>
  <c r="D7" s="1"/>
  <c r="C7" s="1"/>
  <c r="B7" s="1"/>
  <c r="D13"/>
  <c r="D11"/>
  <c r="C33" i="33" s="1"/>
  <c r="L19"/>
  <c r="C47" l="1"/>
  <c r="C37"/>
  <c r="C21"/>
  <c r="C42"/>
  <c r="C27"/>
  <c r="C14"/>
  <c r="D19" i="12"/>
  <c r="D19" i="14" l="1"/>
  <c r="C19" i="9"/>
  <c r="C19" i="19"/>
  <c r="E19" i="7"/>
  <c r="C19" i="13"/>
  <c r="D20" i="12"/>
  <c r="D22" s="1"/>
  <c r="C20" i="13"/>
  <c r="D20" s="1"/>
  <c r="C20" i="9"/>
  <c r="D20" s="1"/>
  <c r="C20" i="19"/>
  <c r="D20" s="1"/>
  <c r="E20" i="7"/>
  <c r="F20" s="1"/>
  <c r="D20" i="14"/>
  <c r="E20" s="1"/>
  <c r="D20" i="10"/>
  <c r="E20" s="1"/>
  <c r="D19"/>
  <c r="D22" s="1"/>
  <c r="C22" i="13" l="1"/>
  <c r="C23" s="1"/>
  <c r="D23" i="12"/>
  <c r="C22" i="19"/>
  <c r="D22" i="14"/>
  <c r="D23" i="10"/>
  <c r="F20" i="16"/>
  <c r="G20" s="1"/>
  <c r="E20" i="12"/>
  <c r="E22" i="7"/>
  <c r="C22" i="9"/>
  <c r="F19" i="16"/>
  <c r="F22" s="1"/>
  <c r="F23" l="1"/>
  <c r="L9" i="33" s="1"/>
  <c r="L14" s="1"/>
  <c r="L21" s="1"/>
  <c r="L27" s="1"/>
  <c r="L37" s="1"/>
  <c r="L42" s="1"/>
  <c r="L47" s="1"/>
  <c r="E23" i="7"/>
  <c r="C23" i="19"/>
  <c r="C23" i="9"/>
  <c r="D23" i="14"/>
  <c r="C10" l="1"/>
  <c r="C13" l="1"/>
  <c r="C11"/>
  <c r="C10" i="7"/>
  <c r="D10"/>
  <c r="B10" i="9"/>
  <c r="B10" i="13"/>
  <c r="B10" i="14"/>
  <c r="B10" i="10"/>
  <c r="B10" i="12"/>
  <c r="B10" i="7"/>
  <c r="F10" l="1"/>
  <c r="B13"/>
  <c r="B11"/>
  <c r="C18" i="33" s="1"/>
  <c r="E10" i="12"/>
  <c r="B10" i="16"/>
  <c r="C6" i="33" s="1"/>
  <c r="B11" i="12"/>
  <c r="C13" i="33" s="1"/>
  <c r="B13" i="12"/>
  <c r="E10" i="10"/>
  <c r="B11"/>
  <c r="C41" i="33" s="1"/>
  <c r="B13" i="10"/>
  <c r="E10" i="14"/>
  <c r="B13"/>
  <c r="B11"/>
  <c r="C25" i="33" s="1"/>
  <c r="D10" i="13"/>
  <c r="B13"/>
  <c r="B11"/>
  <c r="C36" i="33" s="1"/>
  <c r="D10" i="9"/>
  <c r="B13"/>
  <c r="B11"/>
  <c r="C46" i="33" s="1"/>
  <c r="E10" i="16"/>
  <c r="D13" i="7"/>
  <c r="D11"/>
  <c r="D10" i="16"/>
  <c r="C11" i="7"/>
  <c r="C19" i="33" s="1"/>
  <c r="C13" i="7"/>
  <c r="C22" i="15" l="1"/>
  <c r="C20" i="33"/>
  <c r="C26" s="1"/>
  <c r="C22" i="10"/>
  <c r="E11" i="16"/>
  <c r="C8" i="33" s="1"/>
  <c r="E13" i="16"/>
  <c r="D13" i="13"/>
  <c r="D11"/>
  <c r="C38" i="33" s="1"/>
  <c r="E11" i="10"/>
  <c r="C43" i="33" s="1"/>
  <c r="E13" i="10"/>
  <c r="B13" i="16"/>
  <c r="B11"/>
  <c r="F13" i="7"/>
  <c r="F11"/>
  <c r="C22" i="33" s="1"/>
  <c r="D11" i="16"/>
  <c r="C7" i="33" s="1"/>
  <c r="D13" i="16"/>
  <c r="D11" i="9"/>
  <c r="C48" i="33" s="1"/>
  <c r="D13" i="9"/>
  <c r="E13" i="14"/>
  <c r="E11"/>
  <c r="C28" i="33" s="1"/>
  <c r="E11" i="12"/>
  <c r="C15" i="33" s="1"/>
  <c r="E13" i="12"/>
  <c r="C35" i="10" l="1"/>
  <c r="C36" s="1"/>
  <c r="C23"/>
  <c r="C23" i="15"/>
  <c r="C35"/>
  <c r="B10"/>
  <c r="B21" i="7"/>
  <c r="B21" i="13"/>
  <c r="D21" s="1"/>
  <c r="B21" i="16" l="1"/>
  <c r="G21" s="1"/>
  <c r="F21" i="7"/>
  <c r="E10" i="15"/>
  <c r="B13"/>
  <c r="B11"/>
  <c r="D19" i="7" l="1"/>
  <c r="D22" s="1"/>
  <c r="C10" i="16"/>
  <c r="E11" i="15"/>
  <c r="E13"/>
  <c r="B16"/>
  <c r="C13" i="16" l="1"/>
  <c r="C11"/>
  <c r="C50" i="33" s="1"/>
  <c r="G10" i="16"/>
  <c r="C19" i="14"/>
  <c r="E16" i="15"/>
  <c r="B17"/>
  <c r="D23" i="7"/>
  <c r="L20" i="33" s="1"/>
  <c r="B19" i="15"/>
  <c r="C16" i="16" l="1"/>
  <c r="C17" s="1"/>
  <c r="I50" i="33" s="1"/>
  <c r="E17" i="15"/>
  <c r="G11" i="16"/>
  <c r="C10" i="33" s="1"/>
  <c r="G13" i="16"/>
  <c r="E19" i="15"/>
  <c r="B22"/>
  <c r="C22" i="14"/>
  <c r="E19" i="16"/>
  <c r="E22" s="1"/>
  <c r="E23" l="1"/>
  <c r="L8" i="33" s="1"/>
  <c r="B23" i="15"/>
  <c r="B35"/>
  <c r="B36" s="1"/>
  <c r="C23" i="14"/>
  <c r="L26" i="33" s="1"/>
  <c r="C19" i="16"/>
  <c r="C22" s="1"/>
  <c r="E22" i="15"/>
  <c r="B16" i="13"/>
  <c r="B16" i="12"/>
  <c r="B16" i="7"/>
  <c r="B16" i="9"/>
  <c r="B16" i="14"/>
  <c r="B16" i="10"/>
  <c r="B16" i="19"/>
  <c r="D16" i="7"/>
  <c r="C16" i="14"/>
  <c r="C17" s="1"/>
  <c r="I20" i="33" s="1"/>
  <c r="I26" s="1"/>
  <c r="D16" i="10"/>
  <c r="D16" i="12"/>
  <c r="D17" l="1"/>
  <c r="D35"/>
  <c r="D36" s="1"/>
  <c r="D17" i="10"/>
  <c r="D35"/>
  <c r="D36" s="1"/>
  <c r="E16" i="7"/>
  <c r="F16" s="1"/>
  <c r="F17" s="1"/>
  <c r="I22" i="33" s="1"/>
  <c r="C16" i="19"/>
  <c r="B17"/>
  <c r="I31" i="33" s="1"/>
  <c r="D16" i="19"/>
  <c r="D17" s="1"/>
  <c r="I33" i="33" s="1"/>
  <c r="C16" i="9"/>
  <c r="D16" s="1"/>
  <c r="D17" s="1"/>
  <c r="I48" i="33" s="1"/>
  <c r="B17" i="14"/>
  <c r="I25" i="33" s="1"/>
  <c r="D16" i="14"/>
  <c r="E16" i="12"/>
  <c r="E17" s="1"/>
  <c r="I15" i="33" s="1"/>
  <c r="B16" i="16"/>
  <c r="I6" i="33" s="1"/>
  <c r="B17" i="12"/>
  <c r="I13" i="33" s="1"/>
  <c r="C23" i="16"/>
  <c r="L50" i="33" s="1"/>
  <c r="C35" i="16"/>
  <c r="C36" s="1"/>
  <c r="E16"/>
  <c r="D17" i="7"/>
  <c r="D35"/>
  <c r="C35" s="1"/>
  <c r="C36" s="1"/>
  <c r="C16" i="13"/>
  <c r="B17" i="10"/>
  <c r="I41" i="33" s="1"/>
  <c r="E16" i="10"/>
  <c r="E17" s="1"/>
  <c r="I43" i="33" s="1"/>
  <c r="B17" i="9"/>
  <c r="I46" i="33" s="1"/>
  <c r="B17" i="7"/>
  <c r="I18" i="33" s="1"/>
  <c r="B17" i="13"/>
  <c r="I36" i="33" s="1"/>
  <c r="E23" i="15"/>
  <c r="E35"/>
  <c r="C35" i="14"/>
  <c r="B19" i="19"/>
  <c r="B19" i="9"/>
  <c r="B19" i="12"/>
  <c r="B19" i="7"/>
  <c r="B19" i="13"/>
  <c r="B19" i="14"/>
  <c r="B19" i="10"/>
  <c r="B22" i="13" l="1"/>
  <c r="D19"/>
  <c r="D22" s="1"/>
  <c r="B22" i="19"/>
  <c r="D19"/>
  <c r="E42" i="15"/>
  <c r="E36"/>
  <c r="C17" i="13"/>
  <c r="C35"/>
  <c r="C36" s="1"/>
  <c r="F19" i="33"/>
  <c r="E17" i="16"/>
  <c r="I8" i="33" s="1"/>
  <c r="E35" i="16"/>
  <c r="B17"/>
  <c r="D17" i="14"/>
  <c r="D35"/>
  <c r="D36" s="1"/>
  <c r="C36" s="1"/>
  <c r="C17" i="9"/>
  <c r="C35"/>
  <c r="C36" s="1"/>
  <c r="C17" i="19"/>
  <c r="C35"/>
  <c r="E17" i="7"/>
  <c r="E35"/>
  <c r="E36" s="1"/>
  <c r="D36" s="1"/>
  <c r="F16" i="16"/>
  <c r="G16" s="1"/>
  <c r="G17" s="1"/>
  <c r="I10" i="33" s="1"/>
  <c r="E19" i="10"/>
  <c r="E22" s="1"/>
  <c r="B22"/>
  <c r="B22" i="12"/>
  <c r="B19" i="16"/>
  <c r="E19" i="12"/>
  <c r="E22" s="1"/>
  <c r="B22" i="14"/>
  <c r="E19"/>
  <c r="E22" s="1"/>
  <c r="B22" i="7"/>
  <c r="F19"/>
  <c r="F22" s="1"/>
  <c r="D19" i="9"/>
  <c r="D22" s="1"/>
  <c r="B22"/>
  <c r="D16" i="13"/>
  <c r="D17" s="1"/>
  <c r="I38" i="33" s="1"/>
  <c r="E16" i="14"/>
  <c r="E17" s="1"/>
  <c r="I28" i="33" s="1"/>
  <c r="B23" i="9" l="1"/>
  <c r="B35"/>
  <c r="F23" i="7"/>
  <c r="L22" i="33" s="1"/>
  <c r="L32" s="1"/>
  <c r="F35" i="7"/>
  <c r="E23" i="14"/>
  <c r="L28" i="33" s="1"/>
  <c r="E35" i="14"/>
  <c r="E23" i="12"/>
  <c r="L15" i="33" s="1"/>
  <c r="E35" i="12"/>
  <c r="B23"/>
  <c r="L13" i="33" s="1"/>
  <c r="B35" i="12"/>
  <c r="B36" s="1"/>
  <c r="E23" i="10"/>
  <c r="L43" i="33" s="1"/>
  <c r="E35" i="10"/>
  <c r="B23" i="19"/>
  <c r="B35"/>
  <c r="B23" i="13"/>
  <c r="B35"/>
  <c r="D23" i="9"/>
  <c r="L48" i="33" s="1"/>
  <c r="D35" i="9"/>
  <c r="B23" i="7"/>
  <c r="L18" i="33" s="1"/>
  <c r="B35" i="7"/>
  <c r="B36" s="1"/>
  <c r="B23" i="14"/>
  <c r="B35"/>
  <c r="B36" s="1"/>
  <c r="B22" i="16"/>
  <c r="L6" i="33" s="1"/>
  <c r="G19" i="16"/>
  <c r="B23" i="10"/>
  <c r="B35"/>
  <c r="B36" s="1"/>
  <c r="F41" i="33" s="1"/>
  <c r="F17" i="16"/>
  <c r="I9" i="33" s="1"/>
  <c r="I14" s="1"/>
  <c r="I21" s="1"/>
  <c r="I27" s="1"/>
  <c r="I37" s="1"/>
  <c r="I42" s="1"/>
  <c r="I47" s="1"/>
  <c r="F35" i="16"/>
  <c r="F36" s="1"/>
  <c r="F9" i="33" s="1"/>
  <c r="F20"/>
  <c r="F26" s="1"/>
  <c r="D35" i="16"/>
  <c r="D36" s="1"/>
  <c r="F7" i="33" s="1"/>
  <c r="E36" i="16"/>
  <c r="F8" i="33" s="1"/>
  <c r="D23" i="13"/>
  <c r="L38" i="33" s="1"/>
  <c r="D35" i="13"/>
  <c r="B36" i="9"/>
  <c r="B36" i="13"/>
  <c r="D22" i="19" l="1"/>
  <c r="L31" i="33"/>
  <c r="F14"/>
  <c r="F21" s="1"/>
  <c r="F27" s="1"/>
  <c r="F37" s="1"/>
  <c r="F42" s="1"/>
  <c r="F47" s="1"/>
  <c r="F36"/>
  <c r="F46"/>
  <c r="L41"/>
  <c r="B23" i="16"/>
  <c r="G22" s="1"/>
  <c r="B35"/>
  <c r="F6" i="33" s="1"/>
  <c r="L25"/>
  <c r="L36"/>
  <c r="D35" i="19"/>
  <c r="D23"/>
  <c r="L33" i="33" s="1"/>
  <c r="L46"/>
  <c r="F25"/>
  <c r="D42" i="13"/>
  <c r="D36"/>
  <c r="F38" i="33" s="1"/>
  <c r="F18"/>
  <c r="D36" i="9"/>
  <c r="F48" i="33" s="1"/>
  <c r="D42" i="9"/>
  <c r="E42" i="10"/>
  <c r="E36"/>
  <c r="F43" i="33" s="1"/>
  <c r="F13"/>
  <c r="E42" i="12"/>
  <c r="E36"/>
  <c r="F15" i="33" s="1"/>
  <c r="E36" i="14"/>
  <c r="F28" i="33" s="1"/>
  <c r="E42" i="14"/>
  <c r="F42" i="7"/>
  <c r="F36"/>
  <c r="F22" i="33" s="1"/>
  <c r="D42" i="19" l="1"/>
  <c r="D36"/>
  <c r="G23" i="16"/>
  <c r="L10" i="33" s="1"/>
  <c r="G35" i="16"/>
  <c r="G42" s="1"/>
  <c r="B36"/>
  <c r="C36" i="19" l="1"/>
  <c r="F33" i="33"/>
  <c r="G36" i="16"/>
  <c r="F10" i="33" s="1"/>
  <c r="B36" i="19" l="1"/>
  <c r="F31" i="33" s="1"/>
  <c r="F32"/>
</calcChain>
</file>

<file path=xl/sharedStrings.xml><?xml version="1.0" encoding="utf-8"?>
<sst xmlns="http://schemas.openxmlformats.org/spreadsheetml/2006/main" count="286" uniqueCount="62">
  <si>
    <t>Total</t>
  </si>
  <si>
    <t>Regular Bus</t>
  </si>
  <si>
    <t>CMAQ Bus</t>
  </si>
  <si>
    <t>Service Hours</t>
  </si>
  <si>
    <t>Operation Cost per Hour</t>
  </si>
  <si>
    <t>Admin Cost per Hour</t>
  </si>
  <si>
    <t>Service Cost</t>
  </si>
  <si>
    <t>% Farebox Recovery</t>
  </si>
  <si>
    <t>Operating Profit/(Loss)</t>
  </si>
  <si>
    <t xml:space="preserve">    Federal Maintenance</t>
  </si>
  <si>
    <t xml:space="preserve">    Federal ADA</t>
  </si>
  <si>
    <t xml:space="preserve">    Federal CMAQ</t>
  </si>
  <si>
    <t>Commission Expense</t>
  </si>
  <si>
    <t>Vanpool Profit</t>
  </si>
  <si>
    <t>Advance Capital Contribution</t>
  </si>
  <si>
    <t>Ferry</t>
  </si>
  <si>
    <t>Total Norfolk Cost</t>
  </si>
  <si>
    <t>Total Hampton Cost</t>
  </si>
  <si>
    <t>Total Newport News Cost</t>
  </si>
  <si>
    <t>Total Suffolk Cost</t>
  </si>
  <si>
    <t>Total Chesapeake Cost</t>
  </si>
  <si>
    <t>Total Virginia Beach Cost</t>
  </si>
  <si>
    <t>Total Portsmouth Cost</t>
  </si>
  <si>
    <t>MAX</t>
  </si>
  <si>
    <t>Navy Shuttle</t>
  </si>
  <si>
    <t>Net Operating Cost</t>
  </si>
  <si>
    <t>Residential Bus</t>
  </si>
  <si>
    <t>CMAQ MAX</t>
  </si>
  <si>
    <t>Passenger Revenue</t>
  </si>
  <si>
    <t>Federal Assistance</t>
  </si>
  <si>
    <t>Federal Assistance %</t>
  </si>
  <si>
    <t>Total Local Cost</t>
  </si>
  <si>
    <t>Service Cost Per Hour</t>
  </si>
  <si>
    <t>Light Rail</t>
  </si>
  <si>
    <t>Budget</t>
  </si>
  <si>
    <t>Bus</t>
  </si>
  <si>
    <t>Chesapeake</t>
  </si>
  <si>
    <t>Norfolk</t>
  </si>
  <si>
    <t>Portsmouth</t>
  </si>
  <si>
    <t>VA Beach</t>
  </si>
  <si>
    <t>Hampton</t>
  </si>
  <si>
    <t>Newport News</t>
  </si>
  <si>
    <t>System-wide</t>
  </si>
  <si>
    <t>Paratransit</t>
  </si>
  <si>
    <t>*MAX services are funded by Passenger Revenue, Federal Maintenance and State Operating Assistance and therefore do not require any municipal funds.</t>
  </si>
  <si>
    <t>October</t>
  </si>
  <si>
    <t>Total MAX Cost</t>
  </si>
  <si>
    <t>Local Assistance</t>
  </si>
  <si>
    <t>State Assistance</t>
  </si>
  <si>
    <t>State Assistance %</t>
  </si>
  <si>
    <t>Local Assistance %</t>
  </si>
  <si>
    <t>Suffolk</t>
  </si>
  <si>
    <t>October 2011 Comparison Summary</t>
  </si>
  <si>
    <t>October 2011 Operating Financial Summary - System</t>
  </si>
  <si>
    <t>October 2011 Operating Financial Summary - Chesapeake</t>
  </si>
  <si>
    <t>October 2011 Operating Financial Summary - Norfolk</t>
  </si>
  <si>
    <t>October 2011 Operating Financial Summary - Portsmouth</t>
  </si>
  <si>
    <t>October 2011 Operating Financial Summary - Suffolk</t>
  </si>
  <si>
    <t>October 2011 Operating Financial Summary - Virginia Beach</t>
  </si>
  <si>
    <t xml:space="preserve">October 2011 Operating Financial Summary - Hampton </t>
  </si>
  <si>
    <t>October 2011 Operating Financial Summary - Newport News</t>
  </si>
  <si>
    <t>October 2011 Operating Financial Summary - MAX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</si>
</sst>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0.0%"/>
  </numFmts>
  <fonts count="15">
    <font>
      <sz val="10"/>
      <name val="Book Antiqua"/>
    </font>
    <font>
      <sz val="10"/>
      <color theme="1"/>
      <name val="Times New Roman"/>
      <family val="2"/>
    </font>
    <font>
      <sz val="10"/>
      <name val="Book Antiqua"/>
      <family val="1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i/>
      <sz val="9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21">
    <xf numFmtId="0" fontId="0" fillId="0" borderId="0" xfId="0"/>
    <xf numFmtId="0" fontId="3" fillId="0" borderId="0" xfId="0" applyFont="1"/>
    <xf numFmtId="164" fontId="3" fillId="0" borderId="0" xfId="1" applyNumberFormat="1" applyFont="1"/>
    <xf numFmtId="0" fontId="7" fillId="0" borderId="0" xfId="0" applyFont="1"/>
    <xf numFmtId="0" fontId="5" fillId="2" borderId="0" xfId="0" applyFont="1" applyFill="1"/>
    <xf numFmtId="164" fontId="3" fillId="2" borderId="0" xfId="1" applyNumberFormat="1" applyFont="1" applyFill="1"/>
    <xf numFmtId="0" fontId="3" fillId="2" borderId="0" xfId="0" applyFont="1" applyFill="1"/>
    <xf numFmtId="164" fontId="5" fillId="2" borderId="0" xfId="1" applyNumberFormat="1" applyFont="1" applyFill="1" applyAlignment="1">
      <alignment horizontal="center"/>
    </xf>
    <xf numFmtId="0" fontId="3" fillId="2" borderId="1" xfId="0" applyFont="1" applyFill="1" applyBorder="1"/>
    <xf numFmtId="164" fontId="3" fillId="2" borderId="2" xfId="1" applyNumberFormat="1" applyFont="1" applyFill="1" applyBorder="1"/>
    <xf numFmtId="164" fontId="3" fillId="2" borderId="3" xfId="1" applyNumberFormat="1" applyFont="1" applyFill="1" applyBorder="1"/>
    <xf numFmtId="0" fontId="3" fillId="2" borderId="4" xfId="0" applyFont="1" applyFill="1" applyBorder="1"/>
    <xf numFmtId="44" fontId="3" fillId="2" borderId="0" xfId="2" applyFont="1" applyFill="1" applyBorder="1"/>
    <xf numFmtId="44" fontId="3" fillId="2" borderId="5" xfId="2" applyFont="1" applyFill="1" applyBorder="1"/>
    <xf numFmtId="0" fontId="5" fillId="2" borderId="6" xfId="0" applyFont="1" applyFill="1" applyBorder="1"/>
    <xf numFmtId="165" fontId="5" fillId="2" borderId="7" xfId="2" applyNumberFormat="1" applyFont="1" applyFill="1" applyBorder="1"/>
    <xf numFmtId="165" fontId="5" fillId="2" borderId="8" xfId="2" applyNumberFormat="1" applyFont="1" applyFill="1" applyBorder="1"/>
    <xf numFmtId="0" fontId="5" fillId="2" borderId="1" xfId="0" applyFont="1" applyFill="1" applyBorder="1"/>
    <xf numFmtId="165" fontId="5" fillId="2" borderId="2" xfId="2" applyNumberFormat="1" applyFont="1" applyFill="1" applyBorder="1"/>
    <xf numFmtId="165" fontId="5" fillId="2" borderId="3" xfId="2" applyNumberFormat="1" applyFont="1" applyFill="1" applyBorder="1"/>
    <xf numFmtId="0" fontId="3" fillId="2" borderId="6" xfId="0" applyFont="1" applyFill="1" applyBorder="1"/>
    <xf numFmtId="166" fontId="3" fillId="2" borderId="7" xfId="3" applyNumberFormat="1" applyFont="1" applyFill="1" applyBorder="1"/>
    <xf numFmtId="166" fontId="3" fillId="2" borderId="8" xfId="3" applyNumberFormat="1" applyFont="1" applyFill="1" applyBorder="1"/>
    <xf numFmtId="165" fontId="5" fillId="2" borderId="0" xfId="2" applyNumberFormat="1" applyFont="1" applyFill="1"/>
    <xf numFmtId="165" fontId="3" fillId="2" borderId="0" xfId="2" applyNumberFormat="1" applyFont="1" applyFill="1"/>
    <xf numFmtId="165" fontId="3" fillId="2" borderId="0" xfId="2" applyNumberFormat="1" applyFont="1" applyFill="1" applyBorder="1"/>
    <xf numFmtId="165" fontId="5" fillId="2" borderId="0" xfId="2" applyNumberFormat="1" applyFont="1" applyFill="1" applyBorder="1"/>
    <xf numFmtId="164" fontId="5" fillId="2" borderId="2" xfId="1" applyNumberFormat="1" applyFont="1" applyFill="1" applyBorder="1"/>
    <xf numFmtId="43" fontId="3" fillId="2" borderId="0" xfId="1" applyFont="1" applyFill="1"/>
    <xf numFmtId="0" fontId="3" fillId="2" borderId="0" xfId="0" applyFont="1" applyFill="1" applyAlignment="1">
      <alignment horizontal="right"/>
    </xf>
    <xf numFmtId="0" fontId="5" fillId="2" borderId="0" xfId="0" applyFont="1" applyFill="1" applyAlignment="1">
      <alignment horizontal="right"/>
    </xf>
    <xf numFmtId="0" fontId="5" fillId="0" borderId="0" xfId="0" applyFont="1"/>
    <xf numFmtId="165" fontId="5" fillId="2" borderId="5" xfId="2" applyNumberFormat="1" applyFont="1" applyFill="1" applyBorder="1"/>
    <xf numFmtId="165" fontId="3" fillId="2" borderId="5" xfId="2" applyNumberFormat="1" applyFont="1" applyFill="1" applyBorder="1"/>
    <xf numFmtId="166" fontId="4" fillId="2" borderId="5" xfId="3" applyNumberFormat="1" applyFont="1" applyFill="1" applyBorder="1"/>
    <xf numFmtId="0" fontId="5" fillId="2" borderId="9" xfId="0" applyFont="1" applyFill="1" applyBorder="1"/>
    <xf numFmtId="165" fontId="5" fillId="2" borderId="10" xfId="2" applyNumberFormat="1" applyFont="1" applyFill="1" applyBorder="1"/>
    <xf numFmtId="165" fontId="5" fillId="2" borderId="11" xfId="2" applyNumberFormat="1" applyFont="1" applyFill="1" applyBorder="1"/>
    <xf numFmtId="166" fontId="4" fillId="2" borderId="0" xfId="3" applyNumberFormat="1" applyFont="1" applyFill="1" applyBorder="1"/>
    <xf numFmtId="0" fontId="7" fillId="2" borderId="0" xfId="0" applyFont="1" applyFill="1"/>
    <xf numFmtId="44" fontId="3" fillId="0" borderId="0" xfId="2" applyFont="1" applyBorder="1"/>
    <xf numFmtId="0" fontId="3" fillId="2" borderId="0" xfId="0" applyFont="1" applyFill="1" applyAlignment="1">
      <alignment vertical="center" wrapText="1"/>
    </xf>
    <xf numFmtId="164" fontId="5" fillId="2" borderId="0" xfId="1" applyNumberFormat="1" applyFont="1" applyFill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9" fillId="2" borderId="0" xfId="0" applyFont="1" applyFill="1"/>
    <xf numFmtId="0" fontId="9" fillId="2" borderId="1" xfId="0" applyFont="1" applyFill="1" applyBorder="1"/>
    <xf numFmtId="164" fontId="9" fillId="2" borderId="2" xfId="1" applyNumberFormat="1" applyFont="1" applyFill="1" applyBorder="1"/>
    <xf numFmtId="164" fontId="9" fillId="2" borderId="3" xfId="1" applyNumberFormat="1" applyFont="1" applyFill="1" applyBorder="1"/>
    <xf numFmtId="0" fontId="9" fillId="2" borderId="4" xfId="0" applyFont="1" applyFill="1" applyBorder="1"/>
    <xf numFmtId="44" fontId="9" fillId="2" borderId="0" xfId="2" applyFont="1" applyFill="1" applyBorder="1"/>
    <xf numFmtId="44" fontId="9" fillId="2" borderId="5" xfId="2" applyFont="1" applyFill="1" applyBorder="1"/>
    <xf numFmtId="0" fontId="8" fillId="2" borderId="6" xfId="0" applyFont="1" applyFill="1" applyBorder="1"/>
    <xf numFmtId="165" fontId="8" fillId="2" borderId="7" xfId="2" applyNumberFormat="1" applyFont="1" applyFill="1" applyBorder="1"/>
    <xf numFmtId="165" fontId="8" fillId="2" borderId="8" xfId="2" applyNumberFormat="1" applyFont="1" applyFill="1" applyBorder="1"/>
    <xf numFmtId="164" fontId="9" fillId="2" borderId="0" xfId="1" applyNumberFormat="1" applyFont="1" applyFill="1"/>
    <xf numFmtId="0" fontId="8" fillId="2" borderId="1" xfId="0" applyFont="1" applyFill="1" applyBorder="1"/>
    <xf numFmtId="165" fontId="8" fillId="2" borderId="2" xfId="2" applyNumberFormat="1" applyFont="1" applyFill="1" applyBorder="1"/>
    <xf numFmtId="165" fontId="8" fillId="2" borderId="3" xfId="2" applyNumberFormat="1" applyFont="1" applyFill="1" applyBorder="1"/>
    <xf numFmtId="0" fontId="9" fillId="2" borderId="6" xfId="0" applyFont="1" applyFill="1" applyBorder="1"/>
    <xf numFmtId="166" fontId="9" fillId="2" borderId="7" xfId="3" applyNumberFormat="1" applyFont="1" applyFill="1" applyBorder="1"/>
    <xf numFmtId="166" fontId="9" fillId="2" borderId="8" xfId="3" applyNumberFormat="1" applyFont="1" applyFill="1" applyBorder="1"/>
    <xf numFmtId="0" fontId="8" fillId="2" borderId="9" xfId="0" applyFont="1" applyFill="1" applyBorder="1"/>
    <xf numFmtId="165" fontId="8" fillId="2" borderId="10" xfId="2" applyNumberFormat="1" applyFont="1" applyFill="1" applyBorder="1"/>
    <xf numFmtId="165" fontId="8" fillId="2" borderId="11" xfId="2" applyNumberFormat="1" applyFont="1" applyFill="1" applyBorder="1"/>
    <xf numFmtId="0" fontId="8" fillId="2" borderId="0" xfId="0" applyFont="1" applyFill="1"/>
    <xf numFmtId="165" fontId="8" fillId="2" borderId="0" xfId="2" applyNumberFormat="1" applyFont="1" applyFill="1"/>
    <xf numFmtId="0" fontId="9" fillId="2" borderId="4" xfId="0" applyFont="1" applyFill="1" applyBorder="1" applyAlignment="1">
      <alignment horizontal="left"/>
    </xf>
    <xf numFmtId="165" fontId="9" fillId="2" borderId="0" xfId="2" applyNumberFormat="1" applyFont="1" applyFill="1" applyBorder="1"/>
    <xf numFmtId="165" fontId="9" fillId="2" borderId="5" xfId="2" applyNumberFormat="1" applyFont="1" applyFill="1" applyBorder="1"/>
    <xf numFmtId="0" fontId="8" fillId="2" borderId="4" xfId="0" applyFont="1" applyFill="1" applyBorder="1"/>
    <xf numFmtId="165" fontId="8" fillId="2" borderId="0" xfId="2" applyNumberFormat="1" applyFont="1" applyFill="1" applyBorder="1"/>
    <xf numFmtId="165" fontId="8" fillId="2" borderId="5" xfId="2" applyNumberFormat="1" applyFont="1" applyFill="1" applyBorder="1"/>
    <xf numFmtId="166" fontId="7" fillId="2" borderId="0" xfId="3" applyNumberFormat="1" applyFont="1" applyFill="1" applyBorder="1"/>
    <xf numFmtId="166" fontId="7" fillId="2" borderId="5" xfId="3" applyNumberFormat="1" applyFont="1" applyFill="1" applyBorder="1"/>
    <xf numFmtId="164" fontId="9" fillId="2" borderId="0" xfId="1" applyNumberFormat="1" applyFont="1" applyFill="1" applyBorder="1"/>
    <xf numFmtId="0" fontId="9" fillId="2" borderId="0" xfId="0" applyFont="1" applyFill="1" applyAlignment="1">
      <alignment horizontal="right"/>
    </xf>
    <xf numFmtId="164" fontId="9" fillId="2" borderId="0" xfId="1" applyNumberFormat="1" applyFont="1" applyFill="1" applyAlignment="1">
      <alignment horizontal="right"/>
    </xf>
    <xf numFmtId="164" fontId="8" fillId="2" borderId="0" xfId="1" applyNumberFormat="1" applyFont="1" applyFill="1" applyAlignment="1">
      <alignment horizontal="right"/>
    </xf>
    <xf numFmtId="164" fontId="8" fillId="2" borderId="0" xfId="1" applyNumberFormat="1" applyFont="1" applyFill="1"/>
    <xf numFmtId="164" fontId="9" fillId="2" borderId="0" xfId="0" applyNumberFormat="1" applyFont="1" applyFill="1"/>
    <xf numFmtId="0" fontId="9" fillId="2" borderId="0" xfId="0" applyFont="1" applyFill="1" applyAlignment="1">
      <alignment vertical="center" wrapText="1"/>
    </xf>
    <xf numFmtId="164" fontId="8" fillId="2" borderId="0" xfId="1" applyNumberFormat="1" applyFont="1" applyFill="1" applyAlignment="1">
      <alignment horizontal="center" vertical="center" wrapText="1"/>
    </xf>
    <xf numFmtId="0" fontId="8" fillId="2" borderId="0" xfId="0" applyFont="1" applyFill="1" applyBorder="1"/>
    <xf numFmtId="0" fontId="5" fillId="2" borderId="0" xfId="0" applyFont="1" applyFill="1" applyBorder="1"/>
    <xf numFmtId="0" fontId="3" fillId="0" borderId="0" xfId="0" applyFont="1" applyBorder="1"/>
    <xf numFmtId="0" fontId="3" fillId="2" borderId="0" xfId="0" applyFont="1" applyFill="1" applyBorder="1"/>
    <xf numFmtId="0" fontId="9" fillId="2" borderId="0" xfId="0" applyFont="1" applyFill="1" applyBorder="1"/>
    <xf numFmtId="0" fontId="8" fillId="2" borderId="1" xfId="0" applyFont="1" applyFill="1" applyBorder="1" applyAlignment="1">
      <alignment horizontal="left"/>
    </xf>
    <xf numFmtId="164" fontId="3" fillId="0" borderId="0" xfId="1" applyNumberFormat="1" applyFont="1" applyBorder="1"/>
    <xf numFmtId="166" fontId="6" fillId="2" borderId="0" xfId="3" applyNumberFormat="1" applyFont="1" applyFill="1" applyBorder="1"/>
    <xf numFmtId="164" fontId="3" fillId="2" borderId="0" xfId="1" applyNumberFormat="1" applyFont="1" applyFill="1" applyBorder="1"/>
    <xf numFmtId="164" fontId="3" fillId="0" borderId="5" xfId="1" applyNumberFormat="1" applyFont="1" applyBorder="1"/>
    <xf numFmtId="166" fontId="6" fillId="2" borderId="5" xfId="3" applyNumberFormat="1" applyFont="1" applyFill="1" applyBorder="1"/>
    <xf numFmtId="164" fontId="3" fillId="2" borderId="5" xfId="1" applyNumberFormat="1" applyFont="1" applyFill="1" applyBorder="1"/>
    <xf numFmtId="166" fontId="10" fillId="2" borderId="0" xfId="3" applyNumberFormat="1" applyFont="1" applyFill="1" applyBorder="1"/>
    <xf numFmtId="0" fontId="8" fillId="2" borderId="4" xfId="0" applyFont="1" applyFill="1" applyBorder="1" applyAlignment="1">
      <alignment horizontal="left"/>
    </xf>
    <xf numFmtId="164" fontId="9" fillId="2" borderId="5" xfId="1" applyNumberFormat="1" applyFont="1" applyFill="1" applyBorder="1"/>
    <xf numFmtId="166" fontId="10" fillId="2" borderId="5" xfId="3" applyNumberFormat="1" applyFont="1" applyFill="1" applyBorder="1"/>
    <xf numFmtId="0" fontId="9" fillId="2" borderId="0" xfId="0" applyFont="1" applyFill="1" applyAlignment="1"/>
    <xf numFmtId="0" fontId="11" fillId="3" borderId="0" xfId="4" applyFont="1" applyFill="1"/>
    <xf numFmtId="166" fontId="11" fillId="3" borderId="0" xfId="5" applyNumberFormat="1" applyFont="1" applyFill="1" applyAlignment="1">
      <alignment horizontal="center"/>
    </xf>
    <xf numFmtId="0" fontId="12" fillId="3" borderId="0" xfId="4" applyFont="1" applyFill="1"/>
    <xf numFmtId="166" fontId="11" fillId="3" borderId="0" xfId="5" applyNumberFormat="1" applyFont="1" applyFill="1" applyBorder="1" applyAlignment="1">
      <alignment horizontal="center"/>
    </xf>
    <xf numFmtId="0" fontId="12" fillId="3" borderId="0" xfId="4" applyFont="1" applyFill="1" applyAlignment="1">
      <alignment horizontal="center"/>
    </xf>
    <xf numFmtId="166" fontId="12" fillId="3" borderId="0" xfId="5" applyNumberFormat="1" applyFont="1" applyFill="1" applyAlignment="1">
      <alignment horizontal="center"/>
    </xf>
    <xf numFmtId="0" fontId="11" fillId="3" borderId="0" xfId="4" applyFont="1" applyFill="1" applyAlignment="1">
      <alignment horizontal="center"/>
    </xf>
    <xf numFmtId="166" fontId="3" fillId="3" borderId="0" xfId="5" applyNumberFormat="1" applyFont="1" applyFill="1" applyAlignment="1">
      <alignment horizontal="center"/>
    </xf>
    <xf numFmtId="0" fontId="12" fillId="3" borderId="0" xfId="4" applyFont="1" applyFill="1" applyBorder="1" applyAlignment="1">
      <alignment horizontal="center"/>
    </xf>
    <xf numFmtId="0" fontId="12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166" fontId="5" fillId="3" borderId="0" xfId="5" applyNumberFormat="1" applyFont="1" applyFill="1" applyAlignment="1">
      <alignment horizontal="center"/>
    </xf>
    <xf numFmtId="0" fontId="14" fillId="2" borderId="0" xfId="0" applyFont="1" applyFill="1"/>
    <xf numFmtId="166" fontId="11" fillId="3" borderId="12" xfId="5" applyNumberFormat="1" applyFont="1" applyFill="1" applyBorder="1" applyAlignment="1">
      <alignment horizontal="center" wrapText="1"/>
    </xf>
    <xf numFmtId="166" fontId="11" fillId="3" borderId="12" xfId="5" applyNumberFormat="1" applyFont="1" applyFill="1" applyBorder="1" applyAlignment="1">
      <alignment horizontal="center"/>
    </xf>
    <xf numFmtId="0" fontId="13" fillId="3" borderId="0" xfId="4" applyFont="1" applyFill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5" fillId="2" borderId="0" xfId="0" applyFont="1" applyFill="1" applyAlignment="1">
      <alignment horizontal="right"/>
    </xf>
    <xf numFmtId="0" fontId="3" fillId="2" borderId="0" xfId="0" applyFont="1" applyFill="1" applyAlignment="1">
      <alignment wrapText="1"/>
    </xf>
    <xf numFmtId="0" fontId="3" fillId="0" borderId="0" xfId="0" applyFont="1" applyAlignment="1">
      <alignment horizontal="left" wrapText="1"/>
    </xf>
  </cellXfs>
  <cellStyles count="6">
    <cellStyle name="Comma" xfId="1" builtinId="3"/>
    <cellStyle name="Currency" xfId="2" builtinId="4"/>
    <cellStyle name="Normal" xfId="0" builtinId="0"/>
    <cellStyle name="Normal 2" xfId="4"/>
    <cellStyle name="Percent" xfId="3" builtinId="5"/>
    <cellStyle name="Percent 2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hli\Local%20Settings\Temporary%20Internet%20Files\Content.Outlook\VYBP6ZIK\October%20Allocation%20Results%20V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llocation Inputs"/>
      <sheetName val="Cost Allocation"/>
      <sheetName val="PT Rev &amp; Hrs"/>
      <sheetName val="System ridership Sept"/>
      <sheetName val="Revenue Recon"/>
    </sheetNames>
    <sheetDataSet>
      <sheetData sheetId="0"/>
      <sheetData sheetId="1">
        <row r="8">
          <cell r="Q8">
            <v>0</v>
          </cell>
        </row>
        <row r="10">
          <cell r="Q10">
            <v>0</v>
          </cell>
        </row>
        <row r="14">
          <cell r="E14">
            <v>2829.5</v>
          </cell>
          <cell r="F14">
            <v>32079.09816148215</v>
          </cell>
          <cell r="S14">
            <v>61379.81099475544</v>
          </cell>
          <cell r="W14">
            <v>118093.32056885693</v>
          </cell>
        </row>
        <row r="26">
          <cell r="E26">
            <v>3018.6</v>
          </cell>
          <cell r="F26">
            <v>60340.245013312386</v>
          </cell>
          <cell r="G26">
            <v>54.675826315715568</v>
          </cell>
          <cell r="I26">
            <v>20.090821404763147</v>
          </cell>
          <cell r="U26">
            <v>40095.012999544138</v>
          </cell>
          <cell r="W26">
            <v>54034.738476837054</v>
          </cell>
        </row>
        <row r="28">
          <cell r="E28">
            <v>1777.8145837679951</v>
          </cell>
          <cell r="F28">
            <v>6267.5933278766579</v>
          </cell>
          <cell r="G28">
            <v>45.394923397213468</v>
          </cell>
          <cell r="U28">
            <v>20682.837408803705</v>
          </cell>
          <cell r="W28">
            <v>27506.996095871164</v>
          </cell>
          <cell r="X28">
            <v>17177.580914269565</v>
          </cell>
        </row>
        <row r="30">
          <cell r="AF30">
            <v>14757.40857142857</v>
          </cell>
          <cell r="AG30">
            <v>-3064.8697373694881</v>
          </cell>
          <cell r="AK30">
            <v>7436.6196673821414</v>
          </cell>
        </row>
        <row r="64">
          <cell r="E64">
            <v>23724</v>
          </cell>
          <cell r="F64">
            <v>457376.12711907586</v>
          </cell>
          <cell r="Q64">
            <v>128848.57267443548</v>
          </cell>
          <cell r="U64">
            <v>276562.83167383197</v>
          </cell>
          <cell r="W64">
            <v>372714.68853443005</v>
          </cell>
        </row>
        <row r="65">
          <cell r="E65">
            <v>2401</v>
          </cell>
          <cell r="F65">
            <v>129192.10773043519</v>
          </cell>
          <cell r="G65">
            <v>264.38020824656394</v>
          </cell>
          <cell r="Q65">
            <v>359265.85959343193</v>
          </cell>
          <cell r="U65">
            <v>102452.24132892545</v>
          </cell>
          <cell r="W65">
            <v>45454.545454545456</v>
          </cell>
        </row>
        <row r="68">
          <cell r="E68">
            <v>227.5</v>
          </cell>
          <cell r="F68">
            <v>15838.367643866019</v>
          </cell>
          <cell r="G68">
            <v>558.59760439560444</v>
          </cell>
          <cell r="U68">
            <v>23388.538220456183</v>
          </cell>
          <cell r="W68">
            <v>61190.047992154447</v>
          </cell>
        </row>
        <row r="69">
          <cell r="E69">
            <v>4174.9915919048617</v>
          </cell>
          <cell r="F69">
            <v>14718.716835984102</v>
          </cell>
          <cell r="U69">
            <v>48571.247568165738</v>
          </cell>
          <cell r="W69">
            <v>64596.993672658937</v>
          </cell>
          <cell r="X69">
            <v>40339.558771276133</v>
          </cell>
        </row>
        <row r="71">
          <cell r="AK71">
            <v>47331.468204705925</v>
          </cell>
        </row>
        <row r="83">
          <cell r="E83">
            <v>5525.9</v>
          </cell>
          <cell r="F83">
            <v>90964.052587795974</v>
          </cell>
          <cell r="N83">
            <v>10474.282240420491</v>
          </cell>
          <cell r="U83">
            <v>71012.435866349682</v>
          </cell>
          <cell r="W83">
            <v>95701.138709818973</v>
          </cell>
        </row>
        <row r="85">
          <cell r="E85">
            <v>227.5</v>
          </cell>
          <cell r="F85">
            <v>15960.828151576417</v>
          </cell>
          <cell r="U85">
            <v>23388.538220456183</v>
          </cell>
          <cell r="W85">
            <v>61190.047992154447</v>
          </cell>
        </row>
        <row r="86">
          <cell r="E86">
            <v>1047.0625286876696</v>
          </cell>
          <cell r="F86">
            <v>3691.3647680645386</v>
          </cell>
          <cell r="U86">
            <v>12181.37382572179</v>
          </cell>
          <cell r="W86">
            <v>16200.533594285846</v>
          </cell>
          <cell r="X86">
            <v>10116.91628196212</v>
          </cell>
        </row>
        <row r="88">
          <cell r="AK88">
            <v>10543.803606819369</v>
          </cell>
        </row>
        <row r="95">
          <cell r="E95">
            <v>1002.4</v>
          </cell>
          <cell r="F95">
            <v>5175</v>
          </cell>
          <cell r="U95">
            <v>13314.530255993852</v>
          </cell>
          <cell r="W95">
            <v>17943.557228245365</v>
          </cell>
        </row>
        <row r="96">
          <cell r="E96">
            <v>174.52545378677237</v>
          </cell>
          <cell r="F96">
            <v>615.28045707682679</v>
          </cell>
          <cell r="U96">
            <v>2030.4038550066041</v>
          </cell>
          <cell r="W96">
            <v>2700.3215182137233</v>
          </cell>
          <cell r="X96">
            <v>1686.2979589625897</v>
          </cell>
        </row>
        <row r="97">
          <cell r="AK97">
            <v>1824.7686524624073</v>
          </cell>
        </row>
        <row r="116">
          <cell r="E116">
            <v>8982</v>
          </cell>
          <cell r="F116">
            <v>159914.34902327211</v>
          </cell>
          <cell r="Q116">
            <v>14828.638280171515</v>
          </cell>
          <cell r="U116">
            <v>115847.01890892642</v>
          </cell>
          <cell r="W116">
            <v>156123.24081641293</v>
          </cell>
        </row>
        <row r="126">
          <cell r="E126">
            <v>3647.6270811600252</v>
          </cell>
          <cell r="F126">
            <v>12859.520540103891</v>
          </cell>
          <cell r="U126">
            <v>42435.965221796934</v>
          </cell>
          <cell r="W126">
            <v>56437.417488165062</v>
          </cell>
          <cell r="X126">
            <v>35244.063078224826</v>
          </cell>
        </row>
        <row r="128">
          <cell r="AK128">
            <v>19581.654484436411</v>
          </cell>
        </row>
        <row r="151">
          <cell r="E151">
            <v>7718.4</v>
          </cell>
          <cell r="F151">
            <v>144140.30859855568</v>
          </cell>
          <cell r="U151">
            <v>102520.82035900134</v>
          </cell>
          <cell r="W151">
            <v>138163.95860982544</v>
          </cell>
        </row>
        <row r="153">
          <cell r="E153">
            <v>2774.5488420613397</v>
          </cell>
          <cell r="F153">
            <v>9781.5283827376461</v>
          </cell>
          <cell r="U153">
            <v>32278.69942517476</v>
          </cell>
          <cell r="W153">
            <v>42928.832322113987</v>
          </cell>
          <cell r="X153">
            <v>26808.2159243448</v>
          </cell>
        </row>
        <row r="155">
          <cell r="AK155">
            <v>16268.833388961792</v>
          </cell>
        </row>
        <row r="173">
          <cell r="E173">
            <v>11287.9</v>
          </cell>
          <cell r="F173">
            <v>261542.17676640203</v>
          </cell>
          <cell r="U173">
            <v>149933.24628554768</v>
          </cell>
          <cell r="W173">
            <v>202060.13531196213</v>
          </cell>
        </row>
        <row r="178">
          <cell r="E178">
            <v>3263.1299186313377</v>
          </cell>
          <cell r="F178">
            <v>11503.995688156339</v>
          </cell>
          <cell r="U178">
            <v>37962.780914875424</v>
          </cell>
          <cell r="W178">
            <v>50488.337058115925</v>
          </cell>
          <cell r="X178">
            <v>31528.978737626636</v>
          </cell>
        </row>
        <row r="180">
          <cell r="AK180">
            <v>22560.700995231971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L50"/>
  <sheetViews>
    <sheetView zoomScaleNormal="100" workbookViewId="0">
      <selection activeCell="C10" sqref="C10"/>
    </sheetView>
  </sheetViews>
  <sheetFormatPr defaultRowHeight="12.75"/>
  <cols>
    <col min="1" max="1" width="14.140625" style="101" bestFit="1" customWidth="1"/>
    <col min="2" max="2" width="7.42578125" style="106" bestFit="1" customWidth="1"/>
    <col min="3" max="3" width="11.7109375" style="106" customWidth="1"/>
    <col min="4" max="4" width="1.42578125" style="103" customWidth="1"/>
    <col min="5" max="5" width="7.42578125" style="106" bestFit="1" customWidth="1"/>
    <col min="6" max="6" width="11" style="106" bestFit="1" customWidth="1"/>
    <col min="7" max="7" width="1.42578125" style="103" customWidth="1"/>
    <col min="8" max="8" width="7.42578125" style="106" bestFit="1" customWidth="1"/>
    <col min="9" max="9" width="11" style="106" bestFit="1" customWidth="1"/>
    <col min="10" max="10" width="1.42578125" style="103" customWidth="1"/>
    <col min="11" max="11" width="8.42578125" style="106" customWidth="1"/>
    <col min="12" max="12" width="11.85546875" style="106" customWidth="1"/>
    <col min="13" max="16384" width="9.140625" style="101"/>
  </cols>
  <sheetData>
    <row r="1" spans="1:12" ht="15.75">
      <c r="A1" s="114" t="s">
        <v>52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</row>
    <row r="3" spans="1:12">
      <c r="B3" s="112" t="s">
        <v>28</v>
      </c>
      <c r="C3" s="112"/>
      <c r="E3" s="113" t="s">
        <v>47</v>
      </c>
      <c r="F3" s="113"/>
      <c r="H3" s="112" t="s">
        <v>48</v>
      </c>
      <c r="I3" s="112"/>
      <c r="K3" s="112" t="s">
        <v>29</v>
      </c>
      <c r="L3" s="112"/>
    </row>
    <row r="4" spans="1:12">
      <c r="B4" s="100" t="s">
        <v>34</v>
      </c>
      <c r="C4" s="100" t="s">
        <v>45</v>
      </c>
      <c r="E4" s="100" t="s">
        <v>34</v>
      </c>
      <c r="F4" s="100" t="s">
        <v>45</v>
      </c>
      <c r="H4" s="100" t="s">
        <v>34</v>
      </c>
      <c r="I4" s="100" t="s">
        <v>45</v>
      </c>
      <c r="K4" s="100" t="s">
        <v>34</v>
      </c>
      <c r="L4" s="100" t="s">
        <v>45</v>
      </c>
    </row>
    <row r="5" spans="1:12">
      <c r="A5" s="99" t="s">
        <v>42</v>
      </c>
      <c r="B5" s="100"/>
      <c r="C5" s="100"/>
      <c r="E5" s="100"/>
      <c r="F5" s="100"/>
      <c r="H5" s="100"/>
      <c r="I5" s="100"/>
      <c r="K5" s="100"/>
      <c r="L5" s="100"/>
    </row>
    <row r="6" spans="1:12">
      <c r="A6" s="101" t="s">
        <v>35</v>
      </c>
      <c r="B6" s="104">
        <f>+(13097789+535473+545502+107507+1180000)/(50891442+2525033+1920156+985275+4504336)</f>
        <v>0.25426971141830529</v>
      </c>
      <c r="C6" s="104">
        <f>+('System Total'!B10)/('System Total'!B8)</f>
        <v>0.25751417311093205</v>
      </c>
      <c r="E6" s="104">
        <f>+(13097789+535473+545502+107507+1180000)/(50891442+2525033+1920156+985275+4504336)</f>
        <v>0.25426971141830529</v>
      </c>
      <c r="F6" s="104">
        <f>+('System Total'!B35)/('System Total'!B8)</f>
        <v>0.31451273082157627</v>
      </c>
      <c r="H6" s="104">
        <f>+(13097789+535473+545502+107507+1180000)/(50891442+2525033+1920156+985275+4504336)</f>
        <v>0.25426971141830529</v>
      </c>
      <c r="I6" s="104">
        <f>+('System Total'!B16)/('System Total'!B8)</f>
        <v>0.16796103441610843</v>
      </c>
      <c r="K6" s="104">
        <f>+(13097789+535473+545502+107507+1180000)/(50891442+2525033+1920156+985275+4504336)</f>
        <v>0.25426971141830529</v>
      </c>
      <c r="L6" s="104">
        <f>+('System Total'!B22)/('System Total'!B8)</f>
        <v>0.26001206165138324</v>
      </c>
    </row>
    <row r="7" spans="1:12">
      <c r="A7" s="101" t="s">
        <v>33</v>
      </c>
      <c r="B7" s="104">
        <v>8.7999999999999995E-2</v>
      </c>
      <c r="C7" s="104">
        <f>+'System Total'!D11</f>
        <v>0.18914975317474131</v>
      </c>
      <c r="E7" s="104">
        <v>0.19500000000000001</v>
      </c>
      <c r="F7" s="104">
        <f>+'System Total'!D36</f>
        <v>6.8300391695277823E-2</v>
      </c>
      <c r="H7" s="104">
        <v>0.15</v>
      </c>
      <c r="I7" s="104">
        <f>+'System Total'!D17</f>
        <v>0.15</v>
      </c>
      <c r="K7" s="104">
        <f>(6441940+500000)/12251467</f>
        <v>0.566621123821335</v>
      </c>
      <c r="L7" s="104">
        <f>+'System Total'!D23</f>
        <v>0.59254985512998082</v>
      </c>
    </row>
    <row r="8" spans="1:12">
      <c r="A8" s="101" t="s">
        <v>15</v>
      </c>
      <c r="B8" s="104">
        <v>0.253</v>
      </c>
      <c r="C8" s="104">
        <f>+'System Total'!E11</f>
        <v>0.12077024404091928</v>
      </c>
      <c r="E8" s="104">
        <v>0.29299999999999998</v>
      </c>
      <c r="F8" s="104">
        <f>+'System Total'!E36</f>
        <v>0.23678731412871826</v>
      </c>
      <c r="H8" s="104">
        <v>0.158</v>
      </c>
      <c r="I8" s="104">
        <f>+'System Total'!E17</f>
        <v>0.1776547738386326</v>
      </c>
      <c r="K8" s="104">
        <v>0.29799999999999999</v>
      </c>
      <c r="L8" s="104">
        <f>+'System Total'!E23</f>
        <v>0.46478766799172982</v>
      </c>
    </row>
    <row r="9" spans="1:12">
      <c r="A9" s="101" t="s">
        <v>43</v>
      </c>
      <c r="B9" s="104">
        <v>6.5000000000000002E-2</v>
      </c>
      <c r="C9" s="104">
        <f>+'System Total'!F11</f>
        <v>5.3835354074895925E-2</v>
      </c>
      <c r="E9" s="104">
        <v>0.378</v>
      </c>
      <c r="F9" s="104">
        <f>+'System Total'!F36</f>
        <v>0.38469268753361607</v>
      </c>
      <c r="H9" s="104">
        <v>0.158</v>
      </c>
      <c r="I9" s="104">
        <f>+'System Total'!F17</f>
        <v>0.17765477383863262</v>
      </c>
      <c r="K9" s="104">
        <f>+(2712149+1954819)/11700148</f>
        <v>0.39888110817059752</v>
      </c>
      <c r="L9" s="104">
        <f>+'System Total'!F23</f>
        <v>0.38381718455285541</v>
      </c>
    </row>
    <row r="10" spans="1:12" s="99" customFormat="1">
      <c r="A10" s="99" t="s">
        <v>0</v>
      </c>
      <c r="B10" s="100">
        <v>0.20399999999999999</v>
      </c>
      <c r="C10" s="100">
        <f>+'System Total'!G11</f>
        <v>0.2092871643675572</v>
      </c>
      <c r="D10" s="105"/>
      <c r="E10" s="100">
        <v>0.32800000000000001</v>
      </c>
      <c r="F10" s="100">
        <f>+'System Total'!G36</f>
        <v>0.28854340531921502</v>
      </c>
      <c r="G10" s="105"/>
      <c r="H10" s="100">
        <v>0.153</v>
      </c>
      <c r="I10" s="100">
        <f>+'System Total'!G17</f>
        <v>0.1718830235420723</v>
      </c>
      <c r="J10" s="105"/>
      <c r="K10" s="100">
        <f>+(16698216+1954819+8491940)/86272736</f>
        <v>0.3146414065273182</v>
      </c>
      <c r="L10" s="100">
        <f>+'System Total'!G23</f>
        <v>0.33028640677115539</v>
      </c>
    </row>
    <row r="11" spans="1:12">
      <c r="A11" s="99"/>
      <c r="B11" s="100"/>
      <c r="C11" s="100"/>
      <c r="E11" s="100"/>
      <c r="F11" s="100"/>
      <c r="H11" s="100"/>
      <c r="I11" s="100"/>
      <c r="K11" s="100"/>
      <c r="L11" s="100"/>
    </row>
    <row r="12" spans="1:12">
      <c r="A12" s="99" t="s">
        <v>36</v>
      </c>
      <c r="B12" s="100"/>
      <c r="C12" s="100"/>
      <c r="E12" s="100"/>
      <c r="F12" s="100"/>
      <c r="H12" s="100"/>
      <c r="I12" s="100"/>
      <c r="K12" s="100"/>
      <c r="L12" s="100"/>
    </row>
    <row r="13" spans="1:12">
      <c r="A13" s="101" t="s">
        <v>35</v>
      </c>
      <c r="B13" s="106">
        <v>0.22800000000000001</v>
      </c>
      <c r="C13" s="106">
        <f>+Chesapeake!B11</f>
        <v>0.26735825179379713</v>
      </c>
      <c r="E13" s="106">
        <v>0.39400000000000002</v>
      </c>
      <c r="F13" s="106">
        <f>+Chesapeake!B36</f>
        <v>0.31556744247612811</v>
      </c>
      <c r="H13" s="106">
        <v>0.158</v>
      </c>
      <c r="I13" s="106">
        <f>+Chesapeake!B17</f>
        <v>0.1776547738386326</v>
      </c>
      <c r="K13" s="104">
        <v>0.22800000000000001</v>
      </c>
      <c r="L13" s="104">
        <f>+Chesapeake!B23</f>
        <v>0.23941953189144216</v>
      </c>
    </row>
    <row r="14" spans="1:12">
      <c r="A14" s="101" t="s">
        <v>43</v>
      </c>
      <c r="B14" s="104">
        <v>6.5000000000000002E-2</v>
      </c>
      <c r="C14" s="104">
        <f>+$C$9</f>
        <v>5.3835354074895925E-2</v>
      </c>
      <c r="E14" s="104">
        <v>0.378</v>
      </c>
      <c r="F14" s="104">
        <f>+$F$9</f>
        <v>0.38469268753361607</v>
      </c>
      <c r="H14" s="104">
        <v>0.158</v>
      </c>
      <c r="I14" s="104">
        <f>+I9</f>
        <v>0.17765477383863262</v>
      </c>
      <c r="K14" s="104">
        <v>0.39899999999999997</v>
      </c>
      <c r="L14" s="104">
        <f>+L9</f>
        <v>0.38381718455285541</v>
      </c>
    </row>
    <row r="15" spans="1:12" s="99" customFormat="1">
      <c r="A15" s="99" t="s">
        <v>0</v>
      </c>
      <c r="B15" s="100">
        <v>0.17899999999999999</v>
      </c>
      <c r="C15" s="100">
        <f>+Chesapeake!E11</f>
        <v>0.19469593572132735</v>
      </c>
      <c r="D15" s="105"/>
      <c r="E15" s="100">
        <v>0.38900000000000001</v>
      </c>
      <c r="F15" s="100">
        <f>+Chesapeake!E36</f>
        <v>0.33909091681360432</v>
      </c>
      <c r="G15" s="105"/>
      <c r="H15" s="100">
        <v>0.158</v>
      </c>
      <c r="I15" s="100">
        <f>+Chesapeake!E17</f>
        <v>0.17765477383863262</v>
      </c>
      <c r="J15" s="105"/>
      <c r="K15" s="100">
        <v>0.27400000000000002</v>
      </c>
      <c r="L15" s="100">
        <f>+Chesapeake!E23</f>
        <v>0.28855837362643577</v>
      </c>
    </row>
    <row r="16" spans="1:12">
      <c r="B16" s="104"/>
      <c r="C16" s="104"/>
      <c r="E16" s="104"/>
      <c r="F16" s="104"/>
      <c r="H16" s="104"/>
      <c r="I16" s="104"/>
      <c r="K16" s="104"/>
      <c r="L16" s="104"/>
    </row>
    <row r="17" spans="1:12">
      <c r="A17" s="99" t="s">
        <v>37</v>
      </c>
      <c r="B17" s="102"/>
      <c r="C17" s="102"/>
      <c r="D17" s="107"/>
      <c r="E17" s="102"/>
      <c r="F17" s="102"/>
      <c r="G17" s="107"/>
      <c r="H17" s="102"/>
      <c r="I17" s="102"/>
      <c r="J17" s="107"/>
      <c r="K17" s="102"/>
      <c r="L17" s="102"/>
    </row>
    <row r="18" spans="1:12">
      <c r="A18" s="101" t="s">
        <v>35</v>
      </c>
      <c r="B18" s="106">
        <v>0.27</v>
      </c>
      <c r="C18" s="106">
        <f>+Norfolk!B11</f>
        <v>0.25785625363782277</v>
      </c>
      <c r="E18" s="106">
        <v>0.34599999999999997</v>
      </c>
      <c r="F18" s="106">
        <f>+Norfolk!B36</f>
        <v>0.30345736272341783</v>
      </c>
      <c r="H18" s="106">
        <v>0.15</v>
      </c>
      <c r="I18" s="106">
        <f>+Norfolk!B17</f>
        <v>0.15591862242586166</v>
      </c>
      <c r="K18" s="104">
        <v>0.23292828570380039</v>
      </c>
      <c r="L18" s="104">
        <f>+Norfolk!B23</f>
        <v>0.28276776121289771</v>
      </c>
    </row>
    <row r="19" spans="1:12">
      <c r="A19" s="101" t="s">
        <v>33</v>
      </c>
      <c r="B19" s="104">
        <v>8.7999999999999995E-2</v>
      </c>
      <c r="C19" s="104">
        <f>+Norfolk!C11</f>
        <v>0.18914975317474131</v>
      </c>
      <c r="E19" s="104">
        <v>0.19500000000000001</v>
      </c>
      <c r="F19" s="104">
        <f>+Norfolk!C36</f>
        <v>6.8300391695277823E-2</v>
      </c>
      <c r="H19" s="104">
        <v>0.15</v>
      </c>
      <c r="I19" s="104">
        <f>+Norfolk!C17</f>
        <v>0.15</v>
      </c>
      <c r="K19" s="104">
        <f>+SUM(500000+6441940)/12251467</f>
        <v>0.566621123821335</v>
      </c>
      <c r="L19" s="104">
        <f>+Norfolk!C23</f>
        <v>0.59254985512998082</v>
      </c>
    </row>
    <row r="20" spans="1:12">
      <c r="A20" s="101" t="s">
        <v>15</v>
      </c>
      <c r="B20" s="104">
        <v>0.253</v>
      </c>
      <c r="C20" s="104">
        <f>+Norfolk!D11</f>
        <v>0.12030515097703495</v>
      </c>
      <c r="E20" s="104">
        <v>0.29299999999999998</v>
      </c>
      <c r="F20" s="104">
        <f>+Norfolk!D36</f>
        <v>0.2372524071926026</v>
      </c>
      <c r="H20" s="104">
        <v>0.158</v>
      </c>
      <c r="I20" s="104">
        <f>+Portsmouth!C17</f>
        <v>0.1776547738386326</v>
      </c>
      <c r="K20" s="104">
        <v>0.29599999999999999</v>
      </c>
      <c r="L20" s="104">
        <f>+Norfolk!D23</f>
        <v>0.46478766799172982</v>
      </c>
    </row>
    <row r="21" spans="1:12">
      <c r="A21" s="101" t="s">
        <v>43</v>
      </c>
      <c r="B21" s="104">
        <v>6.5000000000000002E-2</v>
      </c>
      <c r="C21" s="104">
        <f>+$C$9</f>
        <v>5.3835354074895925E-2</v>
      </c>
      <c r="E21" s="104">
        <v>0.378</v>
      </c>
      <c r="F21" s="104">
        <f>+F14</f>
        <v>0.38469268753361607</v>
      </c>
      <c r="H21" s="104">
        <v>0.158</v>
      </c>
      <c r="I21" s="104">
        <f>+I14</f>
        <v>0.17765477383863262</v>
      </c>
      <c r="K21" s="104">
        <v>0.39888115771480304</v>
      </c>
      <c r="L21" s="104">
        <f>+L14</f>
        <v>0.38381718455285541</v>
      </c>
    </row>
    <row r="22" spans="1:12" s="99" customFormat="1">
      <c r="A22" s="99" t="s">
        <v>0</v>
      </c>
      <c r="B22" s="100">
        <v>0.19400000000000001</v>
      </c>
      <c r="C22" s="100">
        <f>+Norfolk!F11</f>
        <v>0.21563988237905557</v>
      </c>
      <c r="D22" s="105"/>
      <c r="E22" s="100">
        <v>0.30099999999999999</v>
      </c>
      <c r="F22" s="100">
        <f>+Norfolk!F36</f>
        <v>0.25204912828343323</v>
      </c>
      <c r="G22" s="105"/>
      <c r="H22" s="100">
        <v>0.158</v>
      </c>
      <c r="I22" s="100">
        <f>+Norfolk!F17</f>
        <v>0.15758252409958673</v>
      </c>
      <c r="J22" s="105"/>
      <c r="K22" s="100">
        <v>0.36499999999999999</v>
      </c>
      <c r="L22" s="100">
        <f>+Norfolk!F23</f>
        <v>0.37472846523792452</v>
      </c>
    </row>
    <row r="23" spans="1:12">
      <c r="B23" s="104"/>
      <c r="C23" s="104"/>
      <c r="E23" s="104"/>
      <c r="F23" s="104"/>
      <c r="H23" s="104"/>
      <c r="I23" s="104"/>
      <c r="K23" s="104"/>
      <c r="L23" s="104"/>
    </row>
    <row r="24" spans="1:12">
      <c r="A24" s="99" t="s">
        <v>38</v>
      </c>
      <c r="B24" s="102"/>
      <c r="C24" s="102"/>
      <c r="D24" s="107"/>
      <c r="E24" s="102"/>
      <c r="F24" s="102"/>
      <c r="G24" s="107"/>
      <c r="H24" s="102"/>
      <c r="I24" s="102"/>
      <c r="J24" s="107"/>
      <c r="K24" s="102"/>
      <c r="L24" s="102"/>
    </row>
    <row r="25" spans="1:12">
      <c r="A25" s="101" t="s">
        <v>35</v>
      </c>
      <c r="B25" s="106">
        <v>0.223</v>
      </c>
      <c r="C25" s="106">
        <f>+Portsmouth!B11</f>
        <v>0.22017036905003717</v>
      </c>
      <c r="E25" s="106">
        <v>0.39400000000000002</v>
      </c>
      <c r="F25" s="106">
        <f>+Portsmouth!B36</f>
        <v>0.35096224084725458</v>
      </c>
      <c r="H25" s="106">
        <v>0.15</v>
      </c>
      <c r="I25" s="106">
        <f>+Portsmouth!B17</f>
        <v>0.17187926182978708</v>
      </c>
      <c r="K25" s="104">
        <v>0.25849924500743804</v>
      </c>
      <c r="L25" s="104">
        <f>+Portsmouth!B23</f>
        <v>0.25698812827292128</v>
      </c>
    </row>
    <row r="26" spans="1:12">
      <c r="A26" s="101" t="s">
        <v>15</v>
      </c>
      <c r="B26" s="106">
        <f>+B20</f>
        <v>0.253</v>
      </c>
      <c r="C26" s="106">
        <f>+C20</f>
        <v>0.12030515097703495</v>
      </c>
      <c r="E26" s="106">
        <f>+E20</f>
        <v>0.29299999999999998</v>
      </c>
      <c r="F26" s="106">
        <f>+F20</f>
        <v>0.2372524071926026</v>
      </c>
      <c r="H26" s="106">
        <f>+H20</f>
        <v>0.158</v>
      </c>
      <c r="I26" s="106">
        <f>+I20</f>
        <v>0.1776547738386326</v>
      </c>
      <c r="K26" s="104">
        <f>+K20</f>
        <v>0.29599999999999999</v>
      </c>
      <c r="L26" s="104">
        <f>+L20</f>
        <v>0.46478766799172982</v>
      </c>
    </row>
    <row r="27" spans="1:12">
      <c r="A27" s="101" t="s">
        <v>43</v>
      </c>
      <c r="B27" s="104">
        <v>6.5000000000000002E-2</v>
      </c>
      <c r="C27" s="104">
        <f>+$C$9</f>
        <v>5.3835354074895925E-2</v>
      </c>
      <c r="E27" s="104">
        <v>0.378</v>
      </c>
      <c r="F27" s="104">
        <f>+F21</f>
        <v>0.38469268753361607</v>
      </c>
      <c r="H27" s="104">
        <v>0.158</v>
      </c>
      <c r="I27" s="104">
        <f>+I21</f>
        <v>0.17765477383863262</v>
      </c>
      <c r="K27" s="104">
        <v>0.39888050988310603</v>
      </c>
      <c r="L27" s="104">
        <f>+L21</f>
        <v>0.38381718455285541</v>
      </c>
    </row>
    <row r="28" spans="1:12" s="99" customFormat="1">
      <c r="A28" s="99" t="s">
        <v>0</v>
      </c>
      <c r="B28" s="100">
        <v>0.20699999999999999</v>
      </c>
      <c r="C28" s="100">
        <f>+Portsmouth!E11</f>
        <v>0.18034111516949447</v>
      </c>
      <c r="D28" s="105"/>
      <c r="E28" s="100">
        <v>0.38200000000000001</v>
      </c>
      <c r="F28" s="100">
        <f>+Portsmouth!E36</f>
        <v>0.33012705521037788</v>
      </c>
      <c r="G28" s="105"/>
      <c r="H28" s="100">
        <v>0.158</v>
      </c>
      <c r="I28" s="100">
        <f>+Portsmouth!E17</f>
        <v>0.17376452610331999</v>
      </c>
      <c r="J28" s="105"/>
      <c r="K28" s="100">
        <v>0.25900000000000001</v>
      </c>
      <c r="L28" s="100">
        <f>+Portsmouth!E23</f>
        <v>0.3157673035168076</v>
      </c>
    </row>
    <row r="29" spans="1:12">
      <c r="B29" s="104"/>
      <c r="C29" s="104"/>
      <c r="E29" s="104"/>
      <c r="F29" s="104"/>
      <c r="H29" s="104"/>
      <c r="I29" s="104"/>
      <c r="K29" s="104"/>
      <c r="L29" s="104"/>
    </row>
    <row r="30" spans="1:12">
      <c r="A30" s="99" t="s">
        <v>51</v>
      </c>
      <c r="B30" s="104"/>
      <c r="C30" s="104"/>
      <c r="E30" s="104"/>
      <c r="F30" s="104"/>
      <c r="H30" s="104"/>
      <c r="I30" s="104"/>
      <c r="K30" s="104"/>
      <c r="L30" s="104"/>
    </row>
    <row r="31" spans="1:12">
      <c r="A31" s="101" t="s">
        <v>35</v>
      </c>
      <c r="B31" s="106">
        <v>9.5000000000000001E-2</v>
      </c>
      <c r="C31" s="106">
        <f>+Suffolk!B11</f>
        <v>6.9049635018182523E-2</v>
      </c>
      <c r="E31" s="106">
        <v>0.52600000000000002</v>
      </c>
      <c r="F31" s="106">
        <f>+Suffolk!B36</f>
        <v>0.51387605925174273</v>
      </c>
      <c r="H31" s="106">
        <v>0.158</v>
      </c>
      <c r="I31" s="106">
        <f>+Suffolk!B17</f>
        <v>0.1776547738386326</v>
      </c>
      <c r="K31" s="104">
        <v>0.22</v>
      </c>
      <c r="L31" s="104">
        <f>+Suffolk!B23</f>
        <v>0.23941953189144216</v>
      </c>
    </row>
    <row r="32" spans="1:12">
      <c r="A32" s="101" t="s">
        <v>43</v>
      </c>
      <c r="B32" s="104">
        <v>6.5000000000000002E-2</v>
      </c>
      <c r="C32" s="104">
        <f>+$C$9</f>
        <v>5.3835354074895925E-2</v>
      </c>
      <c r="E32" s="104">
        <v>0.378</v>
      </c>
      <c r="F32" s="104">
        <f>+Suffolk!C36</f>
        <v>0.38469268753361596</v>
      </c>
      <c r="H32" s="104">
        <v>0.158</v>
      </c>
      <c r="I32" s="104">
        <v>0.17799999999999999</v>
      </c>
      <c r="K32" s="104">
        <v>0.39900000000000002</v>
      </c>
      <c r="L32" s="104">
        <f>+L22</f>
        <v>0.37472846523792452</v>
      </c>
    </row>
    <row r="33" spans="1:12" s="99" customFormat="1">
      <c r="A33" s="99" t="s">
        <v>0</v>
      </c>
      <c r="B33" s="100">
        <v>9.1999999999999998E-2</v>
      </c>
      <c r="C33" s="100">
        <f>+Suffolk!D11</f>
        <v>6.7036518868256692E-2</v>
      </c>
      <c r="D33" s="105"/>
      <c r="E33" s="100">
        <v>0.50900000000000001</v>
      </c>
      <c r="F33" s="100">
        <f>+Suffolk!D36</f>
        <v>0.49678283395394235</v>
      </c>
      <c r="G33" s="105"/>
      <c r="H33" s="100">
        <v>0.158</v>
      </c>
      <c r="I33" s="100">
        <f>+Suffolk!D17</f>
        <v>0.1776547738386326</v>
      </c>
      <c r="J33" s="105"/>
      <c r="K33" s="100">
        <v>0.24199999999999999</v>
      </c>
      <c r="L33" s="100">
        <f>+Suffolk!D23</f>
        <v>0.25852587333916854</v>
      </c>
    </row>
    <row r="34" spans="1:12">
      <c r="B34" s="104"/>
      <c r="C34" s="104"/>
      <c r="E34" s="104"/>
      <c r="F34" s="104"/>
      <c r="H34" s="104"/>
      <c r="I34" s="104"/>
      <c r="K34" s="104"/>
      <c r="L34" s="104"/>
    </row>
    <row r="35" spans="1:12">
      <c r="A35" s="99" t="s">
        <v>39</v>
      </c>
      <c r="B35" s="102"/>
      <c r="C35" s="102"/>
      <c r="D35" s="107"/>
      <c r="E35" s="102"/>
      <c r="F35" s="102"/>
      <c r="G35" s="107"/>
      <c r="H35" s="102"/>
      <c r="I35" s="102"/>
      <c r="J35" s="107"/>
      <c r="K35" s="102"/>
      <c r="L35" s="102"/>
    </row>
    <row r="36" spans="1:12">
      <c r="A36" s="101" t="s">
        <v>35</v>
      </c>
      <c r="B36" s="106">
        <v>0.28100000000000003</v>
      </c>
      <c r="C36" s="106">
        <f>+'Virginia Beach'!B11</f>
        <v>0.23812581254983045</v>
      </c>
      <c r="E36" s="106">
        <v>0.33700000000000002</v>
      </c>
      <c r="F36" s="106">
        <f>+'Virginia Beach'!B36</f>
        <v>0.33480669136187635</v>
      </c>
      <c r="H36" s="106">
        <v>0.152</v>
      </c>
      <c r="I36" s="106">
        <f>+'Virginia Beach'!B17</f>
        <v>0.17250588003925213</v>
      </c>
      <c r="K36" s="104">
        <v>0.23022872222423335</v>
      </c>
      <c r="L36" s="104">
        <f>+'Virginia Beach'!B23</f>
        <v>0.2545616160490411</v>
      </c>
    </row>
    <row r="37" spans="1:12">
      <c r="A37" s="101" t="s">
        <v>43</v>
      </c>
      <c r="B37" s="104">
        <v>6.5000000000000002E-2</v>
      </c>
      <c r="C37" s="104">
        <f>+$C$9</f>
        <v>5.3835354074895925E-2</v>
      </c>
      <c r="E37" s="104">
        <v>0.378</v>
      </c>
      <c r="F37" s="104">
        <f>+F27</f>
        <v>0.38469268753361607</v>
      </c>
      <c r="H37" s="104">
        <v>0.158</v>
      </c>
      <c r="I37" s="104">
        <f>+I27</f>
        <v>0.17765477383863262</v>
      </c>
      <c r="K37" s="104">
        <v>0.39900000000000002</v>
      </c>
      <c r="L37" s="104">
        <f>+L27</f>
        <v>0.38381718455285541</v>
      </c>
    </row>
    <row r="38" spans="1:12" s="99" customFormat="1">
      <c r="A38" s="99" t="s">
        <v>0</v>
      </c>
      <c r="B38" s="100">
        <v>0.23200000000000001</v>
      </c>
      <c r="C38" s="100">
        <f>+'Virginia Beach'!D11</f>
        <v>0.18977347245022622</v>
      </c>
      <c r="D38" s="105"/>
      <c r="E38" s="100">
        <v>0.34599999999999997</v>
      </c>
      <c r="F38" s="100">
        <f>+'Virginia Beach'!D36</f>
        <v>0.34789529439137923</v>
      </c>
      <c r="G38" s="105"/>
      <c r="H38" s="100">
        <v>0.158</v>
      </c>
      <c r="I38" s="100">
        <f>+'Virginia Beach'!D17</f>
        <v>0.17385679677246027</v>
      </c>
      <c r="J38" s="105"/>
      <c r="K38" s="100">
        <v>0.26900000000000002</v>
      </c>
      <c r="L38" s="100">
        <f>+'Virginia Beach'!D23</f>
        <v>0.28847443638593423</v>
      </c>
    </row>
    <row r="39" spans="1:12">
      <c r="B39" s="104"/>
      <c r="C39" s="104"/>
      <c r="E39" s="104"/>
      <c r="F39" s="104"/>
      <c r="H39" s="104"/>
      <c r="I39" s="104"/>
      <c r="K39" s="104"/>
      <c r="L39" s="104"/>
    </row>
    <row r="40" spans="1:12">
      <c r="A40" s="99" t="s">
        <v>40</v>
      </c>
      <c r="B40" s="102"/>
      <c r="C40" s="102"/>
      <c r="D40" s="107"/>
      <c r="E40" s="102"/>
      <c r="F40" s="102"/>
      <c r="G40" s="107"/>
      <c r="H40" s="102"/>
      <c r="I40" s="102"/>
      <c r="J40" s="107"/>
      <c r="K40" s="102"/>
      <c r="L40" s="102"/>
    </row>
    <row r="41" spans="1:12">
      <c r="A41" s="101" t="s">
        <v>35</v>
      </c>
      <c r="B41" s="106">
        <v>0.23300000000000001</v>
      </c>
      <c r="C41" s="106">
        <f>+Hampton!B11</f>
        <v>0.24977574150730841</v>
      </c>
      <c r="E41" s="106">
        <v>0.38800000000000001</v>
      </c>
      <c r="F41" s="106">
        <f>+Hampton!B36</f>
        <v>0.33314995276261689</v>
      </c>
      <c r="H41" s="106">
        <v>0.158</v>
      </c>
      <c r="I41" s="106">
        <f>+Hampton!B17</f>
        <v>0.1776547738386326</v>
      </c>
      <c r="K41" s="104">
        <v>0.22</v>
      </c>
      <c r="L41" s="104">
        <f>+Hampton!B23</f>
        <v>0.23941953189144216</v>
      </c>
    </row>
    <row r="42" spans="1:12">
      <c r="A42" s="101" t="s">
        <v>43</v>
      </c>
      <c r="B42" s="104">
        <v>6.5000000000000002E-2</v>
      </c>
      <c r="C42" s="104">
        <f>+$C$9</f>
        <v>5.3835354074895925E-2</v>
      </c>
      <c r="D42" s="108"/>
      <c r="E42" s="104">
        <v>0.378</v>
      </c>
      <c r="F42" s="104">
        <f>+F37</f>
        <v>0.38469268753361607</v>
      </c>
      <c r="G42" s="108"/>
      <c r="H42" s="104">
        <v>0.158</v>
      </c>
      <c r="I42" s="104">
        <f>+I37</f>
        <v>0.17765477383863262</v>
      </c>
      <c r="J42" s="108"/>
      <c r="K42" s="104">
        <v>0.36899999999999999</v>
      </c>
      <c r="L42" s="104">
        <f>+L37</f>
        <v>0.38381718455285541</v>
      </c>
    </row>
    <row r="43" spans="1:12" s="99" customFormat="1">
      <c r="A43" s="99" t="s">
        <v>0</v>
      </c>
      <c r="B43" s="100">
        <v>0.19700000000000001</v>
      </c>
      <c r="C43" s="100">
        <f>+Hampton!E11</f>
        <v>0.20285642843179122</v>
      </c>
      <c r="D43" s="109"/>
      <c r="E43" s="100">
        <v>0.38600000000000001</v>
      </c>
      <c r="F43" s="100">
        <f>+Hampton!E36</f>
        <v>0.34549222553842757</v>
      </c>
      <c r="G43" s="109"/>
      <c r="H43" s="100">
        <v>0.158</v>
      </c>
      <c r="I43" s="100">
        <f>+Hampton!E17</f>
        <v>0.1776547738386326</v>
      </c>
      <c r="J43" s="109"/>
      <c r="K43" s="100">
        <v>0.25900000000000001</v>
      </c>
      <c r="L43" s="100">
        <f>+Hampton!E23</f>
        <v>0.2739965721911487</v>
      </c>
    </row>
    <row r="44" spans="1:12">
      <c r="B44" s="104"/>
      <c r="C44" s="104"/>
      <c r="D44" s="108"/>
      <c r="E44" s="104"/>
      <c r="F44" s="104"/>
      <c r="G44" s="108"/>
      <c r="H44" s="104"/>
      <c r="I44" s="104"/>
      <c r="J44" s="108"/>
      <c r="K44" s="104"/>
      <c r="L44" s="104"/>
    </row>
    <row r="45" spans="1:12">
      <c r="A45" s="99" t="s">
        <v>41</v>
      </c>
      <c r="B45" s="102"/>
      <c r="C45" s="102"/>
      <c r="D45" s="107"/>
      <c r="E45" s="102"/>
      <c r="F45" s="102"/>
      <c r="G45" s="107"/>
      <c r="H45" s="102"/>
      <c r="I45" s="102"/>
      <c r="J45" s="107"/>
      <c r="K45" s="102"/>
      <c r="L45" s="102"/>
    </row>
    <row r="46" spans="1:12">
      <c r="A46" s="101" t="s">
        <v>35</v>
      </c>
      <c r="B46" s="106">
        <v>0.26600000000000001</v>
      </c>
      <c r="C46" s="106">
        <f>+'Newport News'!B11</f>
        <v>0.30989935463818197</v>
      </c>
      <c r="E46" s="106">
        <v>0.35499999999999998</v>
      </c>
      <c r="F46" s="106">
        <f>+'Newport News'!B36</f>
        <v>0.27302633963174333</v>
      </c>
      <c r="H46" s="106">
        <v>0.158</v>
      </c>
      <c r="I46" s="106">
        <f>+'Newport News'!B17</f>
        <v>0.1776547738386326</v>
      </c>
      <c r="K46" s="104">
        <v>0.22047103061235362</v>
      </c>
      <c r="L46" s="104">
        <f>+'Newport News'!B23</f>
        <v>0.23941953189144216</v>
      </c>
    </row>
    <row r="47" spans="1:12">
      <c r="A47" s="101" t="s">
        <v>43</v>
      </c>
      <c r="B47" s="104">
        <v>6.5000000000000002E-2</v>
      </c>
      <c r="C47" s="104">
        <f>+$C$9</f>
        <v>5.3835354074895925E-2</v>
      </c>
      <c r="D47" s="108"/>
      <c r="E47" s="104">
        <v>0.378</v>
      </c>
      <c r="F47" s="104">
        <f>+F42</f>
        <v>0.38469268753361607</v>
      </c>
      <c r="G47" s="108"/>
      <c r="H47" s="104">
        <v>0.158</v>
      </c>
      <c r="I47" s="104">
        <f>+I42</f>
        <v>0.17765477383863262</v>
      </c>
      <c r="J47" s="108"/>
      <c r="K47" s="104">
        <v>0.39900000000000002</v>
      </c>
      <c r="L47" s="104">
        <f>+L42</f>
        <v>0.38381718455285541</v>
      </c>
    </row>
    <row r="48" spans="1:12" s="99" customFormat="1">
      <c r="A48" s="99" t="s">
        <v>0</v>
      </c>
      <c r="B48" s="110">
        <v>0.23100000000000001</v>
      </c>
      <c r="C48" s="110">
        <f>+'Newport News'!D11</f>
        <v>0.2581638193083074</v>
      </c>
      <c r="D48" s="105"/>
      <c r="E48" s="110">
        <v>0.35899999999999999</v>
      </c>
      <c r="F48" s="110">
        <f>+'Newport News'!D36</f>
        <v>0.29558756758384502</v>
      </c>
      <c r="G48" s="105"/>
      <c r="H48" s="100">
        <v>0.158</v>
      </c>
      <c r="I48" s="110">
        <f>+'Newport News'!D17</f>
        <v>0.1776547738386326</v>
      </c>
      <c r="J48" s="105"/>
      <c r="K48" s="110">
        <v>0.252</v>
      </c>
      <c r="L48" s="110">
        <f>+'Newport News'!D23</f>
        <v>0.26859383926921498</v>
      </c>
    </row>
    <row r="50" spans="1:12" s="99" customFormat="1">
      <c r="A50" s="99" t="s">
        <v>23</v>
      </c>
      <c r="B50" s="110">
        <v>0.21199999999999999</v>
      </c>
      <c r="C50" s="110">
        <f>+'System Total'!C11</f>
        <v>0.15163677642711651</v>
      </c>
      <c r="D50" s="105"/>
      <c r="E50" s="110">
        <v>0</v>
      </c>
      <c r="F50" s="110">
        <v>0</v>
      </c>
      <c r="G50" s="105"/>
      <c r="H50" s="110">
        <v>0.313</v>
      </c>
      <c r="I50" s="110">
        <f>+'System Total'!C17</f>
        <v>0.29014022246192622</v>
      </c>
      <c r="J50" s="105"/>
      <c r="K50" s="110">
        <v>0.47499999999999998</v>
      </c>
      <c r="L50" s="110">
        <f>+'System Total'!C23</f>
        <v>0.55822300111095735</v>
      </c>
    </row>
  </sheetData>
  <mergeCells count="5">
    <mergeCell ref="H3:I3"/>
    <mergeCell ref="K3:L3"/>
    <mergeCell ref="B3:C3"/>
    <mergeCell ref="E3:F3"/>
    <mergeCell ref="A1:L1"/>
  </mergeCells>
  <printOptions horizontalCentered="1"/>
  <pageMargins left="0" right="0" top="0.75" bottom="0.75" header="0.55000000000000004" footer="0.3"/>
  <pageSetup orientation="portrait" r:id="rId1"/>
  <headerFooter>
    <oddFooter xml:space="preserve">&amp;L&amp;G&amp;R&amp;D
&amp;F
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FF00"/>
  </sheetPr>
  <dimension ref="A1:F47"/>
  <sheetViews>
    <sheetView zoomScaleNormal="100" workbookViewId="0">
      <selection activeCell="A2" sqref="A2"/>
    </sheetView>
  </sheetViews>
  <sheetFormatPr defaultRowHeight="12.75"/>
  <cols>
    <col min="1" max="1" width="28.5703125" style="1" customWidth="1"/>
    <col min="2" max="2" width="13.28515625" style="2" customWidth="1"/>
    <col min="3" max="4" width="13.28515625" style="2" hidden="1" customWidth="1"/>
    <col min="5" max="5" width="13.28515625" style="2" customWidth="1"/>
    <col min="6" max="8" width="15" style="1" customWidth="1"/>
    <col min="9" max="16384" width="9.140625" style="1"/>
  </cols>
  <sheetData>
    <row r="1" spans="1:5" ht="15.75">
      <c r="A1" s="111" t="s">
        <v>61</v>
      </c>
    </row>
    <row r="3" spans="1:5" ht="13.5" thickBot="1">
      <c r="A3" s="6"/>
      <c r="B3" s="7" t="s">
        <v>23</v>
      </c>
      <c r="C3" s="7" t="s">
        <v>27</v>
      </c>
      <c r="D3" s="7" t="s">
        <v>24</v>
      </c>
      <c r="E3" s="7" t="s">
        <v>0</v>
      </c>
    </row>
    <row r="4" spans="1:5">
      <c r="A4" s="8" t="s">
        <v>3</v>
      </c>
      <c r="B4" s="9">
        <f>+'[1]Cost Allocation'!$E$14</f>
        <v>2829.5</v>
      </c>
      <c r="C4" s="9"/>
      <c r="D4" s="9">
        <v>0</v>
      </c>
      <c r="E4" s="10">
        <f>SUM(B4:D4)</f>
        <v>2829.5</v>
      </c>
    </row>
    <row r="5" spans="1:5" hidden="1">
      <c r="A5" s="11" t="s">
        <v>4</v>
      </c>
      <c r="B5" s="12">
        <f>+Chesapeake!B5</f>
        <v>54.675826315715568</v>
      </c>
      <c r="C5" s="12">
        <f>+Chesapeake!C5</f>
        <v>54.675826315715568</v>
      </c>
      <c r="D5" s="12">
        <f>+Chesapeake!B5</f>
        <v>54.675826315715568</v>
      </c>
      <c r="E5" s="13">
        <f>(E8/E4)-E6</f>
        <v>54.675826315715568</v>
      </c>
    </row>
    <row r="6" spans="1:5" hidden="1">
      <c r="A6" s="11" t="s">
        <v>5</v>
      </c>
      <c r="B6" s="12">
        <f>+Chesapeake!B6</f>
        <v>20.090821404763147</v>
      </c>
      <c r="C6" s="12">
        <f>+Chesapeake!C6</f>
        <v>20.090821404763147</v>
      </c>
      <c r="D6" s="12">
        <f>B6</f>
        <v>20.090821404763147</v>
      </c>
      <c r="E6" s="13">
        <f>D6</f>
        <v>20.090821404763147</v>
      </c>
    </row>
    <row r="7" spans="1:5">
      <c r="A7" s="11" t="s">
        <v>32</v>
      </c>
      <c r="B7" s="12">
        <f>SUM(B5:B6)</f>
        <v>74.766647720478716</v>
      </c>
      <c r="C7" s="12">
        <f>SUM(C5:C6)</f>
        <v>74.766647720478716</v>
      </c>
      <c r="D7" s="12">
        <f>SUM(D5:D6)</f>
        <v>74.766647720478716</v>
      </c>
      <c r="E7" s="13">
        <f>SUM(E5:E6)</f>
        <v>74.766647720478716</v>
      </c>
    </row>
    <row r="8" spans="1:5" ht="13.5" thickBot="1">
      <c r="A8" s="14" t="s">
        <v>6</v>
      </c>
      <c r="B8" s="15">
        <f>SUM(B5:B6)*B4</f>
        <v>211552.22972509451</v>
      </c>
      <c r="C8" s="15">
        <f>SUM(C5:C6)*C4</f>
        <v>0</v>
      </c>
      <c r="D8" s="15">
        <f>SUM(D5:D6)*D4</f>
        <v>0</v>
      </c>
      <c r="E8" s="16">
        <f>SUM(B8:D8)</f>
        <v>211552.22972509451</v>
      </c>
    </row>
    <row r="9" spans="1:5" ht="13.5" thickBot="1">
      <c r="A9" s="6"/>
      <c r="B9" s="5"/>
      <c r="C9" s="5"/>
      <c r="D9" s="5"/>
      <c r="E9" s="5"/>
    </row>
    <row r="10" spans="1:5">
      <c r="A10" s="17" t="s">
        <v>28</v>
      </c>
      <c r="B10" s="27">
        <f>+'[1]Cost Allocation'!$F$14</f>
        <v>32079.09816148215</v>
      </c>
      <c r="C10" s="27"/>
      <c r="D10" s="27">
        <v>0</v>
      </c>
      <c r="E10" s="19">
        <f>SUM(B10:D10)</f>
        <v>32079.09816148215</v>
      </c>
    </row>
    <row r="11" spans="1:5" ht="13.5" thickBot="1">
      <c r="A11" s="20" t="s">
        <v>7</v>
      </c>
      <c r="B11" s="21">
        <f>B10/B8</f>
        <v>0.15163677642711651</v>
      </c>
      <c r="C11" s="21"/>
      <c r="D11" s="21" t="e">
        <f>D10/D8</f>
        <v>#DIV/0!</v>
      </c>
      <c r="E11" s="22">
        <f>E10/E8</f>
        <v>0.15163677642711651</v>
      </c>
    </row>
    <row r="12" spans="1:5" ht="13.5" thickBot="1">
      <c r="A12" s="6"/>
      <c r="B12" s="5"/>
      <c r="C12" s="5"/>
      <c r="D12" s="5"/>
      <c r="E12" s="5"/>
    </row>
    <row r="13" spans="1:5" ht="13.5" thickBot="1">
      <c r="A13" s="35" t="s">
        <v>25</v>
      </c>
      <c r="B13" s="36">
        <f>B8-B10</f>
        <v>179473.13156361238</v>
      </c>
      <c r="C13" s="36">
        <f>C8-C10</f>
        <v>0</v>
      </c>
      <c r="D13" s="36">
        <f>D8-D10</f>
        <v>0</v>
      </c>
      <c r="E13" s="37">
        <f>E8-E10</f>
        <v>179473.13156361238</v>
      </c>
    </row>
    <row r="14" spans="1:5" ht="13.5" thickBot="1">
      <c r="A14" s="4"/>
      <c r="B14" s="23"/>
      <c r="C14" s="23"/>
      <c r="D14" s="23"/>
      <c r="E14" s="23"/>
    </row>
    <row r="15" spans="1:5" ht="13.5" hidden="1" thickBot="1">
      <c r="A15" s="83"/>
      <c r="B15" s="26"/>
      <c r="C15" s="26"/>
      <c r="D15" s="26"/>
      <c r="E15" s="26"/>
    </row>
    <row r="16" spans="1:5" s="31" customFormat="1">
      <c r="A16" s="87" t="s">
        <v>48</v>
      </c>
      <c r="B16" s="18">
        <f>+'[1]Cost Allocation'!$S$14</f>
        <v>61379.81099475544</v>
      </c>
      <c r="C16" s="18">
        <v>0</v>
      </c>
      <c r="D16" s="18">
        <v>0</v>
      </c>
      <c r="E16" s="19">
        <f>SUM(B16:D16)</f>
        <v>61379.81099475544</v>
      </c>
    </row>
    <row r="17" spans="1:6">
      <c r="A17" s="66" t="s">
        <v>49</v>
      </c>
      <c r="B17" s="38">
        <f>B16/B$8</f>
        <v>0.29014022246192622</v>
      </c>
      <c r="C17" s="38"/>
      <c r="D17" s="38" t="e">
        <f>D16/D$8</f>
        <v>#DIV/0!</v>
      </c>
      <c r="E17" s="34">
        <f>E16/E$8</f>
        <v>0.29014022246192622</v>
      </c>
    </row>
    <row r="18" spans="1:6">
      <c r="A18" s="66"/>
      <c r="B18" s="26"/>
      <c r="C18" s="26"/>
      <c r="D18" s="26"/>
      <c r="E18" s="32"/>
      <c r="F18" s="84"/>
    </row>
    <row r="19" spans="1:6" hidden="1">
      <c r="A19" s="66" t="s">
        <v>9</v>
      </c>
      <c r="B19" s="25">
        <f>+'[1]Cost Allocation'!$W$14</f>
        <v>118093.32056885693</v>
      </c>
      <c r="C19" s="25"/>
      <c r="D19" s="25">
        <v>0</v>
      </c>
      <c r="E19" s="33">
        <f>SUM(B19:D19)</f>
        <v>118093.32056885693</v>
      </c>
    </row>
    <row r="20" spans="1:6" hidden="1">
      <c r="A20" s="66" t="s">
        <v>10</v>
      </c>
      <c r="B20" s="25">
        <v>0</v>
      </c>
      <c r="C20" s="25">
        <v>0</v>
      </c>
      <c r="D20" s="25">
        <v>0</v>
      </c>
      <c r="E20" s="33">
        <f>SUM(B20:D20)</f>
        <v>0</v>
      </c>
    </row>
    <row r="21" spans="1:6" hidden="1">
      <c r="A21" s="66" t="s">
        <v>11</v>
      </c>
      <c r="B21" s="40">
        <v>0</v>
      </c>
      <c r="C21" s="25">
        <f>+'[1]Cost Allocation'!$Q$8+'[1]Cost Allocation'!$Q$10</f>
        <v>0</v>
      </c>
      <c r="D21" s="25">
        <v>0</v>
      </c>
      <c r="E21" s="33">
        <f>SUM(C21:D21)</f>
        <v>0</v>
      </c>
    </row>
    <row r="22" spans="1:6" s="31" customFormat="1">
      <c r="A22" s="95" t="s">
        <v>29</v>
      </c>
      <c r="B22" s="26">
        <f>SUM(B19:B21)</f>
        <v>118093.32056885693</v>
      </c>
      <c r="C22" s="26">
        <f>+Norfolk!D11</f>
        <v>0.12030515097703495</v>
      </c>
      <c r="D22" s="26">
        <f>SUM(D19:D21)</f>
        <v>0</v>
      </c>
      <c r="E22" s="32">
        <f>SUM(E19:E21)</f>
        <v>118093.32056885693</v>
      </c>
    </row>
    <row r="23" spans="1:6">
      <c r="A23" s="66" t="s">
        <v>30</v>
      </c>
      <c r="B23" s="38">
        <f>+B22/B8</f>
        <v>0.55822300111095735</v>
      </c>
      <c r="C23" s="38" t="e">
        <f>+C22/C8</f>
        <v>#DIV/0!</v>
      </c>
      <c r="D23" s="38" t="e">
        <f>+D22/D8</f>
        <v>#DIV/0!</v>
      </c>
      <c r="E23" s="34">
        <f>+E22/E8</f>
        <v>0.55822300111095735</v>
      </c>
    </row>
    <row r="24" spans="1:6" hidden="1">
      <c r="A24" s="66"/>
      <c r="B24" s="38"/>
      <c r="C24" s="38"/>
      <c r="D24" s="38"/>
      <c r="E24" s="34"/>
    </row>
    <row r="25" spans="1:6" hidden="1">
      <c r="A25" s="66"/>
      <c r="B25" s="38"/>
      <c r="C25" s="38"/>
      <c r="D25" s="38"/>
      <c r="E25" s="34"/>
    </row>
    <row r="26" spans="1:6" hidden="1">
      <c r="A26" s="48"/>
      <c r="B26" s="88"/>
      <c r="C26" s="88"/>
      <c r="D26" s="88"/>
      <c r="E26" s="91"/>
    </row>
    <row r="27" spans="1:6" hidden="1">
      <c r="A27" s="48"/>
      <c r="B27" s="88"/>
      <c r="C27" s="88"/>
      <c r="D27" s="88"/>
      <c r="E27" s="91"/>
    </row>
    <row r="28" spans="1:6" hidden="1">
      <c r="A28" s="69"/>
      <c r="B28" s="26"/>
      <c r="C28" s="26"/>
      <c r="D28" s="26"/>
      <c r="E28" s="32"/>
    </row>
    <row r="29" spans="1:6" hidden="1">
      <c r="A29" s="48"/>
      <c r="B29" s="88"/>
      <c r="C29" s="88"/>
      <c r="D29" s="88"/>
      <c r="E29" s="91"/>
    </row>
    <row r="30" spans="1:6" hidden="1">
      <c r="A30" s="48"/>
      <c r="B30" s="88"/>
      <c r="C30" s="88"/>
      <c r="D30" s="88"/>
      <c r="E30" s="91"/>
    </row>
    <row r="31" spans="1:6" hidden="1">
      <c r="A31" s="48"/>
      <c r="B31" s="88"/>
      <c r="C31" s="88"/>
      <c r="D31" s="88"/>
      <c r="E31" s="91"/>
    </row>
    <row r="32" spans="1:6" hidden="1">
      <c r="A32" s="48"/>
      <c r="B32" s="88"/>
      <c r="C32" s="88"/>
      <c r="D32" s="88"/>
      <c r="E32" s="91"/>
    </row>
    <row r="33" spans="1:5" hidden="1">
      <c r="A33" s="69"/>
      <c r="B33" s="89"/>
      <c r="C33" s="89"/>
      <c r="D33" s="89"/>
      <c r="E33" s="92"/>
    </row>
    <row r="34" spans="1:5">
      <c r="A34" s="48"/>
      <c r="B34" s="90"/>
      <c r="C34" s="90"/>
      <c r="D34" s="90"/>
      <c r="E34" s="93"/>
    </row>
    <row r="35" spans="1:5" s="31" customFormat="1">
      <c r="A35" s="69" t="s">
        <v>47</v>
      </c>
      <c r="B35" s="26">
        <f>+B13-B22-B16</f>
        <v>0</v>
      </c>
      <c r="C35" s="26">
        <f>+C13-C22-C16</f>
        <v>-0.12030515097703495</v>
      </c>
      <c r="D35" s="26">
        <f>+D13-D22-D16</f>
        <v>0</v>
      </c>
      <c r="E35" s="32">
        <f>+E13-E22-E16</f>
        <v>0</v>
      </c>
    </row>
    <row r="36" spans="1:5" ht="13.5" thickBot="1">
      <c r="A36" s="58" t="s">
        <v>50</v>
      </c>
      <c r="B36" s="21">
        <f>ABS(B35/B8)</f>
        <v>0</v>
      </c>
      <c r="C36" s="21"/>
      <c r="D36" s="21" t="e">
        <f>ABS(D35/D8)</f>
        <v>#DIV/0!</v>
      </c>
      <c r="E36" s="22">
        <f>ABS(E35/E8)</f>
        <v>0</v>
      </c>
    </row>
    <row r="37" spans="1:5">
      <c r="A37" s="6"/>
      <c r="B37" s="5"/>
      <c r="C37" s="5"/>
      <c r="D37" s="5"/>
      <c r="E37" s="5"/>
    </row>
    <row r="38" spans="1:5" ht="13.5" customHeight="1">
      <c r="A38" s="117" t="s">
        <v>12</v>
      </c>
      <c r="B38" s="117"/>
      <c r="C38" s="117"/>
      <c r="D38" s="117"/>
      <c r="E38" s="24">
        <v>0</v>
      </c>
    </row>
    <row r="39" spans="1:5" ht="13.5" customHeight="1">
      <c r="A39" s="117" t="s">
        <v>13</v>
      </c>
      <c r="B39" s="117"/>
      <c r="C39" s="117"/>
      <c r="D39" s="117"/>
      <c r="E39" s="28">
        <v>0</v>
      </c>
    </row>
    <row r="40" spans="1:5" ht="13.5" customHeight="1">
      <c r="A40" s="117" t="s">
        <v>14</v>
      </c>
      <c r="B40" s="117"/>
      <c r="C40" s="117"/>
      <c r="D40" s="117"/>
      <c r="E40" s="28">
        <v>0</v>
      </c>
    </row>
    <row r="41" spans="1:5">
      <c r="A41" s="6"/>
      <c r="B41" s="5"/>
      <c r="C41" s="5"/>
      <c r="D41" s="29"/>
      <c r="E41" s="5"/>
    </row>
    <row r="42" spans="1:5" ht="13.5" customHeight="1">
      <c r="A42" s="118" t="s">
        <v>46</v>
      </c>
      <c r="B42" s="118"/>
      <c r="C42" s="118"/>
      <c r="D42" s="118"/>
      <c r="E42" s="23">
        <f>SUM(E38:E40)+E35</f>
        <v>0</v>
      </c>
    </row>
    <row r="44" spans="1:5">
      <c r="A44" s="3"/>
    </row>
    <row r="45" spans="1:5" ht="12.75" customHeight="1">
      <c r="A45" s="120" t="s">
        <v>44</v>
      </c>
      <c r="B45" s="120"/>
      <c r="C45" s="120"/>
      <c r="D45" s="120"/>
      <c r="E45" s="120"/>
    </row>
    <row r="46" spans="1:5">
      <c r="A46" s="120"/>
      <c r="B46" s="120"/>
      <c r="C46" s="120"/>
      <c r="D46" s="120"/>
      <c r="E46" s="120"/>
    </row>
    <row r="47" spans="1:5">
      <c r="A47" s="120"/>
      <c r="B47" s="120"/>
      <c r="C47" s="120"/>
      <c r="D47" s="120"/>
      <c r="E47" s="120"/>
    </row>
  </sheetData>
  <mergeCells count="5">
    <mergeCell ref="A38:D38"/>
    <mergeCell ref="A39:D39"/>
    <mergeCell ref="A40:D40"/>
    <mergeCell ref="A42:D42"/>
    <mergeCell ref="A45:E47"/>
  </mergeCells>
  <phoneticPr fontId="0" type="noConversion"/>
  <printOptions horizontalCentered="1"/>
  <pageMargins left="0" right="0" top="0.75" bottom="0.75" header="0.55000000000000004" footer="0.3"/>
  <pageSetup orientation="landscape" r:id="rId1"/>
  <headerFooter>
    <oddFooter xml:space="preserve">&amp;L&amp;G&amp;R&amp;D
&amp;F
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A1:I57"/>
  <sheetViews>
    <sheetView tabSelected="1" zoomScaleNormal="100" workbookViewId="0">
      <selection activeCell="G36" sqref="G36"/>
    </sheetView>
  </sheetViews>
  <sheetFormatPr defaultRowHeight="12"/>
  <cols>
    <col min="1" max="1" width="24.42578125" style="44" bestFit="1" customWidth="1"/>
    <col min="2" max="2" width="12" style="54" bestFit="1" customWidth="1"/>
    <col min="3" max="3" width="12.7109375" style="54" bestFit="1" customWidth="1"/>
    <col min="4" max="5" width="13" style="54" bestFit="1" customWidth="1"/>
    <col min="6" max="6" width="14.7109375" style="54" bestFit="1" customWidth="1"/>
    <col min="7" max="7" width="14.85546875" style="54" bestFit="1" customWidth="1"/>
    <col min="8" max="8" width="21" style="44" bestFit="1" customWidth="1"/>
    <col min="9" max="9" width="12.85546875" style="44" bestFit="1" customWidth="1"/>
    <col min="10" max="16384" width="9.140625" style="44"/>
  </cols>
  <sheetData>
    <row r="1" spans="1:7" ht="15.75">
      <c r="A1" s="111" t="s">
        <v>53</v>
      </c>
    </row>
    <row r="3" spans="1:7" s="80" customFormat="1" ht="12.75" thickBot="1">
      <c r="B3" s="81" t="s">
        <v>1</v>
      </c>
      <c r="C3" s="81" t="s">
        <v>23</v>
      </c>
      <c r="D3" s="81" t="s">
        <v>33</v>
      </c>
      <c r="E3" s="81" t="s">
        <v>15</v>
      </c>
      <c r="F3" s="81" t="s">
        <v>43</v>
      </c>
      <c r="G3" s="81" t="s">
        <v>0</v>
      </c>
    </row>
    <row r="4" spans="1:7">
      <c r="A4" s="45" t="s">
        <v>3</v>
      </c>
      <c r="B4" s="46">
        <f>+Chesapeake!B4+Norfolk!B4+Portsmouth!B4+Suffolk!B4+'Virginia Beach'!B4+Hampton!B4+'Newport News'!B4</f>
        <v>61259.200000000004</v>
      </c>
      <c r="C4" s="46">
        <f>+MAX!E4</f>
        <v>2829.5</v>
      </c>
      <c r="D4" s="46">
        <f>+Norfolk!C4</f>
        <v>2401</v>
      </c>
      <c r="E4" s="46">
        <f>Norfolk!D4+Portsmouth!C4</f>
        <v>455</v>
      </c>
      <c r="F4" s="46">
        <f>+Chesapeake!D4+Norfolk!E4+Portsmouth!D4+Suffolk!C4+'Virginia Beach'!C4+Hampton!D4+'Newport News'!C4</f>
        <v>16859.7</v>
      </c>
      <c r="G4" s="47">
        <f>SUM(B4:F4)</f>
        <v>83804.400000000009</v>
      </c>
    </row>
    <row r="5" spans="1:7" hidden="1">
      <c r="A5" s="48" t="s">
        <v>4</v>
      </c>
      <c r="B5" s="49">
        <f>+Chesapeake!B5</f>
        <v>54.675826315715568</v>
      </c>
      <c r="C5" s="49">
        <f>B5</f>
        <v>54.675826315715568</v>
      </c>
      <c r="D5" s="49">
        <f>+Norfolk!C5</f>
        <v>264.38020824656394</v>
      </c>
      <c r="E5" s="49">
        <f>+Portsmouth!C5</f>
        <v>558.59760439560444</v>
      </c>
      <c r="F5" s="49">
        <f>+Chesapeake!D5</f>
        <v>45.394923397213468</v>
      </c>
      <c r="G5" s="50">
        <f>(G8/G4)-G6</f>
        <v>61.55268947692484</v>
      </c>
    </row>
    <row r="6" spans="1:7" hidden="1">
      <c r="A6" s="48" t="s">
        <v>5</v>
      </c>
      <c r="B6" s="49">
        <f>+Chesapeake!B6</f>
        <v>20.090821404763147</v>
      </c>
      <c r="C6" s="49">
        <f>B6</f>
        <v>20.090821404763147</v>
      </c>
      <c r="D6" s="49">
        <f>+Norfolk!C6</f>
        <v>20.090821404763147</v>
      </c>
      <c r="E6" s="49">
        <f>B6</f>
        <v>20.090821404763147</v>
      </c>
      <c r="F6" s="49">
        <f>+E6</f>
        <v>20.090821404763147</v>
      </c>
      <c r="G6" s="50">
        <f>F6</f>
        <v>20.090821404763147</v>
      </c>
    </row>
    <row r="7" spans="1:7">
      <c r="A7" s="48" t="s">
        <v>32</v>
      </c>
      <c r="B7" s="49">
        <f t="shared" ref="B7:G7" si="0">SUM(B5:B6)</f>
        <v>74.766647720478716</v>
      </c>
      <c r="C7" s="49">
        <f t="shared" si="0"/>
        <v>74.766647720478716</v>
      </c>
      <c r="D7" s="49">
        <f t="shared" si="0"/>
        <v>284.47102965132706</v>
      </c>
      <c r="E7" s="49">
        <f t="shared" si="0"/>
        <v>578.68842580036755</v>
      </c>
      <c r="F7" s="49">
        <f t="shared" si="0"/>
        <v>65.485744801976608</v>
      </c>
      <c r="G7" s="50">
        <f t="shared" si="0"/>
        <v>81.643510881687988</v>
      </c>
    </row>
    <row r="8" spans="1:7" ht="12.75" thickBot="1">
      <c r="A8" s="51" t="s">
        <v>6</v>
      </c>
      <c r="B8" s="52">
        <f>SUM(B5:B6)*B4</f>
        <v>4580145.0260383496</v>
      </c>
      <c r="C8" s="52">
        <f>SUM(C5:C6)*C4</f>
        <v>211552.22972509451</v>
      </c>
      <c r="D8" s="52">
        <f>+Norfolk!C8</f>
        <v>683014.94219283632</v>
      </c>
      <c r="E8" s="52">
        <f>SUM(E5:E6)*E4</f>
        <v>263303.23373916722</v>
      </c>
      <c r="F8" s="52">
        <f>SUM(F5:F6)*F4</f>
        <v>1104070.0116378851</v>
      </c>
      <c r="G8" s="53">
        <f>SUM(B8:F8)</f>
        <v>6842085.4433333334</v>
      </c>
    </row>
    <row r="9" spans="1:7" ht="12.75" thickBot="1"/>
    <row r="10" spans="1:7">
      <c r="A10" s="55" t="s">
        <v>28</v>
      </c>
      <c r="B10" s="56">
        <f>+Chesapeake!B10+Norfolk!B10+Portsmouth!B10+Suffolk!B10+'Virginia Beach'!B10+Hampton!B10+'Newport News'!B10</f>
        <v>1179452.2591084139</v>
      </c>
      <c r="C10" s="56">
        <f>+MAX!E10</f>
        <v>32079.09816148215</v>
      </c>
      <c r="D10" s="56">
        <f>+Norfolk!C10</f>
        <v>129192.10773043519</v>
      </c>
      <c r="E10" s="56">
        <f>Norfolk!D10+Portsmouth!C10</f>
        <v>31799.195795442436</v>
      </c>
      <c r="F10" s="56">
        <f>+Chesapeake!D10+Norfolk!E10+Portsmouth!D10+Suffolk!C10+'Virginia Beach'!C10+Hampton!D10+'Newport News'!C10</f>
        <v>59438.000000000007</v>
      </c>
      <c r="G10" s="57">
        <f>SUM(B10:F10)</f>
        <v>1431960.6607957738</v>
      </c>
    </row>
    <row r="11" spans="1:7" ht="12.75" thickBot="1">
      <c r="A11" s="58" t="s">
        <v>7</v>
      </c>
      <c r="B11" s="59">
        <f t="shared" ref="B11:G11" si="1">B10/B8</f>
        <v>0.25751417311093205</v>
      </c>
      <c r="C11" s="59">
        <f>C10/C8</f>
        <v>0.15163677642711651</v>
      </c>
      <c r="D11" s="59">
        <f t="shared" si="1"/>
        <v>0.18914975317474131</v>
      </c>
      <c r="E11" s="59">
        <f t="shared" si="1"/>
        <v>0.12077024404091928</v>
      </c>
      <c r="F11" s="59">
        <f t="shared" si="1"/>
        <v>5.3835354074895925E-2</v>
      </c>
      <c r="G11" s="60">
        <f t="shared" si="1"/>
        <v>0.2092871643675572</v>
      </c>
    </row>
    <row r="12" spans="1:7" ht="12.75" thickBot="1"/>
    <row r="13" spans="1:7" ht="12.75" thickBot="1">
      <c r="A13" s="61" t="s">
        <v>25</v>
      </c>
      <c r="B13" s="62">
        <f t="shared" ref="B13:G13" si="2">+B8-B10</f>
        <v>3400692.7669299357</v>
      </c>
      <c r="C13" s="62">
        <f t="shared" si="2"/>
        <v>179473.13156361238</v>
      </c>
      <c r="D13" s="62">
        <f t="shared" si="2"/>
        <v>553822.83446240111</v>
      </c>
      <c r="E13" s="62">
        <f t="shared" si="2"/>
        <v>231504.03794372478</v>
      </c>
      <c r="F13" s="62">
        <f t="shared" si="2"/>
        <v>1044632.0116378851</v>
      </c>
      <c r="G13" s="63">
        <f t="shared" si="2"/>
        <v>5410124.782537559</v>
      </c>
    </row>
    <row r="14" spans="1:7" ht="12.75" thickBot="1">
      <c r="A14" s="64"/>
      <c r="B14" s="65"/>
      <c r="C14" s="65"/>
      <c r="D14" s="65"/>
      <c r="E14" s="65"/>
      <c r="F14" s="65"/>
      <c r="G14" s="65"/>
    </row>
    <row r="15" spans="1:7" ht="12.75" hidden="1" thickBot="1">
      <c r="A15" s="82"/>
      <c r="B15" s="70"/>
      <c r="C15" s="70"/>
      <c r="D15" s="70"/>
      <c r="E15" s="70"/>
      <c r="F15" s="70"/>
      <c r="G15" s="70"/>
    </row>
    <row r="16" spans="1:7" s="64" customFormat="1">
      <c r="A16" s="87" t="s">
        <v>48</v>
      </c>
      <c r="B16" s="56">
        <f>+Chesapeake!B16+Norfolk!B16+Portsmouth!B16+Suffolk!B16+'Virginia Beach'!B16+Hampton!B16+'Newport News'!B16</f>
        <v>769285.89634919516</v>
      </c>
      <c r="C16" s="56">
        <f>+MAX!E16</f>
        <v>61379.81099475544</v>
      </c>
      <c r="D16" s="56">
        <f>+Norfolk!C16</f>
        <v>102452.24132892545</v>
      </c>
      <c r="E16" s="56">
        <f>Norfolk!D16+Portsmouth!C16</f>
        <v>46777.076440912366</v>
      </c>
      <c r="F16" s="56">
        <f>+Chesapeake!D16+Norfolk!E16+Portsmouth!D16+Suffolk!C16+'Virginia Beach'!C16+Hampton!D16+'Newport News'!C16</f>
        <v>196143.30821954497</v>
      </c>
      <c r="G16" s="57">
        <f>SUM(B16:F16)</f>
        <v>1176038.3333333335</v>
      </c>
    </row>
    <row r="17" spans="1:8">
      <c r="A17" s="66" t="s">
        <v>49</v>
      </c>
      <c r="B17" s="72">
        <f t="shared" ref="B17:G17" si="3">B16/B$8</f>
        <v>0.16796103441610843</v>
      </c>
      <c r="C17" s="72">
        <f t="shared" si="3"/>
        <v>0.29014022246192622</v>
      </c>
      <c r="D17" s="72">
        <f t="shared" si="3"/>
        <v>0.15</v>
      </c>
      <c r="E17" s="72">
        <f t="shared" si="3"/>
        <v>0.1776547738386326</v>
      </c>
      <c r="F17" s="72">
        <f t="shared" si="3"/>
        <v>0.17765477383863262</v>
      </c>
      <c r="G17" s="73">
        <f t="shared" si="3"/>
        <v>0.1718830235420723</v>
      </c>
    </row>
    <row r="18" spans="1:8">
      <c r="A18" s="66"/>
      <c r="B18" s="70"/>
      <c r="C18" s="70"/>
      <c r="D18" s="70"/>
      <c r="E18" s="70"/>
      <c r="F18" s="70"/>
      <c r="G18" s="71"/>
      <c r="H18" s="86"/>
    </row>
    <row r="19" spans="1:8" hidden="1">
      <c r="A19" s="66" t="s">
        <v>9</v>
      </c>
      <c r="B19" s="67">
        <f>+Chesapeake!B19+Norfolk!B19+Portsmouth!B19+Suffolk!B19+'Virginia Beach'!B19+Hampton!B19+'Newport News'!B19</f>
        <v>1036741.4576875321</v>
      </c>
      <c r="C19" s="67">
        <f>+MAX!E19</f>
        <v>118093.32056885693</v>
      </c>
      <c r="D19" s="67">
        <f>+Norfolk!C19</f>
        <v>45454.545454545456</v>
      </c>
      <c r="E19" s="67">
        <f>Norfolk!D19+Portsmouth!C19</f>
        <v>122380.09598430889</v>
      </c>
      <c r="F19" s="67">
        <f>+Chesapeake!D19+Norfolk!E19+Portsmouth!D19+Suffolk!C19+'Virginia Beach'!C19+Hampton!D19+'Newport News'!C19</f>
        <v>260859.43174942466</v>
      </c>
      <c r="G19" s="68">
        <f>SUM(B19:F19)</f>
        <v>1583528.8514446681</v>
      </c>
    </row>
    <row r="20" spans="1:8" hidden="1">
      <c r="A20" s="66" t="s">
        <v>10</v>
      </c>
      <c r="B20" s="67">
        <v>0</v>
      </c>
      <c r="C20" s="67">
        <v>0</v>
      </c>
      <c r="D20" s="67">
        <f>+Norfolk!C20</f>
        <v>0</v>
      </c>
      <c r="E20" s="67">
        <v>0</v>
      </c>
      <c r="F20" s="67">
        <f>+Chesapeake!D20+Norfolk!E20+Portsmouth!D20+Suffolk!C20+'Virginia Beach'!C20+Hampton!D20+'Newport News'!C20</f>
        <v>162901.61166666669</v>
      </c>
      <c r="G20" s="68">
        <f>SUM(B20:F20)</f>
        <v>162901.61166666669</v>
      </c>
    </row>
    <row r="21" spans="1:8" hidden="1">
      <c r="A21" s="66" t="s">
        <v>11</v>
      </c>
      <c r="B21" s="67">
        <f>+Norfolk!B21+Portsmouth!B21+'Virginia Beach'!B21</f>
        <v>154151.49319502749</v>
      </c>
      <c r="C21" s="67">
        <f>+MAX!E21</f>
        <v>0</v>
      </c>
      <c r="D21" s="67">
        <f>+Norfolk!C21</f>
        <v>359265.85959343193</v>
      </c>
      <c r="E21" s="67">
        <v>0</v>
      </c>
      <c r="F21" s="67">
        <v>0</v>
      </c>
      <c r="G21" s="68">
        <f>SUM(B21:F21)</f>
        <v>513417.35278845939</v>
      </c>
    </row>
    <row r="22" spans="1:8" s="64" customFormat="1">
      <c r="A22" s="95" t="s">
        <v>29</v>
      </c>
      <c r="B22" s="70">
        <f>SUM(B19:B21)</f>
        <v>1190892.9508825596</v>
      </c>
      <c r="C22" s="70">
        <f>SUM(C19:C21)</f>
        <v>118093.32056885693</v>
      </c>
      <c r="D22" s="70">
        <f t="shared" ref="D22:G22" si="4">SUM(D19:D21)</f>
        <v>404720.4050479774</v>
      </c>
      <c r="E22" s="70">
        <f t="shared" si="4"/>
        <v>122380.09598430889</v>
      </c>
      <c r="F22" s="70">
        <f t="shared" si="4"/>
        <v>423761.04341609136</v>
      </c>
      <c r="G22" s="71">
        <f t="shared" si="4"/>
        <v>2259847.8158997945</v>
      </c>
    </row>
    <row r="23" spans="1:8">
      <c r="A23" s="66" t="s">
        <v>30</v>
      </c>
      <c r="B23" s="72">
        <f t="shared" ref="B23:G23" si="5">+B22/B8</f>
        <v>0.26001206165138324</v>
      </c>
      <c r="C23" s="72">
        <f t="shared" si="5"/>
        <v>0.55822300111095735</v>
      </c>
      <c r="D23" s="72">
        <f t="shared" si="5"/>
        <v>0.59254985512998082</v>
      </c>
      <c r="E23" s="72">
        <f t="shared" si="5"/>
        <v>0.46478766799172982</v>
      </c>
      <c r="F23" s="72">
        <f t="shared" si="5"/>
        <v>0.38381718455285541</v>
      </c>
      <c r="G23" s="73">
        <f t="shared" si="5"/>
        <v>0.33028640677115539</v>
      </c>
    </row>
    <row r="24" spans="1:8" hidden="1">
      <c r="A24" s="66"/>
      <c r="B24" s="72"/>
      <c r="C24" s="72"/>
      <c r="D24" s="72"/>
      <c r="E24" s="72"/>
      <c r="F24" s="72"/>
      <c r="G24" s="73"/>
    </row>
    <row r="25" spans="1:8" hidden="1">
      <c r="A25" s="66"/>
      <c r="B25" s="72"/>
      <c r="C25" s="72"/>
      <c r="D25" s="72"/>
      <c r="E25" s="72"/>
      <c r="F25" s="72"/>
      <c r="G25" s="73"/>
    </row>
    <row r="26" spans="1:8" hidden="1">
      <c r="A26" s="48"/>
      <c r="B26" s="74"/>
      <c r="C26" s="74"/>
      <c r="D26" s="74"/>
      <c r="E26" s="74"/>
      <c r="F26" s="74"/>
      <c r="G26" s="96"/>
    </row>
    <row r="27" spans="1:8" hidden="1">
      <c r="A27" s="48"/>
      <c r="B27" s="74"/>
      <c r="C27" s="74"/>
      <c r="D27" s="74"/>
      <c r="E27" s="74"/>
      <c r="F27" s="74"/>
      <c r="G27" s="96"/>
    </row>
    <row r="28" spans="1:8" hidden="1">
      <c r="A28" s="69"/>
      <c r="B28" s="70"/>
      <c r="C28" s="70"/>
      <c r="D28" s="70"/>
      <c r="E28" s="70"/>
      <c r="F28" s="70"/>
      <c r="G28" s="71"/>
    </row>
    <row r="29" spans="1:8" hidden="1">
      <c r="A29" s="48"/>
      <c r="B29" s="74"/>
      <c r="C29" s="74"/>
      <c r="D29" s="74"/>
      <c r="E29" s="74"/>
      <c r="F29" s="74"/>
      <c r="G29" s="96"/>
    </row>
    <row r="30" spans="1:8" hidden="1">
      <c r="A30" s="48"/>
      <c r="B30" s="74"/>
      <c r="C30" s="74"/>
      <c r="D30" s="74"/>
      <c r="E30" s="74"/>
      <c r="F30" s="74"/>
      <c r="G30" s="96"/>
    </row>
    <row r="31" spans="1:8" hidden="1">
      <c r="A31" s="48"/>
      <c r="B31" s="74"/>
      <c r="C31" s="74"/>
      <c r="D31" s="74"/>
      <c r="E31" s="74"/>
      <c r="F31" s="74"/>
      <c r="G31" s="96"/>
    </row>
    <row r="32" spans="1:8" hidden="1">
      <c r="A32" s="48"/>
      <c r="B32" s="74"/>
      <c r="C32" s="74"/>
      <c r="D32" s="74"/>
      <c r="E32" s="74"/>
      <c r="F32" s="74"/>
      <c r="G32" s="96"/>
    </row>
    <row r="33" spans="1:8" hidden="1">
      <c r="A33" s="69"/>
      <c r="B33" s="94"/>
      <c r="C33" s="94"/>
      <c r="D33" s="94"/>
      <c r="E33" s="94"/>
      <c r="F33" s="94"/>
      <c r="G33" s="97"/>
    </row>
    <row r="34" spans="1:8">
      <c r="A34" s="48"/>
      <c r="B34" s="74"/>
      <c r="C34" s="74"/>
      <c r="D34" s="74"/>
      <c r="E34" s="74"/>
      <c r="F34" s="74"/>
      <c r="G34" s="96"/>
    </row>
    <row r="35" spans="1:8" s="64" customFormat="1">
      <c r="A35" s="69" t="s">
        <v>47</v>
      </c>
      <c r="B35" s="70">
        <f t="shared" ref="B35:G35" si="6">+B13-B22-B16</f>
        <v>1440513.9196981809</v>
      </c>
      <c r="C35" s="70">
        <f t="shared" si="6"/>
        <v>0</v>
      </c>
      <c r="D35" s="70">
        <f t="shared" si="6"/>
        <v>46650.188085498259</v>
      </c>
      <c r="E35" s="70">
        <f t="shared" si="6"/>
        <v>62346.865518503517</v>
      </c>
      <c r="F35" s="70">
        <f t="shared" si="6"/>
        <v>424727.66000224883</v>
      </c>
      <c r="G35" s="71">
        <f t="shared" si="6"/>
        <v>1974238.6333044311</v>
      </c>
    </row>
    <row r="36" spans="1:8" ht="12.75" thickBot="1">
      <c r="A36" s="58" t="s">
        <v>50</v>
      </c>
      <c r="B36" s="59">
        <f t="shared" ref="B36:G36" si="7">ABS(B35/B8)</f>
        <v>0.31451273082157627</v>
      </c>
      <c r="C36" s="59">
        <f t="shared" si="7"/>
        <v>0</v>
      </c>
      <c r="D36" s="59">
        <f t="shared" si="7"/>
        <v>6.8300391695277823E-2</v>
      </c>
      <c r="E36" s="59">
        <f t="shared" si="7"/>
        <v>0.23678731412871826</v>
      </c>
      <c r="F36" s="59">
        <f t="shared" si="7"/>
        <v>0.38469268753361607</v>
      </c>
      <c r="G36" s="60">
        <f t="shared" si="7"/>
        <v>0.28854340531921502</v>
      </c>
    </row>
    <row r="38" spans="1:8" ht="13.5" customHeight="1">
      <c r="E38" s="115" t="s">
        <v>12</v>
      </c>
      <c r="F38" s="115"/>
      <c r="G38" s="67">
        <f>+Chesapeake!E38+Norfolk!F38+Portsmouth!E38+Suffolk!D38+'Virginia Beach'!D38+Hampton!E38+'Newport News'!D38</f>
        <v>103301.86</v>
      </c>
    </row>
    <row r="39" spans="1:8" ht="13.5" customHeight="1">
      <c r="E39" s="115" t="s">
        <v>13</v>
      </c>
      <c r="F39" s="115"/>
      <c r="G39" s="74">
        <f>Chesapeake!E39+Hampton!E39+'Newport News'!D39+Norfolk!F39+Portsmouth!E39+'Virginia Beach'!D39+Suffolk!D39</f>
        <v>-21454.088161586416</v>
      </c>
    </row>
    <row r="40" spans="1:8" ht="13.5" customHeight="1">
      <c r="E40" s="98" t="s">
        <v>14</v>
      </c>
      <c r="F40" s="98"/>
      <c r="G40" s="74">
        <f>Chesapeake!E40+Hampton!E40+'Newport News'!D40+Norfolk!F40+Portsmouth!E40+'Virginia Beach'!D40+Suffolk!D40</f>
        <v>125547.84900000002</v>
      </c>
    </row>
    <row r="41" spans="1:8">
      <c r="F41" s="75"/>
    </row>
    <row r="42" spans="1:8" ht="13.5" customHeight="1">
      <c r="E42" s="116" t="s">
        <v>31</v>
      </c>
      <c r="F42" s="116"/>
      <c r="G42" s="65">
        <f>+SUM(G38:G40)+G35</f>
        <v>2181634.2541428446</v>
      </c>
    </row>
    <row r="45" spans="1:8">
      <c r="F45" s="76"/>
    </row>
    <row r="46" spans="1:8">
      <c r="F46" s="77"/>
      <c r="G46" s="78"/>
      <c r="H46" s="64"/>
    </row>
    <row r="57" spans="9:9">
      <c r="I57" s="79"/>
    </row>
  </sheetData>
  <mergeCells count="3">
    <mergeCell ref="E38:F38"/>
    <mergeCell ref="E39:F39"/>
    <mergeCell ref="E42:F42"/>
  </mergeCells>
  <phoneticPr fontId="0" type="noConversion"/>
  <printOptions horizontalCentered="1"/>
  <pageMargins left="0" right="0" top="0.75" bottom="0.75" header="0.55000000000000004" footer="0.3"/>
  <pageSetup orientation="landscape" r:id="rId1"/>
  <headerFooter>
    <oddFooter xml:space="preserve">&amp;L&amp;G&amp;R&amp;D
&amp;F
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F45"/>
  <sheetViews>
    <sheetView zoomScaleNormal="100" workbookViewId="0">
      <selection activeCell="A2" sqref="A2"/>
    </sheetView>
  </sheetViews>
  <sheetFormatPr defaultRowHeight="12.75"/>
  <cols>
    <col min="1" max="1" width="28.5703125" style="1" customWidth="1"/>
    <col min="2" max="2" width="12.85546875" style="2" customWidth="1"/>
    <col min="3" max="3" width="11.5703125" style="2" hidden="1" customWidth="1"/>
    <col min="4" max="5" width="12.85546875" style="2" customWidth="1"/>
    <col min="6" max="7" width="15" style="1" customWidth="1"/>
    <col min="8" max="16384" width="9.140625" style="1"/>
  </cols>
  <sheetData>
    <row r="1" spans="1:5" ht="15.75">
      <c r="A1" s="111" t="s">
        <v>54</v>
      </c>
    </row>
    <row r="3" spans="1:5" ht="13.5" thickBot="1">
      <c r="A3" s="6"/>
      <c r="B3" s="7" t="s">
        <v>1</v>
      </c>
      <c r="C3" s="7" t="s">
        <v>2</v>
      </c>
      <c r="D3" s="7" t="s">
        <v>43</v>
      </c>
      <c r="E3" s="7" t="s">
        <v>0</v>
      </c>
    </row>
    <row r="4" spans="1:5">
      <c r="A4" s="8" t="s">
        <v>3</v>
      </c>
      <c r="B4" s="9">
        <f>+'[1]Cost Allocation'!$E$26</f>
        <v>3018.6</v>
      </c>
      <c r="C4" s="9"/>
      <c r="D4" s="9">
        <f>+'[1]Cost Allocation'!$E$28</f>
        <v>1777.8145837679951</v>
      </c>
      <c r="E4" s="10">
        <f>SUM(B4:D4)</f>
        <v>4796.4145837679953</v>
      </c>
    </row>
    <row r="5" spans="1:5" hidden="1">
      <c r="A5" s="11" t="s">
        <v>4</v>
      </c>
      <c r="B5" s="12">
        <f>+'[1]Cost Allocation'!$G$26</f>
        <v>54.675826315715568</v>
      </c>
      <c r="C5" s="12">
        <f>+B5</f>
        <v>54.675826315715568</v>
      </c>
      <c r="D5" s="12">
        <f>+'[1]Cost Allocation'!$G$28</f>
        <v>45.394923397213468</v>
      </c>
      <c r="E5" s="13">
        <f>(E8/E4)-E6</f>
        <v>51.23581414185422</v>
      </c>
    </row>
    <row r="6" spans="1:5" hidden="1">
      <c r="A6" s="11" t="s">
        <v>5</v>
      </c>
      <c r="B6" s="12">
        <f>+'[1]Cost Allocation'!$I$26</f>
        <v>20.090821404763147</v>
      </c>
      <c r="C6" s="12">
        <f>+B6</f>
        <v>20.090821404763147</v>
      </c>
      <c r="D6" s="12">
        <f>+B6</f>
        <v>20.090821404763147</v>
      </c>
      <c r="E6" s="13">
        <f>D6</f>
        <v>20.090821404763147</v>
      </c>
    </row>
    <row r="7" spans="1:5">
      <c r="A7" s="11" t="s">
        <v>32</v>
      </c>
      <c r="B7" s="12">
        <f>SUM(B5:B6)</f>
        <v>74.766647720478716</v>
      </c>
      <c r="C7" s="12">
        <f>SUM(C5:C6)</f>
        <v>74.766647720478716</v>
      </c>
      <c r="D7" s="12">
        <f>SUM(D5:D6)</f>
        <v>65.485744801976608</v>
      </c>
      <c r="E7" s="13">
        <f>SUM(E5:E6)</f>
        <v>71.326635546617368</v>
      </c>
    </row>
    <row r="8" spans="1:5" ht="13.5" thickBot="1">
      <c r="A8" s="14" t="s">
        <v>6</v>
      </c>
      <c r="B8" s="15">
        <f>SUM(B5:B6)*B4</f>
        <v>225690.60280903705</v>
      </c>
      <c r="C8" s="15">
        <f>SUM(C5:C6)*C4</f>
        <v>0</v>
      </c>
      <c r="D8" s="15">
        <f>SUM(D5:D6)*D4</f>
        <v>116421.51213786319</v>
      </c>
      <c r="E8" s="16">
        <f>SUM(B8:D8)</f>
        <v>342112.11494690023</v>
      </c>
    </row>
    <row r="9" spans="1:5" ht="13.5" thickBot="1">
      <c r="A9" s="6"/>
      <c r="B9" s="5"/>
      <c r="C9" s="5"/>
      <c r="D9" s="5"/>
      <c r="E9" s="5"/>
    </row>
    <row r="10" spans="1:5">
      <c r="A10" s="17" t="s">
        <v>28</v>
      </c>
      <c r="B10" s="18">
        <f>+'[1]Cost Allocation'!$F$26</f>
        <v>60340.245013312386</v>
      </c>
      <c r="C10" s="18">
        <v>0</v>
      </c>
      <c r="D10" s="18">
        <f>+'[1]Cost Allocation'!$F$28</f>
        <v>6267.5933278766579</v>
      </c>
      <c r="E10" s="19">
        <f>SUM(B10:D10)</f>
        <v>66607.838341189039</v>
      </c>
    </row>
    <row r="11" spans="1:5" ht="13.5" thickBot="1">
      <c r="A11" s="20" t="s">
        <v>7</v>
      </c>
      <c r="B11" s="21">
        <f>B10/B8</f>
        <v>0.26735825179379713</v>
      </c>
      <c r="C11" s="21">
        <v>0</v>
      </c>
      <c r="D11" s="21">
        <f>D10/D8</f>
        <v>5.3835354074895918E-2</v>
      </c>
      <c r="E11" s="22">
        <f>E10/E8</f>
        <v>0.19469593572132735</v>
      </c>
    </row>
    <row r="12" spans="1:5" ht="13.5" thickBot="1">
      <c r="A12" s="6"/>
      <c r="B12" s="5"/>
      <c r="C12" s="5"/>
      <c r="D12" s="5"/>
      <c r="E12" s="5"/>
    </row>
    <row r="13" spans="1:5" ht="13.5" thickBot="1">
      <c r="A13" s="35" t="s">
        <v>25</v>
      </c>
      <c r="B13" s="36">
        <f>+B8-B10</f>
        <v>165350.35779572467</v>
      </c>
      <c r="C13" s="36">
        <f>+C8-C10</f>
        <v>0</v>
      </c>
      <c r="D13" s="36">
        <f>+D8-D10</f>
        <v>110153.91880998653</v>
      </c>
      <c r="E13" s="37">
        <f>+E8-E10</f>
        <v>275504.2766057112</v>
      </c>
    </row>
    <row r="14" spans="1:5" ht="13.5" thickBot="1">
      <c r="A14" s="4"/>
      <c r="B14" s="23"/>
      <c r="C14" s="23"/>
      <c r="D14" s="23"/>
      <c r="E14" s="23"/>
    </row>
    <row r="15" spans="1:5" ht="13.5" hidden="1" thickBot="1">
      <c r="A15" s="83"/>
      <c r="B15" s="26"/>
      <c r="C15" s="26"/>
      <c r="D15" s="26"/>
      <c r="E15" s="26"/>
    </row>
    <row r="16" spans="1:5" s="31" customFormat="1">
      <c r="A16" s="87" t="s">
        <v>48</v>
      </c>
      <c r="B16" s="18">
        <f>+'[1]Cost Allocation'!$U$26</f>
        <v>40095.012999544138</v>
      </c>
      <c r="C16" s="18">
        <v>0</v>
      </c>
      <c r="D16" s="18">
        <f>+'[1]Cost Allocation'!$U$28</f>
        <v>20682.837408803705</v>
      </c>
      <c r="E16" s="19">
        <f>SUM(B16:D16)</f>
        <v>60777.850408347847</v>
      </c>
    </row>
    <row r="17" spans="1:6">
      <c r="A17" s="66" t="s">
        <v>49</v>
      </c>
      <c r="B17" s="38">
        <f>B16/B$8</f>
        <v>0.1776547738386326</v>
      </c>
      <c r="C17" s="38">
        <v>0</v>
      </c>
      <c r="D17" s="38">
        <f>D16/D$8</f>
        <v>0.1776547738386326</v>
      </c>
      <c r="E17" s="34">
        <f>E16/E$8</f>
        <v>0.17765477383863262</v>
      </c>
    </row>
    <row r="18" spans="1:6">
      <c r="A18" s="66"/>
      <c r="B18" s="26"/>
      <c r="C18" s="26"/>
      <c r="D18" s="26"/>
      <c r="E18" s="32"/>
      <c r="F18" s="84"/>
    </row>
    <row r="19" spans="1:6" hidden="1">
      <c r="A19" s="66" t="s">
        <v>9</v>
      </c>
      <c r="B19" s="25">
        <f>+'[1]Cost Allocation'!$W$26</f>
        <v>54034.738476837054</v>
      </c>
      <c r="C19" s="25">
        <v>0</v>
      </c>
      <c r="D19" s="25">
        <f>+'[1]Cost Allocation'!$W$28</f>
        <v>27506.996095871164</v>
      </c>
      <c r="E19" s="33">
        <f>SUM(B19:D19)</f>
        <v>81541.734572708214</v>
      </c>
    </row>
    <row r="20" spans="1:6" hidden="1">
      <c r="A20" s="66" t="s">
        <v>10</v>
      </c>
      <c r="B20" s="40">
        <v>0</v>
      </c>
      <c r="C20" s="25">
        <v>0</v>
      </c>
      <c r="D20" s="25">
        <f>+'[1]Cost Allocation'!$X$28</f>
        <v>17177.580914269565</v>
      </c>
      <c r="E20" s="33">
        <f>SUM(B20:D20)</f>
        <v>17177.580914269565</v>
      </c>
    </row>
    <row r="21" spans="1:6" hidden="1">
      <c r="A21" s="66" t="s">
        <v>11</v>
      </c>
      <c r="B21" s="25">
        <v>0</v>
      </c>
      <c r="C21" s="25">
        <v>0</v>
      </c>
      <c r="D21" s="25">
        <v>0</v>
      </c>
      <c r="E21" s="33">
        <f>SUM(B21:D21)</f>
        <v>0</v>
      </c>
    </row>
    <row r="22" spans="1:6" s="31" customFormat="1">
      <c r="A22" s="95" t="s">
        <v>29</v>
      </c>
      <c r="B22" s="26">
        <f>SUM(B19:B21)</f>
        <v>54034.738476837054</v>
      </c>
      <c r="C22" s="26">
        <f>SUM(C19:C21)</f>
        <v>0</v>
      </c>
      <c r="D22" s="26">
        <f>SUM(D19:D21)</f>
        <v>44684.577010140725</v>
      </c>
      <c r="E22" s="32">
        <f>SUM(E19:E21)</f>
        <v>98719.315486977779</v>
      </c>
    </row>
    <row r="23" spans="1:6">
      <c r="A23" s="66" t="s">
        <v>30</v>
      </c>
      <c r="B23" s="38">
        <f>+B22/B8</f>
        <v>0.23941953189144216</v>
      </c>
      <c r="C23" s="38" t="e">
        <f>+C22/C8</f>
        <v>#DIV/0!</v>
      </c>
      <c r="D23" s="38">
        <f>+D22/D8</f>
        <v>0.38381718455285535</v>
      </c>
      <c r="E23" s="34">
        <f>+E22/E8</f>
        <v>0.28855837362643577</v>
      </c>
    </row>
    <row r="24" spans="1:6" hidden="1">
      <c r="A24" s="66"/>
      <c r="B24" s="38"/>
      <c r="C24" s="38"/>
      <c r="D24" s="38"/>
      <c r="E24" s="34"/>
    </row>
    <row r="25" spans="1:6" hidden="1">
      <c r="A25" s="66"/>
      <c r="B25" s="38"/>
      <c r="C25" s="38"/>
      <c r="D25" s="38"/>
      <c r="E25" s="34"/>
    </row>
    <row r="26" spans="1:6" hidden="1">
      <c r="A26" s="48"/>
      <c r="B26" s="88"/>
      <c r="C26" s="88"/>
      <c r="D26" s="88"/>
      <c r="E26" s="91"/>
    </row>
    <row r="27" spans="1:6" hidden="1">
      <c r="A27" s="48"/>
      <c r="B27" s="88"/>
      <c r="C27" s="88"/>
      <c r="D27" s="88"/>
      <c r="E27" s="91"/>
    </row>
    <row r="28" spans="1:6" hidden="1">
      <c r="A28" s="69"/>
      <c r="B28" s="26"/>
      <c r="C28" s="26"/>
      <c r="D28" s="26"/>
      <c r="E28" s="32"/>
    </row>
    <row r="29" spans="1:6" hidden="1">
      <c r="A29" s="48"/>
      <c r="B29" s="88"/>
      <c r="C29" s="88"/>
      <c r="D29" s="88"/>
      <c r="E29" s="91"/>
    </row>
    <row r="30" spans="1:6" hidden="1">
      <c r="A30" s="48"/>
      <c r="B30" s="88"/>
      <c r="C30" s="88"/>
      <c r="D30" s="88"/>
      <c r="E30" s="91"/>
    </row>
    <row r="31" spans="1:6" hidden="1">
      <c r="A31" s="48"/>
      <c r="B31" s="88"/>
      <c r="C31" s="88"/>
      <c r="D31" s="88"/>
      <c r="E31" s="91"/>
    </row>
    <row r="32" spans="1:6" hidden="1">
      <c r="A32" s="48"/>
      <c r="B32" s="88"/>
      <c r="C32" s="88"/>
      <c r="D32" s="88"/>
      <c r="E32" s="91"/>
    </row>
    <row r="33" spans="1:5" hidden="1">
      <c r="A33" s="69"/>
      <c r="B33" s="89"/>
      <c r="C33" s="89"/>
      <c r="D33" s="89"/>
      <c r="E33" s="92"/>
    </row>
    <row r="34" spans="1:5">
      <c r="A34" s="48"/>
      <c r="B34" s="90"/>
      <c r="C34" s="90"/>
      <c r="D34" s="90"/>
      <c r="E34" s="93"/>
    </row>
    <row r="35" spans="1:5" s="31" customFormat="1">
      <c r="A35" s="69" t="s">
        <v>47</v>
      </c>
      <c r="B35" s="26">
        <f>+B13-B22-B16</f>
        <v>71220.606319343482</v>
      </c>
      <c r="C35" s="26">
        <f>+C13-C22-C16</f>
        <v>0</v>
      </c>
      <c r="D35" s="26">
        <f>+D13-D22-D16</f>
        <v>44786.504391042094</v>
      </c>
      <c r="E35" s="32">
        <f>+E13-E22-E16</f>
        <v>116007.11071038558</v>
      </c>
    </row>
    <row r="36" spans="1:5" ht="13.5" thickBot="1">
      <c r="A36" s="58" t="s">
        <v>50</v>
      </c>
      <c r="B36" s="21">
        <f>ABS(B35/B8)</f>
        <v>0.31556744247612811</v>
      </c>
      <c r="C36" s="21">
        <v>0</v>
      </c>
      <c r="D36" s="21">
        <f>ABS(D35/D8)</f>
        <v>0.38469268753361607</v>
      </c>
      <c r="E36" s="22">
        <f>ABS(E35/E8)</f>
        <v>0.33909091681360432</v>
      </c>
    </row>
    <row r="37" spans="1:5">
      <c r="A37" s="6"/>
      <c r="B37" s="5"/>
      <c r="C37" s="5"/>
      <c r="D37" s="5"/>
      <c r="E37" s="5"/>
    </row>
    <row r="38" spans="1:5" ht="13.5" customHeight="1">
      <c r="A38" s="6"/>
      <c r="B38" s="117" t="s">
        <v>12</v>
      </c>
      <c r="C38" s="117"/>
      <c r="D38" s="117"/>
      <c r="E38" s="24">
        <f>+'[1]Cost Allocation'!$AF$30</f>
        <v>14757.40857142857</v>
      </c>
    </row>
    <row r="39" spans="1:5" ht="13.5" customHeight="1">
      <c r="A39" s="6"/>
      <c r="B39" s="117" t="s">
        <v>13</v>
      </c>
      <c r="C39" s="117"/>
      <c r="D39" s="117"/>
      <c r="E39" s="24">
        <f>+'[1]Cost Allocation'!$AG$30</f>
        <v>-3064.8697373694881</v>
      </c>
    </row>
    <row r="40" spans="1:5" ht="13.5" customHeight="1">
      <c r="A40" s="6"/>
      <c r="B40" s="117" t="s">
        <v>14</v>
      </c>
      <c r="C40" s="117"/>
      <c r="D40" s="117"/>
      <c r="E40" s="24">
        <f>+'[1]Cost Allocation'!$AK$30</f>
        <v>7436.6196673821414</v>
      </c>
    </row>
    <row r="41" spans="1:5">
      <c r="A41" s="6"/>
      <c r="B41" s="5"/>
      <c r="C41" s="5"/>
      <c r="D41" s="29"/>
      <c r="E41" s="5"/>
    </row>
    <row r="42" spans="1:5" ht="13.5" customHeight="1">
      <c r="A42" s="4"/>
      <c r="B42" s="118" t="s">
        <v>20</v>
      </c>
      <c r="C42" s="118"/>
      <c r="D42" s="118"/>
      <c r="E42" s="23">
        <f>SUM(E38:E40)+E35</f>
        <v>135136.26921182679</v>
      </c>
    </row>
    <row r="43" spans="1:5">
      <c r="A43" s="6"/>
      <c r="B43" s="5"/>
      <c r="C43" s="5"/>
      <c r="D43" s="5"/>
      <c r="E43" s="5"/>
    </row>
    <row r="44" spans="1:5">
      <c r="A44" s="39"/>
      <c r="B44" s="5"/>
      <c r="C44" s="5"/>
      <c r="D44" s="5"/>
      <c r="E44" s="5"/>
    </row>
    <row r="45" spans="1:5">
      <c r="A45" s="6"/>
      <c r="B45" s="5"/>
      <c r="C45" s="5"/>
      <c r="D45" s="5"/>
      <c r="E45" s="5"/>
    </row>
  </sheetData>
  <mergeCells count="4">
    <mergeCell ref="B38:D38"/>
    <mergeCell ref="B39:D39"/>
    <mergeCell ref="B40:D40"/>
    <mergeCell ref="B42:D42"/>
  </mergeCells>
  <phoneticPr fontId="0" type="noConversion"/>
  <printOptions horizontalCentered="1"/>
  <pageMargins left="0" right="0" top="0.75" bottom="0.75" header="0.55000000000000004" footer="0.3"/>
  <pageSetup orientation="landscape" r:id="rId1"/>
  <headerFooter>
    <oddFooter xml:space="preserve">&amp;L&amp;G&amp;R&amp;D
&amp;F
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G42"/>
  <sheetViews>
    <sheetView zoomScaleNormal="100" workbookViewId="0">
      <selection activeCell="A2" sqref="A2"/>
    </sheetView>
  </sheetViews>
  <sheetFormatPr defaultRowHeight="12.75"/>
  <cols>
    <col min="1" max="1" width="26.7109375" style="1" bestFit="1" customWidth="1"/>
    <col min="2" max="6" width="13.28515625" style="2" customWidth="1"/>
    <col min="7" max="16384" width="9.140625" style="1"/>
  </cols>
  <sheetData>
    <row r="1" spans="1:6" ht="15.75">
      <c r="A1" s="111" t="s">
        <v>55</v>
      </c>
    </row>
    <row r="3" spans="1:6" ht="13.5" thickBot="1">
      <c r="A3" s="6"/>
      <c r="B3" s="7" t="s">
        <v>1</v>
      </c>
      <c r="C3" s="7" t="s">
        <v>33</v>
      </c>
      <c r="D3" s="7" t="s">
        <v>15</v>
      </c>
      <c r="E3" s="7" t="s">
        <v>43</v>
      </c>
      <c r="F3" s="7" t="s">
        <v>0</v>
      </c>
    </row>
    <row r="4" spans="1:6">
      <c r="A4" s="8" t="s">
        <v>3</v>
      </c>
      <c r="B4" s="9">
        <f>+'[1]Cost Allocation'!$E$64</f>
        <v>23724</v>
      </c>
      <c r="C4" s="9">
        <f>+'[1]Cost Allocation'!$E$65</f>
        <v>2401</v>
      </c>
      <c r="D4" s="9">
        <f>+'[1]Cost Allocation'!$E$68</f>
        <v>227.5</v>
      </c>
      <c r="E4" s="9">
        <f>+'[1]Cost Allocation'!$E$69</f>
        <v>4174.9915919048617</v>
      </c>
      <c r="F4" s="10">
        <f>SUM(B4:E4)</f>
        <v>30527.491591904862</v>
      </c>
    </row>
    <row r="5" spans="1:6" hidden="1">
      <c r="A5" s="11" t="s">
        <v>4</v>
      </c>
      <c r="B5" s="12">
        <f>+Chesapeake!B5</f>
        <v>54.675826315715568</v>
      </c>
      <c r="C5" s="12">
        <f>+'[1]Cost Allocation'!$G$65</f>
        <v>264.38020824656394</v>
      </c>
      <c r="D5" s="12">
        <f>+'[1]Cost Allocation'!$G$68</f>
        <v>558.59760439560444</v>
      </c>
      <c r="E5" s="12">
        <f>+Chesapeake!D5</f>
        <v>45.394923397213468</v>
      </c>
      <c r="F5" s="13">
        <f>(F8/F4)-F6</f>
        <v>73.655267588668082</v>
      </c>
    </row>
    <row r="6" spans="1:6" hidden="1">
      <c r="A6" s="11" t="s">
        <v>5</v>
      </c>
      <c r="B6" s="12">
        <f>+Chesapeake!B6</f>
        <v>20.090821404763147</v>
      </c>
      <c r="C6" s="12">
        <f>+B6</f>
        <v>20.090821404763147</v>
      </c>
      <c r="D6" s="12">
        <f>+C6</f>
        <v>20.090821404763147</v>
      </c>
      <c r="E6" s="12">
        <f>+B6</f>
        <v>20.090821404763147</v>
      </c>
      <c r="F6" s="13">
        <f>E6</f>
        <v>20.090821404763147</v>
      </c>
    </row>
    <row r="7" spans="1:6">
      <c r="A7" s="11" t="s">
        <v>32</v>
      </c>
      <c r="B7" s="12">
        <f>SUM(B5:B6)</f>
        <v>74.766647720478716</v>
      </c>
      <c r="C7" s="12">
        <f>SUM(C5:C6)</f>
        <v>284.47102965132706</v>
      </c>
      <c r="D7" s="12">
        <f>SUM(D5:D6)</f>
        <v>578.68842580036755</v>
      </c>
      <c r="E7" s="12">
        <f>SUM(E5:E6)</f>
        <v>65.485744801976608</v>
      </c>
      <c r="F7" s="13">
        <f>SUM(F5:F6)</f>
        <v>93.746088993431229</v>
      </c>
    </row>
    <row r="8" spans="1:6" ht="13.5" thickBot="1">
      <c r="A8" s="14" t="s">
        <v>6</v>
      </c>
      <c r="B8" s="15">
        <f>SUM(B5:B6)*B4</f>
        <v>1773763.950520637</v>
      </c>
      <c r="C8" s="15">
        <f>SUM(C5:C6)*C4</f>
        <v>683014.94219283632</v>
      </c>
      <c r="D8" s="15">
        <f>SUM(D5:D6)*D4</f>
        <v>131651.61686958361</v>
      </c>
      <c r="E8" s="15">
        <f>SUM(E5:E6)*E4</f>
        <v>273402.43393787986</v>
      </c>
      <c r="F8" s="16">
        <f>SUM(B8:E8)</f>
        <v>2861832.9435209366</v>
      </c>
    </row>
    <row r="9" spans="1:6" ht="13.5" thickBot="1">
      <c r="A9" s="6"/>
      <c r="B9" s="5"/>
      <c r="C9" s="5"/>
      <c r="D9" s="5"/>
      <c r="E9" s="5"/>
      <c r="F9" s="5"/>
    </row>
    <row r="10" spans="1:6">
      <c r="A10" s="17" t="s">
        <v>28</v>
      </c>
      <c r="B10" s="27">
        <f>+'[1]Cost Allocation'!$F$64</f>
        <v>457376.12711907586</v>
      </c>
      <c r="C10" s="27">
        <f>+'[1]Cost Allocation'!$F$65</f>
        <v>129192.10773043519</v>
      </c>
      <c r="D10" s="18">
        <f>+'[1]Cost Allocation'!$F$68</f>
        <v>15838.367643866019</v>
      </c>
      <c r="E10" s="18">
        <f>+'[1]Cost Allocation'!$F$69</f>
        <v>14718.716835984102</v>
      </c>
      <c r="F10" s="19">
        <f>SUM(B10:E10)</f>
        <v>617125.3193293612</v>
      </c>
    </row>
    <row r="11" spans="1:6" ht="13.5" thickBot="1">
      <c r="A11" s="20" t="s">
        <v>7</v>
      </c>
      <c r="B11" s="21">
        <f>B10/B8</f>
        <v>0.25785625363782277</v>
      </c>
      <c r="C11" s="21">
        <f>C10/C8</f>
        <v>0.18914975317474131</v>
      </c>
      <c r="D11" s="21">
        <f>D10/D8</f>
        <v>0.12030515097703495</v>
      </c>
      <c r="E11" s="21">
        <f>E10/E8</f>
        <v>5.3835354074895918E-2</v>
      </c>
      <c r="F11" s="22">
        <f>F10/F8</f>
        <v>0.21563988237905557</v>
      </c>
    </row>
    <row r="12" spans="1:6" ht="13.5" thickBot="1">
      <c r="A12" s="6"/>
      <c r="B12" s="5"/>
      <c r="C12" s="5"/>
      <c r="D12" s="5"/>
      <c r="E12" s="5"/>
      <c r="F12" s="5"/>
    </row>
    <row r="13" spans="1:6" ht="13.5" thickBot="1">
      <c r="A13" s="35" t="s">
        <v>25</v>
      </c>
      <c r="B13" s="36">
        <f>B8-B10</f>
        <v>1316387.823401561</v>
      </c>
      <c r="C13" s="36">
        <f>C8-C10</f>
        <v>553822.83446240111</v>
      </c>
      <c r="D13" s="36">
        <f>D8-D10</f>
        <v>115813.24922571759</v>
      </c>
      <c r="E13" s="36">
        <f>E8-E10</f>
        <v>258683.71710189577</v>
      </c>
      <c r="F13" s="37">
        <f>F8-F10</f>
        <v>2244707.6241915757</v>
      </c>
    </row>
    <row r="14" spans="1:6" ht="13.5" thickBot="1">
      <c r="A14" s="4"/>
      <c r="B14" s="23"/>
      <c r="C14" s="23"/>
      <c r="D14" s="23"/>
      <c r="E14" s="23"/>
      <c r="F14" s="23"/>
    </row>
    <row r="15" spans="1:6" ht="13.5" hidden="1" thickBot="1">
      <c r="A15" s="83"/>
      <c r="B15" s="26"/>
      <c r="C15" s="26"/>
      <c r="D15" s="26"/>
      <c r="E15" s="26"/>
      <c r="F15" s="26"/>
    </row>
    <row r="16" spans="1:6" s="31" customFormat="1">
      <c r="A16" s="87" t="s">
        <v>48</v>
      </c>
      <c r="B16" s="18">
        <f>+'[1]Cost Allocation'!$U$64</f>
        <v>276562.83167383197</v>
      </c>
      <c r="C16" s="18">
        <f>+'[1]Cost Allocation'!$U$65</f>
        <v>102452.24132892545</v>
      </c>
      <c r="D16" s="18">
        <f>+'[1]Cost Allocation'!$U$68</f>
        <v>23388.538220456183</v>
      </c>
      <c r="E16" s="18">
        <f>+'[1]Cost Allocation'!$U$69</f>
        <v>48571.247568165738</v>
      </c>
      <c r="F16" s="19">
        <f>SUM(B16:E16)</f>
        <v>450974.85879137926</v>
      </c>
    </row>
    <row r="17" spans="1:7">
      <c r="A17" s="66" t="s">
        <v>49</v>
      </c>
      <c r="B17" s="38">
        <f>B16/B$8</f>
        <v>0.15591862242586166</v>
      </c>
      <c r="C17" s="38">
        <f>C16/C$8</f>
        <v>0.15</v>
      </c>
      <c r="D17" s="38">
        <f>D16/D$8</f>
        <v>0.1776547738386326</v>
      </c>
      <c r="E17" s="38">
        <f>E16/E$8</f>
        <v>0.1776547738386326</v>
      </c>
      <c r="F17" s="34">
        <f>F16/F$8</f>
        <v>0.15758252409958673</v>
      </c>
    </row>
    <row r="18" spans="1:7">
      <c r="A18" s="66"/>
      <c r="B18" s="26"/>
      <c r="C18" s="26"/>
      <c r="D18" s="26"/>
      <c r="E18" s="26"/>
      <c r="F18" s="32"/>
      <c r="G18" s="84"/>
    </row>
    <row r="19" spans="1:7" hidden="1">
      <c r="A19" s="66" t="s">
        <v>9</v>
      </c>
      <c r="B19" s="25">
        <f>+'[1]Cost Allocation'!$W$64</f>
        <v>372714.68853443005</v>
      </c>
      <c r="C19" s="25">
        <f>+'[1]Cost Allocation'!$W$65</f>
        <v>45454.545454545456</v>
      </c>
      <c r="D19" s="25">
        <f>+'[1]Cost Allocation'!$W$68</f>
        <v>61190.047992154447</v>
      </c>
      <c r="E19" s="25">
        <f>+'[1]Cost Allocation'!$W$69</f>
        <v>64596.993672658937</v>
      </c>
      <c r="F19" s="33">
        <f>SUM(B19:E19)</f>
        <v>543956.27565378894</v>
      </c>
    </row>
    <row r="20" spans="1:7" hidden="1">
      <c r="A20" s="66" t="s">
        <v>10</v>
      </c>
      <c r="B20" s="25">
        <v>0</v>
      </c>
      <c r="C20" s="25">
        <v>0</v>
      </c>
      <c r="D20" s="25">
        <v>0</v>
      </c>
      <c r="E20" s="25">
        <f>+'[1]Cost Allocation'!$X$69</f>
        <v>40339.558771276133</v>
      </c>
      <c r="F20" s="33">
        <f>SUM(B20:E20)</f>
        <v>40339.558771276133</v>
      </c>
    </row>
    <row r="21" spans="1:7" hidden="1">
      <c r="A21" s="66" t="s">
        <v>11</v>
      </c>
      <c r="B21" s="25">
        <f>+'[1]Cost Allocation'!$Q$64</f>
        <v>128848.57267443548</v>
      </c>
      <c r="C21" s="25">
        <f>+'[1]Cost Allocation'!$Q$65</f>
        <v>359265.85959343193</v>
      </c>
      <c r="D21" s="25">
        <v>0</v>
      </c>
      <c r="E21" s="25">
        <v>0</v>
      </c>
      <c r="F21" s="33">
        <f>SUM(B21:E21)</f>
        <v>488114.43226786738</v>
      </c>
    </row>
    <row r="22" spans="1:7" s="31" customFormat="1">
      <c r="A22" s="95" t="s">
        <v>29</v>
      </c>
      <c r="B22" s="26">
        <f>SUM(B19:B21)</f>
        <v>501563.26120886556</v>
      </c>
      <c r="C22" s="26">
        <f>SUM(C19:C21)</f>
        <v>404720.4050479774</v>
      </c>
      <c r="D22" s="26">
        <f>SUM(D19:D21)</f>
        <v>61190.047992154447</v>
      </c>
      <c r="E22" s="26">
        <f>SUM(E19:E21)</f>
        <v>104936.55244393507</v>
      </c>
      <c r="F22" s="32">
        <f>SUM(F19:F21)</f>
        <v>1072410.2666929325</v>
      </c>
    </row>
    <row r="23" spans="1:7">
      <c r="A23" s="66" t="s">
        <v>30</v>
      </c>
      <c r="B23" s="38">
        <f>+B22/B8</f>
        <v>0.28276776121289771</v>
      </c>
      <c r="C23" s="38">
        <f>+C22/C8</f>
        <v>0.59254985512998082</v>
      </c>
      <c r="D23" s="38">
        <f>+D22/D8</f>
        <v>0.46478766799172982</v>
      </c>
      <c r="E23" s="38">
        <f>+E22/E8</f>
        <v>0.38381718455285535</v>
      </c>
      <c r="F23" s="34">
        <f>+F22/F8</f>
        <v>0.37472846523792452</v>
      </c>
    </row>
    <row r="24" spans="1:7" hidden="1">
      <c r="A24" s="66"/>
      <c r="B24" s="38"/>
      <c r="C24" s="38"/>
      <c r="D24" s="38"/>
      <c r="E24" s="38"/>
      <c r="F24" s="34"/>
    </row>
    <row r="25" spans="1:7" hidden="1">
      <c r="A25" s="66"/>
      <c r="B25" s="38"/>
      <c r="C25" s="38"/>
      <c r="D25" s="38"/>
      <c r="E25" s="38"/>
      <c r="F25" s="34"/>
    </row>
    <row r="26" spans="1:7" hidden="1">
      <c r="A26" s="48"/>
      <c r="B26" s="88"/>
      <c r="C26" s="88"/>
      <c r="D26" s="88"/>
      <c r="E26" s="88"/>
      <c r="F26" s="91"/>
    </row>
    <row r="27" spans="1:7" hidden="1">
      <c r="A27" s="48"/>
      <c r="B27" s="88"/>
      <c r="C27" s="88"/>
      <c r="D27" s="88"/>
      <c r="E27" s="88"/>
      <c r="F27" s="91"/>
    </row>
    <row r="28" spans="1:7" hidden="1">
      <c r="A28" s="69"/>
      <c r="B28" s="26"/>
      <c r="C28" s="26"/>
      <c r="D28" s="26"/>
      <c r="E28" s="26"/>
      <c r="F28" s="32"/>
    </row>
    <row r="29" spans="1:7" hidden="1">
      <c r="A29" s="48"/>
      <c r="B29" s="88"/>
      <c r="C29" s="88"/>
      <c r="D29" s="88"/>
      <c r="E29" s="88"/>
      <c r="F29" s="91"/>
    </row>
    <row r="30" spans="1:7" hidden="1">
      <c r="A30" s="48"/>
      <c r="B30" s="88"/>
      <c r="C30" s="88"/>
      <c r="D30" s="88"/>
      <c r="E30" s="88"/>
      <c r="F30" s="91"/>
    </row>
    <row r="31" spans="1:7" hidden="1">
      <c r="A31" s="48"/>
      <c r="B31" s="88"/>
      <c r="C31" s="88"/>
      <c r="D31" s="88"/>
      <c r="E31" s="88"/>
      <c r="F31" s="91"/>
    </row>
    <row r="32" spans="1:7" hidden="1">
      <c r="A32" s="48"/>
      <c r="B32" s="88"/>
      <c r="C32" s="88"/>
      <c r="D32" s="88"/>
      <c r="E32" s="88"/>
      <c r="F32" s="91"/>
    </row>
    <row r="33" spans="1:6" hidden="1">
      <c r="A33" s="69"/>
      <c r="B33" s="89"/>
      <c r="C33" s="89"/>
      <c r="D33" s="89"/>
      <c r="E33" s="89"/>
      <c r="F33" s="92"/>
    </row>
    <row r="34" spans="1:6">
      <c r="A34" s="48"/>
      <c r="B34" s="90"/>
      <c r="C34" s="90"/>
      <c r="D34" s="90"/>
      <c r="E34" s="90"/>
      <c r="F34" s="93"/>
    </row>
    <row r="35" spans="1:6" s="31" customFormat="1">
      <c r="A35" s="69" t="s">
        <v>47</v>
      </c>
      <c r="B35" s="26">
        <f>+B13-B22-B16</f>
        <v>538261.73051886354</v>
      </c>
      <c r="C35" s="26">
        <f>+C13-C22-C16</f>
        <v>46650.188085498259</v>
      </c>
      <c r="D35" s="26">
        <f>+D13-D22-D16</f>
        <v>31234.663013106961</v>
      </c>
      <c r="E35" s="26">
        <f>+E13-E22-E16</f>
        <v>105175.91708979497</v>
      </c>
      <c r="F35" s="32">
        <f>+F13-F22-F16</f>
        <v>721322.49870726396</v>
      </c>
    </row>
    <row r="36" spans="1:6" ht="13.5" thickBot="1">
      <c r="A36" s="58" t="s">
        <v>50</v>
      </c>
      <c r="B36" s="21">
        <f>ABS(B35/B8)</f>
        <v>0.30345736272341783</v>
      </c>
      <c r="C36" s="21">
        <f>ABS(C35/C8)</f>
        <v>6.8300391695277823E-2</v>
      </c>
      <c r="D36" s="21">
        <f>ABS(D35/D8)</f>
        <v>0.2372524071926026</v>
      </c>
      <c r="E36" s="21">
        <f>ABS(E35/E8)</f>
        <v>0.38469268753361624</v>
      </c>
      <c r="F36" s="22">
        <f>ABS(F35/F8)</f>
        <v>0.25204912828343323</v>
      </c>
    </row>
    <row r="37" spans="1:6">
      <c r="A37" s="6"/>
      <c r="B37" s="5"/>
      <c r="C37" s="5"/>
      <c r="D37" s="5"/>
      <c r="E37" s="5"/>
      <c r="F37" s="5"/>
    </row>
    <row r="38" spans="1:6" ht="13.5" customHeight="1">
      <c r="A38" s="6"/>
      <c r="B38" s="5"/>
      <c r="C38" s="5"/>
      <c r="D38" s="117" t="s">
        <v>12</v>
      </c>
      <c r="E38" s="117"/>
      <c r="F38" s="24">
        <f>+Chesapeake!E38</f>
        <v>14757.40857142857</v>
      </c>
    </row>
    <row r="39" spans="1:6" ht="13.5" customHeight="1">
      <c r="A39" s="6"/>
      <c r="B39" s="5"/>
      <c r="C39" s="5"/>
      <c r="D39" s="117" t="s">
        <v>13</v>
      </c>
      <c r="E39" s="117"/>
      <c r="F39" s="24">
        <f>+Chesapeake!E39</f>
        <v>-3064.8697373694881</v>
      </c>
    </row>
    <row r="40" spans="1:6" ht="13.5" customHeight="1">
      <c r="A40" s="6"/>
      <c r="B40" s="117" t="s">
        <v>14</v>
      </c>
      <c r="C40" s="117"/>
      <c r="D40" s="117"/>
      <c r="E40" s="117"/>
      <c r="F40" s="24">
        <f>+'[1]Cost Allocation'!$AK$71</f>
        <v>47331.468204705925</v>
      </c>
    </row>
    <row r="41" spans="1:6">
      <c r="A41" s="6"/>
      <c r="B41" s="5"/>
      <c r="C41" s="5"/>
      <c r="D41" s="5"/>
      <c r="E41" s="29"/>
      <c r="F41" s="5"/>
    </row>
    <row r="42" spans="1:6" ht="13.5" customHeight="1">
      <c r="A42" s="4"/>
      <c r="B42" s="5"/>
      <c r="C42" s="5"/>
      <c r="D42" s="118" t="s">
        <v>16</v>
      </c>
      <c r="E42" s="118"/>
      <c r="F42" s="23">
        <f>SUM(F38:F40)+F35</f>
        <v>780346.50574602897</v>
      </c>
    </row>
  </sheetData>
  <mergeCells count="4">
    <mergeCell ref="D38:E38"/>
    <mergeCell ref="D39:E39"/>
    <mergeCell ref="D42:E42"/>
    <mergeCell ref="B40:E40"/>
  </mergeCells>
  <phoneticPr fontId="0" type="noConversion"/>
  <printOptions horizontalCentered="1"/>
  <pageMargins left="0" right="0" top="0.75" bottom="0.75" header="0.55000000000000004" footer="0.3"/>
  <pageSetup orientation="landscape" r:id="rId1"/>
  <headerFooter>
    <oddFooter xml:space="preserve">&amp;L&amp;G&amp;R&amp;D
&amp;F
</oddFooter>
  </headerFooter>
  <ignoredErrors>
    <ignoredError sqref="E6" formula="1"/>
  </ignoredError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</sheetPr>
  <dimension ref="A1:F44"/>
  <sheetViews>
    <sheetView zoomScaleNormal="100" workbookViewId="0">
      <selection activeCell="A2" sqref="A2"/>
    </sheetView>
  </sheetViews>
  <sheetFormatPr defaultRowHeight="12.75"/>
  <cols>
    <col min="1" max="1" width="26.7109375" style="1" bestFit="1" customWidth="1"/>
    <col min="2" max="5" width="13.28515625" style="2" customWidth="1"/>
    <col min="6" max="16384" width="9.140625" style="1"/>
  </cols>
  <sheetData>
    <row r="1" spans="1:5" ht="15.75">
      <c r="A1" s="111" t="s">
        <v>56</v>
      </c>
    </row>
    <row r="3" spans="1:5" s="43" customFormat="1" ht="13.5" thickBot="1">
      <c r="A3" s="41"/>
      <c r="B3" s="42" t="s">
        <v>1</v>
      </c>
      <c r="C3" s="42" t="s">
        <v>15</v>
      </c>
      <c r="D3" s="42" t="s">
        <v>43</v>
      </c>
      <c r="E3" s="42" t="s">
        <v>0</v>
      </c>
    </row>
    <row r="4" spans="1:5">
      <c r="A4" s="8" t="s">
        <v>3</v>
      </c>
      <c r="B4" s="9">
        <f>+'[1]Cost Allocation'!$E$83</f>
        <v>5525.9</v>
      </c>
      <c r="C4" s="9">
        <f>+'[1]Cost Allocation'!$E$85</f>
        <v>227.5</v>
      </c>
      <c r="D4" s="9">
        <f>+'[1]Cost Allocation'!$E$86</f>
        <v>1047.0625286876696</v>
      </c>
      <c r="E4" s="10">
        <f>SUM(B4:D4)</f>
        <v>6800.462528687669</v>
      </c>
    </row>
    <row r="5" spans="1:5" hidden="1">
      <c r="A5" s="11" t="s">
        <v>4</v>
      </c>
      <c r="B5" s="12">
        <f>+Chesapeake!B5</f>
        <v>54.675826315715568</v>
      </c>
      <c r="C5" s="12">
        <f>+Norfolk!D5</f>
        <v>558.59760439560444</v>
      </c>
      <c r="D5" s="12">
        <f>+Chesapeake!D5</f>
        <v>45.394923397213468</v>
      </c>
      <c r="E5" s="13">
        <f>(E8/E4)-E6</f>
        <v>70.104853149140538</v>
      </c>
    </row>
    <row r="6" spans="1:5" hidden="1">
      <c r="A6" s="11" t="s">
        <v>5</v>
      </c>
      <c r="B6" s="12">
        <f>+Chesapeake!B6</f>
        <v>20.090821404763147</v>
      </c>
      <c r="C6" s="12">
        <f>B6</f>
        <v>20.090821404763147</v>
      </c>
      <c r="D6" s="12">
        <f>C6</f>
        <v>20.090821404763147</v>
      </c>
      <c r="E6" s="13">
        <f>D6</f>
        <v>20.090821404763147</v>
      </c>
    </row>
    <row r="7" spans="1:5">
      <c r="A7" s="11" t="s">
        <v>32</v>
      </c>
      <c r="B7" s="12">
        <f>SUM(B5:B6)</f>
        <v>74.766647720478716</v>
      </c>
      <c r="C7" s="12">
        <f>SUM(C5:C6)</f>
        <v>578.68842580036755</v>
      </c>
      <c r="D7" s="12">
        <f>SUM(D5:D6)</f>
        <v>65.485744801976608</v>
      </c>
      <c r="E7" s="13">
        <f>SUM(E5:E6)</f>
        <v>90.195674553903686</v>
      </c>
    </row>
    <row r="8" spans="1:5" ht="13.5" thickBot="1">
      <c r="A8" s="14" t="s">
        <v>6</v>
      </c>
      <c r="B8" s="15">
        <f>SUM(B5:B6)*B4</f>
        <v>413153.01863859332</v>
      </c>
      <c r="C8" s="15">
        <f>SUM(C5:C6)*C4</f>
        <v>131651.61686958361</v>
      </c>
      <c r="D8" s="15">
        <f>SUM(D5:D6)*D4</f>
        <v>68567.669545353041</v>
      </c>
      <c r="E8" s="16">
        <f>SUM(B8:D8)</f>
        <v>613372.30505352991</v>
      </c>
    </row>
    <row r="9" spans="1:5" ht="13.5" thickBot="1">
      <c r="A9" s="6"/>
      <c r="B9" s="5"/>
      <c r="C9" s="5"/>
      <c r="D9" s="5"/>
      <c r="E9" s="5"/>
    </row>
    <row r="10" spans="1:5">
      <c r="A10" s="17" t="s">
        <v>28</v>
      </c>
      <c r="B10" s="18">
        <f>+'[1]Cost Allocation'!$F$83</f>
        <v>90964.052587795974</v>
      </c>
      <c r="C10" s="18">
        <f>+'[1]Cost Allocation'!$F$85</f>
        <v>15960.828151576417</v>
      </c>
      <c r="D10" s="18">
        <f>+'[1]Cost Allocation'!$F$86</f>
        <v>3691.3647680645386</v>
      </c>
      <c r="E10" s="19">
        <f>SUM(B10:D10)</f>
        <v>110616.24550743694</v>
      </c>
    </row>
    <row r="11" spans="1:5" ht="13.5" thickBot="1">
      <c r="A11" s="20" t="s">
        <v>7</v>
      </c>
      <c r="B11" s="21">
        <f>B10/B8</f>
        <v>0.22017036905003717</v>
      </c>
      <c r="C11" s="21">
        <f>C10/C8</f>
        <v>0.12123533710480359</v>
      </c>
      <c r="D11" s="21">
        <f>D10/D8</f>
        <v>5.3835354074895918E-2</v>
      </c>
      <c r="E11" s="22">
        <f>E10/E8</f>
        <v>0.18034111516949447</v>
      </c>
    </row>
    <row r="12" spans="1:5" ht="13.5" thickBot="1">
      <c r="A12" s="6"/>
      <c r="B12" s="5"/>
      <c r="C12" s="5"/>
      <c r="D12" s="5"/>
      <c r="E12" s="5"/>
    </row>
    <row r="13" spans="1:5" ht="13.5" thickBot="1">
      <c r="A13" s="35" t="s">
        <v>25</v>
      </c>
      <c r="B13" s="36">
        <f>B8-B10</f>
        <v>322188.96605079737</v>
      </c>
      <c r="C13" s="36">
        <f>C8-C10</f>
        <v>115690.78871800718</v>
      </c>
      <c r="D13" s="36">
        <f>D8-D10</f>
        <v>64876.304777288504</v>
      </c>
      <c r="E13" s="37">
        <f>E8-E10</f>
        <v>502756.05954609299</v>
      </c>
    </row>
    <row r="14" spans="1:5" ht="13.5" thickBot="1">
      <c r="A14" s="4"/>
      <c r="B14" s="23"/>
      <c r="C14" s="23"/>
      <c r="D14" s="23"/>
      <c r="E14" s="23"/>
    </row>
    <row r="15" spans="1:5" ht="13.5" hidden="1" thickBot="1">
      <c r="A15" s="83"/>
      <c r="B15" s="26"/>
      <c r="C15" s="26"/>
      <c r="D15" s="26"/>
      <c r="E15" s="26"/>
    </row>
    <row r="16" spans="1:5" s="31" customFormat="1">
      <c r="A16" s="87" t="s">
        <v>48</v>
      </c>
      <c r="B16" s="18">
        <f>+'[1]Cost Allocation'!$U$83</f>
        <v>71012.435866349682</v>
      </c>
      <c r="C16" s="18">
        <f>+'[1]Cost Allocation'!$U$85</f>
        <v>23388.538220456183</v>
      </c>
      <c r="D16" s="18">
        <f>+'[1]Cost Allocation'!$U$86</f>
        <v>12181.37382572179</v>
      </c>
      <c r="E16" s="19">
        <f>SUM(B16:D16)</f>
        <v>106582.34791252765</v>
      </c>
    </row>
    <row r="17" spans="1:6">
      <c r="A17" s="66" t="s">
        <v>49</v>
      </c>
      <c r="B17" s="38">
        <f>B16/B$8</f>
        <v>0.17187926182978708</v>
      </c>
      <c r="C17" s="38">
        <f>C16/C$8</f>
        <v>0.1776547738386326</v>
      </c>
      <c r="D17" s="38">
        <f>D16/D$8</f>
        <v>0.1776547738386326</v>
      </c>
      <c r="E17" s="34">
        <f>E16/E$8</f>
        <v>0.17376452610331999</v>
      </c>
    </row>
    <row r="18" spans="1:6">
      <c r="A18" s="66"/>
      <c r="B18" s="26"/>
      <c r="C18" s="26"/>
      <c r="D18" s="26"/>
      <c r="E18" s="32"/>
      <c r="F18" s="84"/>
    </row>
    <row r="19" spans="1:6" hidden="1">
      <c r="A19" s="66" t="s">
        <v>9</v>
      </c>
      <c r="B19" s="25">
        <f>+'[1]Cost Allocation'!$W$83</f>
        <v>95701.138709818973</v>
      </c>
      <c r="C19" s="25">
        <f>+'[1]Cost Allocation'!$W$85</f>
        <v>61190.047992154447</v>
      </c>
      <c r="D19" s="25">
        <f>+'[1]Cost Allocation'!$W$86</f>
        <v>16200.533594285846</v>
      </c>
      <c r="E19" s="33">
        <f>SUM(B19:D19)</f>
        <v>173091.72029625927</v>
      </c>
    </row>
    <row r="20" spans="1:6" hidden="1">
      <c r="A20" s="66" t="s">
        <v>10</v>
      </c>
      <c r="B20" s="25">
        <v>0</v>
      </c>
      <c r="C20" s="25">
        <v>0</v>
      </c>
      <c r="D20" s="25">
        <f>+'[1]Cost Allocation'!$X$86</f>
        <v>10116.91628196212</v>
      </c>
      <c r="E20" s="33">
        <f>SUM(B20:D20)</f>
        <v>10116.91628196212</v>
      </c>
    </row>
    <row r="21" spans="1:6" hidden="1">
      <c r="A21" s="66" t="s">
        <v>11</v>
      </c>
      <c r="B21" s="25">
        <f>+'[1]Cost Allocation'!$N$83</f>
        <v>10474.282240420491</v>
      </c>
      <c r="C21" s="25">
        <v>0</v>
      </c>
      <c r="D21" s="25">
        <v>0</v>
      </c>
      <c r="E21" s="33">
        <f>SUM(B21:D21)</f>
        <v>10474.282240420491</v>
      </c>
    </row>
    <row r="22" spans="1:6" s="31" customFormat="1">
      <c r="A22" s="95" t="s">
        <v>29</v>
      </c>
      <c r="B22" s="26">
        <f>SUM(B19:B21)</f>
        <v>106175.42095023947</v>
      </c>
      <c r="C22" s="26">
        <f>SUM(C19:C21)</f>
        <v>61190.047992154447</v>
      </c>
      <c r="D22" s="26">
        <f>SUM(D19:D21)</f>
        <v>26317.449876247963</v>
      </c>
      <c r="E22" s="32">
        <f>SUM(E19:E21)</f>
        <v>193682.91881864189</v>
      </c>
    </row>
    <row r="23" spans="1:6">
      <c r="A23" s="66" t="s">
        <v>30</v>
      </c>
      <c r="B23" s="38">
        <f>+B22/B8</f>
        <v>0.25698812827292128</v>
      </c>
      <c r="C23" s="38">
        <f>+C22/C8</f>
        <v>0.46478766799172982</v>
      </c>
      <c r="D23" s="38">
        <f>+D22/D8</f>
        <v>0.3838171845528553</v>
      </c>
      <c r="E23" s="34">
        <f>+E22/E8</f>
        <v>0.3157673035168076</v>
      </c>
    </row>
    <row r="24" spans="1:6" hidden="1">
      <c r="A24" s="66"/>
      <c r="B24" s="38"/>
      <c r="C24" s="38"/>
      <c r="D24" s="38"/>
      <c r="E24" s="34"/>
    </row>
    <row r="25" spans="1:6" hidden="1">
      <c r="A25" s="66"/>
      <c r="B25" s="38"/>
      <c r="C25" s="38"/>
      <c r="D25" s="38"/>
      <c r="E25" s="34"/>
    </row>
    <row r="26" spans="1:6" hidden="1">
      <c r="A26" s="48"/>
      <c r="B26" s="88"/>
      <c r="C26" s="88"/>
      <c r="D26" s="88"/>
      <c r="E26" s="91"/>
    </row>
    <row r="27" spans="1:6" hidden="1">
      <c r="A27" s="48"/>
      <c r="B27" s="88"/>
      <c r="C27" s="88"/>
      <c r="D27" s="88"/>
      <c r="E27" s="91"/>
    </row>
    <row r="28" spans="1:6" hidden="1">
      <c r="A28" s="69"/>
      <c r="B28" s="26"/>
      <c r="C28" s="26"/>
      <c r="D28" s="26"/>
      <c r="E28" s="32"/>
    </row>
    <row r="29" spans="1:6" hidden="1">
      <c r="A29" s="48"/>
      <c r="B29" s="88"/>
      <c r="C29" s="88"/>
      <c r="D29" s="88"/>
      <c r="E29" s="91"/>
    </row>
    <row r="30" spans="1:6" hidden="1">
      <c r="A30" s="48"/>
      <c r="B30" s="88"/>
      <c r="C30" s="88"/>
      <c r="D30" s="88"/>
      <c r="E30" s="91"/>
    </row>
    <row r="31" spans="1:6" hidden="1">
      <c r="A31" s="48"/>
      <c r="B31" s="88"/>
      <c r="C31" s="88"/>
      <c r="D31" s="88"/>
      <c r="E31" s="91"/>
    </row>
    <row r="32" spans="1:6" hidden="1">
      <c r="A32" s="48"/>
      <c r="B32" s="88"/>
      <c r="C32" s="88"/>
      <c r="D32" s="88"/>
      <c r="E32" s="91"/>
    </row>
    <row r="33" spans="1:5" hidden="1">
      <c r="A33" s="69"/>
      <c r="B33" s="89"/>
      <c r="C33" s="89"/>
      <c r="D33" s="89"/>
      <c r="E33" s="92"/>
    </row>
    <row r="34" spans="1:5">
      <c r="A34" s="48"/>
      <c r="B34" s="90"/>
      <c r="C34" s="90"/>
      <c r="D34" s="90"/>
      <c r="E34" s="93"/>
    </row>
    <row r="35" spans="1:5" s="31" customFormat="1">
      <c r="A35" s="69" t="s">
        <v>47</v>
      </c>
      <c r="B35" s="26">
        <f>+B13-B22-B16</f>
        <v>145001.10923420824</v>
      </c>
      <c r="C35" s="26">
        <f>+C13-C22-C16</f>
        <v>31112.202505396555</v>
      </c>
      <c r="D35" s="26">
        <f>+D13-D22-D16</f>
        <v>26377.481075318748</v>
      </c>
      <c r="E35" s="32">
        <f>+E13-E22-E16</f>
        <v>202490.79281492342</v>
      </c>
    </row>
    <row r="36" spans="1:5" ht="13.5" thickBot="1">
      <c r="A36" s="58" t="s">
        <v>50</v>
      </c>
      <c r="B36" s="21">
        <f>ABS(B35/B8)</f>
        <v>0.35096224084725458</v>
      </c>
      <c r="C36" s="21">
        <f>ABS(C35/C8)</f>
        <v>0.23632222106483391</v>
      </c>
      <c r="D36" s="21">
        <f>ABS(D35/D8)</f>
        <v>0.38469268753361618</v>
      </c>
      <c r="E36" s="22">
        <f>ABS(E35/E8)</f>
        <v>0.33012705521037788</v>
      </c>
    </row>
    <row r="37" spans="1:5">
      <c r="A37" s="6"/>
      <c r="B37" s="5"/>
      <c r="C37" s="5"/>
      <c r="D37" s="5"/>
      <c r="E37" s="5"/>
    </row>
    <row r="38" spans="1:5" ht="13.5" customHeight="1">
      <c r="A38" s="6"/>
      <c r="B38" s="5"/>
      <c r="C38" s="117" t="s">
        <v>12</v>
      </c>
      <c r="D38" s="117"/>
      <c r="E38" s="24">
        <f>+Chesapeake!E38</f>
        <v>14757.40857142857</v>
      </c>
    </row>
    <row r="39" spans="1:5" ht="13.5" customHeight="1">
      <c r="A39" s="6"/>
      <c r="B39" s="5"/>
      <c r="C39" s="117" t="s">
        <v>13</v>
      </c>
      <c r="D39" s="117"/>
      <c r="E39" s="24">
        <f>+Chesapeake!E39</f>
        <v>-3064.8697373694881</v>
      </c>
    </row>
    <row r="40" spans="1:5" ht="13.5" customHeight="1">
      <c r="A40" s="6"/>
      <c r="B40" s="117" t="s">
        <v>14</v>
      </c>
      <c r="C40" s="117"/>
      <c r="D40" s="117"/>
      <c r="E40" s="24">
        <f>+'[1]Cost Allocation'!$AK$88</f>
        <v>10543.803606819369</v>
      </c>
    </row>
    <row r="41" spans="1:5">
      <c r="A41" s="6"/>
      <c r="B41" s="5"/>
      <c r="C41" s="5"/>
      <c r="D41" s="29"/>
      <c r="E41" s="5"/>
    </row>
    <row r="42" spans="1:5" ht="13.5" customHeight="1">
      <c r="A42" s="4"/>
      <c r="B42" s="5"/>
      <c r="C42" s="118" t="s">
        <v>22</v>
      </c>
      <c r="D42" s="118"/>
      <c r="E42" s="23">
        <f>SUM(E38:E40)+E35</f>
        <v>224727.13525580187</v>
      </c>
    </row>
    <row r="44" spans="1:5">
      <c r="A44" s="31"/>
    </row>
  </sheetData>
  <mergeCells count="4">
    <mergeCell ref="C38:D38"/>
    <mergeCell ref="C39:D39"/>
    <mergeCell ref="B40:D40"/>
    <mergeCell ref="C42:D42"/>
  </mergeCells>
  <phoneticPr fontId="0" type="noConversion"/>
  <printOptions horizontalCentered="1"/>
  <pageMargins left="0" right="0" top="0.75" bottom="0.75" header="0.55000000000000004" footer="0.3"/>
  <pageSetup orientation="landscape" r:id="rId1"/>
  <headerFooter>
    <oddFooter xml:space="preserve">&amp;L&amp;G&amp;R&amp;D
&amp;F
</oddFooter>
  </headerFooter>
  <ignoredErrors>
    <ignoredError sqref="C6" formula="1"/>
  </ignoredErrors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</sheetPr>
  <dimension ref="A1:E46"/>
  <sheetViews>
    <sheetView zoomScaleNormal="100" workbookViewId="0">
      <selection activeCell="A2" sqref="A2"/>
    </sheetView>
  </sheetViews>
  <sheetFormatPr defaultRowHeight="12.75"/>
  <cols>
    <col min="1" max="1" width="26.7109375" style="1" bestFit="1" customWidth="1"/>
    <col min="2" max="4" width="13.28515625" style="2" customWidth="1"/>
    <col min="5" max="16384" width="9.140625" style="1"/>
  </cols>
  <sheetData>
    <row r="1" spans="1:4" ht="15.75">
      <c r="A1" s="111" t="s">
        <v>57</v>
      </c>
    </row>
    <row r="3" spans="1:4" ht="13.5" thickBot="1">
      <c r="A3" s="6"/>
      <c r="B3" s="7" t="s">
        <v>1</v>
      </c>
      <c r="C3" s="7" t="s">
        <v>43</v>
      </c>
      <c r="D3" s="7" t="s">
        <v>0</v>
      </c>
    </row>
    <row r="4" spans="1:4">
      <c r="A4" s="8" t="s">
        <v>3</v>
      </c>
      <c r="B4" s="9">
        <f>+'[1]Cost Allocation'!$E$95</f>
        <v>1002.4</v>
      </c>
      <c r="C4" s="9">
        <f>+'[1]Cost Allocation'!$E$96</f>
        <v>174.52545378677237</v>
      </c>
      <c r="D4" s="10">
        <f>SUM(B4:C4)</f>
        <v>1176.9254537867723</v>
      </c>
    </row>
    <row r="5" spans="1:4" hidden="1">
      <c r="A5" s="11" t="s">
        <v>4</v>
      </c>
      <c r="B5" s="12">
        <f>+Chesapeake!B5</f>
        <v>54.675826315715568</v>
      </c>
      <c r="C5" s="12">
        <f>+Chesapeake!D5</f>
        <v>45.394923397213468</v>
      </c>
      <c r="D5" s="13">
        <f>(D8/D4)-D6</f>
        <v>53.29956770206168</v>
      </c>
    </row>
    <row r="6" spans="1:4" hidden="1">
      <c r="A6" s="11" t="s">
        <v>5</v>
      </c>
      <c r="B6" s="12">
        <f>+Chesapeake!B6</f>
        <v>20.090821404763147</v>
      </c>
      <c r="C6" s="12">
        <f>+B6</f>
        <v>20.090821404763147</v>
      </c>
      <c r="D6" s="13">
        <f>C6</f>
        <v>20.090821404763147</v>
      </c>
    </row>
    <row r="7" spans="1:4">
      <c r="A7" s="11" t="s">
        <v>32</v>
      </c>
      <c r="B7" s="12">
        <f>SUM(B5:B6)</f>
        <v>74.766647720478716</v>
      </c>
      <c r="C7" s="12">
        <f>SUM(C5:C6)</f>
        <v>65.485744801976608</v>
      </c>
      <c r="D7" s="13">
        <f>SUM(D5:D6)</f>
        <v>73.390389106824827</v>
      </c>
    </row>
    <row r="8" spans="1:4" ht="13.5" thickBot="1">
      <c r="A8" s="14" t="s">
        <v>6</v>
      </c>
      <c r="B8" s="15">
        <f>SUM(B5:B6)*B4</f>
        <v>74946.087675007861</v>
      </c>
      <c r="C8" s="15">
        <f>SUM(C5:C6)*C4</f>
        <v>11428.929328129738</v>
      </c>
      <c r="D8" s="16">
        <f>SUM(B8:C8)</f>
        <v>86375.017003137604</v>
      </c>
    </row>
    <row r="9" spans="1:4" ht="13.5" thickBot="1">
      <c r="A9" s="6"/>
      <c r="B9" s="5"/>
      <c r="C9" s="5"/>
      <c r="D9" s="5"/>
    </row>
    <row r="10" spans="1:4">
      <c r="A10" s="17" t="s">
        <v>28</v>
      </c>
      <c r="B10" s="18">
        <f>+'[1]Cost Allocation'!$F$95</f>
        <v>5175</v>
      </c>
      <c r="C10" s="18">
        <f>+'[1]Cost Allocation'!$F$96</f>
        <v>615.28045707682679</v>
      </c>
      <c r="D10" s="19">
        <f>SUM(B10:C10)</f>
        <v>5790.2804570768267</v>
      </c>
    </row>
    <row r="11" spans="1:4" ht="13.5" thickBot="1">
      <c r="A11" s="20" t="s">
        <v>7</v>
      </c>
      <c r="B11" s="21">
        <f>B10/B8</f>
        <v>6.9049635018182523E-2</v>
      </c>
      <c r="C11" s="21">
        <f>C10/C8</f>
        <v>5.3835354074895925E-2</v>
      </c>
      <c r="D11" s="22">
        <f>D10/D8</f>
        <v>6.7036518868256692E-2</v>
      </c>
    </row>
    <row r="12" spans="1:4" ht="13.5" thickBot="1">
      <c r="A12" s="6"/>
      <c r="B12" s="5"/>
      <c r="C12" s="5"/>
      <c r="D12" s="5"/>
    </row>
    <row r="13" spans="1:4" ht="13.5" thickBot="1">
      <c r="A13" s="35" t="s">
        <v>25</v>
      </c>
      <c r="B13" s="36">
        <f>B8-B10</f>
        <v>69771.087675007861</v>
      </c>
      <c r="C13" s="36">
        <f>C8-C10</f>
        <v>10813.64887105291</v>
      </c>
      <c r="D13" s="37">
        <f>D8-D10</f>
        <v>80584.736546060783</v>
      </c>
    </row>
    <row r="14" spans="1:4" ht="13.5" thickBot="1">
      <c r="A14" s="4"/>
      <c r="B14" s="23"/>
      <c r="C14" s="23"/>
      <c r="D14" s="23"/>
    </row>
    <row r="15" spans="1:4" ht="13.5" hidden="1" thickBot="1">
      <c r="A15" s="83"/>
      <c r="B15" s="26"/>
      <c r="C15" s="26"/>
      <c r="D15" s="26"/>
    </row>
    <row r="16" spans="1:4" s="31" customFormat="1">
      <c r="A16" s="87" t="s">
        <v>48</v>
      </c>
      <c r="B16" s="18">
        <f>+'[1]Cost Allocation'!$U$95</f>
        <v>13314.530255993852</v>
      </c>
      <c r="C16" s="18">
        <f>+'[1]Cost Allocation'!$U$96</f>
        <v>2030.4038550066041</v>
      </c>
      <c r="D16" s="19">
        <f>SUM(B16:C16)</f>
        <v>15344.934111000455</v>
      </c>
    </row>
    <row r="17" spans="1:5">
      <c r="A17" s="66" t="s">
        <v>49</v>
      </c>
      <c r="B17" s="38">
        <f>B16/B$8</f>
        <v>0.1776547738386326</v>
      </c>
      <c r="C17" s="38">
        <f>C16/C$8</f>
        <v>0.17765477383863262</v>
      </c>
      <c r="D17" s="34">
        <f>D16/D$8</f>
        <v>0.1776547738386326</v>
      </c>
    </row>
    <row r="18" spans="1:5">
      <c r="A18" s="66"/>
      <c r="B18" s="26"/>
      <c r="C18" s="26"/>
      <c r="D18" s="32"/>
      <c r="E18" s="84"/>
    </row>
    <row r="19" spans="1:5" hidden="1">
      <c r="A19" s="66" t="s">
        <v>9</v>
      </c>
      <c r="B19" s="25">
        <f>+'[1]Cost Allocation'!$W$95</f>
        <v>17943.557228245365</v>
      </c>
      <c r="C19" s="25">
        <f>+'[1]Cost Allocation'!$W$96</f>
        <v>2700.3215182137233</v>
      </c>
      <c r="D19" s="33">
        <f>SUM(B19:C19)</f>
        <v>20643.87874645909</v>
      </c>
    </row>
    <row r="20" spans="1:5" hidden="1">
      <c r="A20" s="66" t="s">
        <v>10</v>
      </c>
      <c r="B20" s="25">
        <v>0</v>
      </c>
      <c r="C20" s="25">
        <f>+'[1]Cost Allocation'!$X$96</f>
        <v>1686.2979589625897</v>
      </c>
      <c r="D20" s="33">
        <f>SUM(B20:C20)</f>
        <v>1686.2979589625897</v>
      </c>
    </row>
    <row r="21" spans="1:5" hidden="1">
      <c r="A21" s="66" t="s">
        <v>11</v>
      </c>
      <c r="B21" s="25">
        <v>0</v>
      </c>
      <c r="C21" s="25">
        <v>0</v>
      </c>
      <c r="D21" s="33">
        <f>SUM(B21:C21)</f>
        <v>0</v>
      </c>
    </row>
    <row r="22" spans="1:5" s="31" customFormat="1">
      <c r="A22" s="95" t="s">
        <v>29</v>
      </c>
      <c r="B22" s="26">
        <f>SUM(B19:B21)</f>
        <v>17943.557228245365</v>
      </c>
      <c r="C22" s="26">
        <f>SUM(C19:C21)</f>
        <v>4386.619477176313</v>
      </c>
      <c r="D22" s="32">
        <f>SUM(D19:D21)</f>
        <v>22330.17670542168</v>
      </c>
    </row>
    <row r="23" spans="1:5">
      <c r="A23" s="66" t="s">
        <v>30</v>
      </c>
      <c r="B23" s="38">
        <f>+B22/B8</f>
        <v>0.23941953189144216</v>
      </c>
      <c r="C23" s="38">
        <f>+C22/C8</f>
        <v>0.38381718455285541</v>
      </c>
      <c r="D23" s="34">
        <f>+D22/D8</f>
        <v>0.25852587333916854</v>
      </c>
    </row>
    <row r="24" spans="1:5" hidden="1">
      <c r="A24" s="66"/>
      <c r="B24" s="38"/>
      <c r="C24" s="38"/>
      <c r="D24" s="34"/>
    </row>
    <row r="25" spans="1:5" hidden="1">
      <c r="A25" s="66"/>
      <c r="B25" s="38"/>
      <c r="C25" s="38"/>
      <c r="D25" s="34"/>
    </row>
    <row r="26" spans="1:5" hidden="1">
      <c r="A26" s="48"/>
      <c r="B26" s="88"/>
      <c r="C26" s="88"/>
      <c r="D26" s="91"/>
    </row>
    <row r="27" spans="1:5" hidden="1">
      <c r="A27" s="48"/>
      <c r="B27" s="88"/>
      <c r="C27" s="88"/>
      <c r="D27" s="91"/>
    </row>
    <row r="28" spans="1:5" hidden="1">
      <c r="A28" s="69"/>
      <c r="B28" s="26"/>
      <c r="C28" s="26"/>
      <c r="D28" s="32"/>
    </row>
    <row r="29" spans="1:5" hidden="1">
      <c r="A29" s="48"/>
      <c r="B29" s="88"/>
      <c r="C29" s="88"/>
      <c r="D29" s="91"/>
    </row>
    <row r="30" spans="1:5" hidden="1">
      <c r="A30" s="48"/>
      <c r="B30" s="88"/>
      <c r="C30" s="88"/>
      <c r="D30" s="91"/>
    </row>
    <row r="31" spans="1:5" hidden="1">
      <c r="A31" s="48"/>
      <c r="B31" s="88"/>
      <c r="C31" s="88"/>
      <c r="D31" s="91"/>
    </row>
    <row r="32" spans="1:5" hidden="1">
      <c r="A32" s="48"/>
      <c r="B32" s="88"/>
      <c r="C32" s="88"/>
      <c r="D32" s="91"/>
    </row>
    <row r="33" spans="1:4" hidden="1">
      <c r="A33" s="69"/>
      <c r="B33" s="89"/>
      <c r="C33" s="89"/>
      <c r="D33" s="92"/>
    </row>
    <row r="34" spans="1:4">
      <c r="A34" s="48"/>
      <c r="B34" s="90"/>
      <c r="C34" s="90"/>
      <c r="D34" s="93"/>
    </row>
    <row r="35" spans="1:4" s="31" customFormat="1">
      <c r="A35" s="69" t="s">
        <v>47</v>
      </c>
      <c r="B35" s="26">
        <f>+B13-B22-B16</f>
        <v>38513.000190768646</v>
      </c>
      <c r="C35" s="26">
        <f>+C13-C22-C16</f>
        <v>4396.6255388699929</v>
      </c>
      <c r="D35" s="32">
        <f>+D13-D22-D16</f>
        <v>42909.625729638654</v>
      </c>
    </row>
    <row r="36" spans="1:4" ht="13.5" thickBot="1">
      <c r="A36" s="58" t="s">
        <v>50</v>
      </c>
      <c r="B36" s="21">
        <f>ABS(B35/B8)</f>
        <v>0.51387605925174273</v>
      </c>
      <c r="C36" s="21">
        <f>ABS(C35/C8)</f>
        <v>0.38469268753361596</v>
      </c>
      <c r="D36" s="22">
        <f>ABS(D35/D8)</f>
        <v>0.49678283395394235</v>
      </c>
    </row>
    <row r="37" spans="1:4">
      <c r="A37" s="6"/>
      <c r="B37" s="5"/>
      <c r="C37" s="5"/>
      <c r="D37" s="5"/>
    </row>
    <row r="38" spans="1:4" ht="13.5" customHeight="1">
      <c r="A38" s="117" t="s">
        <v>12</v>
      </c>
      <c r="B38" s="117"/>
      <c r="C38" s="117"/>
      <c r="D38" s="24">
        <f>+Chesapeake!E38</f>
        <v>14757.40857142857</v>
      </c>
    </row>
    <row r="39" spans="1:4" ht="13.5" customHeight="1">
      <c r="A39" s="117" t="s">
        <v>13</v>
      </c>
      <c r="B39" s="117"/>
      <c r="C39" s="117"/>
      <c r="D39" s="24">
        <f>+Chesapeake!E39</f>
        <v>-3064.8697373694881</v>
      </c>
    </row>
    <row r="40" spans="1:4" ht="13.5" customHeight="1">
      <c r="A40" s="117" t="s">
        <v>14</v>
      </c>
      <c r="B40" s="117"/>
      <c r="C40" s="117"/>
      <c r="D40" s="24">
        <f>+'[1]Cost Allocation'!$AK$97</f>
        <v>1824.7686524624073</v>
      </c>
    </row>
    <row r="41" spans="1:4">
      <c r="A41" s="6"/>
      <c r="B41" s="5"/>
      <c r="C41" s="29"/>
      <c r="D41" s="5"/>
    </row>
    <row r="42" spans="1:4" ht="13.5" customHeight="1">
      <c r="A42" s="4"/>
      <c r="B42" s="5"/>
      <c r="C42" s="30" t="s">
        <v>19</v>
      </c>
      <c r="D42" s="23">
        <f>SUM(D38:D40)+D35</f>
        <v>56426.933216160141</v>
      </c>
    </row>
    <row r="43" spans="1:4">
      <c r="A43" s="6"/>
      <c r="B43" s="5"/>
      <c r="C43" s="5"/>
      <c r="D43" s="5"/>
    </row>
    <row r="44" spans="1:4">
      <c r="A44" s="4"/>
      <c r="B44" s="5"/>
      <c r="C44" s="5"/>
      <c r="D44" s="5"/>
    </row>
    <row r="45" spans="1:4">
      <c r="A45" s="6"/>
      <c r="B45" s="5"/>
      <c r="C45" s="5"/>
      <c r="D45" s="5"/>
    </row>
    <row r="46" spans="1:4">
      <c r="A46" s="6"/>
      <c r="B46" s="5"/>
      <c r="C46" s="5"/>
      <c r="D46" s="29"/>
    </row>
  </sheetData>
  <mergeCells count="3">
    <mergeCell ref="A38:C38"/>
    <mergeCell ref="A39:C39"/>
    <mergeCell ref="A40:C40"/>
  </mergeCells>
  <phoneticPr fontId="0" type="noConversion"/>
  <printOptions horizontalCentered="1"/>
  <pageMargins left="0" right="0" top="0.75" bottom="0.75" header="0.55000000000000004" footer="0.3"/>
  <pageSetup orientation="landscape" r:id="rId1"/>
  <headerFooter>
    <oddFooter xml:space="preserve">&amp;L&amp;G&amp;R&amp;D
&amp;F
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FF00"/>
  </sheetPr>
  <dimension ref="A1:E42"/>
  <sheetViews>
    <sheetView zoomScaleNormal="100" workbookViewId="0">
      <selection activeCell="A2" sqref="A2"/>
    </sheetView>
  </sheetViews>
  <sheetFormatPr defaultRowHeight="12.75"/>
  <cols>
    <col min="1" max="1" width="28.5703125" style="1" customWidth="1"/>
    <col min="2" max="4" width="13.28515625" style="2" customWidth="1"/>
    <col min="5" max="16384" width="9.140625" style="1"/>
  </cols>
  <sheetData>
    <row r="1" spans="1:4" ht="15.75">
      <c r="A1" s="111" t="s">
        <v>58</v>
      </c>
    </row>
    <row r="3" spans="1:4" ht="13.5" thickBot="1">
      <c r="A3" s="6"/>
      <c r="B3" s="7" t="s">
        <v>1</v>
      </c>
      <c r="C3" s="7" t="s">
        <v>43</v>
      </c>
      <c r="D3" s="7" t="s">
        <v>0</v>
      </c>
    </row>
    <row r="4" spans="1:4">
      <c r="A4" s="8" t="s">
        <v>3</v>
      </c>
      <c r="B4" s="9">
        <f>+'[1]Cost Allocation'!$E$116</f>
        <v>8982</v>
      </c>
      <c r="C4" s="9">
        <f>+'[1]Cost Allocation'!$E$126</f>
        <v>3647.6270811600252</v>
      </c>
      <c r="D4" s="10">
        <f>SUM(B4:C4)</f>
        <v>12629.627081160026</v>
      </c>
    </row>
    <row r="5" spans="1:4" hidden="1">
      <c r="A5" s="11" t="s">
        <v>4</v>
      </c>
      <c r="B5" s="12">
        <f>+Chesapeake!B5</f>
        <v>54.675826315715568</v>
      </c>
      <c r="C5" s="12">
        <f>+Chesapeake!D5</f>
        <v>45.394923397213468</v>
      </c>
      <c r="D5" s="13">
        <f>(D8/D4)-D6</f>
        <v>51.995361357756096</v>
      </c>
    </row>
    <row r="6" spans="1:4" hidden="1">
      <c r="A6" s="11" t="s">
        <v>5</v>
      </c>
      <c r="B6" s="12">
        <f>+Chesapeake!B6</f>
        <v>20.090821404763147</v>
      </c>
      <c r="C6" s="12">
        <f>+B6</f>
        <v>20.090821404763147</v>
      </c>
      <c r="D6" s="13">
        <f>C6</f>
        <v>20.090821404763147</v>
      </c>
    </row>
    <row r="7" spans="1:4">
      <c r="A7" s="11" t="s">
        <v>32</v>
      </c>
      <c r="B7" s="12">
        <f>SUM(B5:B6)</f>
        <v>74.766647720478716</v>
      </c>
      <c r="C7" s="12">
        <f>SUM(C5:C6)</f>
        <v>65.485744801976608</v>
      </c>
      <c r="D7" s="13">
        <f>SUM(D5:D6)</f>
        <v>72.086182762519243</v>
      </c>
    </row>
    <row r="8" spans="1:4" ht="13.5" thickBot="1">
      <c r="A8" s="14" t="s">
        <v>6</v>
      </c>
      <c r="B8" s="15">
        <f>SUM(B5:B6)*B4</f>
        <v>671554.02982533979</v>
      </c>
      <c r="C8" s="15">
        <f>SUM(C5:C6)*C4</f>
        <v>238867.57616962423</v>
      </c>
      <c r="D8" s="16">
        <f>SUM(B8:C8)</f>
        <v>910421.60599496402</v>
      </c>
    </row>
    <row r="9" spans="1:4" ht="13.5" thickBot="1">
      <c r="A9" s="6"/>
      <c r="B9" s="5"/>
      <c r="C9" s="5"/>
      <c r="D9" s="5"/>
    </row>
    <row r="10" spans="1:4">
      <c r="A10" s="17" t="s">
        <v>28</v>
      </c>
      <c r="B10" s="18">
        <f>+'[1]Cost Allocation'!$F$116</f>
        <v>159914.34902327211</v>
      </c>
      <c r="C10" s="18">
        <f>+'[1]Cost Allocation'!$F$126</f>
        <v>12859.520540103891</v>
      </c>
      <c r="D10" s="19">
        <f>SUM(B10:C10)</f>
        <v>172773.86956337601</v>
      </c>
    </row>
    <row r="11" spans="1:4" ht="13.5" thickBot="1">
      <c r="A11" s="20" t="s">
        <v>7</v>
      </c>
      <c r="B11" s="21">
        <f>B10/B8</f>
        <v>0.23812581254983045</v>
      </c>
      <c r="C11" s="21">
        <f>C10/C8</f>
        <v>5.3835354074895918E-2</v>
      </c>
      <c r="D11" s="22">
        <f>D10/D8</f>
        <v>0.18977347245022622</v>
      </c>
    </row>
    <row r="12" spans="1:4" ht="13.5" thickBot="1">
      <c r="A12" s="6"/>
      <c r="B12" s="5"/>
      <c r="C12" s="5"/>
      <c r="D12" s="5"/>
    </row>
    <row r="13" spans="1:4" ht="13.5" thickBot="1">
      <c r="A13" s="35" t="s">
        <v>8</v>
      </c>
      <c r="B13" s="36">
        <f>B8-B10</f>
        <v>511639.68080206768</v>
      </c>
      <c r="C13" s="36">
        <f>C8-C10</f>
        <v>226008.05562952033</v>
      </c>
      <c r="D13" s="37">
        <f>D8-D10</f>
        <v>737647.73643158795</v>
      </c>
    </row>
    <row r="14" spans="1:4" ht="13.5" thickBot="1">
      <c r="A14" s="4"/>
      <c r="B14" s="23"/>
      <c r="C14" s="23"/>
      <c r="D14" s="23"/>
    </row>
    <row r="15" spans="1:4" ht="13.5" hidden="1" thickBot="1">
      <c r="A15" s="83"/>
      <c r="B15" s="26"/>
      <c r="C15" s="26"/>
      <c r="D15" s="26"/>
    </row>
    <row r="16" spans="1:4" s="31" customFormat="1">
      <c r="A16" s="87" t="s">
        <v>48</v>
      </c>
      <c r="B16" s="18">
        <f>+'[1]Cost Allocation'!$U$116</f>
        <v>115847.01890892642</v>
      </c>
      <c r="C16" s="18">
        <f>+'[1]Cost Allocation'!$U$126</f>
        <v>42435.965221796934</v>
      </c>
      <c r="D16" s="19">
        <f>SUM(B16:C16)</f>
        <v>158282.98413072334</v>
      </c>
    </row>
    <row r="17" spans="1:5">
      <c r="A17" s="66" t="s">
        <v>49</v>
      </c>
      <c r="B17" s="38">
        <f>B16/B$8</f>
        <v>0.17250588003925213</v>
      </c>
      <c r="C17" s="38">
        <f>C16/C$8</f>
        <v>0.1776547738386326</v>
      </c>
      <c r="D17" s="34">
        <f>D16/D$8</f>
        <v>0.17385679677246027</v>
      </c>
    </row>
    <row r="18" spans="1:5">
      <c r="A18" s="66"/>
      <c r="B18" s="26"/>
      <c r="C18" s="26"/>
      <c r="D18" s="32"/>
      <c r="E18" s="84"/>
    </row>
    <row r="19" spans="1:5" hidden="1">
      <c r="A19" s="66" t="s">
        <v>9</v>
      </c>
      <c r="B19" s="25">
        <f>+'[1]Cost Allocation'!$W$116</f>
        <v>156123.24081641293</v>
      </c>
      <c r="C19" s="25">
        <f>+'[1]Cost Allocation'!$W$126</f>
        <v>56437.417488165062</v>
      </c>
      <c r="D19" s="33">
        <f>SUM(B19:C19)</f>
        <v>212560.65830457798</v>
      </c>
    </row>
    <row r="20" spans="1:5" hidden="1">
      <c r="A20" s="66" t="s">
        <v>10</v>
      </c>
      <c r="B20" s="25">
        <v>0</v>
      </c>
      <c r="C20" s="25">
        <f>+'[1]Cost Allocation'!$X$126</f>
        <v>35244.063078224826</v>
      </c>
      <c r="D20" s="33">
        <f>SUM(B20:C20)</f>
        <v>35244.063078224826</v>
      </c>
    </row>
    <row r="21" spans="1:5" hidden="1">
      <c r="A21" s="66" t="s">
        <v>11</v>
      </c>
      <c r="B21" s="25">
        <f>+'[1]Cost Allocation'!$Q$116</f>
        <v>14828.638280171515</v>
      </c>
      <c r="C21" s="25">
        <v>0</v>
      </c>
      <c r="D21" s="33">
        <f>SUM(B21:C21)</f>
        <v>14828.638280171515</v>
      </c>
    </row>
    <row r="22" spans="1:5" s="31" customFormat="1">
      <c r="A22" s="95" t="s">
        <v>29</v>
      </c>
      <c r="B22" s="26">
        <f>SUM(B19:B21)</f>
        <v>170951.87909658445</v>
      </c>
      <c r="C22" s="26">
        <f>SUM(C19:C21)</f>
        <v>91681.480566389888</v>
      </c>
      <c r="D22" s="32">
        <f>SUM(D19:D21)</f>
        <v>262633.35966297431</v>
      </c>
    </row>
    <row r="23" spans="1:5">
      <c r="A23" s="66" t="s">
        <v>30</v>
      </c>
      <c r="B23" s="38">
        <f>+B22/B8</f>
        <v>0.2545616160490411</v>
      </c>
      <c r="C23" s="38">
        <f>+C22/C8</f>
        <v>0.38381718455285535</v>
      </c>
      <c r="D23" s="34">
        <f>+D22/D8</f>
        <v>0.28847443638593423</v>
      </c>
    </row>
    <row r="24" spans="1:5" hidden="1">
      <c r="A24" s="66"/>
      <c r="B24" s="38"/>
      <c r="C24" s="38"/>
      <c r="D24" s="34"/>
    </row>
    <row r="25" spans="1:5" hidden="1">
      <c r="A25" s="66"/>
      <c r="B25" s="38"/>
      <c r="C25" s="38"/>
      <c r="D25" s="34"/>
    </row>
    <row r="26" spans="1:5" hidden="1">
      <c r="A26" s="48"/>
      <c r="B26" s="88"/>
      <c r="C26" s="88"/>
      <c r="D26" s="91"/>
    </row>
    <row r="27" spans="1:5" hidden="1">
      <c r="A27" s="48"/>
      <c r="B27" s="88"/>
      <c r="C27" s="88"/>
      <c r="D27" s="91"/>
    </row>
    <row r="28" spans="1:5" hidden="1">
      <c r="A28" s="69"/>
      <c r="B28" s="26"/>
      <c r="C28" s="26"/>
      <c r="D28" s="32"/>
    </row>
    <row r="29" spans="1:5" hidden="1">
      <c r="A29" s="48"/>
      <c r="B29" s="88"/>
      <c r="C29" s="88"/>
      <c r="D29" s="91"/>
    </row>
    <row r="30" spans="1:5" hidden="1">
      <c r="A30" s="48"/>
      <c r="B30" s="88"/>
      <c r="C30" s="88"/>
      <c r="D30" s="91"/>
    </row>
    <row r="31" spans="1:5" hidden="1">
      <c r="A31" s="48"/>
      <c r="B31" s="88"/>
      <c r="C31" s="88"/>
      <c r="D31" s="91"/>
    </row>
    <row r="32" spans="1:5" hidden="1">
      <c r="A32" s="48"/>
      <c r="B32" s="88"/>
      <c r="C32" s="88"/>
      <c r="D32" s="91"/>
    </row>
    <row r="33" spans="1:4" hidden="1">
      <c r="A33" s="69"/>
      <c r="B33" s="89"/>
      <c r="C33" s="89"/>
      <c r="D33" s="92"/>
    </row>
    <row r="34" spans="1:4">
      <c r="A34" s="48"/>
      <c r="B34" s="90"/>
      <c r="C34" s="90"/>
      <c r="D34" s="93"/>
    </row>
    <row r="35" spans="1:4" s="31" customFormat="1">
      <c r="A35" s="69" t="s">
        <v>47</v>
      </c>
      <c r="B35" s="26">
        <f>+B13-B22-B16</f>
        <v>224840.78279655683</v>
      </c>
      <c r="C35" s="26">
        <f>+C13-C22-C16</f>
        <v>91890.609841333498</v>
      </c>
      <c r="D35" s="32">
        <f>+D13-D22-D16</f>
        <v>316731.3926378903</v>
      </c>
    </row>
    <row r="36" spans="1:4" ht="13.5" thickBot="1">
      <c r="A36" s="58" t="s">
        <v>50</v>
      </c>
      <c r="B36" s="21">
        <f>ABS(B35/B8)</f>
        <v>0.33480669136187635</v>
      </c>
      <c r="C36" s="21">
        <f>ABS(C35/C8)</f>
        <v>0.38469268753361613</v>
      </c>
      <c r="D36" s="22">
        <f>ABS(D35/D8)</f>
        <v>0.34789529439137923</v>
      </c>
    </row>
    <row r="37" spans="1:4">
      <c r="A37" s="6"/>
      <c r="B37" s="5"/>
      <c r="C37" s="5"/>
      <c r="D37" s="5"/>
    </row>
    <row r="38" spans="1:4">
      <c r="A38" s="6"/>
      <c r="B38" s="5"/>
      <c r="C38" s="29" t="s">
        <v>12</v>
      </c>
      <c r="D38" s="24">
        <f>+Chesapeake!E38</f>
        <v>14757.40857142857</v>
      </c>
    </row>
    <row r="39" spans="1:4">
      <c r="A39" s="6"/>
      <c r="B39" s="5"/>
      <c r="C39" s="29" t="s">
        <v>13</v>
      </c>
      <c r="D39" s="5">
        <f>+Chesapeake!E39</f>
        <v>-3064.8697373694881</v>
      </c>
    </row>
    <row r="40" spans="1:4">
      <c r="A40" s="6"/>
      <c r="B40" s="5"/>
      <c r="C40" s="29" t="s">
        <v>14</v>
      </c>
      <c r="D40" s="5">
        <f>+'[1]Cost Allocation'!$AK$128</f>
        <v>19581.654484436411</v>
      </c>
    </row>
    <row r="41" spans="1:4">
      <c r="A41" s="6"/>
      <c r="B41" s="5"/>
      <c r="C41" s="29"/>
      <c r="D41" s="5"/>
    </row>
    <row r="42" spans="1:4">
      <c r="A42" s="4"/>
      <c r="B42" s="5"/>
      <c r="C42" s="30" t="s">
        <v>21</v>
      </c>
      <c r="D42" s="23">
        <f>SUM(D38:D40)+D35</f>
        <v>348005.58595638577</v>
      </c>
    </row>
  </sheetData>
  <phoneticPr fontId="0" type="noConversion"/>
  <printOptions horizontalCentered="1"/>
  <pageMargins left="0" right="0" top="0.75" bottom="0.75" header="0.55000000000000004" footer="0.3"/>
  <pageSetup orientation="landscape" r:id="rId1"/>
  <headerFooter>
    <oddFooter xml:space="preserve">&amp;L&amp;G&amp;R&amp;D
&amp;F
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FF00"/>
  </sheetPr>
  <dimension ref="A1:F51"/>
  <sheetViews>
    <sheetView zoomScaleNormal="100" workbookViewId="0">
      <selection activeCell="A2" sqref="A2"/>
    </sheetView>
  </sheetViews>
  <sheetFormatPr defaultRowHeight="12.75"/>
  <cols>
    <col min="1" max="1" width="28.5703125" style="6" customWidth="1"/>
    <col min="2" max="2" width="14.42578125" style="5" bestFit="1" customWidth="1"/>
    <col min="3" max="3" width="16.28515625" style="5" hidden="1" customWidth="1"/>
    <col min="4" max="5" width="13.28515625" style="5" customWidth="1"/>
    <col min="6" max="7" width="15" style="6" customWidth="1"/>
    <col min="8" max="16384" width="9.140625" style="6"/>
  </cols>
  <sheetData>
    <row r="1" spans="1:5" ht="15.75">
      <c r="A1" s="111" t="s">
        <v>59</v>
      </c>
    </row>
    <row r="3" spans="1:5" ht="13.5" thickBot="1">
      <c r="B3" s="7" t="s">
        <v>1</v>
      </c>
      <c r="C3" s="7" t="s">
        <v>26</v>
      </c>
      <c r="D3" s="7" t="s">
        <v>43</v>
      </c>
      <c r="E3" s="7" t="s">
        <v>0</v>
      </c>
    </row>
    <row r="4" spans="1:5">
      <c r="A4" s="8" t="s">
        <v>3</v>
      </c>
      <c r="B4" s="9">
        <f>+'[1]Cost Allocation'!$E$151</f>
        <v>7718.4</v>
      </c>
      <c r="C4" s="9"/>
      <c r="D4" s="9">
        <f>+'[1]Cost Allocation'!$E$153</f>
        <v>2774.5488420613397</v>
      </c>
      <c r="E4" s="10">
        <f>SUM(B4:D4)</f>
        <v>10492.94884206134</v>
      </c>
    </row>
    <row r="5" spans="1:5" hidden="1">
      <c r="A5" s="11" t="s">
        <v>4</v>
      </c>
      <c r="B5" s="12">
        <f>+Chesapeake!B5</f>
        <v>54.675826315715568</v>
      </c>
      <c r="C5" s="12">
        <f>B5</f>
        <v>54.675826315715568</v>
      </c>
      <c r="D5" s="12">
        <f>+Chesapeake!D5</f>
        <v>45.394923397213468</v>
      </c>
      <c r="E5" s="13">
        <f>(E8/E4)-E6</f>
        <v>52.221767039014182</v>
      </c>
    </row>
    <row r="6" spans="1:5" hidden="1">
      <c r="A6" s="11" t="s">
        <v>5</v>
      </c>
      <c r="B6" s="12">
        <f>+Chesapeake!B6</f>
        <v>20.090821404763147</v>
      </c>
      <c r="C6" s="12">
        <f>B6</f>
        <v>20.090821404763147</v>
      </c>
      <c r="D6" s="12">
        <f>C6</f>
        <v>20.090821404763147</v>
      </c>
      <c r="E6" s="13">
        <f>D6</f>
        <v>20.090821404763147</v>
      </c>
    </row>
    <row r="7" spans="1:5">
      <c r="A7" s="11" t="s">
        <v>32</v>
      </c>
      <c r="B7" s="12">
        <f>SUM(B5:B6)</f>
        <v>74.766647720478716</v>
      </c>
      <c r="C7" s="12">
        <f>SUM(C5:C6)</f>
        <v>74.766647720478716</v>
      </c>
      <c r="D7" s="12">
        <f>SUM(D5:D6)</f>
        <v>65.485744801976608</v>
      </c>
      <c r="E7" s="13">
        <f>SUM(E5:E6)</f>
        <v>72.312588443777329</v>
      </c>
    </row>
    <row r="8" spans="1:5" ht="13.5" thickBot="1">
      <c r="A8" s="14" t="s">
        <v>6</v>
      </c>
      <c r="B8" s="15">
        <f>SUM(B5:B6)*B4</f>
        <v>577078.89376574289</v>
      </c>
      <c r="C8" s="15">
        <f>SUM(C5:C6)*C4</f>
        <v>0</v>
      </c>
      <c r="D8" s="15">
        <f>SUM(D5:D6)*D4</f>
        <v>181693.39741184859</v>
      </c>
      <c r="E8" s="16">
        <f>SUM(B8:D8)</f>
        <v>758772.29117759154</v>
      </c>
    </row>
    <row r="9" spans="1:5" ht="13.5" thickBot="1"/>
    <row r="10" spans="1:5">
      <c r="A10" s="17" t="s">
        <v>28</v>
      </c>
      <c r="B10" s="18">
        <f>+'[1]Cost Allocation'!$F$151</f>
        <v>144140.30859855568</v>
      </c>
      <c r="C10" s="18"/>
      <c r="D10" s="18">
        <f>+'[1]Cost Allocation'!$F$153</f>
        <v>9781.5283827376461</v>
      </c>
      <c r="E10" s="19">
        <f>SUM(B10:D10)</f>
        <v>153921.83698129334</v>
      </c>
    </row>
    <row r="11" spans="1:5" ht="13.5" thickBot="1">
      <c r="A11" s="20" t="s">
        <v>7</v>
      </c>
      <c r="B11" s="21">
        <f>B10/B8</f>
        <v>0.24977574150730841</v>
      </c>
      <c r="C11" s="21">
        <v>0.7</v>
      </c>
      <c r="D11" s="21">
        <f>D10/D8</f>
        <v>5.3835354074895918E-2</v>
      </c>
      <c r="E11" s="22">
        <f>E10/E8</f>
        <v>0.20285642843179122</v>
      </c>
    </row>
    <row r="12" spans="1:5" ht="13.5" thickBot="1"/>
    <row r="13" spans="1:5" ht="13.5" thickBot="1">
      <c r="A13" s="35" t="s">
        <v>25</v>
      </c>
      <c r="B13" s="36">
        <f>B8-B10</f>
        <v>432938.58516718721</v>
      </c>
      <c r="C13" s="36">
        <f>C8-C10</f>
        <v>0</v>
      </c>
      <c r="D13" s="36">
        <f>D8-D10</f>
        <v>171911.86902911094</v>
      </c>
      <c r="E13" s="37">
        <f>E8-E10</f>
        <v>604850.45419629826</v>
      </c>
    </row>
    <row r="14" spans="1:5" ht="13.5" thickBot="1">
      <c r="A14" s="4"/>
      <c r="B14" s="23"/>
      <c r="C14" s="23"/>
      <c r="D14" s="23"/>
      <c r="E14" s="23"/>
    </row>
    <row r="15" spans="1:5" ht="13.5" hidden="1" thickBot="1">
      <c r="A15" s="83"/>
      <c r="B15" s="26"/>
      <c r="C15" s="26"/>
      <c r="D15" s="26"/>
      <c r="E15" s="26"/>
    </row>
    <row r="16" spans="1:5" s="4" customFormat="1">
      <c r="A16" s="87" t="s">
        <v>48</v>
      </c>
      <c r="B16" s="18">
        <f>+'[1]Cost Allocation'!$U$151</f>
        <v>102520.82035900134</v>
      </c>
      <c r="C16" s="18">
        <v>0</v>
      </c>
      <c r="D16" s="18">
        <f>+'[1]Cost Allocation'!$U$153</f>
        <v>32278.69942517476</v>
      </c>
      <c r="E16" s="19">
        <f>SUM(B16:D16)</f>
        <v>134799.51978417611</v>
      </c>
    </row>
    <row r="17" spans="1:6">
      <c r="A17" s="66" t="s">
        <v>49</v>
      </c>
      <c r="B17" s="38">
        <f>B16/B$8</f>
        <v>0.1776547738386326</v>
      </c>
      <c r="C17" s="38" t="e">
        <f>C16/C$8</f>
        <v>#DIV/0!</v>
      </c>
      <c r="D17" s="38">
        <f>D16/D$8</f>
        <v>0.17765477383863262</v>
      </c>
      <c r="E17" s="34">
        <f>E16/E$8</f>
        <v>0.1776547738386326</v>
      </c>
    </row>
    <row r="18" spans="1:6">
      <c r="A18" s="66"/>
      <c r="B18" s="26"/>
      <c r="C18" s="26"/>
      <c r="D18" s="26"/>
      <c r="E18" s="32"/>
      <c r="F18" s="85"/>
    </row>
    <row r="19" spans="1:6" hidden="1">
      <c r="A19" s="66" t="s">
        <v>9</v>
      </c>
      <c r="B19" s="25">
        <f>+'[1]Cost Allocation'!$W$151</f>
        <v>138163.95860982544</v>
      </c>
      <c r="C19" s="25">
        <v>0</v>
      </c>
      <c r="D19" s="25">
        <f>+'[1]Cost Allocation'!$W$153</f>
        <v>42928.832322113987</v>
      </c>
      <c r="E19" s="33">
        <f>SUM(B19:D19)</f>
        <v>181092.79093193944</v>
      </c>
    </row>
    <row r="20" spans="1:6" hidden="1">
      <c r="A20" s="66" t="s">
        <v>10</v>
      </c>
      <c r="B20" s="25">
        <v>0</v>
      </c>
      <c r="C20" s="25">
        <v>0</v>
      </c>
      <c r="D20" s="25">
        <f>+'[1]Cost Allocation'!$X$153</f>
        <v>26808.2159243448</v>
      </c>
      <c r="E20" s="33">
        <f>SUM(B20:D20)</f>
        <v>26808.2159243448</v>
      </c>
    </row>
    <row r="21" spans="1:6" hidden="1">
      <c r="A21" s="66" t="s">
        <v>11</v>
      </c>
      <c r="B21" s="25">
        <v>0</v>
      </c>
      <c r="C21" s="25">
        <v>0</v>
      </c>
      <c r="D21" s="25">
        <v>0</v>
      </c>
      <c r="E21" s="33">
        <f>SUM(B21:D21)</f>
        <v>0</v>
      </c>
    </row>
    <row r="22" spans="1:6" s="4" customFormat="1">
      <c r="A22" s="95" t="s">
        <v>29</v>
      </c>
      <c r="B22" s="26">
        <f>SUM(B19:B21)</f>
        <v>138163.95860982544</v>
      </c>
      <c r="C22" s="26">
        <f>+Norfolk!D11</f>
        <v>0.12030515097703495</v>
      </c>
      <c r="D22" s="26">
        <f>SUM(D19:D21)</f>
        <v>69737.048246458784</v>
      </c>
      <c r="E22" s="32">
        <f>SUM(E19:E21)</f>
        <v>207901.00685628425</v>
      </c>
    </row>
    <row r="23" spans="1:6">
      <c r="A23" s="66" t="s">
        <v>30</v>
      </c>
      <c r="B23" s="38">
        <f>+B22/B8</f>
        <v>0.23941953189144216</v>
      </c>
      <c r="C23" s="38" t="e">
        <f>+C22/C8</f>
        <v>#DIV/0!</v>
      </c>
      <c r="D23" s="38">
        <f>+D22/D8</f>
        <v>0.38381718455285535</v>
      </c>
      <c r="E23" s="34">
        <f>+E22/E8</f>
        <v>0.2739965721911487</v>
      </c>
    </row>
    <row r="24" spans="1:6" hidden="1">
      <c r="A24" s="66"/>
      <c r="B24" s="38"/>
      <c r="C24" s="38"/>
      <c r="D24" s="38"/>
      <c r="E24" s="34"/>
    </row>
    <row r="25" spans="1:6" hidden="1">
      <c r="A25" s="66"/>
      <c r="B25" s="38"/>
      <c r="C25" s="38"/>
      <c r="D25" s="38"/>
      <c r="E25" s="34"/>
    </row>
    <row r="26" spans="1:6" hidden="1">
      <c r="A26" s="48"/>
      <c r="B26" s="90"/>
      <c r="C26" s="90"/>
      <c r="D26" s="90"/>
      <c r="E26" s="93"/>
    </row>
    <row r="27" spans="1:6" hidden="1">
      <c r="A27" s="48"/>
      <c r="B27" s="90"/>
      <c r="C27" s="90"/>
      <c r="D27" s="90"/>
      <c r="E27" s="93"/>
    </row>
    <row r="28" spans="1:6" hidden="1">
      <c r="A28" s="69"/>
      <c r="B28" s="26"/>
      <c r="C28" s="26"/>
      <c r="D28" s="26"/>
      <c r="E28" s="32"/>
    </row>
    <row r="29" spans="1:6" hidden="1">
      <c r="A29" s="48"/>
      <c r="B29" s="90"/>
      <c r="C29" s="90"/>
      <c r="D29" s="90"/>
      <c r="E29" s="93"/>
    </row>
    <row r="30" spans="1:6" hidden="1">
      <c r="A30" s="48"/>
      <c r="B30" s="90"/>
      <c r="C30" s="90"/>
      <c r="D30" s="90"/>
      <c r="E30" s="93"/>
    </row>
    <row r="31" spans="1:6" hidden="1">
      <c r="A31" s="48"/>
      <c r="B31" s="90"/>
      <c r="C31" s="90"/>
      <c r="D31" s="90"/>
      <c r="E31" s="93"/>
    </row>
    <row r="32" spans="1:6" hidden="1">
      <c r="A32" s="48"/>
      <c r="B32" s="90"/>
      <c r="C32" s="90"/>
      <c r="D32" s="90"/>
      <c r="E32" s="93"/>
    </row>
    <row r="33" spans="1:5" hidden="1">
      <c r="A33" s="69"/>
      <c r="B33" s="89"/>
      <c r="C33" s="89"/>
      <c r="D33" s="89"/>
      <c r="E33" s="92"/>
    </row>
    <row r="34" spans="1:5">
      <c r="A34" s="48"/>
      <c r="B34" s="90"/>
      <c r="C34" s="90"/>
      <c r="D34" s="90"/>
      <c r="E34" s="93"/>
    </row>
    <row r="35" spans="1:5" s="4" customFormat="1">
      <c r="A35" s="69" t="s">
        <v>47</v>
      </c>
      <c r="B35" s="26">
        <f>+B13-B22-B16</f>
        <v>192253.80619836046</v>
      </c>
      <c r="C35" s="26">
        <f>+C13-C22-C16</f>
        <v>-0.12030515097703495</v>
      </c>
      <c r="D35" s="26">
        <f>+D13-D22-D16</f>
        <v>69896.121357477386</v>
      </c>
      <c r="E35" s="32">
        <f>+E13-E22-E16</f>
        <v>262149.9275558379</v>
      </c>
    </row>
    <row r="36" spans="1:5" ht="13.5" thickBot="1">
      <c r="A36" s="58" t="s">
        <v>50</v>
      </c>
      <c r="B36" s="21">
        <f>ABS(B35/B8)</f>
        <v>0.33314995276261689</v>
      </c>
      <c r="C36" s="21" t="e">
        <f>-(C35/C8)</f>
        <v>#DIV/0!</v>
      </c>
      <c r="D36" s="21">
        <f>ABS(D35/D8)</f>
        <v>0.38469268753361602</v>
      </c>
      <c r="E36" s="22">
        <f>ABS(E35/E8)</f>
        <v>0.34549222553842757</v>
      </c>
    </row>
    <row r="38" spans="1:5" ht="13.5" customHeight="1">
      <c r="B38" s="117" t="s">
        <v>12</v>
      </c>
      <c r="C38" s="117"/>
      <c r="D38" s="117"/>
      <c r="E38" s="24">
        <f>+Chesapeake!E38</f>
        <v>14757.40857142857</v>
      </c>
    </row>
    <row r="39" spans="1:5" ht="13.5" customHeight="1">
      <c r="B39" s="117" t="s">
        <v>13</v>
      </c>
      <c r="C39" s="117"/>
      <c r="D39" s="117"/>
      <c r="E39" s="5">
        <f>+Chesapeake!E39</f>
        <v>-3064.8697373694881</v>
      </c>
    </row>
    <row r="40" spans="1:5" ht="13.5" customHeight="1">
      <c r="B40" s="117" t="s">
        <v>14</v>
      </c>
      <c r="C40" s="117"/>
      <c r="D40" s="117"/>
      <c r="E40" s="5">
        <f>+'[1]Cost Allocation'!$AK$155</f>
        <v>16268.833388961792</v>
      </c>
    </row>
    <row r="41" spans="1:5">
      <c r="D41" s="29"/>
    </row>
    <row r="42" spans="1:5" ht="13.5" customHeight="1">
      <c r="B42" s="118" t="s">
        <v>17</v>
      </c>
      <c r="C42" s="118"/>
      <c r="D42" s="118"/>
      <c r="E42" s="23">
        <f>SUM(E38:E40)+E35</f>
        <v>290111.29977885878</v>
      </c>
    </row>
    <row r="50" spans="1:5">
      <c r="A50" s="119"/>
      <c r="B50" s="119"/>
      <c r="C50" s="119"/>
      <c r="D50" s="119"/>
      <c r="E50" s="119"/>
    </row>
    <row r="51" spans="1:5">
      <c r="A51" s="119"/>
      <c r="B51" s="119"/>
      <c r="C51" s="119"/>
      <c r="D51" s="119"/>
      <c r="E51" s="119"/>
    </row>
  </sheetData>
  <mergeCells count="5">
    <mergeCell ref="A50:E51"/>
    <mergeCell ref="B38:D38"/>
    <mergeCell ref="B39:D39"/>
    <mergeCell ref="B40:D40"/>
    <mergeCell ref="B42:D42"/>
  </mergeCells>
  <phoneticPr fontId="0" type="noConversion"/>
  <printOptions horizontalCentered="1"/>
  <pageMargins left="0" right="0" top="0.75" bottom="0.75" header="0.55000000000000004" footer="0.3"/>
  <pageSetup orientation="landscape" r:id="rId1"/>
  <headerFooter>
    <oddFooter xml:space="preserve">&amp;L&amp;G&amp;R&amp;D
&amp;F
</oddFooter>
  </headerFooter>
  <ignoredErrors>
    <ignoredError sqref="C36" formula="1"/>
  </ignoredErrors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</sheetPr>
  <dimension ref="A1:E44"/>
  <sheetViews>
    <sheetView zoomScaleNormal="100" workbookViewId="0"/>
  </sheetViews>
  <sheetFormatPr defaultRowHeight="12.75"/>
  <cols>
    <col min="1" max="1" width="28.5703125" style="1" customWidth="1"/>
    <col min="2" max="4" width="13.28515625" style="2" customWidth="1"/>
    <col min="5" max="16384" width="9.140625" style="1"/>
  </cols>
  <sheetData>
    <row r="1" spans="1:4" ht="15.75">
      <c r="A1" s="111" t="s">
        <v>60</v>
      </c>
    </row>
    <row r="3" spans="1:4" ht="13.5" thickBot="1">
      <c r="A3" s="6"/>
      <c r="B3" s="7" t="s">
        <v>1</v>
      </c>
      <c r="C3" s="7" t="s">
        <v>43</v>
      </c>
      <c r="D3" s="7" t="s">
        <v>0</v>
      </c>
    </row>
    <row r="4" spans="1:4">
      <c r="A4" s="8" t="s">
        <v>3</v>
      </c>
      <c r="B4" s="9">
        <f>+'[1]Cost Allocation'!$E$173</f>
        <v>11287.9</v>
      </c>
      <c r="C4" s="9">
        <f>+'[1]Cost Allocation'!$E$178</f>
        <v>3263.1299186313377</v>
      </c>
      <c r="D4" s="10">
        <f>SUM(B4:C4)</f>
        <v>14551.029918631337</v>
      </c>
    </row>
    <row r="5" spans="1:4" hidden="1">
      <c r="A5" s="11" t="s">
        <v>4</v>
      </c>
      <c r="B5" s="12">
        <f>+Chesapeake!B5</f>
        <v>54.675826315715568</v>
      </c>
      <c r="C5" s="12">
        <f>+Chesapeake!D5</f>
        <v>45.394923397213468</v>
      </c>
      <c r="D5" s="13">
        <f>(D8/D4)-D6</f>
        <v>52.594544636368596</v>
      </c>
    </row>
    <row r="6" spans="1:4" hidden="1">
      <c r="A6" s="11" t="s">
        <v>5</v>
      </c>
      <c r="B6" s="12">
        <f>+Chesapeake!B6</f>
        <v>20.090821404763147</v>
      </c>
      <c r="C6" s="12">
        <f>+B6</f>
        <v>20.090821404763147</v>
      </c>
      <c r="D6" s="13">
        <f>C6</f>
        <v>20.090821404763147</v>
      </c>
    </row>
    <row r="7" spans="1:4">
      <c r="A7" s="11" t="s">
        <v>32</v>
      </c>
      <c r="B7" s="12">
        <f>SUM(B5:B6)</f>
        <v>74.766647720478716</v>
      </c>
      <c r="C7" s="12">
        <f>SUM(C5:C6)</f>
        <v>65.485744801976608</v>
      </c>
      <c r="D7" s="13">
        <f>SUM(D5:D6)</f>
        <v>72.685366041131743</v>
      </c>
    </row>
    <row r="8" spans="1:4" ht="13.5" thickBot="1">
      <c r="A8" s="14" t="s">
        <v>6</v>
      </c>
      <c r="B8" s="15">
        <f>SUM(B5:B6)*B4</f>
        <v>843958.44280399161</v>
      </c>
      <c r="C8" s="15">
        <f>SUM(C5:C6)*C4</f>
        <v>213688.49310718648</v>
      </c>
      <c r="D8" s="16">
        <f>SUM(B8:C8)</f>
        <v>1057646.9359111781</v>
      </c>
    </row>
    <row r="9" spans="1:4" ht="13.5" thickBot="1">
      <c r="A9" s="6"/>
      <c r="B9" s="5"/>
      <c r="C9" s="5"/>
      <c r="D9" s="5"/>
    </row>
    <row r="10" spans="1:4">
      <c r="A10" s="17" t="s">
        <v>28</v>
      </c>
      <c r="B10" s="18">
        <f>+'[1]Cost Allocation'!$F$173</f>
        <v>261542.17676640203</v>
      </c>
      <c r="C10" s="18">
        <f>+'[1]Cost Allocation'!$F$178</f>
        <v>11503.995688156339</v>
      </c>
      <c r="D10" s="19">
        <f>SUM(B10:C10)</f>
        <v>273046.17245455837</v>
      </c>
    </row>
    <row r="11" spans="1:4" ht="13.5" thickBot="1">
      <c r="A11" s="20" t="s">
        <v>7</v>
      </c>
      <c r="B11" s="21">
        <f>B10/B8</f>
        <v>0.30989935463818197</v>
      </c>
      <c r="C11" s="21">
        <f>C10/C8</f>
        <v>5.3835354074895911E-2</v>
      </c>
      <c r="D11" s="22">
        <f>D10/D8</f>
        <v>0.2581638193083074</v>
      </c>
    </row>
    <row r="12" spans="1:4" ht="13.5" thickBot="1">
      <c r="A12" s="6"/>
      <c r="B12" s="5"/>
      <c r="C12" s="5"/>
      <c r="D12" s="5"/>
    </row>
    <row r="13" spans="1:4" ht="13.5" thickBot="1">
      <c r="A13" s="35" t="s">
        <v>25</v>
      </c>
      <c r="B13" s="36">
        <f>B8-B10</f>
        <v>582416.26603758964</v>
      </c>
      <c r="C13" s="36">
        <f>C8-C10</f>
        <v>202184.49741903014</v>
      </c>
      <c r="D13" s="37">
        <f>D8-D10</f>
        <v>784600.76345661981</v>
      </c>
    </row>
    <row r="14" spans="1:4" ht="13.5" thickBot="1">
      <c r="A14" s="4"/>
      <c r="B14" s="23"/>
      <c r="C14" s="23"/>
      <c r="D14" s="23"/>
    </row>
    <row r="15" spans="1:4" ht="13.5" hidden="1" thickBot="1">
      <c r="A15" s="83"/>
      <c r="B15" s="26"/>
      <c r="C15" s="26"/>
      <c r="D15" s="26"/>
    </row>
    <row r="16" spans="1:4" s="31" customFormat="1">
      <c r="A16" s="87" t="s">
        <v>48</v>
      </c>
      <c r="B16" s="18">
        <f>+'[1]Cost Allocation'!$U$173</f>
        <v>149933.24628554768</v>
      </c>
      <c r="C16" s="18">
        <f>+'[1]Cost Allocation'!$U$178</f>
        <v>37962.780914875424</v>
      </c>
      <c r="D16" s="19">
        <f>SUM(B16:C16)</f>
        <v>187896.02720042309</v>
      </c>
    </row>
    <row r="17" spans="1:5">
      <c r="A17" s="66" t="s">
        <v>49</v>
      </c>
      <c r="B17" s="38">
        <f>B16/B$8</f>
        <v>0.1776547738386326</v>
      </c>
      <c r="C17" s="38">
        <f>C16/C$8</f>
        <v>0.17765477383863262</v>
      </c>
      <c r="D17" s="34">
        <f>D16/D$8</f>
        <v>0.1776547738386326</v>
      </c>
    </row>
    <row r="18" spans="1:5">
      <c r="A18" s="66"/>
      <c r="B18" s="26"/>
      <c r="C18" s="26"/>
      <c r="D18" s="32"/>
      <c r="E18" s="84"/>
    </row>
    <row r="19" spans="1:5" hidden="1">
      <c r="A19" s="66" t="s">
        <v>9</v>
      </c>
      <c r="B19" s="25">
        <f>+'[1]Cost Allocation'!$W$173</f>
        <v>202060.13531196213</v>
      </c>
      <c r="C19" s="25">
        <f>+'[1]Cost Allocation'!$W$178</f>
        <v>50488.337058115925</v>
      </c>
      <c r="D19" s="33">
        <f>SUM(B19:C19)</f>
        <v>252548.47237007806</v>
      </c>
    </row>
    <row r="20" spans="1:5" hidden="1">
      <c r="A20" s="66" t="s">
        <v>10</v>
      </c>
      <c r="B20" s="25">
        <v>0</v>
      </c>
      <c r="C20" s="25">
        <f>+'[1]Cost Allocation'!$X$178</f>
        <v>31528.978737626636</v>
      </c>
      <c r="D20" s="33">
        <f>SUM(B20:C20)</f>
        <v>31528.978737626636</v>
      </c>
    </row>
    <row r="21" spans="1:5" hidden="1">
      <c r="A21" s="66" t="s">
        <v>11</v>
      </c>
      <c r="B21" s="25">
        <v>0</v>
      </c>
      <c r="C21" s="25">
        <v>0</v>
      </c>
      <c r="D21" s="33">
        <f>SUM(B21:C21)</f>
        <v>0</v>
      </c>
    </row>
    <row r="22" spans="1:5" s="31" customFormat="1">
      <c r="A22" s="95" t="s">
        <v>29</v>
      </c>
      <c r="B22" s="26">
        <f>SUM(B19:B21)</f>
        <v>202060.13531196213</v>
      </c>
      <c r="C22" s="26">
        <f>SUM(C19:C21)</f>
        <v>82017.315795742557</v>
      </c>
      <c r="D22" s="32">
        <f>SUM(D19:D21)</f>
        <v>284077.45110770472</v>
      </c>
    </row>
    <row r="23" spans="1:5">
      <c r="A23" s="66" t="s">
        <v>30</v>
      </c>
      <c r="B23" s="38">
        <f>+B22/B8</f>
        <v>0.23941953189144216</v>
      </c>
      <c r="C23" s="38">
        <f>+C22/C8</f>
        <v>0.38381718455285535</v>
      </c>
      <c r="D23" s="34">
        <f>+D22/D8</f>
        <v>0.26859383926921498</v>
      </c>
    </row>
    <row r="24" spans="1:5" hidden="1">
      <c r="A24" s="66"/>
      <c r="B24" s="38"/>
      <c r="C24" s="38"/>
      <c r="D24" s="34"/>
    </row>
    <row r="25" spans="1:5" hidden="1">
      <c r="A25" s="66"/>
      <c r="B25" s="38"/>
      <c r="C25" s="38"/>
      <c r="D25" s="34"/>
    </row>
    <row r="26" spans="1:5" hidden="1">
      <c r="A26" s="48"/>
      <c r="B26" s="88"/>
      <c r="C26" s="88"/>
      <c r="D26" s="91"/>
    </row>
    <row r="27" spans="1:5" hidden="1">
      <c r="A27" s="48"/>
      <c r="B27" s="88"/>
      <c r="C27" s="88"/>
      <c r="D27" s="91"/>
    </row>
    <row r="28" spans="1:5" hidden="1">
      <c r="A28" s="69"/>
      <c r="B28" s="26"/>
      <c r="C28" s="26"/>
      <c r="D28" s="32"/>
    </row>
    <row r="29" spans="1:5" hidden="1">
      <c r="A29" s="48"/>
      <c r="B29" s="88"/>
      <c r="C29" s="88"/>
      <c r="D29" s="91"/>
    </row>
    <row r="30" spans="1:5" hidden="1">
      <c r="A30" s="48"/>
      <c r="B30" s="88"/>
      <c r="C30" s="88"/>
      <c r="D30" s="91"/>
    </row>
    <row r="31" spans="1:5" hidden="1">
      <c r="A31" s="48"/>
      <c r="B31" s="88"/>
      <c r="C31" s="88"/>
      <c r="D31" s="91"/>
    </row>
    <row r="32" spans="1:5" hidden="1">
      <c r="A32" s="48"/>
      <c r="B32" s="88"/>
      <c r="C32" s="88"/>
      <c r="D32" s="91"/>
    </row>
    <row r="33" spans="1:4" hidden="1">
      <c r="A33" s="69"/>
      <c r="B33" s="89"/>
      <c r="C33" s="89"/>
      <c r="D33" s="92"/>
    </row>
    <row r="34" spans="1:4">
      <c r="A34" s="48"/>
      <c r="B34" s="90"/>
      <c r="C34" s="90"/>
      <c r="D34" s="93"/>
    </row>
    <row r="35" spans="1:4" s="31" customFormat="1">
      <c r="A35" s="69" t="s">
        <v>47</v>
      </c>
      <c r="B35" s="26">
        <f>+B13-B22-B16</f>
        <v>230422.88444007986</v>
      </c>
      <c r="C35" s="26">
        <f>+C13-C22-C16</f>
        <v>82204.400708412169</v>
      </c>
      <c r="D35" s="32">
        <f>+D13-D22-D16</f>
        <v>312627.28514849197</v>
      </c>
    </row>
    <row r="36" spans="1:4" ht="13.5" thickBot="1">
      <c r="A36" s="58" t="s">
        <v>50</v>
      </c>
      <c r="B36" s="21">
        <f>ABS(B35/B8)</f>
        <v>0.27302633963174333</v>
      </c>
      <c r="C36" s="21">
        <f>ABS(C35/C8)</f>
        <v>0.38469268753361613</v>
      </c>
      <c r="D36" s="22">
        <f>ABS(D35/D8)</f>
        <v>0.29558756758384502</v>
      </c>
    </row>
    <row r="37" spans="1:4">
      <c r="A37" s="6"/>
      <c r="B37" s="5"/>
      <c r="C37" s="5"/>
      <c r="D37" s="5"/>
    </row>
    <row r="38" spans="1:4">
      <c r="B38" s="5"/>
      <c r="C38" s="29" t="s">
        <v>12</v>
      </c>
      <c r="D38" s="24">
        <f>+Chesapeake!E38</f>
        <v>14757.40857142857</v>
      </c>
    </row>
    <row r="39" spans="1:4">
      <c r="A39" s="6"/>
      <c r="B39" s="5"/>
      <c r="C39" s="29" t="s">
        <v>13</v>
      </c>
      <c r="D39" s="5">
        <f>+Chesapeake!E39</f>
        <v>-3064.8697373694881</v>
      </c>
    </row>
    <row r="40" spans="1:4">
      <c r="A40" s="6"/>
      <c r="B40" s="5"/>
      <c r="C40" s="29" t="s">
        <v>14</v>
      </c>
      <c r="D40" s="5">
        <f>+'[1]Cost Allocation'!$AK$180</f>
        <v>22560.700995231971</v>
      </c>
    </row>
    <row r="41" spans="1:4">
      <c r="A41" s="6"/>
      <c r="B41" s="5"/>
      <c r="C41" s="29"/>
      <c r="D41" s="5"/>
    </row>
    <row r="42" spans="1:4">
      <c r="A42" s="6"/>
      <c r="B42" s="5"/>
      <c r="C42" s="30" t="s">
        <v>18</v>
      </c>
      <c r="D42" s="23">
        <f>SUM(D38:D40)+D35</f>
        <v>346880.52497778303</v>
      </c>
    </row>
    <row r="44" spans="1:4">
      <c r="A44" s="3"/>
    </row>
  </sheetData>
  <phoneticPr fontId="0" type="noConversion"/>
  <printOptions horizontalCentered="1"/>
  <pageMargins left="0" right="0" top="0.75" bottom="0.75" header="0.55000000000000004" footer="0.3"/>
  <pageSetup orientation="landscape" r:id="rId1"/>
  <headerFooter>
    <oddFooter xml:space="preserve">&amp;L&amp;G&amp;R&amp;D
&amp;F
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Comparison Summary</vt:lpstr>
      <vt:lpstr>System Total</vt:lpstr>
      <vt:lpstr>Chesapeake</vt:lpstr>
      <vt:lpstr>Norfolk</vt:lpstr>
      <vt:lpstr>Portsmouth</vt:lpstr>
      <vt:lpstr>Suffolk</vt:lpstr>
      <vt:lpstr>Virginia Beach</vt:lpstr>
      <vt:lpstr>Hampton</vt:lpstr>
      <vt:lpstr>Newport News</vt:lpstr>
      <vt:lpstr>MAX</vt:lpstr>
      <vt:lpstr>Chesapeake!Print_Area</vt:lpstr>
      <vt:lpstr>Hampton!Print_Area</vt:lpstr>
      <vt:lpstr>Suffolk!Print_Area</vt:lpstr>
      <vt:lpstr>'System Total'!Print_Area</vt:lpstr>
    </vt:vector>
  </TitlesOfParts>
  <Company>Hampton Roads Transit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bsingleton</dc:creator>
  <cp:lastModifiedBy>Henry Li</cp:lastModifiedBy>
  <cp:lastPrinted>2011-11-15T20:53:45Z</cp:lastPrinted>
  <dcterms:created xsi:type="dcterms:W3CDTF">2004-09-09T18:58:16Z</dcterms:created>
  <dcterms:modified xsi:type="dcterms:W3CDTF">2011-11-15T20:59:34Z</dcterms:modified>
</cp:coreProperties>
</file>