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state="hidden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B4" i="15"/>
  <c r="C4" i="9"/>
  <c r="B4"/>
  <c r="D4" i="10"/>
  <c r="B4"/>
  <c r="C4" i="13"/>
  <c r="B4"/>
  <c r="D4" i="14"/>
  <c r="C4"/>
  <c r="B4"/>
  <c r="E4" i="7"/>
  <c r="D4"/>
  <c r="C4"/>
  <c r="D4" i="16" s="1"/>
  <c r="B4" i="7"/>
  <c r="D4" i="12"/>
  <c r="E4" s="1"/>
  <c r="B4"/>
  <c r="C23" i="15"/>
  <c r="B6"/>
  <c r="B6" i="9"/>
  <c r="B6" i="10"/>
  <c r="B6" i="13"/>
  <c r="C6" i="19"/>
  <c r="B6"/>
  <c r="C6" i="14"/>
  <c r="B6"/>
  <c r="C21" i="7"/>
  <c r="D6"/>
  <c r="C6"/>
  <c r="B6"/>
  <c r="B6" i="12"/>
  <c r="E4" i="15"/>
  <c r="C4" i="16" s="1"/>
  <c r="D4" i="13"/>
  <c r="E4" i="16" l="1"/>
  <c r="E4" i="10"/>
  <c r="E4" i="14"/>
  <c r="F4" i="7"/>
  <c r="F4" i="16"/>
  <c r="D4" i="9"/>
  <c r="B4" i="16"/>
  <c r="G4" l="1"/>
  <c r="C24" i="12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D6" i="19" l="1"/>
  <c r="E6" i="16" l="1"/>
  <c r="D12" i="19" l="1"/>
  <c r="D6" i="14" l="1"/>
  <c r="E6" s="1"/>
  <c r="C6" i="9" l="1"/>
  <c r="D6" s="1"/>
  <c r="C6" i="13"/>
  <c r="D6" s="1"/>
  <c r="E6" i="7"/>
  <c r="F6" s="1"/>
  <c r="D6" i="10"/>
  <c r="E6" s="1"/>
  <c r="D6" i="12" l="1"/>
  <c r="F6" i="16" l="1"/>
  <c r="G6" s="1"/>
  <c r="E6" i="12"/>
  <c r="E42" i="14" l="1"/>
  <c r="D42" i="19"/>
  <c r="F42" i="7"/>
  <c r="E42" i="12"/>
  <c r="D42" i="13"/>
  <c r="D42" i="9"/>
  <c r="E42" i="10"/>
  <c r="G42" i="16" l="1"/>
  <c r="E40" i="12" l="1"/>
  <c r="F40" i="7" l="1"/>
  <c r="D40" i="9"/>
  <c r="E40" i="10"/>
  <c r="D40" i="13"/>
  <c r="E40" i="14"/>
  <c r="G40" i="16"/>
  <c r="D12" i="12" l="1"/>
  <c r="D12" i="14"/>
  <c r="C12" i="13" l="1"/>
  <c r="C12" i="9"/>
  <c r="D12" i="10"/>
  <c r="E12" i="7"/>
  <c r="F12" i="16" s="1"/>
  <c r="C7" i="7" l="1"/>
  <c r="D7" i="16" l="1"/>
  <c r="D7" i="7" l="1"/>
  <c r="C7" i="14" l="1"/>
  <c r="D7" i="12"/>
  <c r="D7" i="10" l="1"/>
  <c r="C7" i="13"/>
  <c r="E7" i="7"/>
  <c r="D7" i="14"/>
  <c r="F7" i="16"/>
  <c r="C7" i="9"/>
  <c r="C7" i="19"/>
  <c r="E7" i="16"/>
  <c r="E41" i="12" l="1"/>
  <c r="D41" i="13" l="1"/>
  <c r="F41" i="7"/>
  <c r="D41" i="9"/>
  <c r="E41" i="10"/>
  <c r="E41" i="14"/>
  <c r="G41" i="16"/>
  <c r="B7" i="12" l="1"/>
  <c r="B7" i="10" l="1"/>
  <c r="B7" i="13"/>
  <c r="B7" i="19"/>
  <c r="B7" i="14"/>
  <c r="D7" i="15"/>
  <c r="B7" i="7"/>
  <c r="B7" i="15"/>
  <c r="C7" i="12"/>
  <c r="B7" i="16"/>
  <c r="B7" i="9"/>
  <c r="C7" i="16" l="1"/>
  <c r="C7" i="10"/>
  <c r="C7" i="15"/>
  <c r="B8" i="12" l="1"/>
  <c r="B8" i="16" l="1"/>
  <c r="C8" i="12"/>
  <c r="B8" i="13"/>
  <c r="B8" i="15"/>
  <c r="D8" i="12"/>
  <c r="B8" i="14"/>
  <c r="B8" i="7"/>
  <c r="B8" i="19"/>
  <c r="B8" i="10"/>
  <c r="B8" i="9"/>
  <c r="B9" i="12"/>
  <c r="B10"/>
  <c r="C8" i="10" l="1"/>
  <c r="B10"/>
  <c r="E8" i="7"/>
  <c r="C8"/>
  <c r="B10"/>
  <c r="E8" i="12"/>
  <c r="D10"/>
  <c r="C8" i="13"/>
  <c r="B10"/>
  <c r="E8" i="16"/>
  <c r="C8"/>
  <c r="B10"/>
  <c r="C8" i="9"/>
  <c r="B10"/>
  <c r="C8" i="19"/>
  <c r="B10"/>
  <c r="C8" i="14"/>
  <c r="B10"/>
  <c r="D8" i="15"/>
  <c r="B10"/>
  <c r="C8"/>
  <c r="C10" s="1"/>
  <c r="C15" s="1"/>
  <c r="C10" i="12"/>
  <c r="C18" i="7"/>
  <c r="C25" i="12" l="1"/>
  <c r="C15"/>
  <c r="C37" s="1"/>
  <c r="B13" i="19"/>
  <c r="C31" i="33" s="1"/>
  <c r="B15" i="19"/>
  <c r="C10" i="16"/>
  <c r="C9"/>
  <c r="B9" s="1"/>
  <c r="D15" i="12"/>
  <c r="D13"/>
  <c r="C14" i="33" s="1"/>
  <c r="F8" i="7"/>
  <c r="E10"/>
  <c r="D8" i="10"/>
  <c r="C10"/>
  <c r="E10" i="12"/>
  <c r="D18" i="16"/>
  <c r="E8" i="15"/>
  <c r="D10"/>
  <c r="D8" i="14"/>
  <c r="C10"/>
  <c r="D8" i="19"/>
  <c r="C10"/>
  <c r="D8" i="9"/>
  <c r="C10"/>
  <c r="F8" i="16"/>
  <c r="E10"/>
  <c r="D8" i="13"/>
  <c r="C10"/>
  <c r="D8" i="7"/>
  <c r="D8" i="16"/>
  <c r="C10" i="7"/>
  <c r="C19" s="1"/>
  <c r="I19" i="33" s="1"/>
  <c r="C23" i="7"/>
  <c r="C24" l="1"/>
  <c r="C25" s="1"/>
  <c r="L19" i="33" s="1"/>
  <c r="D23" i="16"/>
  <c r="D24" s="1"/>
  <c r="C15" i="13"/>
  <c r="C13"/>
  <c r="C37" i="33" s="1"/>
  <c r="D10" i="9"/>
  <c r="C13"/>
  <c r="C47" i="33" s="1"/>
  <c r="C15" i="9"/>
  <c r="C13" i="19"/>
  <c r="C32" i="33" s="1"/>
  <c r="C15" i="19"/>
  <c r="D13" i="15"/>
  <c r="D19"/>
  <c r="D15"/>
  <c r="D37" s="1"/>
  <c r="D38" s="1"/>
  <c r="D25"/>
  <c r="E7" i="12"/>
  <c r="E9" s="1"/>
  <c r="D9" s="1"/>
  <c r="C9" s="1"/>
  <c r="C15" i="10"/>
  <c r="C19"/>
  <c r="E15" i="7"/>
  <c r="E13"/>
  <c r="C21" i="33" s="1"/>
  <c r="D10" i="13"/>
  <c r="E10" i="15"/>
  <c r="D10" i="16"/>
  <c r="D9" i="7"/>
  <c r="C9" s="1"/>
  <c r="B9" s="1"/>
  <c r="D10"/>
  <c r="G8" i="16"/>
  <c r="F10"/>
  <c r="E8" i="14"/>
  <c r="D10"/>
  <c r="E8" i="10"/>
  <c r="D10"/>
  <c r="D19" i="16"/>
  <c r="I7" i="33" s="1"/>
  <c r="D10" i="19"/>
  <c r="D7" l="1"/>
  <c r="D9" s="1"/>
  <c r="C9" s="1"/>
  <c r="B9" s="1"/>
  <c r="D13"/>
  <c r="C33" i="33" s="1"/>
  <c r="D15" i="19"/>
  <c r="E7" i="15"/>
  <c r="E9" s="1"/>
  <c r="D9" s="1"/>
  <c r="C9" s="1"/>
  <c r="B9" s="1"/>
  <c r="D7" i="9"/>
  <c r="D9" s="1"/>
  <c r="C9" s="1"/>
  <c r="B9" s="1"/>
  <c r="D15" i="10"/>
  <c r="D13"/>
  <c r="C42" i="33" s="1"/>
  <c r="E10" i="10"/>
  <c r="E10" i="14"/>
  <c r="D15"/>
  <c r="D13"/>
  <c r="C27" i="33" s="1"/>
  <c r="F13" i="16"/>
  <c r="C9" i="33" s="1"/>
  <c r="F15" i="16"/>
  <c r="F10" i="7"/>
  <c r="G10" i="16"/>
  <c r="D7" i="13"/>
  <c r="D9" s="1"/>
  <c r="C9" s="1"/>
  <c r="B9" s="1"/>
  <c r="D25" i="16"/>
  <c r="L7" i="33" s="1"/>
  <c r="F7" i="7" l="1"/>
  <c r="F9" s="1"/>
  <c r="E9" s="1"/>
  <c r="E7" i="10"/>
  <c r="E9" s="1"/>
  <c r="D9" s="1"/>
  <c r="C9" s="1"/>
  <c r="B9" s="1"/>
  <c r="G7" i="16"/>
  <c r="G9" s="1"/>
  <c r="F9" s="1"/>
  <c r="E9" s="1"/>
  <c r="D9" s="1"/>
  <c r="E7" i="14"/>
  <c r="E9" s="1"/>
  <c r="D9" s="1"/>
  <c r="C9" s="1"/>
  <c r="B9" s="1"/>
  <c r="D22" i="12" l="1"/>
  <c r="C22" i="9"/>
  <c r="D22" s="1"/>
  <c r="E22" i="7"/>
  <c r="F22" s="1"/>
  <c r="D22" i="10"/>
  <c r="E22" s="1"/>
  <c r="C22" i="13"/>
  <c r="D22" s="1"/>
  <c r="C22" i="19"/>
  <c r="D22" s="1"/>
  <c r="D22" i="14"/>
  <c r="E22" s="1"/>
  <c r="D21" i="12"/>
  <c r="D21" i="14"/>
  <c r="E21" i="7"/>
  <c r="E24" s="1"/>
  <c r="C21" i="19"/>
  <c r="C24" s="1"/>
  <c r="C21" i="13"/>
  <c r="C24" s="1"/>
  <c r="C21" i="9"/>
  <c r="C24" s="1"/>
  <c r="D21" i="10"/>
  <c r="D24" s="1"/>
  <c r="D24" i="14" l="1"/>
  <c r="D25" i="10"/>
  <c r="C25" i="13"/>
  <c r="E25" i="7"/>
  <c r="E22" i="12"/>
  <c r="F22" i="16"/>
  <c r="G22" s="1"/>
  <c r="C25" i="9"/>
  <c r="C25" i="19"/>
  <c r="L32" i="33" s="1"/>
  <c r="D25" i="14"/>
  <c r="F21" i="16"/>
  <c r="F24" s="1"/>
  <c r="D24" i="12"/>
  <c r="F25" i="16" l="1"/>
  <c r="L9" i="33" s="1"/>
  <c r="D25" i="12"/>
  <c r="L14" i="33" l="1"/>
  <c r="L21" s="1"/>
  <c r="L27" s="1"/>
  <c r="L37" s="1"/>
  <c r="L42" s="1"/>
  <c r="L47" s="1"/>
  <c r="D12" i="7" l="1"/>
  <c r="C12"/>
  <c r="B12" i="10"/>
  <c r="B12" i="9"/>
  <c r="B12" i="12"/>
  <c r="B12" i="14"/>
  <c r="B12" i="13"/>
  <c r="B12" i="7"/>
  <c r="D12" i="13" l="1"/>
  <c r="B13"/>
  <c r="C36" i="33" s="1"/>
  <c r="B15" i="13"/>
  <c r="D12" i="9"/>
  <c r="B15"/>
  <c r="B13"/>
  <c r="C46" i="33" s="1"/>
  <c r="D12" i="16"/>
  <c r="C13" i="7"/>
  <c r="C19" i="33" s="1"/>
  <c r="C15" i="7"/>
  <c r="C37" s="1"/>
  <c r="C38" s="1"/>
  <c r="F19" i="33" s="1"/>
  <c r="D15" i="7"/>
  <c r="D13"/>
  <c r="F12"/>
  <c r="B15"/>
  <c r="B13"/>
  <c r="C18" i="33" s="1"/>
  <c r="B13" i="14"/>
  <c r="C25" i="33" s="1"/>
  <c r="B15" i="14"/>
  <c r="B12" i="16"/>
  <c r="E12" i="12"/>
  <c r="B15"/>
  <c r="B13"/>
  <c r="C13" i="33" s="1"/>
  <c r="E12" i="10"/>
  <c r="B13"/>
  <c r="C41" i="33" s="1"/>
  <c r="B15" i="10"/>
  <c r="C12" i="14"/>
  <c r="B23" i="7"/>
  <c r="B12" i="15"/>
  <c r="E12" l="1"/>
  <c r="B15"/>
  <c r="B13"/>
  <c r="C50" i="33" s="1"/>
  <c r="E15" i="12"/>
  <c r="E13"/>
  <c r="C15" i="33" s="1"/>
  <c r="F15" i="7"/>
  <c r="F13"/>
  <c r="C22" i="33" s="1"/>
  <c r="D13" i="16"/>
  <c r="C7" i="33" s="1"/>
  <c r="D15" i="16"/>
  <c r="D37" s="1"/>
  <c r="D38" s="1"/>
  <c r="F7" i="33" s="1"/>
  <c r="D13" i="13"/>
  <c r="C38" i="33" s="1"/>
  <c r="D15" i="13"/>
  <c r="E12" i="14"/>
  <c r="C13"/>
  <c r="C15"/>
  <c r="E13" i="10"/>
  <c r="C43" i="33" s="1"/>
  <c r="E15" i="10"/>
  <c r="B15" i="16"/>
  <c r="B13"/>
  <c r="C24" i="10"/>
  <c r="C24" i="15"/>
  <c r="C20" i="33"/>
  <c r="C26" s="1"/>
  <c r="D13" i="9"/>
  <c r="C48" i="33" s="1"/>
  <c r="D15" i="9"/>
  <c r="E12" i="16"/>
  <c r="F23" i="7"/>
  <c r="C37" i="10" l="1"/>
  <c r="C38" s="1"/>
  <c r="C25"/>
  <c r="C12" i="16"/>
  <c r="E13" i="15"/>
  <c r="E15"/>
  <c r="E13" i="16"/>
  <c r="C8" i="33" s="1"/>
  <c r="E15" i="16"/>
  <c r="C37" i="15"/>
  <c r="C25"/>
  <c r="E15" i="14"/>
  <c r="E13"/>
  <c r="C28" i="33" s="1"/>
  <c r="B23" i="14"/>
  <c r="B21" i="19"/>
  <c r="B23" i="13"/>
  <c r="D23" s="1"/>
  <c r="C15" i="16" l="1"/>
  <c r="C13"/>
  <c r="C6" i="33"/>
  <c r="G12" i="16"/>
  <c r="D21" i="19"/>
  <c r="D24" s="1"/>
  <c r="B24"/>
  <c r="E23" i="14"/>
  <c r="B23" i="16"/>
  <c r="G23" s="1"/>
  <c r="G13" l="1"/>
  <c r="C10" i="33" s="1"/>
  <c r="G15" i="16"/>
  <c r="D25" i="19"/>
  <c r="L33" i="33" s="1"/>
  <c r="B25" i="19"/>
  <c r="L31" i="33" s="1"/>
  <c r="B18" i="15"/>
  <c r="E18" l="1"/>
  <c r="B19"/>
  <c r="I50" i="33" s="1"/>
  <c r="B21" i="15"/>
  <c r="B24" l="1"/>
  <c r="E21"/>
  <c r="E19"/>
  <c r="C18" i="16"/>
  <c r="C19" s="1"/>
  <c r="B25" i="15" l="1"/>
  <c r="L50" i="33" s="1"/>
  <c r="B37" i="15"/>
  <c r="B38" s="1"/>
  <c r="E24"/>
  <c r="C21" i="16"/>
  <c r="C24" s="1"/>
  <c r="D21" i="7"/>
  <c r="C21" i="14"/>
  <c r="C24" s="1"/>
  <c r="B21" i="13"/>
  <c r="B18"/>
  <c r="D18" i="10"/>
  <c r="E18" i="7"/>
  <c r="B18" i="9"/>
  <c r="B18" i="19"/>
  <c r="D18" i="14"/>
  <c r="D18" i="7"/>
  <c r="C18" i="13"/>
  <c r="C18" i="14"/>
  <c r="C19" s="1"/>
  <c r="I20" i="33" s="1"/>
  <c r="I26" s="1"/>
  <c r="B18" i="14"/>
  <c r="B18" i="7"/>
  <c r="B18" i="12"/>
  <c r="C18" i="9"/>
  <c r="C18" i="19"/>
  <c r="D18" i="12"/>
  <c r="B18" i="10"/>
  <c r="E18" l="1"/>
  <c r="E19" s="1"/>
  <c r="I43" i="33" s="1"/>
  <c r="B19" i="10"/>
  <c r="I41" i="33" s="1"/>
  <c r="F18" i="16"/>
  <c r="D19" i="12"/>
  <c r="D37"/>
  <c r="D38" s="1"/>
  <c r="B19"/>
  <c r="I13" i="33" s="1"/>
  <c r="E18" i="12"/>
  <c r="E19" s="1"/>
  <c r="I15" i="33" s="1"/>
  <c r="B18" i="16"/>
  <c r="F18" i="7"/>
  <c r="F19" s="1"/>
  <c r="I22" i="33" s="1"/>
  <c r="B19" i="7"/>
  <c r="I18" i="33" s="1"/>
  <c r="C19" i="13"/>
  <c r="C37"/>
  <c r="C38" s="1"/>
  <c r="B19" i="19"/>
  <c r="I31" i="33" s="1"/>
  <c r="D18" i="19"/>
  <c r="B37"/>
  <c r="B38" s="1"/>
  <c r="F31" i="33" s="1"/>
  <c r="B19" i="9"/>
  <c r="I46" i="33" s="1"/>
  <c r="D18" i="9"/>
  <c r="D19" s="1"/>
  <c r="I48" i="33" s="1"/>
  <c r="B24" i="13"/>
  <c r="D21"/>
  <c r="D24" s="1"/>
  <c r="C25" i="14"/>
  <c r="C37"/>
  <c r="C38" s="1"/>
  <c r="E25" i="15"/>
  <c r="E37"/>
  <c r="C19" i="19"/>
  <c r="I32" i="33" s="1"/>
  <c r="C37" i="19"/>
  <c r="C38" s="1"/>
  <c r="F32" i="33" s="1"/>
  <c r="C19" i="9"/>
  <c r="C37"/>
  <c r="C38" s="1"/>
  <c r="B19" i="14"/>
  <c r="I25" i="33" s="1"/>
  <c r="E18" i="14"/>
  <c r="E19" s="1"/>
  <c r="I28" i="33" s="1"/>
  <c r="E18" i="16"/>
  <c r="E19" s="1"/>
  <c r="I8" i="33" s="1"/>
  <c r="D19" i="7"/>
  <c r="D19" i="14"/>
  <c r="D37"/>
  <c r="D38" s="1"/>
  <c r="E19" i="7"/>
  <c r="E37"/>
  <c r="E38" s="1"/>
  <c r="D19" i="10"/>
  <c r="D37"/>
  <c r="D38" s="1"/>
  <c r="B19" i="13"/>
  <c r="I36" i="33" s="1"/>
  <c r="D18" i="13"/>
  <c r="D19" s="1"/>
  <c r="I38" i="33" s="1"/>
  <c r="D24" i="7"/>
  <c r="E21" i="16"/>
  <c r="E24" s="1"/>
  <c r="C25"/>
  <c r="C37"/>
  <c r="C38" s="1"/>
  <c r="B21" i="7"/>
  <c r="B21" i="14"/>
  <c r="B21" i="10"/>
  <c r="B21" i="9"/>
  <c r="B21" i="12"/>
  <c r="E21" l="1"/>
  <c r="E24" s="1"/>
  <c r="B24"/>
  <c r="B21" i="16"/>
  <c r="D21" i="9"/>
  <c r="D24" s="1"/>
  <c r="B24"/>
  <c r="E21" i="14"/>
  <c r="E24" s="1"/>
  <c r="B24"/>
  <c r="E25" i="16"/>
  <c r="L8" i="33" s="1"/>
  <c r="E37" i="16"/>
  <c r="E38" s="1"/>
  <c r="F8" i="33" s="1"/>
  <c r="E38" i="15"/>
  <c r="E44"/>
  <c r="D25" i="13"/>
  <c r="L38" i="33" s="1"/>
  <c r="D37" i="13"/>
  <c r="F19" i="16"/>
  <c r="I9" i="33" s="1"/>
  <c r="F37" i="16"/>
  <c r="F38" s="1"/>
  <c r="F9" i="33" s="1"/>
  <c r="E21" i="10"/>
  <c r="E24" s="1"/>
  <c r="B24"/>
  <c r="F21" i="7"/>
  <c r="F24" s="1"/>
  <c r="B24"/>
  <c r="D25"/>
  <c r="L20" i="33" s="1"/>
  <c r="L26" s="1"/>
  <c r="D37" i="7"/>
  <c r="D38" s="1"/>
  <c r="F20" i="33" s="1"/>
  <c r="F26" s="1"/>
  <c r="B25" i="13"/>
  <c r="L36" i="33" s="1"/>
  <c r="B37" i="13"/>
  <c r="B38" s="1"/>
  <c r="F36" i="33" s="1"/>
  <c r="D19" i="19"/>
  <c r="I33" i="33" s="1"/>
  <c r="D37" i="19"/>
  <c r="I6" i="33"/>
  <c r="B19" i="16"/>
  <c r="G18"/>
  <c r="G19" s="1"/>
  <c r="I10" i="33" s="1"/>
  <c r="I14" l="1"/>
  <c r="I21" s="1"/>
  <c r="I27" s="1"/>
  <c r="I37" s="1"/>
  <c r="I42" s="1"/>
  <c r="I47" s="1"/>
  <c r="F14"/>
  <c r="F21" s="1"/>
  <c r="F27" s="1"/>
  <c r="F37" s="1"/>
  <c r="F42" s="1"/>
  <c r="F47" s="1"/>
  <c r="D44" i="19"/>
  <c r="D38"/>
  <c r="F33" i="33" s="1"/>
  <c r="B25" i="7"/>
  <c r="L18" i="33" s="1"/>
  <c r="B37" i="7"/>
  <c r="B38" s="1"/>
  <c r="F18" i="33" s="1"/>
  <c r="B25" i="10"/>
  <c r="L41" i="33" s="1"/>
  <c r="B37" i="10"/>
  <c r="B38" s="1"/>
  <c r="F41" i="33" s="1"/>
  <c r="D38" i="13"/>
  <c r="F38" i="33" s="1"/>
  <c r="D44" i="13"/>
  <c r="B25" i="14"/>
  <c r="L25" i="33" s="1"/>
  <c r="B37" i="14"/>
  <c r="B38" s="1"/>
  <c r="F25" i="33" s="1"/>
  <c r="B25" i="9"/>
  <c r="L46" i="33" s="1"/>
  <c r="B37" i="9"/>
  <c r="B38" s="1"/>
  <c r="F46" i="33" s="1"/>
  <c r="B24" i="16"/>
  <c r="G21"/>
  <c r="E25" i="12"/>
  <c r="L15" i="33" s="1"/>
  <c r="E37" i="12"/>
  <c r="F25" i="7"/>
  <c r="L22" i="33" s="1"/>
  <c r="F37" i="7"/>
  <c r="E25" i="10"/>
  <c r="L43" i="33" s="1"/>
  <c r="E37" i="10"/>
  <c r="E25" i="14"/>
  <c r="L28" i="33" s="1"/>
  <c r="E37" i="14"/>
  <c r="D25" i="9"/>
  <c r="L48" i="33" s="1"/>
  <c r="D37" i="9"/>
  <c r="B25" i="12"/>
  <c r="L13" i="33" s="1"/>
  <c r="B37" i="12"/>
  <c r="B38" s="1"/>
  <c r="F13" i="33" s="1"/>
  <c r="B25" i="16" l="1"/>
  <c r="G24" s="1"/>
  <c r="L6" i="33"/>
  <c r="B37" i="16"/>
  <c r="D38" i="9"/>
  <c r="F48" i="33" s="1"/>
  <c r="D44" i="9"/>
  <c r="E38" i="14"/>
  <c r="F28" i="33" s="1"/>
  <c r="E44" i="14"/>
  <c r="E38" i="10"/>
  <c r="F43" i="33" s="1"/>
  <c r="E44" i="10"/>
  <c r="F38" i="7"/>
  <c r="F22" i="33" s="1"/>
  <c r="F44" i="7"/>
  <c r="E38" i="12"/>
  <c r="F15" i="33" s="1"/>
  <c r="E44" i="12"/>
  <c r="B38" i="16" l="1"/>
  <c r="F6" i="33"/>
  <c r="G25" i="16"/>
  <c r="L10" i="33" s="1"/>
  <c r="G37" i="16"/>
  <c r="G38" l="1"/>
  <c r="F10" i="33" s="1"/>
  <c r="G44" i="16"/>
  <c r="G51" l="1"/>
  <c r="G52" s="1"/>
</calcChain>
</file>

<file path=xl/sharedStrings.xml><?xml version="1.0" encoding="utf-8"?>
<sst xmlns="http://schemas.openxmlformats.org/spreadsheetml/2006/main" count="295" uniqueCount="67">
  <si>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</si>
  <si>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</si>
  <si>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</si>
  <si>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</si>
  <si>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</si>
  <si>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</si>
  <si>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</si>
  <si>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</si>
  <si>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</si>
  <si>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</si>
  <si>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</si>
  <si>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</si>
  <si>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</si>
  <si>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</si>
  <si>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</si>
  <si>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</si>
  <si>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</si>
  <si>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</si>
  <si>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</si>
  <si>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</si>
  <si>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</si>
  <si>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</si>
  <si>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</si>
  <si>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</si>
  <si>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</si>
  <si>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</si>
  <si>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</si>
  <si>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</si>
  <si>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</si>
  <si>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</si>
  <si>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</si>
  <si>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</si>
  <si>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</si>
  <si>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</si>
  <si>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</si>
  <si>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</si>
  <si>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</si>
  <si>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</si>
  <si>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</si>
  <si>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</si>
  <si>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</si>
  <si>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</si>
  <si>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</si>
  <si>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</si>
  <si>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</si>
  <si>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</si>
  <si>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</si>
  <si>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</si>
  <si>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</si>
  <si>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</si>
  <si>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Suffolk</t>
  </si>
  <si>
    <t>Ridership</t>
  </si>
  <si>
    <t>Actual</t>
  </si>
  <si>
    <t>Local Assistance</t>
  </si>
  <si>
    <t>State Assistance</t>
  </si>
  <si>
    <t xml:space="preserve">Passenger Revenue </t>
  </si>
  <si>
    <t>January 2012 Operating Financial Summary - System</t>
  </si>
  <si>
    <t>*MAX services are funded by Passenger Revenue, Federal Assistance and State Assistance and therefore do not require any Local Assistance.</t>
  </si>
  <si>
    <t>April 2012 Comparison Summary</t>
  </si>
  <si>
    <t>April 2012 Operating Financial Summary - MAX</t>
  </si>
  <si>
    <t>April 2012 Operating Financial Summary - Newport News</t>
  </si>
  <si>
    <t>April 2012 Operating Financial Summary - Hampton</t>
  </si>
  <si>
    <t>April 2012 Operating Financial Summary - Virginia Beach</t>
  </si>
  <si>
    <t>April 2012 Operating Financial Summary - Portsmouth</t>
  </si>
  <si>
    <t>April 2012 Operating Financial Summary - Norfolk</t>
  </si>
  <si>
    <t>April 2012 Operating Financial Summary - Chesapeake</t>
  </si>
  <si>
    <t>April 2012 Operating Financial Summary - System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</si>
</sst>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7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6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li\Local%20Settings\Temporary%20Internet%20Files\Content.Outlook\VYBP6ZIK\April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2772.8</v>
          </cell>
          <cell r="F14">
            <v>64529.232116298852</v>
          </cell>
          <cell r="S14">
            <v>58053.260224487589</v>
          </cell>
          <cell r="W14">
            <v>111693.1147009147</v>
          </cell>
        </row>
        <row r="26">
          <cell r="E26">
            <v>2887.4</v>
          </cell>
          <cell r="F26">
            <v>54177.484170562355</v>
          </cell>
          <cell r="G26">
            <v>60.264450658111976</v>
          </cell>
          <cell r="I26">
            <v>24.226175078219949</v>
          </cell>
          <cell r="U26">
            <v>43217.385044316507</v>
          </cell>
          <cell r="W26">
            <v>45554.436147185275</v>
          </cell>
        </row>
        <row r="28">
          <cell r="E28">
            <v>1730.1476437359456</v>
          </cell>
          <cell r="F28">
            <v>5849.3270476561156</v>
          </cell>
          <cell r="G28">
            <v>38.954157611155694</v>
          </cell>
          <cell r="U28">
            <v>19364.57995227573</v>
          </cell>
          <cell r="W28">
            <v>23782.083185477019</v>
          </cell>
          <cell r="X28">
            <v>17357.256895226099</v>
          </cell>
        </row>
        <row r="30">
          <cell r="AF30">
            <v>11839.518571428574</v>
          </cell>
          <cell r="AG30">
            <v>-2679.0462037087077</v>
          </cell>
          <cell r="AK30">
            <v>7838.0445709084324</v>
          </cell>
        </row>
        <row r="64">
          <cell r="E64">
            <v>22956.2</v>
          </cell>
          <cell r="F64">
            <v>412838.86082823644</v>
          </cell>
          <cell r="Q64">
            <v>128848.57267443548</v>
          </cell>
          <cell r="U64">
            <v>307351.49726664263</v>
          </cell>
          <cell r="W64">
            <v>323972.03446293081</v>
          </cell>
        </row>
        <row r="65">
          <cell r="E65">
            <v>2445.15</v>
          </cell>
          <cell r="F65">
            <v>141204.77643364435</v>
          </cell>
          <cell r="G65">
            <v>322.72486759503505</v>
          </cell>
          <cell r="Q65">
            <v>446230.70188805996</v>
          </cell>
          <cell r="U65">
            <v>127252.10129887641</v>
          </cell>
          <cell r="W65">
            <v>45454.545454545456</v>
          </cell>
        </row>
        <row r="68">
          <cell r="E68">
            <v>254.58500000000001</v>
          </cell>
          <cell r="F68">
            <v>18264.80850643912</v>
          </cell>
          <cell r="G68">
            <v>322.19547498870713</v>
          </cell>
          <cell r="U68">
            <v>15623.590395641748</v>
          </cell>
          <cell r="W68">
            <v>48632.785486350891</v>
          </cell>
        </row>
        <row r="69">
          <cell r="E69">
            <v>4063.0513054078019</v>
          </cell>
          <cell r="F69">
            <v>13736.466932624115</v>
          </cell>
          <cell r="U69">
            <v>45475.472650342002</v>
          </cell>
          <cell r="W69">
            <v>55849.467230102266</v>
          </cell>
          <cell r="X69">
            <v>40761.506997266551</v>
          </cell>
        </row>
        <row r="71">
          <cell r="AK71">
            <v>50446.418150119745</v>
          </cell>
        </row>
        <row r="83">
          <cell r="E83">
            <v>5157.7</v>
          </cell>
          <cell r="F83">
            <v>87366.390724844066</v>
          </cell>
          <cell r="Q83">
            <v>8379.425792336393</v>
          </cell>
          <cell r="U83">
            <v>74877.464692328154</v>
          </cell>
          <cell r="W83">
            <v>78926.586619991736</v>
          </cell>
        </row>
        <row r="85">
          <cell r="E85">
            <v>254.58500000000001</v>
          </cell>
          <cell r="F85">
            <v>18401.458093378053</v>
          </cell>
          <cell r="U85">
            <v>15623.590395641748</v>
          </cell>
          <cell r="W85">
            <v>48632.785486350891</v>
          </cell>
        </row>
        <row r="86">
          <cell r="E86">
            <v>1018.9885848577237</v>
          </cell>
          <cell r="F86">
            <v>3445.0224593495941</v>
          </cell>
          <cell r="U86">
            <v>11404.972282784685</v>
          </cell>
          <cell r="W86">
            <v>14006.707102643331</v>
          </cell>
          <cell r="X86">
            <v>10222.738333756775</v>
          </cell>
        </row>
        <row r="88">
          <cell r="AK88">
            <v>10916.749083077464</v>
          </cell>
        </row>
        <row r="95">
          <cell r="E95">
            <v>0</v>
          </cell>
          <cell r="U95">
            <v>0</v>
          </cell>
          <cell r="W95">
            <v>0</v>
          </cell>
        </row>
        <row r="96">
          <cell r="E96">
            <v>0</v>
          </cell>
          <cell r="U96">
            <v>0</v>
          </cell>
          <cell r="W96">
            <v>0</v>
          </cell>
          <cell r="X96">
            <v>0</v>
          </cell>
        </row>
        <row r="97">
          <cell r="AK97">
            <v>0</v>
          </cell>
        </row>
        <row r="116">
          <cell r="E116">
            <v>6876.1</v>
          </cell>
          <cell r="F116">
            <v>141178.80699433523</v>
          </cell>
          <cell r="Q116">
            <v>14828.638280171515</v>
          </cell>
          <cell r="U116">
            <v>99448.380537049612</v>
          </cell>
          <cell r="W116">
            <v>104826.21510927784</v>
          </cell>
        </row>
        <row r="126">
          <cell r="E126">
            <v>3549.826543958658</v>
          </cell>
          <cell r="F126">
            <v>12001.343638643835</v>
          </cell>
          <cell r="U126">
            <v>39731.233444773738</v>
          </cell>
          <cell r="W126">
            <v>48794.835786467534</v>
          </cell>
          <cell r="X126">
            <v>35612.712868790724</v>
          </cell>
        </row>
        <row r="128">
          <cell r="AK128">
            <v>17697.462646741315</v>
          </cell>
        </row>
        <row r="151">
          <cell r="E151">
            <v>6588.1</v>
          </cell>
          <cell r="F151">
            <v>127847.93848122499</v>
          </cell>
          <cell r="U151">
            <v>98607.901368172606</v>
          </cell>
          <cell r="W151">
            <v>103940.28564842809</v>
          </cell>
        </row>
        <row r="153">
          <cell r="E153">
            <v>2700.1573647509085</v>
          </cell>
          <cell r="F153">
            <v>9128.7605215360672</v>
          </cell>
          <cell r="U153">
            <v>30221.359063056469</v>
          </cell>
          <cell r="W153">
            <v>37115.541725515912</v>
          </cell>
          <cell r="X153">
            <v>27088.627497891805</v>
          </cell>
        </row>
        <row r="155">
          <cell r="AK155">
            <v>15766.328975456761</v>
          </cell>
        </row>
        <row r="173">
          <cell r="E173">
            <v>10305.1</v>
          </cell>
          <cell r="F173">
            <v>244888.32365103689</v>
          </cell>
          <cell r="U173">
            <v>154242.38921527533</v>
          </cell>
          <cell r="W173">
            <v>162583.29983388475</v>
          </cell>
        </row>
        <row r="178">
          <cell r="E178">
            <v>3175.638557288964</v>
          </cell>
          <cell r="F178">
            <v>10736.279400190278</v>
          </cell>
          <cell r="U178">
            <v>35543.155501668283</v>
          </cell>
          <cell r="W178">
            <v>43651.361552806709</v>
          </cell>
          <cell r="X178">
            <v>31858.769073734718</v>
          </cell>
        </row>
        <row r="180">
          <cell r="AK180">
            <v>22882.845573696275</v>
          </cell>
        </row>
        <row r="184">
          <cell r="AL184">
            <v>2492794.9985384429</v>
          </cell>
        </row>
      </sheetData>
      <sheetData sheetId="2"/>
      <sheetData sheetId="3">
        <row r="16">
          <cell r="B16">
            <v>35754.163593648555</v>
          </cell>
          <cell r="C16">
            <v>61568.385452553142</v>
          </cell>
          <cell r="D16">
            <v>524430.76542087516</v>
          </cell>
          <cell r="E16">
            <v>108569.66668524286</v>
          </cell>
          <cell r="G16">
            <v>148722.78747597124</v>
          </cell>
          <cell r="H16">
            <v>157433.62353653682</v>
          </cell>
          <cell r="I16">
            <v>271440.18111928541</v>
          </cell>
        </row>
        <row r="17">
          <cell r="D17">
            <v>152448.13871317968</v>
          </cell>
        </row>
        <row r="18">
          <cell r="D18">
            <v>15052.540907140714</v>
          </cell>
          <cell r="E18">
            <v>15281.747095566488</v>
          </cell>
        </row>
        <row r="19">
          <cell r="C19">
            <v>3395</v>
          </cell>
          <cell r="D19">
            <v>6853</v>
          </cell>
          <cell r="E19">
            <v>1733</v>
          </cell>
          <cell r="G19">
            <v>6267</v>
          </cell>
          <cell r="H19">
            <v>4876</v>
          </cell>
          <cell r="I19">
            <v>5624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zoomScaleNormal="100" workbookViewId="0">
      <selection activeCell="C41" sqref="C41"/>
    </sheetView>
  </sheetViews>
  <sheetFormatPr defaultRowHeight="12.75"/>
  <cols>
    <col min="1" max="1" width="14.140625" style="61" bestFit="1" customWidth="1"/>
    <col min="2" max="3" width="8.5703125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2" width="9" style="72" customWidth="1"/>
    <col min="13" max="16384" width="9.140625" style="61"/>
  </cols>
  <sheetData>
    <row r="1" spans="1:12" ht="12.75" customHeight="1">
      <c r="A1" s="139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 s="76" customFormat="1">
      <c r="A3" s="74"/>
      <c r="B3" s="138" t="s">
        <v>55</v>
      </c>
      <c r="C3" s="138"/>
      <c r="D3" s="75"/>
      <c r="E3" s="137" t="s">
        <v>53</v>
      </c>
      <c r="F3" s="137"/>
      <c r="G3" s="75"/>
      <c r="H3" s="137" t="s">
        <v>54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52</v>
      </c>
      <c r="D4" s="64"/>
      <c r="E4" s="59" t="s">
        <v>40</v>
      </c>
      <c r="F4" s="59" t="s">
        <v>52</v>
      </c>
      <c r="G4" s="64"/>
      <c r="H4" s="59" t="s">
        <v>40</v>
      </c>
      <c r="I4" s="59" t="s">
        <v>52</v>
      </c>
      <c r="J4" s="64"/>
      <c r="K4" s="59" t="s">
        <v>40</v>
      </c>
      <c r="L4" s="59" t="s">
        <v>52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v>0.26071789080528374</v>
      </c>
      <c r="C6" s="65">
        <f>+('System Total'!B12+'System Total'!C12)/('System Total'!B10+'System Total'!C10)</f>
        <v>0.2330019524469164</v>
      </c>
      <c r="D6" s="64"/>
      <c r="E6" s="65">
        <v>0.35558734896778277</v>
      </c>
      <c r="F6" s="65">
        <f>+('System Total'!B37+'System Total'!C37)/('System Total'!B10+'System Total'!C10)</f>
        <v>0.37222242016056228</v>
      </c>
      <c r="G6" s="64"/>
      <c r="H6" s="65">
        <v>0.15727464594293</v>
      </c>
      <c r="I6" s="65">
        <f>+('System Total'!B18+'System Total'!C18)/('System Total'!B10+'System Total'!C10)</f>
        <v>0.17190853003331968</v>
      </c>
      <c r="J6" s="64"/>
      <c r="K6" s="65">
        <v>0.255549324201096</v>
      </c>
      <c r="L6" s="65">
        <f>+('System Total'!B24+'System Total'!C24)/('System Total'!B10+'System Total'!C10)</f>
        <v>0.22286709735920157</v>
      </c>
    </row>
    <row r="7" spans="1:12">
      <c r="A7" s="60" t="s">
        <v>39</v>
      </c>
      <c r="B7" s="65">
        <v>8.7999999999999995E-2</v>
      </c>
      <c r="C7" s="65">
        <f>+'System Total'!D13</f>
        <v>0.16644688966903265</v>
      </c>
      <c r="D7" s="64"/>
      <c r="E7" s="65">
        <v>0.19500000000000001</v>
      </c>
      <c r="F7" s="65">
        <f>+'System Total'!D38</f>
        <v>0.10397299850108113</v>
      </c>
      <c r="G7" s="64"/>
      <c r="H7" s="65">
        <v>0.15</v>
      </c>
      <c r="I7" s="65">
        <f>+'System Total'!D19</f>
        <v>0.14999999999999997</v>
      </c>
      <c r="J7" s="64"/>
      <c r="K7" s="65">
        <v>0.566621123821335</v>
      </c>
      <c r="L7" s="65">
        <f>+'System Total'!D25</f>
        <v>0.57958011182988622</v>
      </c>
    </row>
    <row r="8" spans="1:12">
      <c r="A8" s="60" t="s">
        <v>16</v>
      </c>
      <c r="B8" s="65">
        <v>0.253</v>
      </c>
      <c r="C8" s="65">
        <f>+'System Total'!E13</f>
        <v>0.20787337082190921</v>
      </c>
      <c r="D8" s="64"/>
      <c r="E8" s="65">
        <v>0.29299999999999998</v>
      </c>
      <c r="F8" s="65">
        <f>+'System Total'!E38</f>
        <v>6.3544709607580657E-2</v>
      </c>
      <c r="G8" s="64"/>
      <c r="H8" s="65">
        <v>0.158</v>
      </c>
      <c r="I8" s="65">
        <f>+'System Total'!E19</f>
        <v>0.17715075468845526</v>
      </c>
      <c r="J8" s="64"/>
      <c r="K8" s="65">
        <v>0.29799999999999999</v>
      </c>
      <c r="L8" s="65">
        <f>+'System Total'!E25</f>
        <v>0.5514311648820549</v>
      </c>
    </row>
    <row r="9" spans="1:12">
      <c r="A9" s="60" t="s">
        <v>49</v>
      </c>
      <c r="B9" s="65">
        <v>6.5000000000000002E-2</v>
      </c>
      <c r="C9" s="65">
        <f>+'System Total'!F13</f>
        <v>5.3510724398134903E-2</v>
      </c>
      <c r="D9" s="64"/>
      <c r="E9" s="65">
        <v>0.378</v>
      </c>
      <c r="F9" s="65">
        <f>+'System Total'!F38</f>
        <v>0.39298823804424271</v>
      </c>
      <c r="G9" s="64"/>
      <c r="H9" s="65">
        <v>0.158</v>
      </c>
      <c r="I9" s="65">
        <f>+'System Total'!F19</f>
        <v>0.17715075468845529</v>
      </c>
      <c r="J9" s="64"/>
      <c r="K9" s="65">
        <v>0.39888110817059752</v>
      </c>
      <c r="L9" s="65">
        <f>+'System Total'!F25</f>
        <v>0.37635028286916716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0.19755381457872342</v>
      </c>
      <c r="D10" s="66"/>
      <c r="E10" s="59">
        <v>0.32800000000000001</v>
      </c>
      <c r="F10" s="59">
        <f>+'System Total'!G38</f>
        <v>0.33450656543307061</v>
      </c>
      <c r="G10" s="66"/>
      <c r="H10" s="59">
        <v>0.153</v>
      </c>
      <c r="I10" s="59">
        <f>+'System Total'!G19</f>
        <v>0.17013156258185383</v>
      </c>
      <c r="J10" s="66"/>
      <c r="K10" s="59">
        <v>0.3146414065273182</v>
      </c>
      <c r="L10" s="59">
        <f>+'System Total'!G25</f>
        <v>0.29780805740635219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0.22207688406171011</v>
      </c>
      <c r="D13" s="64"/>
      <c r="E13" s="67">
        <v>0.39400000000000002</v>
      </c>
      <c r="F13" s="67">
        <f>+Chesapeake!B38</f>
        <v>0.41404188844113327</v>
      </c>
      <c r="G13" s="64"/>
      <c r="H13" s="67">
        <v>0.158</v>
      </c>
      <c r="I13" s="67">
        <f>+Chesapeake!B19</f>
        <v>0.17715075468845529</v>
      </c>
      <c r="J13" s="64"/>
      <c r="K13" s="65">
        <v>0.22800000000000001</v>
      </c>
      <c r="L13" s="65">
        <f>+Chesapeake!B25</f>
        <v>0.18673047280870134</v>
      </c>
    </row>
    <row r="14" spans="1:12">
      <c r="A14" s="60" t="s">
        <v>49</v>
      </c>
      <c r="B14" s="65">
        <v>6.5000000000000002E-2</v>
      </c>
      <c r="C14" s="65">
        <f>+Chesapeake!D13</f>
        <v>5.3510724398134896E-2</v>
      </c>
      <c r="D14" s="64"/>
      <c r="E14" s="65">
        <v>0.378</v>
      </c>
      <c r="F14" s="65">
        <f>+$F$9</f>
        <v>0.39298823804424271</v>
      </c>
      <c r="G14" s="64"/>
      <c r="H14" s="65">
        <v>0.158</v>
      </c>
      <c r="I14" s="65">
        <f>+I9</f>
        <v>0.17715075468845529</v>
      </c>
      <c r="J14" s="64"/>
      <c r="K14" s="65">
        <v>0.39899999999999997</v>
      </c>
      <c r="L14" s="65">
        <f>+L9</f>
        <v>0.37635028286916716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0.16991788144440456</v>
      </c>
      <c r="D15" s="66"/>
      <c r="E15" s="59">
        <v>0.38900000000000001</v>
      </c>
      <c r="F15" s="59">
        <f>+Chesapeake!E38</f>
        <v>0.40752731037666934</v>
      </c>
      <c r="G15" s="66"/>
      <c r="H15" s="59">
        <v>0.158</v>
      </c>
      <c r="I15" s="59">
        <f>+Chesapeake!E19</f>
        <v>0.17715075468845529</v>
      </c>
      <c r="J15" s="66"/>
      <c r="K15" s="59">
        <v>0.27400000000000002</v>
      </c>
      <c r="L15" s="59">
        <f>+Chesapeake!E25</f>
        <v>0.24540405349047081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0.21284921103949891</v>
      </c>
      <c r="D18" s="64"/>
      <c r="E18" s="67">
        <v>0.34599999999999997</v>
      </c>
      <c r="F18" s="67">
        <f>+Norfolk!B38</f>
        <v>0.39522539620066743</v>
      </c>
      <c r="G18" s="64"/>
      <c r="H18" s="67">
        <v>0.15</v>
      </c>
      <c r="I18" s="67">
        <f>+Norfolk!B19</f>
        <v>0.15846261074785711</v>
      </c>
      <c r="J18" s="64"/>
      <c r="K18" s="65">
        <v>0.23292828570380039</v>
      </c>
      <c r="L18" s="65">
        <f>+Norfolk!B25</f>
        <v>0.23346278201197659</v>
      </c>
    </row>
    <row r="19" spans="1:12">
      <c r="A19" s="60" t="s">
        <v>39</v>
      </c>
      <c r="B19" s="65">
        <v>8.7999999999999995E-2</v>
      </c>
      <c r="C19" s="65">
        <f>+Norfolk!C13</f>
        <v>0.16644688966903265</v>
      </c>
      <c r="D19" s="64"/>
      <c r="E19" s="65">
        <v>0.19500000000000001</v>
      </c>
      <c r="F19" s="65">
        <f>+Norfolk!C38</f>
        <v>0.10397299850108113</v>
      </c>
      <c r="G19" s="64"/>
      <c r="H19" s="65">
        <v>0.15</v>
      </c>
      <c r="I19" s="65">
        <f>+Norfolk!C19</f>
        <v>0.14999999999999997</v>
      </c>
      <c r="J19" s="64"/>
      <c r="K19" s="65">
        <v>0.566621123821335</v>
      </c>
      <c r="L19" s="65">
        <f>+Norfolk!C25</f>
        <v>0.57958011182988622</v>
      </c>
    </row>
    <row r="20" spans="1:12">
      <c r="A20" s="60" t="s">
        <v>16</v>
      </c>
      <c r="B20" s="65">
        <v>0.253</v>
      </c>
      <c r="C20" s="65">
        <f>+Norfolk!D13</f>
        <v>0.20709865845295045</v>
      </c>
      <c r="D20" s="64"/>
      <c r="E20" s="65">
        <v>0.29299999999999998</v>
      </c>
      <c r="F20" s="65">
        <f>+Norfolk!D38</f>
        <v>6.4319421976539407E-2</v>
      </c>
      <c r="G20" s="64"/>
      <c r="H20" s="65">
        <v>0.158</v>
      </c>
      <c r="I20" s="65">
        <f>+Portsmouth!C19</f>
        <v>0.17715075468845526</v>
      </c>
      <c r="J20" s="64"/>
      <c r="K20" s="65">
        <v>0.29599999999999999</v>
      </c>
      <c r="L20" s="65">
        <f>+Norfolk!D25</f>
        <v>0.5514311648820549</v>
      </c>
    </row>
    <row r="21" spans="1:12">
      <c r="A21" s="60" t="s">
        <v>49</v>
      </c>
      <c r="B21" s="65">
        <v>6.5000000000000002E-2</v>
      </c>
      <c r="C21" s="65">
        <f>+Norfolk!E13</f>
        <v>5.3510724398134896E-2</v>
      </c>
      <c r="D21" s="64"/>
      <c r="E21" s="65">
        <v>0.378</v>
      </c>
      <c r="F21" s="65">
        <f>+F14</f>
        <v>0.39298823804424271</v>
      </c>
      <c r="G21" s="64"/>
      <c r="H21" s="65">
        <v>0.158</v>
      </c>
      <c r="I21" s="65">
        <f>+I14</f>
        <v>0.17715075468845529</v>
      </c>
      <c r="J21" s="64"/>
      <c r="K21" s="65">
        <v>0.39888115771480304</v>
      </c>
      <c r="L21" s="65">
        <f>+L14</f>
        <v>0.37635028286916716</v>
      </c>
    </row>
    <row r="22" spans="1:12" s="63" customFormat="1">
      <c r="A22" s="58" t="s">
        <v>0</v>
      </c>
      <c r="B22" s="59">
        <v>0.19400000000000001</v>
      </c>
      <c r="C22" s="59">
        <f>+Norfolk!F13</f>
        <v>0.18706567625806167</v>
      </c>
      <c r="D22" s="66"/>
      <c r="E22" s="59">
        <v>0.30099999999999999</v>
      </c>
      <c r="F22" s="59">
        <f>+Norfolk!F38</f>
        <v>0.30685757822170739</v>
      </c>
      <c r="G22" s="66"/>
      <c r="H22" s="59">
        <v>0.158</v>
      </c>
      <c r="I22" s="59">
        <f>+Norfolk!F19</f>
        <v>0.15822840810939012</v>
      </c>
      <c r="J22" s="66"/>
      <c r="K22" s="59">
        <v>0.36499999999999999</v>
      </c>
      <c r="L22" s="59">
        <f>+Norfolk!F25</f>
        <v>0.34784833741084076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0.20048403313484628</v>
      </c>
      <c r="D25" s="64"/>
      <c r="E25" s="67">
        <v>0.39400000000000002</v>
      </c>
      <c r="F25" s="67">
        <f>+Portsmouth!B38</f>
        <v>0.42734541789307329</v>
      </c>
      <c r="G25" s="64"/>
      <c r="H25" s="67">
        <v>0.15</v>
      </c>
      <c r="I25" s="67">
        <f>+Portsmouth!B19</f>
        <v>0.17182506897542199</v>
      </c>
      <c r="J25" s="64"/>
      <c r="K25" s="65">
        <v>0.25849924500743804</v>
      </c>
      <c r="L25" s="65">
        <f>+Portsmouth!B25</f>
        <v>0.20034547999665844</v>
      </c>
    </row>
    <row r="26" spans="1:12">
      <c r="A26" s="60" t="s">
        <v>16</v>
      </c>
      <c r="B26" s="67">
        <v>0.253</v>
      </c>
      <c r="C26" s="67">
        <f>+C20</f>
        <v>0.20709865845295045</v>
      </c>
      <c r="D26" s="64"/>
      <c r="E26" s="67">
        <v>0.29299999999999998</v>
      </c>
      <c r="F26" s="67">
        <f>+F20</f>
        <v>6.4319421976539407E-2</v>
      </c>
      <c r="G26" s="64"/>
      <c r="H26" s="67">
        <v>0.158</v>
      </c>
      <c r="I26" s="67">
        <f>+I20</f>
        <v>0.17715075468845526</v>
      </c>
      <c r="J26" s="64"/>
      <c r="K26" s="65">
        <v>0.29599999999999999</v>
      </c>
      <c r="L26" s="65">
        <f>+L20</f>
        <v>0.5514311648820549</v>
      </c>
    </row>
    <row r="27" spans="1:12">
      <c r="A27" s="60" t="s">
        <v>49</v>
      </c>
      <c r="B27" s="65">
        <v>6.5000000000000002E-2</v>
      </c>
      <c r="C27" s="65">
        <f>+Portsmouth!D13</f>
        <v>5.351072439813491E-2</v>
      </c>
      <c r="D27" s="64"/>
      <c r="E27" s="65">
        <v>0.378</v>
      </c>
      <c r="F27" s="65">
        <f>+F21</f>
        <v>0.39298823804424271</v>
      </c>
      <c r="G27" s="64"/>
      <c r="H27" s="65">
        <v>0.158</v>
      </c>
      <c r="I27" s="65">
        <f>+I21</f>
        <v>0.17715075468845529</v>
      </c>
      <c r="J27" s="64"/>
      <c r="K27" s="65">
        <v>0.39888050988310603</v>
      </c>
      <c r="L27" s="65">
        <f>+L21</f>
        <v>0.37635028286916716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0.1856253390235155</v>
      </c>
      <c r="D28" s="66"/>
      <c r="E28" s="59">
        <v>0.38200000000000001</v>
      </c>
      <c r="F28" s="59">
        <f>+Portsmouth!E38</f>
        <v>0.3689360896796105</v>
      </c>
      <c r="G28" s="66"/>
      <c r="H28" s="59">
        <v>0.158</v>
      </c>
      <c r="I28" s="59">
        <f>+Portsmouth!E19</f>
        <v>0.17320614921989225</v>
      </c>
      <c r="J28" s="66"/>
      <c r="K28" s="59">
        <v>0.25900000000000001</v>
      </c>
      <c r="L28" s="59">
        <f>+Portsmouth!E25</f>
        <v>0.27223242207698184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 hidden="1">
      <c r="A30" s="58" t="s">
        <v>50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 hidden="1">
      <c r="A31" s="60" t="s">
        <v>41</v>
      </c>
      <c r="B31" s="65">
        <v>9.5000000000000001E-2</v>
      </c>
      <c r="C31" s="65" t="e">
        <f>Suffolk!B13</f>
        <v>#DIV/0!</v>
      </c>
      <c r="D31" s="64"/>
      <c r="E31" s="65">
        <v>0.52600000000000002</v>
      </c>
      <c r="F31" s="65" t="e">
        <f>Suffolk!B38</f>
        <v>#DIV/0!</v>
      </c>
      <c r="G31" s="64"/>
      <c r="H31" s="65">
        <v>0.158</v>
      </c>
      <c r="I31" s="65" t="e">
        <f>Suffolk!B19</f>
        <v>#DIV/0!</v>
      </c>
      <c r="J31" s="64"/>
      <c r="K31" s="65">
        <v>0.22</v>
      </c>
      <c r="L31" s="65" t="e">
        <f>Suffolk!B25</f>
        <v>#DIV/0!</v>
      </c>
    </row>
    <row r="32" spans="1:12" hidden="1">
      <c r="A32" s="60" t="s">
        <v>49</v>
      </c>
      <c r="B32" s="65">
        <v>6.5000000000000002E-2</v>
      </c>
      <c r="C32" s="65" t="e">
        <f>+Suffolk!C13</f>
        <v>#DIV/0!</v>
      </c>
      <c r="D32" s="64"/>
      <c r="E32" s="65">
        <v>0.378</v>
      </c>
      <c r="F32" s="65" t="e">
        <f>+Suffolk!C38</f>
        <v>#DIV/0!</v>
      </c>
      <c r="G32" s="64"/>
      <c r="H32" s="65">
        <v>0.158</v>
      </c>
      <c r="I32" s="65" t="e">
        <f>+Suffolk!C19</f>
        <v>#DIV/0!</v>
      </c>
      <c r="J32" s="64"/>
      <c r="K32" s="65">
        <v>0.39900000000000002</v>
      </c>
      <c r="L32" s="65" t="e">
        <f>+Suffolk!C25</f>
        <v>#DIV/0!</v>
      </c>
    </row>
    <row r="33" spans="1:12" s="63" customFormat="1" hidden="1">
      <c r="A33" s="58" t="s">
        <v>0</v>
      </c>
      <c r="B33" s="59">
        <v>9.1999999999999998E-2</v>
      </c>
      <c r="C33" s="59" t="e">
        <f>Suffolk!D13</f>
        <v>#DIV/0!</v>
      </c>
      <c r="D33" s="66"/>
      <c r="E33" s="59">
        <v>0.50900000000000001</v>
      </c>
      <c r="F33" s="59" t="e">
        <f>Suffolk!D38</f>
        <v>#DIV/0!</v>
      </c>
      <c r="G33" s="66"/>
      <c r="H33" s="59">
        <v>0.158</v>
      </c>
      <c r="I33" s="59" t="e">
        <f>Suffolk!D19</f>
        <v>#DIV/0!</v>
      </c>
      <c r="J33" s="66"/>
      <c r="K33" s="59">
        <v>0.24099999999999999</v>
      </c>
      <c r="L33" s="59" t="e">
        <f>Suffolk!D25</f>
        <v>#DIV/0!</v>
      </c>
    </row>
    <row r="34" spans="1:12" hidden="1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0.24300700734530947</v>
      </c>
      <c r="D36" s="64"/>
      <c r="E36" s="67">
        <v>0.33700000000000002</v>
      </c>
      <c r="F36" s="67">
        <f>+'Virginia Beach'!B38</f>
        <v>0.37985691742001182</v>
      </c>
      <c r="G36" s="64"/>
      <c r="H36" s="67">
        <v>0.152</v>
      </c>
      <c r="I36" s="67">
        <f>+'Virginia Beach'!B19</f>
        <v>0.1711776282442706</v>
      </c>
      <c r="J36" s="64"/>
      <c r="K36" s="65">
        <v>0.23022872222423335</v>
      </c>
      <c r="L36" s="65">
        <f>+'Virginia Beach'!B25</f>
        <v>0.20595844699040808</v>
      </c>
    </row>
    <row r="37" spans="1:12">
      <c r="A37" s="60" t="s">
        <v>49</v>
      </c>
      <c r="B37" s="65">
        <v>6.5000000000000002E-2</v>
      </c>
      <c r="C37" s="65">
        <f>+'Virginia Beach'!C13</f>
        <v>5.3510724398134903E-2</v>
      </c>
      <c r="D37" s="64"/>
      <c r="E37" s="65">
        <v>0.378</v>
      </c>
      <c r="F37" s="65">
        <f>+F27</f>
        <v>0.39298823804424271</v>
      </c>
      <c r="G37" s="64"/>
      <c r="H37" s="65">
        <v>0.158</v>
      </c>
      <c r="I37" s="65">
        <f>+I27</f>
        <v>0.17715075468845529</v>
      </c>
      <c r="J37" s="64"/>
      <c r="K37" s="65">
        <v>0.39900000000000002</v>
      </c>
      <c r="L37" s="65">
        <f>+L27</f>
        <v>0.37635028286916716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0.19022795545256785</v>
      </c>
      <c r="D38" s="66"/>
      <c r="E38" s="59">
        <v>0.34599999999999997</v>
      </c>
      <c r="F38" s="59">
        <f>+'Virginia Beach'!D38</f>
        <v>0.38351429075666815</v>
      </c>
      <c r="G38" s="66"/>
      <c r="H38" s="59">
        <v>0.158</v>
      </c>
      <c r="I38" s="59">
        <f>+'Virginia Beach'!D19</f>
        <v>0.17284128066877444</v>
      </c>
      <c r="J38" s="66"/>
      <c r="K38" s="59">
        <v>0.26900000000000002</v>
      </c>
      <c r="L38" s="59">
        <f>+'Virginia Beach'!D25</f>
        <v>0.25341647312198945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0.22968097356366982</v>
      </c>
      <c r="D41" s="64"/>
      <c r="E41" s="67">
        <v>0.38800000000000001</v>
      </c>
      <c r="F41" s="67">
        <f>+Hampton!B38</f>
        <v>0.40643779893917359</v>
      </c>
      <c r="G41" s="64"/>
      <c r="H41" s="67">
        <v>0.158</v>
      </c>
      <c r="I41" s="67">
        <f>+Hampton!B19</f>
        <v>0.17715075468845529</v>
      </c>
      <c r="J41" s="64"/>
      <c r="K41" s="65">
        <v>0.22</v>
      </c>
      <c r="L41" s="65">
        <f>+Hampton!B25</f>
        <v>0.18673047280870131</v>
      </c>
    </row>
    <row r="42" spans="1:12">
      <c r="A42" s="60" t="s">
        <v>49</v>
      </c>
      <c r="B42" s="65">
        <v>6.5000000000000002E-2</v>
      </c>
      <c r="C42" s="65">
        <f>+Hampton!D13</f>
        <v>5.3510724398134896E-2</v>
      </c>
      <c r="D42" s="69"/>
      <c r="E42" s="65">
        <v>0.378</v>
      </c>
      <c r="F42" s="65">
        <f>+F37</f>
        <v>0.39298823804424271</v>
      </c>
      <c r="G42" s="69"/>
      <c r="H42" s="65">
        <v>0.158</v>
      </c>
      <c r="I42" s="65">
        <f>+I37</f>
        <v>0.17715075468845529</v>
      </c>
      <c r="J42" s="69"/>
      <c r="K42" s="65">
        <v>0.36899999999999999</v>
      </c>
      <c r="L42" s="65">
        <f>+L37</f>
        <v>0.37635028286916716</v>
      </c>
    </row>
    <row r="43" spans="1:12" s="63" customFormat="1">
      <c r="A43" s="58" t="s">
        <v>0</v>
      </c>
      <c r="B43" s="59">
        <v>0.19700000000000001</v>
      </c>
      <c r="C43" s="59">
        <f>+Hampton!E13</f>
        <v>0.18835414813256487</v>
      </c>
      <c r="D43" s="70"/>
      <c r="E43" s="59">
        <v>0.38600000000000001</v>
      </c>
      <c r="F43" s="59">
        <f>+Hampton!E38</f>
        <v>0.40328273922924757</v>
      </c>
      <c r="G43" s="70"/>
      <c r="H43" s="59">
        <v>0.158</v>
      </c>
      <c r="I43" s="59">
        <f>+Hampton!E19</f>
        <v>0.17715075468845529</v>
      </c>
      <c r="J43" s="70"/>
      <c r="K43" s="59">
        <v>0.25900000000000001</v>
      </c>
      <c r="L43" s="59">
        <f>+Hampton!E25</f>
        <v>0.23121235794973233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0.28125959128280636</v>
      </c>
      <c r="D46" s="64"/>
      <c r="E46" s="67">
        <v>0.35499999999999998</v>
      </c>
      <c r="F46" s="67">
        <f>+'Newport News'!B38</f>
        <v>0.35485918122003696</v>
      </c>
      <c r="G46" s="64"/>
      <c r="H46" s="67">
        <v>0.158</v>
      </c>
      <c r="I46" s="67">
        <f>+'Newport News'!B19</f>
        <v>0.17715075468845529</v>
      </c>
      <c r="J46" s="64"/>
      <c r="K46" s="65">
        <v>0.22047103061235362</v>
      </c>
      <c r="L46" s="65">
        <f>+'Newport News'!B25</f>
        <v>0.18673047280870131</v>
      </c>
    </row>
    <row r="47" spans="1:12">
      <c r="A47" s="60" t="s">
        <v>49</v>
      </c>
      <c r="B47" s="65">
        <v>6.5000000000000002E-2</v>
      </c>
      <c r="C47" s="65">
        <f>+'Newport News'!C13</f>
        <v>5.3510724398134903E-2</v>
      </c>
      <c r="D47" s="69"/>
      <c r="E47" s="65">
        <v>0.378</v>
      </c>
      <c r="F47" s="65">
        <f>+F42</f>
        <v>0.39298823804424271</v>
      </c>
      <c r="G47" s="69"/>
      <c r="H47" s="65">
        <v>0.158</v>
      </c>
      <c r="I47" s="65">
        <f>+I42</f>
        <v>0.17715075468845529</v>
      </c>
      <c r="J47" s="69"/>
      <c r="K47" s="65">
        <v>0.39900000000000002</v>
      </c>
      <c r="L47" s="65">
        <f>+L42</f>
        <v>0.37635028286916716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0.2386066410642646</v>
      </c>
      <c r="D48" s="66"/>
      <c r="E48" s="71">
        <v>0.35899999999999999</v>
      </c>
      <c r="F48" s="71">
        <f>+'Newport News'!D38</f>
        <v>0.36200001482702193</v>
      </c>
      <c r="G48" s="66"/>
      <c r="H48" s="59">
        <v>0.158</v>
      </c>
      <c r="I48" s="71">
        <f>+'Newport News'!D19</f>
        <v>0.17715075468845529</v>
      </c>
      <c r="J48" s="66"/>
      <c r="K48" s="71">
        <v>0.252</v>
      </c>
      <c r="L48" s="71">
        <f>+'Newport News'!D25</f>
        <v>0.22224258942025818</v>
      </c>
    </row>
    <row r="50" spans="1:12" s="63" customFormat="1">
      <c r="A50" s="58" t="s">
        <v>25</v>
      </c>
      <c r="B50" s="71">
        <v>0.21199999999999999</v>
      </c>
      <c r="C50" s="71">
        <f>+MAX!B13</f>
        <v>0.27544153201068267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0.24779899605234648</v>
      </c>
      <c r="J50" s="66"/>
      <c r="K50" s="71">
        <v>0.47499999999999998</v>
      </c>
      <c r="L50" s="71">
        <f>+MAX!B25</f>
        <v>0.47675947193697066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zoomScaleNormal="100" workbookViewId="0">
      <selection activeCell="A41" sqref="A41:D41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59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51</v>
      </c>
      <c r="B4" s="126">
        <f>+'[1]System ridership '!$B$16</f>
        <v>35754.163593648555</v>
      </c>
      <c r="C4" s="126"/>
      <c r="D4" s="126"/>
      <c r="E4" s="128">
        <f>SUM(B4:D4)</f>
        <v>35754.163593648555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2772.8</v>
      </c>
      <c r="C6" s="81"/>
      <c r="D6" s="81">
        <v>0</v>
      </c>
      <c r="E6" s="82">
        <f>SUM(B6:D6)</f>
        <v>2772.8</v>
      </c>
      <c r="F6" s="77"/>
    </row>
    <row r="7" spans="1:7" hidden="1">
      <c r="A7" s="83" t="s">
        <v>5</v>
      </c>
      <c r="B7" s="84">
        <f>+Chesapeake!B7</f>
        <v>60.264450658111976</v>
      </c>
      <c r="C7" s="84">
        <f>+Chesapeake!C7</f>
        <v>60.264450658111976</v>
      </c>
      <c r="D7" s="84">
        <f>+Chesapeake!B7</f>
        <v>60.264450658111976</v>
      </c>
      <c r="E7" s="85">
        <f>(E10/E6)-E8</f>
        <v>60.264450658111969</v>
      </c>
      <c r="F7" s="77"/>
    </row>
    <row r="8" spans="1:7" hidden="1">
      <c r="A8" s="83" t="s">
        <v>6</v>
      </c>
      <c r="B8" s="84">
        <f>+Chesapeake!B8</f>
        <v>24.226175078219949</v>
      </c>
      <c r="C8" s="84">
        <f>+Chesapeake!C8</f>
        <v>24.226175078219949</v>
      </c>
      <c r="D8" s="84">
        <f>B8</f>
        <v>24.226175078219949</v>
      </c>
      <c r="E8" s="85">
        <f>D8</f>
        <v>24.226175078219949</v>
      </c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84.490625736331921</v>
      </c>
      <c r="D9" s="84">
        <f>SUM(D7:D8)</f>
        <v>84.490625736331921</v>
      </c>
      <c r="E9" s="85">
        <f>SUM(E7:E8)</f>
        <v>84.490625736331921</v>
      </c>
      <c r="F9" s="77"/>
    </row>
    <row r="10" spans="1:7" ht="13.5" thickBot="1">
      <c r="A10" s="86" t="s">
        <v>7</v>
      </c>
      <c r="B10" s="87">
        <f>SUM(B7:B8)*B6</f>
        <v>234275.60704170118</v>
      </c>
      <c r="C10" s="87">
        <f>SUM(C7:C8)*C6</f>
        <v>0</v>
      </c>
      <c r="D10" s="87">
        <f>SUM(D7:D8)*D6</f>
        <v>0</v>
      </c>
      <c r="E10" s="88">
        <f>SUM(B10:D10)</f>
        <v>234275.60704170118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64529.232116298852</v>
      </c>
      <c r="C12" s="90"/>
      <c r="D12" s="90">
        <v>0</v>
      </c>
      <c r="E12" s="92">
        <f>SUM(B12:D12)</f>
        <v>64529.232116298852</v>
      </c>
      <c r="F12" s="77"/>
    </row>
    <row r="13" spans="1:7" ht="13.5" thickBot="1">
      <c r="A13" s="93" t="s">
        <v>8</v>
      </c>
      <c r="B13" s="94">
        <f>B12/B10</f>
        <v>0.27544153201068267</v>
      </c>
      <c r="C13" s="94"/>
      <c r="D13" s="94" t="e">
        <f>D12/D10</f>
        <v>#DIV/0!</v>
      </c>
      <c r="E13" s="95">
        <f>E12/E10</f>
        <v>0.27544153201068267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169746.37492540234</v>
      </c>
      <c r="C15" s="97">
        <f>C10-C12</f>
        <v>0</v>
      </c>
      <c r="D15" s="97">
        <f>D10-D12</f>
        <v>0</v>
      </c>
      <c r="E15" s="98">
        <f>E10-E12</f>
        <v>169746.37492540234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58053.260224487589</v>
      </c>
      <c r="C18" s="91">
        <v>0</v>
      </c>
      <c r="D18" s="91">
        <v>0</v>
      </c>
      <c r="E18" s="92">
        <f>SUM(B18:D18)</f>
        <v>58053.260224487589</v>
      </c>
      <c r="F18" s="99"/>
    </row>
    <row r="19" spans="1:6">
      <c r="A19" s="104" t="s">
        <v>32</v>
      </c>
      <c r="B19" s="105">
        <f>B18/B$10</f>
        <v>0.24779899605234648</v>
      </c>
      <c r="C19" s="105"/>
      <c r="D19" s="105" t="e">
        <f>D18/D$10</f>
        <v>#DIV/0!</v>
      </c>
      <c r="E19" s="106">
        <f>E18/E$10</f>
        <v>0.24779899605234648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111693.1147009147</v>
      </c>
      <c r="C21" s="108"/>
      <c r="D21" s="108">
        <v>0</v>
      </c>
      <c r="E21" s="109">
        <f>SUM(B21:D21)</f>
        <v>111693.1147009147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111693.1147009147</v>
      </c>
      <c r="C24" s="102">
        <f>+Norfolk!D13</f>
        <v>0.20709865845295045</v>
      </c>
      <c r="D24" s="102">
        <f>SUM(D21:D23)</f>
        <v>0</v>
      </c>
      <c r="E24" s="107">
        <f>SUM(E21:E23)</f>
        <v>111693.1147009147</v>
      </c>
      <c r="F24" s="99"/>
    </row>
    <row r="25" spans="1:6">
      <c r="A25" s="104" t="s">
        <v>35</v>
      </c>
      <c r="B25" s="105">
        <f>+B24/B10</f>
        <v>0.47675947193697066</v>
      </c>
      <c r="C25" s="105" t="e">
        <f>+C24/C10</f>
        <v>#DIV/0!</v>
      </c>
      <c r="D25" s="105" t="e">
        <f>+D24/D10</f>
        <v>#DIV/0!</v>
      </c>
      <c r="E25" s="106">
        <f>+E24/E10</f>
        <v>0.47675947193697066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5.8207660913467407E-11</v>
      </c>
      <c r="C37" s="102">
        <f>+C15-C24-C18</f>
        <v>-0.20709865845295045</v>
      </c>
      <c r="D37" s="102">
        <f>+D15-D24-D18</f>
        <v>0</v>
      </c>
      <c r="E37" s="107">
        <f>+E15-E24-E18</f>
        <v>5.8207660913467407E-11</v>
      </c>
      <c r="F37" s="99"/>
    </row>
    <row r="38" spans="1:6" ht="13.5" thickBot="1">
      <c r="A38" s="93" t="s">
        <v>37</v>
      </c>
      <c r="B38" s="94">
        <f>ABS(B37/B10)</f>
        <v>2.4845805181546881E-16</v>
      </c>
      <c r="C38" s="94"/>
      <c r="D38" s="94" t="e">
        <f>ABS(D37/D10)</f>
        <v>#DIV/0!</v>
      </c>
      <c r="E38" s="95">
        <f>ABS(E37/E10)</f>
        <v>2.4845805181546881E-16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2" t="s">
        <v>13</v>
      </c>
      <c r="B40" s="142"/>
      <c r="C40" s="142"/>
      <c r="D40" s="142"/>
      <c r="E40" s="116">
        <v>0</v>
      </c>
      <c r="F40" s="77"/>
    </row>
    <row r="41" spans="1:6" ht="13.5" customHeight="1">
      <c r="A41" s="142" t="s">
        <v>14</v>
      </c>
      <c r="B41" s="142"/>
      <c r="C41" s="142"/>
      <c r="D41" s="142"/>
      <c r="E41" s="119">
        <v>0</v>
      </c>
      <c r="F41" s="77"/>
    </row>
    <row r="42" spans="1:6" ht="13.5" customHeight="1">
      <c r="A42" s="142" t="s">
        <v>15</v>
      </c>
      <c r="B42" s="142"/>
      <c r="C42" s="142"/>
      <c r="D42" s="142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3" t="s">
        <v>24</v>
      </c>
      <c r="B44" s="143"/>
      <c r="C44" s="143"/>
      <c r="D44" s="143"/>
      <c r="E44" s="100">
        <f>SUM(E40:E42)+E37</f>
        <v>5.8207660913467407E-11</v>
      </c>
      <c r="F44" s="77"/>
    </row>
    <row r="46" spans="1:6">
      <c r="A46" s="3"/>
    </row>
    <row r="47" spans="1:6" ht="12.75" customHeight="1">
      <c r="A47" s="145" t="s">
        <v>57</v>
      </c>
      <c r="B47" s="145"/>
      <c r="C47" s="145"/>
      <c r="D47" s="145"/>
      <c r="E47" s="145"/>
    </row>
    <row r="48" spans="1:6">
      <c r="A48" s="145"/>
      <c r="B48" s="145"/>
      <c r="C48" s="145"/>
      <c r="D48" s="145"/>
      <c r="E48" s="145"/>
    </row>
    <row r="49" spans="1:5">
      <c r="A49" s="145"/>
      <c r="B49" s="145"/>
      <c r="C49" s="145"/>
      <c r="D49" s="145"/>
      <c r="E49" s="145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zoomScaleNormal="100" workbookViewId="0">
      <selection activeCell="C41" sqref="C41"/>
    </sheetView>
  </sheetViews>
  <sheetFormatPr defaultRowHeight="12"/>
  <cols>
    <col min="1" max="1" width="24.42578125" style="11" bestFit="1" customWidth="1"/>
    <col min="2" max="2" width="15" style="21" bestFit="1" customWidth="1"/>
    <col min="3" max="4" width="13.140625" style="21" bestFit="1" customWidth="1"/>
    <col min="5" max="5" width="11.85546875" style="21" bestFit="1" customWidth="1"/>
    <col min="6" max="6" width="14.5703125" style="21" bestFit="1" customWidth="1"/>
    <col min="7" max="7" width="14.855468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66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49</v>
      </c>
      <c r="G3" s="48" t="s">
        <v>0</v>
      </c>
    </row>
    <row r="4" spans="1:7" s="47" customFormat="1" ht="12.75" thickBot="1">
      <c r="A4" s="135" t="s">
        <v>51</v>
      </c>
      <c r="B4" s="136">
        <f>+Chesapeake!B4+Norfolk!B4+Portsmouth!B4+Suffolk!B4+'Virginia Beach'!B4+Hampton!B4+'Newport News'!B4</f>
        <v>1272165.4096904648</v>
      </c>
      <c r="C4" s="123">
        <f>+MAX!E4</f>
        <v>35754.163593648555</v>
      </c>
      <c r="D4" s="123">
        <f>+Norfolk!C4</f>
        <v>152448.13871317968</v>
      </c>
      <c r="E4" s="123">
        <f>Norfolk!D4+Portsmouth!C4</f>
        <v>30334.288002707202</v>
      </c>
      <c r="F4" s="123">
        <f>+Chesapeake!D4+Norfolk!E4+Portsmouth!D4+Suffolk!C4+'Virginia Beach'!C4+Hampton!D4+'Newport News'!C4</f>
        <v>28748</v>
      </c>
      <c r="G4" s="124">
        <f>SUM(B4:F4)</f>
        <v>1519450.0000000002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54770.6</v>
      </c>
      <c r="C6" s="13">
        <f>+MAX!E6</f>
        <v>2772.8</v>
      </c>
      <c r="D6" s="13">
        <f>+Norfolk!C6</f>
        <v>2445.15</v>
      </c>
      <c r="E6" s="13">
        <f>Norfolk!D6+Portsmouth!C6</f>
        <v>509.17</v>
      </c>
      <c r="F6" s="13">
        <f>+Chesapeake!D6+Norfolk!E6+Portsmouth!D6+Suffolk!C6+'Virginia Beach'!C6+Hampton!D6+'Newport News'!C6</f>
        <v>16237.810000000001</v>
      </c>
      <c r="G6" s="14">
        <f>SUM(B6:F6)</f>
        <v>76735.53</v>
      </c>
    </row>
    <row r="7" spans="1:7" hidden="1">
      <c r="A7" s="15" t="s">
        <v>5</v>
      </c>
      <c r="B7" s="16">
        <f>+Chesapeake!B7</f>
        <v>60.264450658111976</v>
      </c>
      <c r="C7" s="16">
        <f>B7</f>
        <v>60.264450658111976</v>
      </c>
      <c r="D7" s="16">
        <f>+Norfolk!C7</f>
        <v>322.72486759503505</v>
      </c>
      <c r="E7" s="16">
        <f>+Portsmouth!C7</f>
        <v>322.19547498870713</v>
      </c>
      <c r="F7" s="16">
        <f>+Chesapeake!D7</f>
        <v>38.954157611155694</v>
      </c>
      <c r="G7" s="17">
        <f>(G10/G6)-G8</f>
        <v>65.856254332249989</v>
      </c>
    </row>
    <row r="8" spans="1:7" hidden="1">
      <c r="A8" s="15" t="s">
        <v>6</v>
      </c>
      <c r="B8" s="16">
        <f>+Chesapeake!B8</f>
        <v>24.226175078219949</v>
      </c>
      <c r="C8" s="16">
        <f>B8</f>
        <v>24.226175078219949</v>
      </c>
      <c r="D8" s="16">
        <f>+Norfolk!C8</f>
        <v>24.226175078219949</v>
      </c>
      <c r="E8" s="16">
        <f>B8</f>
        <v>24.226175078219949</v>
      </c>
      <c r="F8" s="16">
        <f>+E8</f>
        <v>24.226175078219949</v>
      </c>
      <c r="G8" s="17">
        <f>F8</f>
        <v>24.226175078219949</v>
      </c>
    </row>
    <row r="9" spans="1:7">
      <c r="A9" s="15" t="s">
        <v>38</v>
      </c>
      <c r="B9" s="16">
        <f t="shared" ref="B9:G9" si="0">SUM(B7:B8)</f>
        <v>84.490625736331921</v>
      </c>
      <c r="C9" s="16">
        <f t="shared" si="0"/>
        <v>84.490625736331921</v>
      </c>
      <c r="D9" s="16">
        <f t="shared" si="0"/>
        <v>346.95104267325502</v>
      </c>
      <c r="E9" s="16">
        <f t="shared" si="0"/>
        <v>346.4216500669271</v>
      </c>
      <c r="F9" s="16">
        <f t="shared" si="0"/>
        <v>63.180332689375646</v>
      </c>
      <c r="G9" s="17">
        <f t="shared" si="0"/>
        <v>90.082429410469942</v>
      </c>
    </row>
    <row r="10" spans="1:7" ht="12.75" thickBot="1">
      <c r="A10" s="18" t="s">
        <v>7</v>
      </c>
      <c r="B10" s="19">
        <f>SUM(B7:B8)*B6</f>
        <v>4627602.2659543408</v>
      </c>
      <c r="C10" s="19">
        <f>SUM(C7:C8)*C6</f>
        <v>234275.60704170118</v>
      </c>
      <c r="D10" s="19">
        <f>+Norfolk!C10</f>
        <v>848347.34199250955</v>
      </c>
      <c r="E10" s="19">
        <f>SUM(E7:E8)*E6</f>
        <v>176387.51156457729</v>
      </c>
      <c r="F10" s="19">
        <f>SUM(F7:F8)*F6</f>
        <v>1025910.2379468709</v>
      </c>
      <c r="G10" s="20">
        <f>SUM(B10:F10)</f>
        <v>6912522.9644999988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1068297.80485024</v>
      </c>
      <c r="C12" s="23">
        <f>+MAX!E12</f>
        <v>64529.232116298852</v>
      </c>
      <c r="D12" s="23">
        <f>+Norfolk!C12</f>
        <v>141204.77643364435</v>
      </c>
      <c r="E12" s="23">
        <f>Norfolk!D12+Portsmouth!C12</f>
        <v>36666.266599817172</v>
      </c>
      <c r="F12" s="23">
        <f>+Chesapeake!D12+Norfolk!E12+Portsmouth!D12+Suffolk!C12+'Virginia Beach'!C12+Hampton!D12+'Newport News'!C12</f>
        <v>54897.200000000004</v>
      </c>
      <c r="G12" s="24">
        <f>SUM(B12:F12)</f>
        <v>1365595.2800000003</v>
      </c>
    </row>
    <row r="13" spans="1:7" ht="12.75" thickBot="1">
      <c r="A13" s="25" t="s">
        <v>8</v>
      </c>
      <c r="B13" s="26">
        <f t="shared" ref="B13:G13" si="1">B12/B10</f>
        <v>0.2308534189962255</v>
      </c>
      <c r="C13" s="26">
        <f>C12/C10</f>
        <v>0.27544153201068267</v>
      </c>
      <c r="D13" s="26">
        <f t="shared" si="1"/>
        <v>0.16644688966903265</v>
      </c>
      <c r="E13" s="26">
        <f t="shared" si="1"/>
        <v>0.20787337082190921</v>
      </c>
      <c r="F13" s="26">
        <f t="shared" si="1"/>
        <v>5.3510724398134903E-2</v>
      </c>
      <c r="G13" s="27">
        <f t="shared" si="1"/>
        <v>0.19755381457872342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3559304.4611041006</v>
      </c>
      <c r="C15" s="29">
        <f t="shared" si="2"/>
        <v>169746.37492540234</v>
      </c>
      <c r="D15" s="29">
        <f t="shared" si="2"/>
        <v>707142.5655588652</v>
      </c>
      <c r="E15" s="29">
        <f t="shared" si="2"/>
        <v>139721.24496476012</v>
      </c>
      <c r="F15" s="29">
        <f t="shared" si="2"/>
        <v>971013.0379468709</v>
      </c>
      <c r="G15" s="30">
        <f t="shared" si="2"/>
        <v>5546927.6844999986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777745.0181237848</v>
      </c>
      <c r="C18" s="23">
        <f>+MAX!E18</f>
        <v>58053.260224487589</v>
      </c>
      <c r="D18" s="23">
        <f>+Norfolk!C18</f>
        <v>127252.10129887641</v>
      </c>
      <c r="E18" s="23">
        <f>Norfolk!D18+Portsmouth!C18</f>
        <v>31247.180791283496</v>
      </c>
      <c r="F18" s="23">
        <f>+Chesapeake!D18+Norfolk!E18+Portsmouth!D18+Suffolk!C18+'Virginia Beach'!C18+Hampton!D18+'Newport News'!C18</f>
        <v>181740.7728949009</v>
      </c>
      <c r="G18" s="24">
        <f>SUM(B18:F18)</f>
        <v>1176038.3333333333</v>
      </c>
    </row>
    <row r="19" spans="1:8">
      <c r="A19" s="33" t="s">
        <v>32</v>
      </c>
      <c r="B19" s="39">
        <f t="shared" ref="B19:G19" si="3">B18/B$10</f>
        <v>0.16806652201848035</v>
      </c>
      <c r="C19" s="39">
        <f t="shared" si="3"/>
        <v>0.24779899605234648</v>
      </c>
      <c r="D19" s="39">
        <f t="shared" si="3"/>
        <v>0.14999999999999997</v>
      </c>
      <c r="E19" s="39">
        <f t="shared" si="3"/>
        <v>0.17715075468845526</v>
      </c>
      <c r="F19" s="39">
        <f t="shared" si="3"/>
        <v>0.17715075468845529</v>
      </c>
      <c r="G19" s="40">
        <f t="shared" si="3"/>
        <v>0.17013156258185383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819802.85782169853</v>
      </c>
      <c r="C21" s="34">
        <f>+MAX!E21</f>
        <v>111693.1147009147</v>
      </c>
      <c r="D21" s="34">
        <f>+Norfolk!C21</f>
        <v>45454.545454545456</v>
      </c>
      <c r="E21" s="34">
        <f>Norfolk!D21+Portsmouth!C21</f>
        <v>97265.570972701782</v>
      </c>
      <c r="F21" s="34">
        <f>+Chesapeake!D21+Norfolk!E21+Portsmouth!D21+Suffolk!C21+'Virginia Beach'!C21+Hampton!D21+'Newport News'!C21</f>
        <v>223199.99658301278</v>
      </c>
      <c r="G21" s="35">
        <f>SUM(B21:F21)</f>
        <v>1297416.0855328734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162901.61166666669</v>
      </c>
      <c r="G22" s="35">
        <f>SUM(B22:F22)</f>
        <v>162901.61166666669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446230.70188805996</v>
      </c>
      <c r="E23" s="34">
        <v>0</v>
      </c>
      <c r="F23" s="34">
        <v>0</v>
      </c>
      <c r="G23" s="35">
        <f>SUM(B23:F23)</f>
        <v>598287.33863500343</v>
      </c>
    </row>
    <row r="24" spans="1:8" s="31" customFormat="1">
      <c r="A24" s="55" t="s">
        <v>34</v>
      </c>
      <c r="B24" s="37">
        <f>SUM(B21:B23)</f>
        <v>971859.494568642</v>
      </c>
      <c r="C24" s="37">
        <f>SUM(C21:C23)</f>
        <v>111693.1147009147</v>
      </c>
      <c r="D24" s="37">
        <f t="shared" ref="D24:G24" si="4">SUM(D21:D23)</f>
        <v>491685.24734260543</v>
      </c>
      <c r="E24" s="37">
        <f t="shared" si="4"/>
        <v>97265.570972701782</v>
      </c>
      <c r="F24" s="37">
        <f t="shared" si="4"/>
        <v>386101.60824967944</v>
      </c>
      <c r="G24" s="38">
        <f t="shared" si="4"/>
        <v>2058605.0358345436</v>
      </c>
    </row>
    <row r="25" spans="1:8">
      <c r="A25" s="33" t="s">
        <v>35</v>
      </c>
      <c r="B25" s="39">
        <f t="shared" ref="B25:G25" si="5">+B24/B10</f>
        <v>0.21001361800660659</v>
      </c>
      <c r="C25" s="39">
        <f t="shared" si="5"/>
        <v>0.47675947193697066</v>
      </c>
      <c r="D25" s="39">
        <f t="shared" si="5"/>
        <v>0.57958011182988622</v>
      </c>
      <c r="E25" s="39">
        <f t="shared" si="5"/>
        <v>0.5514311648820549</v>
      </c>
      <c r="F25" s="39">
        <f t="shared" si="5"/>
        <v>0.37635028286916716</v>
      </c>
      <c r="G25" s="40">
        <f t="shared" si="5"/>
        <v>0.29780805740635219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1809699.9484116735</v>
      </c>
      <c r="C37" s="37">
        <f t="shared" si="6"/>
        <v>5.8207660913467407E-11</v>
      </c>
      <c r="D37" s="37">
        <f t="shared" si="6"/>
        <v>88205.216917383354</v>
      </c>
      <c r="E37" s="37">
        <f t="shared" si="6"/>
        <v>11208.493200774839</v>
      </c>
      <c r="F37" s="37">
        <f t="shared" si="6"/>
        <v>403170.65680229058</v>
      </c>
      <c r="G37" s="38">
        <f t="shared" si="6"/>
        <v>2312284.3153321221</v>
      </c>
    </row>
    <row r="38" spans="1:8" ht="12.75" thickBot="1">
      <c r="A38" s="25" t="s">
        <v>37</v>
      </c>
      <c r="B38" s="26">
        <f t="shared" ref="B38:G38" si="7">ABS(B37/B10)</f>
        <v>0.39106644097868748</v>
      </c>
      <c r="C38" s="26">
        <f t="shared" si="7"/>
        <v>2.4845805181546881E-16</v>
      </c>
      <c r="D38" s="26">
        <f t="shared" si="7"/>
        <v>0.10397299850108113</v>
      </c>
      <c r="E38" s="26">
        <f t="shared" si="7"/>
        <v>6.3544709607580657E-2</v>
      </c>
      <c r="F38" s="26">
        <f t="shared" si="7"/>
        <v>0.39298823804424271</v>
      </c>
      <c r="G38" s="27">
        <f t="shared" si="7"/>
        <v>0.33450656543307061</v>
      </c>
    </row>
    <row r="40" spans="1:8" ht="13.5" customHeight="1">
      <c r="E40" s="140" t="s">
        <v>13</v>
      </c>
      <c r="F40" s="140"/>
      <c r="G40" s="34">
        <f>+Chesapeake!E40+Norfolk!F40+Portsmouth!E40+Suffolk!D40+'Virginia Beach'!D40+Hampton!E40+'Newport News'!D40</f>
        <v>71037.111428571443</v>
      </c>
    </row>
    <row r="41" spans="1:8" ht="13.5" customHeight="1">
      <c r="E41" s="140" t="s">
        <v>14</v>
      </c>
      <c r="F41" s="140"/>
      <c r="G41" s="41">
        <f>Chesapeake!E41+Hampton!E41+'Newport News'!D41+Norfolk!F41+Portsmouth!E41+'Virginia Beach'!D41+Suffolk!D41</f>
        <v>-16074.277222252245</v>
      </c>
    </row>
    <row r="42" spans="1:8" ht="13.5" customHeight="1">
      <c r="E42" s="140" t="s">
        <v>15</v>
      </c>
      <c r="F42" s="140"/>
      <c r="G42" s="41">
        <f>Chesapeake!E42+Hampton!E42+'Newport News'!D42+Norfolk!F42+Portsmouth!E42+'Virginia Beach'!D42+Suffolk!D42</f>
        <v>125547.84899999999</v>
      </c>
    </row>
    <row r="43" spans="1:8">
      <c r="F43" s="42"/>
    </row>
    <row r="44" spans="1:8" ht="13.5" customHeight="1">
      <c r="E44" s="141" t="s">
        <v>36</v>
      </c>
      <c r="F44" s="141"/>
      <c r="G44" s="32">
        <f>+SUM(G40:G42)+G37</f>
        <v>2492794.9985384415</v>
      </c>
    </row>
    <row r="47" spans="1:8">
      <c r="F47" s="43"/>
    </row>
    <row r="48" spans="1:8">
      <c r="F48" s="44"/>
      <c r="G48" s="45"/>
      <c r="H48" s="31"/>
    </row>
    <row r="50" spans="7:9" hidden="1"/>
    <row r="51" spans="7:9" hidden="1">
      <c r="G51" s="21">
        <f>+'[1]Cost Allocation'!$AL$184</f>
        <v>2492794.9985384429</v>
      </c>
    </row>
    <row r="52" spans="7:9" hidden="1">
      <c r="G52" s="21">
        <f>+G51-G44</f>
        <v>0</v>
      </c>
    </row>
    <row r="59" spans="7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zoomScaleNormal="100" workbookViewId="0">
      <selection activeCell="B41" sqref="B41:D41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65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49</v>
      </c>
      <c r="E3" s="79" t="s">
        <v>0</v>
      </c>
    </row>
    <row r="4" spans="1:7" ht="13.5" thickBot="1">
      <c r="A4" s="130" t="s">
        <v>51</v>
      </c>
      <c r="B4" s="126">
        <f>+'[1]System ridership '!$C$16</f>
        <v>61568.385452553142</v>
      </c>
      <c r="C4" s="126"/>
      <c r="D4" s="126">
        <f>+'[1]System ridership '!$C$19</f>
        <v>3395</v>
      </c>
      <c r="E4" s="128">
        <f>SUM(B4:D4)</f>
        <v>64963.385452553142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2887.4</v>
      </c>
      <c r="C6" s="81"/>
      <c r="D6" s="81">
        <f>+'[1]Cost Allocation'!$E$28</f>
        <v>1730.1476437359456</v>
      </c>
      <c r="E6" s="82">
        <f>SUM(B6:D6)</f>
        <v>4617.5476437359457</v>
      </c>
    </row>
    <row r="7" spans="1:7" hidden="1">
      <c r="A7" s="83" t="s">
        <v>5</v>
      </c>
      <c r="B7" s="84">
        <f>+'[1]Cost Allocation'!$G$26</f>
        <v>60.264450658111976</v>
      </c>
      <c r="C7" s="84">
        <f>+B7</f>
        <v>60.264450658111976</v>
      </c>
      <c r="D7" s="84">
        <f>+'[1]Cost Allocation'!$G$28</f>
        <v>38.954157611155694</v>
      </c>
      <c r="E7" s="85">
        <f>(E10/E6)-E8</f>
        <v>52.279702876996865</v>
      </c>
    </row>
    <row r="8" spans="1:7" hidden="1">
      <c r="A8" s="83" t="s">
        <v>6</v>
      </c>
      <c r="B8" s="84">
        <f>+'[1]Cost Allocation'!$I$26</f>
        <v>24.226175078219949</v>
      </c>
      <c r="C8" s="84">
        <f>+B8</f>
        <v>24.226175078219949</v>
      </c>
      <c r="D8" s="84">
        <f>+B8</f>
        <v>24.226175078219949</v>
      </c>
      <c r="E8" s="85">
        <f>D8</f>
        <v>24.226175078219949</v>
      </c>
    </row>
    <row r="9" spans="1:7">
      <c r="A9" s="83" t="s">
        <v>38</v>
      </c>
      <c r="B9" s="84">
        <f>SUM(B7:B8)</f>
        <v>84.490625736331921</v>
      </c>
      <c r="C9" s="84">
        <f>SUM(C7:C8)</f>
        <v>84.490625736331921</v>
      </c>
      <c r="D9" s="84">
        <f>SUM(D7:D8)</f>
        <v>63.180332689375646</v>
      </c>
      <c r="E9" s="85">
        <f>SUM(E7:E8)</f>
        <v>76.505877955216818</v>
      </c>
    </row>
    <row r="10" spans="1:7" ht="13.5" thickBot="1">
      <c r="A10" s="86" t="s">
        <v>7</v>
      </c>
      <c r="B10" s="87">
        <f>SUM(B7:B8)*B6</f>
        <v>243958.23275108481</v>
      </c>
      <c r="C10" s="87">
        <f>SUM(C7:C8)*C6</f>
        <v>0</v>
      </c>
      <c r="D10" s="87">
        <f>SUM(D7:D8)*D6</f>
        <v>109311.30373297642</v>
      </c>
      <c r="E10" s="88">
        <f>SUM(B10:D10)</f>
        <v>353269.53648406122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54177.484170562355</v>
      </c>
      <c r="C12" s="91">
        <v>0</v>
      </c>
      <c r="D12" s="91">
        <f>+'[1]Cost Allocation'!$F$28</f>
        <v>5849.3270476561156</v>
      </c>
      <c r="E12" s="92">
        <f>SUM(B12:D12)</f>
        <v>60026.81121821847</v>
      </c>
    </row>
    <row r="13" spans="1:7" ht="13.5" thickBot="1">
      <c r="A13" s="93" t="s">
        <v>8</v>
      </c>
      <c r="B13" s="94">
        <f>B12/B10</f>
        <v>0.22207688406171011</v>
      </c>
      <c r="C13" s="94">
        <v>0</v>
      </c>
      <c r="D13" s="94">
        <f>D12/D10</f>
        <v>5.3510724398134896E-2</v>
      </c>
      <c r="E13" s="95">
        <f>E12/E10</f>
        <v>0.16991788144440456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189780.74858052246</v>
      </c>
      <c r="C15" s="97">
        <f>+C10-C12</f>
        <v>0</v>
      </c>
      <c r="D15" s="97">
        <f>+D10-D12</f>
        <v>103461.9766853203</v>
      </c>
      <c r="E15" s="98">
        <f>+E10-E12</f>
        <v>293242.72526584275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43217.385044316507</v>
      </c>
      <c r="C18" s="91">
        <v>0</v>
      </c>
      <c r="D18" s="91">
        <f>+'[1]Cost Allocation'!$U$28</f>
        <v>19364.57995227573</v>
      </c>
      <c r="E18" s="92">
        <f>SUM(B18:D18)</f>
        <v>62581.964996592236</v>
      </c>
    </row>
    <row r="19" spans="1:6">
      <c r="A19" s="104" t="s">
        <v>32</v>
      </c>
      <c r="B19" s="105">
        <f>B18/B$10</f>
        <v>0.17715075468845529</v>
      </c>
      <c r="C19" s="105">
        <v>0</v>
      </c>
      <c r="D19" s="105">
        <f>D18/D$10</f>
        <v>0.17715075468845526</v>
      </c>
      <c r="E19" s="106">
        <f>E18/E$10</f>
        <v>0.17715075468845529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45554.436147185275</v>
      </c>
      <c r="C21" s="108">
        <v>0</v>
      </c>
      <c r="D21" s="108">
        <f>+'[1]Cost Allocation'!$W$28</f>
        <v>23782.083185477019</v>
      </c>
      <c r="E21" s="109">
        <f>SUM(B21:D21)</f>
        <v>69336.519332662298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17357.256895226099</v>
      </c>
      <c r="E22" s="109">
        <f>SUM(B22:D22)</f>
        <v>17357.256895226099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45554.436147185275</v>
      </c>
      <c r="C24" s="102">
        <f>SUM(C21:C23)</f>
        <v>0</v>
      </c>
      <c r="D24" s="102">
        <f>SUM(D21:D23)</f>
        <v>41139.340080703114</v>
      </c>
      <c r="E24" s="107">
        <f>SUM(E21:E23)</f>
        <v>86693.776227888389</v>
      </c>
    </row>
    <row r="25" spans="1:6">
      <c r="A25" s="104" t="s">
        <v>35</v>
      </c>
      <c r="B25" s="105">
        <f>+B24/B10</f>
        <v>0.18673047280870134</v>
      </c>
      <c r="C25" s="105" t="e">
        <f>+C24/C10</f>
        <v>#DIV/0!</v>
      </c>
      <c r="D25" s="105">
        <f>+D24/D10</f>
        <v>0.37635028286916705</v>
      </c>
      <c r="E25" s="106">
        <f>+E24/E10</f>
        <v>0.24540405349047081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101008.92738902068</v>
      </c>
      <c r="C37" s="102">
        <f>+C15-C24-C18</f>
        <v>0</v>
      </c>
      <c r="D37" s="102">
        <f>+D15-D24-D18</f>
        <v>42958.05665234146</v>
      </c>
      <c r="E37" s="107">
        <f>+E15-E24-E18</f>
        <v>143966.98404136213</v>
      </c>
    </row>
    <row r="38" spans="1:5" ht="13.5" thickBot="1">
      <c r="A38" s="93" t="s">
        <v>37</v>
      </c>
      <c r="B38" s="94">
        <f>ABS(B37/B10)</f>
        <v>0.41404188844113327</v>
      </c>
      <c r="C38" s="94">
        <v>0</v>
      </c>
      <c r="D38" s="94">
        <f>ABS(D37/D10)</f>
        <v>0.39298823804424277</v>
      </c>
      <c r="E38" s="95">
        <f>ABS(E37/E10)</f>
        <v>0.40752731037666934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2" t="s">
        <v>13</v>
      </c>
      <c r="C40" s="142"/>
      <c r="D40" s="142"/>
      <c r="E40" s="116">
        <f>+'[1]Cost Allocation'!$AF$30</f>
        <v>11839.518571428574</v>
      </c>
    </row>
    <row r="41" spans="1:5" ht="13.5" customHeight="1">
      <c r="A41" s="77"/>
      <c r="B41" s="142" t="s">
        <v>14</v>
      </c>
      <c r="C41" s="142"/>
      <c r="D41" s="142"/>
      <c r="E41" s="116">
        <f>+'[1]Cost Allocation'!$AG$30</f>
        <v>-2679.0462037087077</v>
      </c>
    </row>
    <row r="42" spans="1:5" ht="13.5" customHeight="1">
      <c r="A42" s="77"/>
      <c r="B42" s="142" t="s">
        <v>15</v>
      </c>
      <c r="C42" s="142"/>
      <c r="D42" s="142"/>
      <c r="E42" s="116">
        <f>+'[1]Cost Allocation'!$AK$30</f>
        <v>7838.0445709084324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3" t="s">
        <v>21</v>
      </c>
      <c r="C44" s="143"/>
      <c r="D44" s="143"/>
      <c r="E44" s="100">
        <f>SUM(E40:E42)+E37</f>
        <v>160965.50097999044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C41" sqref="C41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64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49</v>
      </c>
      <c r="F3" s="79" t="s">
        <v>0</v>
      </c>
    </row>
    <row r="4" spans="1:7" ht="13.5" thickBot="1">
      <c r="A4" s="130" t="s">
        <v>51</v>
      </c>
      <c r="B4" s="126">
        <f>+'[1]System ridership '!$D$16</f>
        <v>524430.76542087516</v>
      </c>
      <c r="C4" s="126">
        <f>+'[1]System ridership '!$D$17</f>
        <v>152448.13871317968</v>
      </c>
      <c r="D4" s="126">
        <f>+'[1]System ridership '!$D$18</f>
        <v>15052.540907140714</v>
      </c>
      <c r="E4" s="126">
        <f>+'[1]System ridership '!$D$19</f>
        <v>6853</v>
      </c>
      <c r="F4" s="128">
        <f>SUM(B4:E4)</f>
        <v>698784.44504119561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22956.2</v>
      </c>
      <c r="C6" s="81">
        <f>+'[1]Cost Allocation'!$E$65</f>
        <v>2445.15</v>
      </c>
      <c r="D6" s="81">
        <f>+'[1]Cost Allocation'!$E$68</f>
        <v>254.58500000000001</v>
      </c>
      <c r="E6" s="81">
        <f>+'[1]Cost Allocation'!$E$69</f>
        <v>4063.0513054078019</v>
      </c>
      <c r="F6" s="82">
        <f>SUM(B6:E6)</f>
        <v>29718.986305407801</v>
      </c>
    </row>
    <row r="7" spans="1:7" hidden="1">
      <c r="A7" s="83" t="s">
        <v>5</v>
      </c>
      <c r="B7" s="84">
        <f>+Chesapeake!B7</f>
        <v>60.264450658111976</v>
      </c>
      <c r="C7" s="84">
        <f>+'[1]Cost Allocation'!$G$65</f>
        <v>322.72486759503505</v>
      </c>
      <c r="D7" s="84">
        <f>+'[1]Cost Allocation'!$G$68</f>
        <v>322.19547498870713</v>
      </c>
      <c r="E7" s="84">
        <f>+Chesapeake!D7</f>
        <v>38.954157611155694</v>
      </c>
      <c r="F7" s="85">
        <f>(F10/F6)-F8</f>
        <v>81.188918872773385</v>
      </c>
    </row>
    <row r="8" spans="1:7" hidden="1">
      <c r="A8" s="83" t="s">
        <v>6</v>
      </c>
      <c r="B8" s="84">
        <f>+Chesapeake!B8</f>
        <v>24.226175078219949</v>
      </c>
      <c r="C8" s="84">
        <f>+B8</f>
        <v>24.226175078219949</v>
      </c>
      <c r="D8" s="84">
        <f>+C8</f>
        <v>24.226175078219949</v>
      </c>
      <c r="E8" s="84">
        <f>+B8</f>
        <v>24.226175078219949</v>
      </c>
      <c r="F8" s="85">
        <f>E8</f>
        <v>24.226175078219949</v>
      </c>
    </row>
    <row r="9" spans="1:7">
      <c r="A9" s="83" t="s">
        <v>38</v>
      </c>
      <c r="B9" s="84">
        <f>SUM(B7:B8)</f>
        <v>84.490625736331921</v>
      </c>
      <c r="C9" s="84">
        <f>SUM(C7:C8)</f>
        <v>346.95104267325502</v>
      </c>
      <c r="D9" s="84">
        <f>SUM(D7:D8)</f>
        <v>346.4216500669271</v>
      </c>
      <c r="E9" s="84">
        <f>SUM(E7:E8)</f>
        <v>63.180332689375646</v>
      </c>
      <c r="F9" s="85">
        <f>SUM(F7:F8)</f>
        <v>105.41509395099334</v>
      </c>
    </row>
    <row r="10" spans="1:7" ht="13.5" thickBot="1">
      <c r="A10" s="86" t="s">
        <v>7</v>
      </c>
      <c r="B10" s="87">
        <f>SUM(B7:B8)*B6</f>
        <v>1939583.7025283829</v>
      </c>
      <c r="C10" s="87">
        <f>SUM(C7:C8)*C6</f>
        <v>848347.34199250955</v>
      </c>
      <c r="D10" s="87">
        <f>SUM(D7:D8)*D6</f>
        <v>88193.755782288645</v>
      </c>
      <c r="E10" s="87">
        <f>SUM(E7:E8)*E6</f>
        <v>256704.93320966695</v>
      </c>
      <c r="F10" s="88">
        <f>SUM(B10:E10)</f>
        <v>3132829.7335128477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412838.86082823644</v>
      </c>
      <c r="C12" s="90">
        <f>+'[1]Cost Allocation'!$F$65</f>
        <v>141204.77643364435</v>
      </c>
      <c r="D12" s="91">
        <f>+'[1]Cost Allocation'!$F$68</f>
        <v>18264.80850643912</v>
      </c>
      <c r="E12" s="91">
        <f>+'[1]Cost Allocation'!$F$69</f>
        <v>13736.466932624115</v>
      </c>
      <c r="F12" s="92">
        <f>SUM(B12:E12)</f>
        <v>586044.912700944</v>
      </c>
    </row>
    <row r="13" spans="1:7" ht="13.5" thickBot="1">
      <c r="A13" s="93" t="s">
        <v>8</v>
      </c>
      <c r="B13" s="94">
        <f>B12/B10</f>
        <v>0.21284921103949891</v>
      </c>
      <c r="C13" s="94">
        <f>C12/C10</f>
        <v>0.16644688966903265</v>
      </c>
      <c r="D13" s="94">
        <f>D12/D10</f>
        <v>0.20709865845295045</v>
      </c>
      <c r="E13" s="94">
        <f>E12/E10</f>
        <v>5.3510724398134896E-2</v>
      </c>
      <c r="F13" s="95">
        <f>F12/F10</f>
        <v>0.18706567625806167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1526744.8417001464</v>
      </c>
      <c r="C15" s="97">
        <f>C10-C12</f>
        <v>707142.5655588652</v>
      </c>
      <c r="D15" s="97">
        <f>D10-D12</f>
        <v>69928.947275849525</v>
      </c>
      <c r="E15" s="97">
        <f>E10-E12</f>
        <v>242968.46627704284</v>
      </c>
      <c r="F15" s="98">
        <f>F10-F12</f>
        <v>2546784.8208119036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307351.49726664263</v>
      </c>
      <c r="C18" s="91">
        <f>+'[1]Cost Allocation'!$U$65</f>
        <v>127252.10129887641</v>
      </c>
      <c r="D18" s="91">
        <f>+'[1]Cost Allocation'!$U$68</f>
        <v>15623.590395641748</v>
      </c>
      <c r="E18" s="91">
        <f>+'[1]Cost Allocation'!$U$69</f>
        <v>45475.472650342002</v>
      </c>
      <c r="F18" s="92">
        <f>SUM(B18:E18)</f>
        <v>495702.66161150276</v>
      </c>
    </row>
    <row r="19" spans="1:7">
      <c r="A19" s="104" t="s">
        <v>32</v>
      </c>
      <c r="B19" s="105">
        <f>B18/B$10</f>
        <v>0.15846261074785711</v>
      </c>
      <c r="C19" s="105">
        <f>C18/C$10</f>
        <v>0.14999999999999997</v>
      </c>
      <c r="D19" s="105">
        <f>D18/D$10</f>
        <v>0.17715075468845526</v>
      </c>
      <c r="E19" s="105">
        <f>E18/E$10</f>
        <v>0.17715075468845526</v>
      </c>
      <c r="F19" s="106">
        <f>F18/F$10</f>
        <v>0.15822840810939012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323972.03446293081</v>
      </c>
      <c r="C21" s="108">
        <f>+'[1]Cost Allocation'!$W$65</f>
        <v>45454.545454545456</v>
      </c>
      <c r="D21" s="108">
        <f>+'[1]Cost Allocation'!$W$68</f>
        <v>48632.785486350891</v>
      </c>
      <c r="E21" s="108">
        <f>+'[1]Cost Allocation'!$W$69</f>
        <v>55849.467230102266</v>
      </c>
      <c r="F21" s="109">
        <f>SUM(B21:E21)</f>
        <v>473908.83263392944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40761.506997266551</v>
      </c>
      <c r="F22" s="109">
        <f>SUM(B22:E22)</f>
        <v>40761.506997266551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446230.70188805996</v>
      </c>
      <c r="D23" s="108">
        <v>0</v>
      </c>
      <c r="E23" s="108">
        <v>0</v>
      </c>
      <c r="F23" s="109">
        <f>SUM(B23:E23)</f>
        <v>575079.27456249541</v>
      </c>
    </row>
    <row r="24" spans="1:7" s="8" customFormat="1">
      <c r="A24" s="110" t="s">
        <v>34</v>
      </c>
      <c r="B24" s="102">
        <f>SUM(B21:B23)</f>
        <v>452820.60713736631</v>
      </c>
      <c r="C24" s="102">
        <f>SUM(C21:C23)</f>
        <v>491685.24734260543</v>
      </c>
      <c r="D24" s="102">
        <f>SUM(D21:D23)</f>
        <v>48632.785486350891</v>
      </c>
      <c r="E24" s="102">
        <f>SUM(E21:E23)</f>
        <v>96610.974227368817</v>
      </c>
      <c r="F24" s="107">
        <f>SUM(F21:F23)</f>
        <v>1089749.6141936914</v>
      </c>
    </row>
    <row r="25" spans="1:7">
      <c r="A25" s="104" t="s">
        <v>35</v>
      </c>
      <c r="B25" s="105">
        <f>+B24/B10</f>
        <v>0.23346278201197659</v>
      </c>
      <c r="C25" s="105">
        <f>+C24/C10</f>
        <v>0.57958011182988622</v>
      </c>
      <c r="D25" s="105">
        <f>+D24/D10</f>
        <v>0.5514311648820549</v>
      </c>
      <c r="E25" s="105">
        <f>+E24/E10</f>
        <v>0.37635028286916716</v>
      </c>
      <c r="F25" s="106">
        <f>+F24/F10</f>
        <v>0.34784833741084076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766572.73729613761</v>
      </c>
      <c r="C37" s="102">
        <f>+C15-C24-C18</f>
        <v>88205.216917383354</v>
      </c>
      <c r="D37" s="102">
        <f>+D15-D24-D18</f>
        <v>5672.5713938568861</v>
      </c>
      <c r="E37" s="102">
        <f>+E15-E24-E18</f>
        <v>100882.01939933203</v>
      </c>
      <c r="F37" s="107">
        <f>+F15-F24-F18</f>
        <v>961332.54500670941</v>
      </c>
    </row>
    <row r="38" spans="1:6" ht="13.5" thickBot="1">
      <c r="A38" s="93" t="s">
        <v>37</v>
      </c>
      <c r="B38" s="94">
        <f>ABS(B37/B10)</f>
        <v>0.39522539620066743</v>
      </c>
      <c r="C38" s="94">
        <f>ABS(C37/C10)</f>
        <v>0.10397299850108113</v>
      </c>
      <c r="D38" s="94">
        <f>ABS(D37/D10)</f>
        <v>6.4319421976539407E-2</v>
      </c>
      <c r="E38" s="94">
        <f>ABS(E37/E10)</f>
        <v>0.39298823804424271</v>
      </c>
      <c r="F38" s="95">
        <f>ABS(F37/F10)</f>
        <v>0.30685757822170739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2" t="s">
        <v>13</v>
      </c>
      <c r="E40" s="142"/>
      <c r="F40" s="116">
        <f>+Chesapeake!E40</f>
        <v>11839.518571428574</v>
      </c>
    </row>
    <row r="41" spans="1:6" ht="13.5" customHeight="1">
      <c r="A41" s="77"/>
      <c r="B41" s="78"/>
      <c r="C41" s="78"/>
      <c r="D41" s="142" t="s">
        <v>14</v>
      </c>
      <c r="E41" s="142"/>
      <c r="F41" s="116">
        <f>+Chesapeake!E41</f>
        <v>-2679.0462037087077</v>
      </c>
    </row>
    <row r="42" spans="1:6" ht="13.5" customHeight="1">
      <c r="A42" s="77"/>
      <c r="B42" s="142" t="s">
        <v>15</v>
      </c>
      <c r="C42" s="142"/>
      <c r="D42" s="142"/>
      <c r="E42" s="142"/>
      <c r="F42" s="116">
        <f>+'[1]Cost Allocation'!$AK$71</f>
        <v>50446.418150119745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3" t="s">
        <v>17</v>
      </c>
      <c r="E44" s="143"/>
      <c r="F44" s="100">
        <f>SUM(F40:F42)+F37</f>
        <v>1020939.435524549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C41" sqref="C41:D41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63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49</v>
      </c>
      <c r="E3" s="122" t="s">
        <v>0</v>
      </c>
      <c r="F3" s="121"/>
    </row>
    <row r="4" spans="1:7" s="134" customFormat="1" ht="13.5" thickBot="1">
      <c r="A4" s="131" t="s">
        <v>51</v>
      </c>
      <c r="B4" s="127">
        <f>+'[1]System ridership '!$E$16</f>
        <v>108569.66668524286</v>
      </c>
      <c r="C4" s="127">
        <f>+'[1]System ridership '!$E$18</f>
        <v>15281.747095566488</v>
      </c>
      <c r="D4" s="127">
        <f>+'[1]System ridership '!$E$19</f>
        <v>1733</v>
      </c>
      <c r="E4" s="129">
        <f>SUM(B4:D4)</f>
        <v>125584.41378080935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5157.7</v>
      </c>
      <c r="C6" s="81">
        <f>+'[1]Cost Allocation'!$E$85</f>
        <v>254.58500000000001</v>
      </c>
      <c r="D6" s="81">
        <f>+'[1]Cost Allocation'!$E$86</f>
        <v>1018.9885848577237</v>
      </c>
      <c r="E6" s="82">
        <f>SUM(B6:D6)</f>
        <v>6431.2735848577231</v>
      </c>
      <c r="F6" s="77"/>
    </row>
    <row r="7" spans="1:7" hidden="1">
      <c r="A7" s="83" t="s">
        <v>5</v>
      </c>
      <c r="B7" s="84">
        <f>+Chesapeake!B7</f>
        <v>60.264450658111976</v>
      </c>
      <c r="C7" s="84">
        <f>+Norfolk!D7</f>
        <v>322.19547498870713</v>
      </c>
      <c r="D7" s="84">
        <f>+Chesapeake!D7</f>
        <v>38.954157611155694</v>
      </c>
      <c r="E7" s="85">
        <f>(E10/E6)-E8</f>
        <v>67.256652728361502</v>
      </c>
      <c r="F7" s="77"/>
    </row>
    <row r="8" spans="1:7" hidden="1">
      <c r="A8" s="83" t="s">
        <v>6</v>
      </c>
      <c r="B8" s="84">
        <f>+Chesapeake!B8</f>
        <v>24.226175078219949</v>
      </c>
      <c r="C8" s="84">
        <f>B8</f>
        <v>24.226175078219949</v>
      </c>
      <c r="D8" s="84">
        <f>C8</f>
        <v>24.226175078219949</v>
      </c>
      <c r="E8" s="85">
        <f>D8</f>
        <v>24.226175078219949</v>
      </c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346.4216500669271</v>
      </c>
      <c r="D9" s="84">
        <f>SUM(D7:D8)</f>
        <v>63.180332689375646</v>
      </c>
      <c r="E9" s="85">
        <f>SUM(E7:E8)</f>
        <v>91.482827806581454</v>
      </c>
      <c r="F9" s="77"/>
    </row>
    <row r="10" spans="1:7" ht="13.5" thickBot="1">
      <c r="A10" s="86" t="s">
        <v>7</v>
      </c>
      <c r="B10" s="87">
        <f>SUM(B7:B8)*B6</f>
        <v>435777.30036027916</v>
      </c>
      <c r="C10" s="87">
        <f>SUM(C7:C8)*C6</f>
        <v>88193.755782288645</v>
      </c>
      <c r="D10" s="87">
        <f>SUM(D7:D8)*D6</f>
        <v>64380.037797987068</v>
      </c>
      <c r="E10" s="88">
        <f>SUM(B10:D10)</f>
        <v>588351.09394055489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87366.390724844066</v>
      </c>
      <c r="C12" s="91">
        <f>+'[1]Cost Allocation'!$F$85</f>
        <v>18401.458093378053</v>
      </c>
      <c r="D12" s="91">
        <f>+'[1]Cost Allocation'!$F$86</f>
        <v>3445.0224593495941</v>
      </c>
      <c r="E12" s="92">
        <f>SUM(B12:D12)</f>
        <v>109212.87127757171</v>
      </c>
      <c r="F12" s="77"/>
    </row>
    <row r="13" spans="1:7" ht="13.5" thickBot="1">
      <c r="A13" s="93" t="s">
        <v>8</v>
      </c>
      <c r="B13" s="94">
        <f>B12/B10</f>
        <v>0.20048403313484628</v>
      </c>
      <c r="C13" s="94">
        <f>C12/C10</f>
        <v>0.20864808319086794</v>
      </c>
      <c r="D13" s="94">
        <f>D12/D10</f>
        <v>5.351072439813491E-2</v>
      </c>
      <c r="E13" s="95">
        <f>E12/E10</f>
        <v>0.1856253390235155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348410.90963543509</v>
      </c>
      <c r="C15" s="97">
        <f>C10-C12</f>
        <v>69792.297688910592</v>
      </c>
      <c r="D15" s="97">
        <f>D10-D12</f>
        <v>60935.015338637473</v>
      </c>
      <c r="E15" s="98">
        <f>E10-E12</f>
        <v>479138.22266298317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74877.464692328154</v>
      </c>
      <c r="C18" s="91">
        <f>+'[1]Cost Allocation'!$U$85</f>
        <v>15623.590395641748</v>
      </c>
      <c r="D18" s="91">
        <f>+'[1]Cost Allocation'!$U$86</f>
        <v>11404.972282784685</v>
      </c>
      <c r="E18" s="92">
        <f>SUM(B18:D18)</f>
        <v>101906.02737075459</v>
      </c>
      <c r="F18" s="99"/>
    </row>
    <row r="19" spans="1:6">
      <c r="A19" s="104" t="s">
        <v>32</v>
      </c>
      <c r="B19" s="105">
        <f>B18/B$10</f>
        <v>0.17182506897542199</v>
      </c>
      <c r="C19" s="105">
        <f>C18/C$10</f>
        <v>0.17715075468845526</v>
      </c>
      <c r="D19" s="105">
        <f>D18/D$10</f>
        <v>0.17715075468845529</v>
      </c>
      <c r="E19" s="106">
        <f>E18/E$10</f>
        <v>0.17320614921989225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78926.586619991736</v>
      </c>
      <c r="C21" s="108">
        <f>+'[1]Cost Allocation'!$W$85</f>
        <v>48632.785486350891</v>
      </c>
      <c r="D21" s="108">
        <f>+'[1]Cost Allocation'!$W$86</f>
        <v>14006.707102643331</v>
      </c>
      <c r="E21" s="109">
        <f>SUM(B21:D21)</f>
        <v>141566.07920898596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10222.738333756775</v>
      </c>
      <c r="E22" s="109">
        <f>SUM(B22:D22)</f>
        <v>10222.738333756775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87306.012412328128</v>
      </c>
      <c r="C24" s="102">
        <f>SUM(C21:C23)</f>
        <v>48632.785486350891</v>
      </c>
      <c r="D24" s="102">
        <f>SUM(D21:D23)</f>
        <v>24229.445436400107</v>
      </c>
      <c r="E24" s="107">
        <f>SUM(E21:E23)</f>
        <v>160168.24333507914</v>
      </c>
      <c r="F24" s="99"/>
    </row>
    <row r="25" spans="1:6">
      <c r="A25" s="104" t="s">
        <v>35</v>
      </c>
      <c r="B25" s="105">
        <f>+B24/B10</f>
        <v>0.20034547999665844</v>
      </c>
      <c r="C25" s="105">
        <f>+C24/C10</f>
        <v>0.5514311648820549</v>
      </c>
      <c r="D25" s="105">
        <f>+D24/D10</f>
        <v>0.37635028286916716</v>
      </c>
      <c r="E25" s="106">
        <f>+E24/E10</f>
        <v>0.27223242207698184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186227.43253077881</v>
      </c>
      <c r="C37" s="102">
        <f>+C15-C24-C18</f>
        <v>5535.9218069179533</v>
      </c>
      <c r="D37" s="102">
        <f>+D15-D24-D18</f>
        <v>25300.597619452681</v>
      </c>
      <c r="E37" s="107">
        <f>+E15-E24-E18</f>
        <v>217063.95195714949</v>
      </c>
      <c r="F37" s="99"/>
    </row>
    <row r="38" spans="1:6" ht="13.5" thickBot="1">
      <c r="A38" s="93" t="s">
        <v>37</v>
      </c>
      <c r="B38" s="94">
        <f>ABS(B37/B10)</f>
        <v>0.42734541789307329</v>
      </c>
      <c r="C38" s="94">
        <f>ABS(C37/C10)</f>
        <v>6.2769997238621908E-2</v>
      </c>
      <c r="D38" s="94">
        <f>ABS(D37/D10)</f>
        <v>0.39298823804424265</v>
      </c>
      <c r="E38" s="95">
        <f>ABS(E37/E10)</f>
        <v>0.3689360896796105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2" t="s">
        <v>13</v>
      </c>
      <c r="D40" s="142"/>
      <c r="E40" s="116">
        <f>+Chesapeake!E40</f>
        <v>11839.518571428574</v>
      </c>
      <c r="F40" s="77"/>
    </row>
    <row r="41" spans="1:6" ht="13.5" customHeight="1">
      <c r="A41" s="77"/>
      <c r="B41" s="78"/>
      <c r="C41" s="142" t="s">
        <v>14</v>
      </c>
      <c r="D41" s="142"/>
      <c r="E41" s="116">
        <f>+Chesapeake!E41</f>
        <v>-2679.0462037087077</v>
      </c>
      <c r="F41" s="77"/>
    </row>
    <row r="42" spans="1:6" ht="13.5" customHeight="1">
      <c r="A42" s="77"/>
      <c r="B42" s="142" t="s">
        <v>15</v>
      </c>
      <c r="C42" s="142"/>
      <c r="D42" s="142"/>
      <c r="E42" s="116">
        <f>+'[1]Cost Allocation'!$AK$88</f>
        <v>10916.749083077464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3" t="s">
        <v>23</v>
      </c>
      <c r="D44" s="143"/>
      <c r="E44" s="100">
        <f>SUM(E40:E42)+E37</f>
        <v>237141.17340794683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zoomScaleNormal="100" workbookViewId="0">
      <selection activeCell="F14" sqref="F14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56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51</v>
      </c>
      <c r="B4" s="126"/>
      <c r="C4" s="126"/>
      <c r="D4" s="128"/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0</v>
      </c>
      <c r="C6" s="81">
        <f>+'[1]Cost Allocation'!$E$96</f>
        <v>0</v>
      </c>
      <c r="D6" s="82">
        <f>SUM(B6:C6)</f>
        <v>0</v>
      </c>
      <c r="E6" s="77"/>
      <c r="F6" s="77"/>
    </row>
    <row r="7" spans="1:7" hidden="1">
      <c r="A7" s="83" t="s">
        <v>5</v>
      </c>
      <c r="B7" s="84">
        <f>+Chesapeake!B7</f>
        <v>60.264450658111976</v>
      </c>
      <c r="C7" s="84">
        <f>+Chesapeake!D7</f>
        <v>38.954157611155694</v>
      </c>
      <c r="D7" s="85" t="e">
        <f>(D10/D6)-D8</f>
        <v>#DIV/0!</v>
      </c>
      <c r="E7" s="77"/>
      <c r="F7" s="77"/>
    </row>
    <row r="8" spans="1:7" hidden="1">
      <c r="A8" s="83" t="s">
        <v>6</v>
      </c>
      <c r="B8" s="84">
        <f>+Chesapeake!B8</f>
        <v>24.226175078219949</v>
      </c>
      <c r="C8" s="84">
        <f>+B8</f>
        <v>24.226175078219949</v>
      </c>
      <c r="D8" s="85">
        <f>C8</f>
        <v>24.226175078219949</v>
      </c>
      <c r="E8" s="77"/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63.180332689375646</v>
      </c>
      <c r="D9" s="85" t="e">
        <f>SUM(D7:D8)</f>
        <v>#DIV/0!</v>
      </c>
      <c r="E9" s="77"/>
      <c r="F9" s="77"/>
    </row>
    <row r="10" spans="1:7" ht="13.5" thickBot="1">
      <c r="A10" s="86" t="s">
        <v>7</v>
      </c>
      <c r="B10" s="87">
        <f>SUM(B7:B8)*B6</f>
        <v>0</v>
      </c>
      <c r="C10" s="87">
        <f>SUM(C7:C8)*C6</f>
        <v>0</v>
      </c>
      <c r="D10" s="88">
        <f>SUM(B10:C10)</f>
        <v>0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/>
      <c r="C12" s="91"/>
      <c r="D12" s="92">
        <f>SUM(B12:C12)</f>
        <v>0</v>
      </c>
      <c r="E12" s="77"/>
      <c r="F12" s="77"/>
    </row>
    <row r="13" spans="1:7" ht="13.5" thickBot="1">
      <c r="A13" s="93" t="s">
        <v>8</v>
      </c>
      <c r="B13" s="94" t="e">
        <f>B12/B10</f>
        <v>#DIV/0!</v>
      </c>
      <c r="C13" s="94" t="e">
        <f>C12/C10</f>
        <v>#DIV/0!</v>
      </c>
      <c r="D13" s="95" t="e">
        <f>D12/D10</f>
        <v>#DIV/0!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0</v>
      </c>
      <c r="C15" s="97">
        <f>C10-C12</f>
        <v>0</v>
      </c>
      <c r="D15" s="98">
        <f>D10-D12</f>
        <v>0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0</v>
      </c>
      <c r="C18" s="91">
        <f>+'[1]Cost Allocation'!$U$96</f>
        <v>0</v>
      </c>
      <c r="D18" s="92">
        <f>SUM(B18:C18)</f>
        <v>0</v>
      </c>
      <c r="E18" s="99"/>
      <c r="F18" s="99"/>
    </row>
    <row r="19" spans="1:6">
      <c r="A19" s="104" t="s">
        <v>32</v>
      </c>
      <c r="B19" s="105" t="e">
        <f>B18/B$10</f>
        <v>#DIV/0!</v>
      </c>
      <c r="C19" s="105" t="e">
        <f>C18/C$10</f>
        <v>#DIV/0!</v>
      </c>
      <c r="D19" s="106" t="e">
        <f>D18/D$10</f>
        <v>#DIV/0!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0</v>
      </c>
      <c r="C21" s="108">
        <f>+'[1]Cost Allocation'!$W$96</f>
        <v>0</v>
      </c>
      <c r="D21" s="109">
        <f>SUM(B21:C21)</f>
        <v>0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0</v>
      </c>
      <c r="D22" s="109">
        <f>SUM(B22:C22)</f>
        <v>0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0</v>
      </c>
      <c r="C24" s="102">
        <f>SUM(C21:C23)</f>
        <v>0</v>
      </c>
      <c r="D24" s="107">
        <f>SUM(D21:D23)</f>
        <v>0</v>
      </c>
      <c r="E24" s="99"/>
      <c r="F24" s="99"/>
    </row>
    <row r="25" spans="1:6">
      <c r="A25" s="104" t="s">
        <v>35</v>
      </c>
      <c r="B25" s="105" t="e">
        <f>+B24/B10</f>
        <v>#DIV/0!</v>
      </c>
      <c r="C25" s="105" t="e">
        <f>+C24/C10</f>
        <v>#DIV/0!</v>
      </c>
      <c r="D25" s="106" t="e">
        <f>+D24/D10</f>
        <v>#DIV/0!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0</v>
      </c>
      <c r="D37" s="107">
        <f>+D15-D24-D18</f>
        <v>0</v>
      </c>
      <c r="E37" s="99"/>
      <c r="F37" s="99"/>
    </row>
    <row r="38" spans="1:6" ht="13.5" thickBot="1">
      <c r="A38" s="93" t="s">
        <v>37</v>
      </c>
      <c r="B38" s="94" t="e">
        <f>ABS(B37/B10)</f>
        <v>#DIV/0!</v>
      </c>
      <c r="C38" s="94" t="e">
        <f>ABS(C37/C10)</f>
        <v>#DIV/0!</v>
      </c>
      <c r="D38" s="95" t="e">
        <f>ABS(D37/D10)</f>
        <v>#DIV/0!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2" t="s">
        <v>13</v>
      </c>
      <c r="B40" s="142"/>
      <c r="C40" s="142"/>
      <c r="D40" s="116"/>
      <c r="E40" s="77"/>
      <c r="F40" s="77"/>
    </row>
    <row r="41" spans="1:6" ht="13.5" customHeight="1">
      <c r="A41" s="142" t="s">
        <v>14</v>
      </c>
      <c r="B41" s="142"/>
      <c r="C41" s="142"/>
      <c r="D41" s="116"/>
      <c r="E41" s="77"/>
      <c r="F41" s="77"/>
    </row>
    <row r="42" spans="1:6" ht="13.5" customHeight="1">
      <c r="A42" s="142" t="s">
        <v>15</v>
      </c>
      <c r="B42" s="142"/>
      <c r="C42" s="142"/>
      <c r="D42" s="116">
        <f>+'[1]Cost Allocation'!$AK$97</f>
        <v>0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0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C41" sqref="C41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62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'!$G$16</f>
        <v>148722.78747597124</v>
      </c>
      <c r="C4" s="126">
        <f>+'[1]System ridership '!$G$19</f>
        <v>6267</v>
      </c>
      <c r="D4" s="128">
        <f>SUM(B4:C4)</f>
        <v>154989.78747597124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6876.1</v>
      </c>
      <c r="C6" s="81">
        <f>+'[1]Cost Allocation'!$E$126</f>
        <v>3549.826543958658</v>
      </c>
      <c r="D6" s="82">
        <f>SUM(B6:C6)</f>
        <v>10425.926543958658</v>
      </c>
      <c r="E6" s="77"/>
      <c r="F6" s="77"/>
    </row>
    <row r="7" spans="1:7" hidden="1">
      <c r="A7" s="83" t="s">
        <v>5</v>
      </c>
      <c r="B7" s="84">
        <f>+Chesapeake!B7</f>
        <v>60.264450658111976</v>
      </c>
      <c r="C7" s="84">
        <f>+Chesapeake!D7</f>
        <v>38.954157611155694</v>
      </c>
      <c r="D7" s="85">
        <f>(D10/D6)-D8</f>
        <v>53.008707621877221</v>
      </c>
      <c r="E7" s="77"/>
      <c r="F7" s="77"/>
    </row>
    <row r="8" spans="1:7" hidden="1">
      <c r="A8" s="83" t="s">
        <v>6</v>
      </c>
      <c r="B8" s="84">
        <f>+Chesapeake!B8</f>
        <v>24.226175078219949</v>
      </c>
      <c r="C8" s="84">
        <f>+B8</f>
        <v>24.226175078219949</v>
      </c>
      <c r="D8" s="85">
        <f>C8</f>
        <v>24.226175078219949</v>
      </c>
      <c r="E8" s="77"/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63.180332689375646</v>
      </c>
      <c r="D9" s="85">
        <f>SUM(D7:D8)</f>
        <v>77.234882700097174</v>
      </c>
      <c r="E9" s="77"/>
      <c r="F9" s="77"/>
    </row>
    <row r="10" spans="1:7" ht="13.5" thickBot="1">
      <c r="A10" s="86" t="s">
        <v>7</v>
      </c>
      <c r="B10" s="87">
        <f>SUM(B7:B8)*B6</f>
        <v>580965.991625592</v>
      </c>
      <c r="C10" s="87">
        <f>SUM(C7:C8)*C6</f>
        <v>224279.22203688457</v>
      </c>
      <c r="D10" s="88">
        <f>SUM(B10:C10)</f>
        <v>805245.21366247651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141178.80699433523</v>
      </c>
      <c r="C12" s="91">
        <f>+'[1]Cost Allocation'!$F$126</f>
        <v>12001.343638643835</v>
      </c>
      <c r="D12" s="92">
        <f>SUM(B12:C12)</f>
        <v>153180.15063297906</v>
      </c>
      <c r="E12" s="77"/>
      <c r="F12" s="77"/>
    </row>
    <row r="13" spans="1:7" ht="13.5" thickBot="1">
      <c r="A13" s="93" t="s">
        <v>8</v>
      </c>
      <c r="B13" s="94">
        <f>B12/B10</f>
        <v>0.24300700734530947</v>
      </c>
      <c r="C13" s="94">
        <f>C12/C10</f>
        <v>5.3510724398134903E-2</v>
      </c>
      <c r="D13" s="95">
        <f>D12/D10</f>
        <v>0.19022795545256785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439787.18463125674</v>
      </c>
      <c r="C15" s="97">
        <f>C10-C12</f>
        <v>212277.87839824075</v>
      </c>
      <c r="D15" s="98">
        <f>D10-D12</f>
        <v>652065.0630294974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99448.380537049612</v>
      </c>
      <c r="C18" s="91">
        <f>+'[1]Cost Allocation'!$U$126</f>
        <v>39731.233444773738</v>
      </c>
      <c r="D18" s="92">
        <f>SUM(B18:C18)</f>
        <v>139179.61398182335</v>
      </c>
      <c r="E18" s="99"/>
      <c r="F18" s="99"/>
    </row>
    <row r="19" spans="1:6">
      <c r="A19" s="104" t="s">
        <v>32</v>
      </c>
      <c r="B19" s="105">
        <f>B18/B$10</f>
        <v>0.1711776282442706</v>
      </c>
      <c r="C19" s="105">
        <f>C18/C$10</f>
        <v>0.17715075468845531</v>
      </c>
      <c r="D19" s="106">
        <f>D18/D$10</f>
        <v>0.17284128066877444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104826.21510927784</v>
      </c>
      <c r="C21" s="108">
        <f>+'[1]Cost Allocation'!$W$126</f>
        <v>48794.835786467534</v>
      </c>
      <c r="D21" s="109">
        <f>SUM(B21:C21)</f>
        <v>153621.05089574537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35612.712868790724</v>
      </c>
      <c r="D22" s="109">
        <f>SUM(B22:C22)</f>
        <v>35612.712868790724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119654.85338944936</v>
      </c>
      <c r="C24" s="102">
        <f>SUM(C21:C23)</f>
        <v>84407.548655258259</v>
      </c>
      <c r="D24" s="107">
        <f>SUM(D21:D23)</f>
        <v>204062.40204470762</v>
      </c>
      <c r="E24" s="99"/>
      <c r="F24" s="99"/>
    </row>
    <row r="25" spans="1:6">
      <c r="A25" s="104" t="s">
        <v>35</v>
      </c>
      <c r="B25" s="105">
        <f>+B24/B10</f>
        <v>0.20595844699040808</v>
      </c>
      <c r="C25" s="105">
        <f>+C24/C10</f>
        <v>0.37635028286916716</v>
      </c>
      <c r="D25" s="106">
        <f>+D24/D10</f>
        <v>0.25341647312198945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220683.95070475776</v>
      </c>
      <c r="C37" s="102">
        <f>+C15-C24-C18</f>
        <v>88139.096298208751</v>
      </c>
      <c r="D37" s="107">
        <f>+D15-D24-D18</f>
        <v>308823.0470029664</v>
      </c>
      <c r="E37" s="99"/>
      <c r="F37" s="99"/>
    </row>
    <row r="38" spans="1:6" ht="13.5" thickBot="1">
      <c r="A38" s="93" t="s">
        <v>37</v>
      </c>
      <c r="B38" s="94">
        <f>ABS(B37/B10)</f>
        <v>0.37985691742001182</v>
      </c>
      <c r="C38" s="94">
        <f>ABS(C37/C10)</f>
        <v>0.39298823804424265</v>
      </c>
      <c r="D38" s="95">
        <f>ABS(D37/D10)</f>
        <v>0.38351429075666815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11839.518571428574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-2679.0462037087077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17697.462646741315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335680.98201742757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zoomScaleNormal="100" workbookViewId="0">
      <selection activeCell="B41" sqref="B41:D41"/>
    </sheetView>
  </sheetViews>
  <sheetFormatPr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61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49</v>
      </c>
      <c r="E3" s="79" t="s">
        <v>0</v>
      </c>
      <c r="F3" s="77"/>
    </row>
    <row r="4" spans="1:7" ht="13.5" thickBot="1">
      <c r="A4" s="130" t="s">
        <v>51</v>
      </c>
      <c r="B4" s="126">
        <f>+'[1]System ridership '!$H$16</f>
        <v>157433.62353653682</v>
      </c>
      <c r="C4" s="126"/>
      <c r="D4" s="126">
        <f>+'[1]System ridership '!$H$19</f>
        <v>4876</v>
      </c>
      <c r="E4" s="128">
        <f>SUM(B4:D4)</f>
        <v>162309.62353653682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6588.1</v>
      </c>
      <c r="C6" s="81"/>
      <c r="D6" s="81">
        <f>+'[1]Cost Allocation'!$E$153</f>
        <v>2700.1573647509085</v>
      </c>
      <c r="E6" s="82">
        <f>SUM(B6:D6)</f>
        <v>9288.2573647509089</v>
      </c>
      <c r="F6" s="77"/>
    </row>
    <row r="7" spans="1:7" hidden="1">
      <c r="A7" s="83" t="s">
        <v>5</v>
      </c>
      <c r="B7" s="84">
        <f>+Chesapeake!B7</f>
        <v>60.264450658111976</v>
      </c>
      <c r="C7" s="84">
        <f>B7</f>
        <v>60.264450658111976</v>
      </c>
      <c r="D7" s="84">
        <f>+Chesapeake!D7</f>
        <v>38.954157611155694</v>
      </c>
      <c r="E7" s="85">
        <f>(E10/E6)-E8</f>
        <v>54.069408632886805</v>
      </c>
      <c r="F7" s="77"/>
    </row>
    <row r="8" spans="1:7" hidden="1">
      <c r="A8" s="83" t="s">
        <v>6</v>
      </c>
      <c r="B8" s="84">
        <f>+Chesapeake!B8</f>
        <v>24.226175078219949</v>
      </c>
      <c r="C8" s="84">
        <f>B8</f>
        <v>24.226175078219949</v>
      </c>
      <c r="D8" s="84">
        <f>C8</f>
        <v>24.226175078219949</v>
      </c>
      <c r="E8" s="85">
        <f>D8</f>
        <v>24.226175078219949</v>
      </c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84.490625736331921</v>
      </c>
      <c r="D9" s="84">
        <f>SUM(D7:D8)</f>
        <v>63.180332689375646</v>
      </c>
      <c r="E9" s="85">
        <f>SUM(E7:E8)</f>
        <v>78.295583711106758</v>
      </c>
      <c r="F9" s="77"/>
    </row>
    <row r="10" spans="1:7" ht="13.5" thickBot="1">
      <c r="A10" s="86" t="s">
        <v>7</v>
      </c>
      <c r="B10" s="87">
        <f>SUM(B7:B8)*B6</f>
        <v>556632.6914135284</v>
      </c>
      <c r="C10" s="87">
        <f>SUM(C7:C8)*C6</f>
        <v>0</v>
      </c>
      <c r="D10" s="87">
        <f>SUM(D7:D8)*D6</f>
        <v>170596.84061863023</v>
      </c>
      <c r="E10" s="88">
        <f>SUM(B10:D10)</f>
        <v>727229.53203215869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127847.93848122499</v>
      </c>
      <c r="C12" s="91"/>
      <c r="D12" s="91">
        <f>+'[1]Cost Allocation'!$F$153</f>
        <v>9128.7605215360672</v>
      </c>
      <c r="E12" s="92">
        <f>SUM(B12:D12)</f>
        <v>136976.69900276104</v>
      </c>
      <c r="F12" s="77"/>
    </row>
    <row r="13" spans="1:7" ht="13.5" thickBot="1">
      <c r="A13" s="93" t="s">
        <v>8</v>
      </c>
      <c r="B13" s="94">
        <f>B12/B10</f>
        <v>0.22968097356366982</v>
      </c>
      <c r="C13" s="94">
        <v>0.7</v>
      </c>
      <c r="D13" s="94">
        <f>D12/D10</f>
        <v>5.3510724398134896E-2</v>
      </c>
      <c r="E13" s="95">
        <f>E12/E10</f>
        <v>0.18835414813256487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428784.75293230341</v>
      </c>
      <c r="C15" s="97">
        <f>C10-C12</f>
        <v>0</v>
      </c>
      <c r="D15" s="97">
        <f>D10-D12</f>
        <v>161468.08009709418</v>
      </c>
      <c r="E15" s="98">
        <f>E10-E12</f>
        <v>590252.83302939765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98607.901368172606</v>
      </c>
      <c r="C18" s="91">
        <v>0</v>
      </c>
      <c r="D18" s="91">
        <f>+'[1]Cost Allocation'!$U$153</f>
        <v>30221.359063056469</v>
      </c>
      <c r="E18" s="92">
        <f>SUM(B18:D18)</f>
        <v>128829.26043122908</v>
      </c>
      <c r="F18" s="99"/>
    </row>
    <row r="19" spans="1:6">
      <c r="A19" s="104" t="s">
        <v>32</v>
      </c>
      <c r="B19" s="105">
        <f>B18/B$10</f>
        <v>0.17715075468845529</v>
      </c>
      <c r="C19" s="105" t="e">
        <f>C18/C$10</f>
        <v>#DIV/0!</v>
      </c>
      <c r="D19" s="105">
        <f>D18/D$10</f>
        <v>0.17715075468845529</v>
      </c>
      <c r="E19" s="106">
        <f>E18/E$10</f>
        <v>0.17715075468845529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103940.28564842809</v>
      </c>
      <c r="C21" s="108">
        <v>0</v>
      </c>
      <c r="D21" s="108">
        <f>+'[1]Cost Allocation'!$W$153</f>
        <v>37115.541725515912</v>
      </c>
      <c r="E21" s="109">
        <f>SUM(B21:D21)</f>
        <v>141055.82737394399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27088.627497891805</v>
      </c>
      <c r="E22" s="109">
        <f>SUM(B22:D22)</f>
        <v>27088.627497891805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103940.28564842809</v>
      </c>
      <c r="C24" s="102">
        <f>+Norfolk!D13</f>
        <v>0.20709865845295045</v>
      </c>
      <c r="D24" s="102">
        <f>SUM(D21:D23)</f>
        <v>64204.16922340772</v>
      </c>
      <c r="E24" s="107">
        <f>SUM(E21:E23)</f>
        <v>168144.4548718358</v>
      </c>
      <c r="F24" s="99"/>
    </row>
    <row r="25" spans="1:6">
      <c r="A25" s="104" t="s">
        <v>35</v>
      </c>
      <c r="B25" s="105">
        <f>+B24/B10</f>
        <v>0.18673047280870131</v>
      </c>
      <c r="C25" s="105" t="e">
        <f>+C24/C10</f>
        <v>#DIV/0!</v>
      </c>
      <c r="D25" s="105">
        <f>+D24/D10</f>
        <v>0.37635028286916722</v>
      </c>
      <c r="E25" s="106">
        <f>+E24/E10</f>
        <v>0.23121235794973233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226236.56591570273</v>
      </c>
      <c r="C37" s="102">
        <f>+C15-C24-C18</f>
        <v>-0.20709865845295045</v>
      </c>
      <c r="D37" s="102">
        <f>+D15-D24-D18</f>
        <v>67042.551810629986</v>
      </c>
      <c r="E37" s="107">
        <f>+E15-E24-E18</f>
        <v>293279.1177263328</v>
      </c>
      <c r="F37" s="99"/>
    </row>
    <row r="38" spans="1:6" ht="13.5" thickBot="1">
      <c r="A38" s="93" t="s">
        <v>37</v>
      </c>
      <c r="B38" s="94">
        <f>ABS(B37/B10)</f>
        <v>0.40643779893917359</v>
      </c>
      <c r="C38" s="94" t="e">
        <f>-(C37/C10)</f>
        <v>#DIV/0!</v>
      </c>
      <c r="D38" s="94">
        <f>ABS(D37/D10)</f>
        <v>0.39298823804424265</v>
      </c>
      <c r="E38" s="95">
        <f>ABS(E37/E10)</f>
        <v>0.40328273922924757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2" t="s">
        <v>13</v>
      </c>
      <c r="C40" s="142"/>
      <c r="D40" s="142"/>
      <c r="E40" s="116">
        <f>+Chesapeake!E40</f>
        <v>11839.518571428574</v>
      </c>
      <c r="F40" s="77"/>
    </row>
    <row r="41" spans="1:6" ht="13.5" customHeight="1">
      <c r="A41" s="77"/>
      <c r="B41" s="142" t="s">
        <v>14</v>
      </c>
      <c r="C41" s="142"/>
      <c r="D41" s="142"/>
      <c r="E41" s="78">
        <f>+Chesapeake!E41</f>
        <v>-2679.0462037087077</v>
      </c>
      <c r="F41" s="77"/>
    </row>
    <row r="42" spans="1:6" ht="13.5" customHeight="1">
      <c r="A42" s="77"/>
      <c r="B42" s="142" t="s">
        <v>15</v>
      </c>
      <c r="C42" s="142"/>
      <c r="D42" s="142"/>
      <c r="E42" s="78">
        <f>+'[1]Cost Allocation'!$AK$155</f>
        <v>15766.328975456761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3" t="s">
        <v>18</v>
      </c>
      <c r="C44" s="143"/>
      <c r="D44" s="143"/>
      <c r="E44" s="100">
        <f>SUM(E40:E42)+E37</f>
        <v>318205.91906950943</v>
      </c>
      <c r="F44" s="77"/>
    </row>
    <row r="52" spans="1:5">
      <c r="A52" s="144"/>
      <c r="B52" s="144"/>
      <c r="C52" s="144"/>
      <c r="D52" s="144"/>
      <c r="E52" s="144"/>
    </row>
    <row r="53" spans="1:5">
      <c r="A53" s="144"/>
      <c r="B53" s="144"/>
      <c r="C53" s="144"/>
      <c r="D53" s="144"/>
      <c r="E53" s="144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C41" sqref="C41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60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'!$I$16</f>
        <v>271440.18111928541</v>
      </c>
      <c r="C4" s="126">
        <f>+'[1]System ridership '!$I$19</f>
        <v>5624</v>
      </c>
      <c r="D4" s="128">
        <f>SUM(B4:C4)</f>
        <v>277064.18111928541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10305.1</v>
      </c>
      <c r="C6" s="81">
        <f>+'[1]Cost Allocation'!$E$178</f>
        <v>3175.638557288964</v>
      </c>
      <c r="D6" s="82">
        <f>SUM(B6:C6)</f>
        <v>13480.738557288965</v>
      </c>
      <c r="E6" s="77"/>
      <c r="F6" s="77"/>
    </row>
    <row r="7" spans="1:7" hidden="1">
      <c r="A7" s="83" t="s">
        <v>5</v>
      </c>
      <c r="B7" s="84">
        <f>+Chesapeake!B7</f>
        <v>60.264450658111976</v>
      </c>
      <c r="C7" s="84">
        <f>+Chesapeake!D7</f>
        <v>38.954157611155694</v>
      </c>
      <c r="D7" s="85">
        <f>(D10/D6)-D8</f>
        <v>55.244414999127216</v>
      </c>
      <c r="E7" s="77"/>
      <c r="F7" s="77"/>
    </row>
    <row r="8" spans="1:7" hidden="1">
      <c r="A8" s="83" t="s">
        <v>6</v>
      </c>
      <c r="B8" s="84">
        <f>+Chesapeake!B8</f>
        <v>24.226175078219949</v>
      </c>
      <c r="C8" s="84">
        <f>+B8</f>
        <v>24.226175078219949</v>
      </c>
      <c r="D8" s="85">
        <f>C8</f>
        <v>24.226175078219949</v>
      </c>
      <c r="E8" s="77"/>
      <c r="F8" s="77"/>
    </row>
    <row r="9" spans="1:7">
      <c r="A9" s="83" t="s">
        <v>38</v>
      </c>
      <c r="B9" s="84">
        <f>SUM(B7:B8)</f>
        <v>84.490625736331921</v>
      </c>
      <c r="C9" s="84">
        <f>SUM(C7:C8)</f>
        <v>63.180332689375646</v>
      </c>
      <c r="D9" s="85">
        <f>SUM(D7:D8)</f>
        <v>79.470590077347168</v>
      </c>
      <c r="E9" s="77"/>
      <c r="F9" s="77"/>
    </row>
    <row r="10" spans="1:7" ht="13.5" thickBot="1">
      <c r="A10" s="86" t="s">
        <v>7</v>
      </c>
      <c r="B10" s="87">
        <f>SUM(B7:B8)*B6</f>
        <v>870684.34727547411</v>
      </c>
      <c r="C10" s="87">
        <f>SUM(C7:C8)*C6</f>
        <v>200637.90055072564</v>
      </c>
      <c r="D10" s="88">
        <f>SUM(B10:C10)</f>
        <v>1071322.2478261997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244888.32365103689</v>
      </c>
      <c r="C12" s="91">
        <f>+'[1]Cost Allocation'!$F$178</f>
        <v>10736.279400190278</v>
      </c>
      <c r="D12" s="92">
        <f>SUM(B12:C12)</f>
        <v>255624.60305122717</v>
      </c>
      <c r="E12" s="77"/>
      <c r="F12" s="77"/>
    </row>
    <row r="13" spans="1:7" ht="13.5" thickBot="1">
      <c r="A13" s="93" t="s">
        <v>8</v>
      </c>
      <c r="B13" s="94">
        <f>B12/B10</f>
        <v>0.28125959128280636</v>
      </c>
      <c r="C13" s="94">
        <f>C12/C10</f>
        <v>5.3510724398134903E-2</v>
      </c>
      <c r="D13" s="95">
        <f>D12/D10</f>
        <v>0.2386066410642646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625796.02362443716</v>
      </c>
      <c r="C15" s="97">
        <f>C10-C12</f>
        <v>189901.62115053536</v>
      </c>
      <c r="D15" s="98">
        <f>D10-D12</f>
        <v>815697.64477497258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154242.38921527533</v>
      </c>
      <c r="C18" s="91">
        <f>+'[1]Cost Allocation'!$U$178</f>
        <v>35543.155501668283</v>
      </c>
      <c r="D18" s="92">
        <f>SUM(B18:C18)</f>
        <v>189785.54471694361</v>
      </c>
      <c r="E18" s="99"/>
      <c r="F18" s="99"/>
    </row>
    <row r="19" spans="1:6">
      <c r="A19" s="104" t="s">
        <v>32</v>
      </c>
      <c r="B19" s="105">
        <f>B18/B$10</f>
        <v>0.17715075468845529</v>
      </c>
      <c r="C19" s="105">
        <f>C18/C$10</f>
        <v>0.17715075468845529</v>
      </c>
      <c r="D19" s="106">
        <f>D18/D$10</f>
        <v>0.17715075468845529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162583.29983388475</v>
      </c>
      <c r="C21" s="108">
        <f>+'[1]Cost Allocation'!$W$178</f>
        <v>43651.361552806709</v>
      </c>
      <c r="D21" s="109">
        <f>SUM(B21:C21)</f>
        <v>206234.66138669147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31858.769073734718</v>
      </c>
      <c r="D22" s="109">
        <f>SUM(B22:C22)</f>
        <v>31858.769073734718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162583.29983388475</v>
      </c>
      <c r="C24" s="102">
        <f>SUM(C21:C23)</f>
        <v>75510.130626541431</v>
      </c>
      <c r="D24" s="107">
        <f>SUM(D21:D23)</f>
        <v>238093.4304604262</v>
      </c>
      <c r="E24" s="99"/>
      <c r="F24" s="99"/>
    </row>
    <row r="25" spans="1:6">
      <c r="A25" s="104" t="s">
        <v>35</v>
      </c>
      <c r="B25" s="105">
        <f>+B24/B10</f>
        <v>0.18673047280870131</v>
      </c>
      <c r="C25" s="105">
        <f>+C24/C10</f>
        <v>0.37635028286916722</v>
      </c>
      <c r="D25" s="106">
        <f>+D24/D10</f>
        <v>0.22224258942025818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308970.33457527705</v>
      </c>
      <c r="C37" s="102">
        <f>+C15-C24-C18</f>
        <v>78848.335022325642</v>
      </c>
      <c r="D37" s="107">
        <f>+D15-D24-D18</f>
        <v>387818.6695976028</v>
      </c>
      <c r="E37" s="99"/>
      <c r="F37" s="99"/>
    </row>
    <row r="38" spans="1:6" ht="13.5" thickBot="1">
      <c r="A38" s="93" t="s">
        <v>37</v>
      </c>
      <c r="B38" s="94">
        <f>ABS(B37/B10)</f>
        <v>0.35485918122003696</v>
      </c>
      <c r="C38" s="94">
        <f>ABS(C37/C10)</f>
        <v>0.3929882380442426</v>
      </c>
      <c r="D38" s="95">
        <f>ABS(D37/D10)</f>
        <v>0.36200001482702193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11839.518571428574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-2679.0462037087077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22882.845573696275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419861.98753901897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2012-02-16T14:32:15Z</cp:lastPrinted>
  <dcterms:created xsi:type="dcterms:W3CDTF">2004-09-09T18:58:16Z</dcterms:created>
  <dcterms:modified xsi:type="dcterms:W3CDTF">2012-05-22T20:10:31Z</dcterms:modified>
</cp:coreProperties>
</file>