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40" windowWidth="11100" windowHeight="5835" tabRatio="601" activeTab="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state="hidden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Chesapeake!$A$1:$E$47</definedName>
    <definedName name="_xlnm.Print_Area" localSheetId="7">Hampton!$A$1:$E$45</definedName>
    <definedName name="_xlnm.Print_Area" localSheetId="9">MAX!$A$1:$E$49</definedName>
    <definedName name="_xlnm.Print_Area" localSheetId="8">'Newport News'!$A$1:$D$44</definedName>
    <definedName name="_xlnm.Print_Area" localSheetId="4">Portsmouth!$A$1:$E$44</definedName>
    <definedName name="_xlnm.Print_Area" localSheetId="5">Suffolk!$A$1:$D$48</definedName>
    <definedName name="_xlnm.Print_Area" localSheetId="1">'System Total'!$A$1:$G$45</definedName>
    <definedName name="_xlnm.Print_Area" localSheetId="6">'Virginia Beach'!$A$1:$D$44</definedName>
  </definedNames>
  <calcPr calcId="125725"/>
</workbook>
</file>

<file path=xl/calcChain.xml><?xml version="1.0" encoding="utf-8"?>
<calcChain xmlns="http://schemas.openxmlformats.org/spreadsheetml/2006/main">
  <c r="B4" i="15"/>
  <c r="C4" i="9"/>
  <c r="B4"/>
  <c r="D4" i="10"/>
  <c r="B4"/>
  <c r="C4" i="13"/>
  <c r="B4"/>
  <c r="D4" i="14"/>
  <c r="C4"/>
  <c r="B4"/>
  <c r="E4" i="7"/>
  <c r="D4"/>
  <c r="C4"/>
  <c r="B4"/>
  <c r="D4" i="12"/>
  <c r="B4"/>
  <c r="C23" i="15"/>
  <c r="B12"/>
  <c r="B6"/>
  <c r="D42" i="9"/>
  <c r="C12"/>
  <c r="B12"/>
  <c r="C6"/>
  <c r="B6"/>
  <c r="E42" i="10"/>
  <c r="D12"/>
  <c r="B12"/>
  <c r="D6"/>
  <c r="B6"/>
  <c r="D42" i="13"/>
  <c r="C12"/>
  <c r="B12"/>
  <c r="C6"/>
  <c r="B6"/>
  <c r="D42" i="19"/>
  <c r="C6"/>
  <c r="B6"/>
  <c r="E42" i="14"/>
  <c r="D12"/>
  <c r="C12"/>
  <c r="B12"/>
  <c r="D6"/>
  <c r="C6"/>
  <c r="B6"/>
  <c r="F42" i="7"/>
  <c r="C21"/>
  <c r="E12"/>
  <c r="D12"/>
  <c r="C12"/>
  <c r="B12"/>
  <c r="D7"/>
  <c r="C7"/>
  <c r="E6"/>
  <c r="D6"/>
  <c r="C6"/>
  <c r="B6"/>
  <c r="E42" i="12"/>
  <c r="E41"/>
  <c r="E40"/>
  <c r="D12"/>
  <c r="B12"/>
  <c r="D7"/>
  <c r="B7"/>
  <c r="D6"/>
  <c r="B6"/>
  <c r="D4" i="16"/>
  <c r="E4" i="12"/>
  <c r="E4" i="15"/>
  <c r="C4" i="16" s="1"/>
  <c r="D4" i="13"/>
  <c r="E4" i="16" l="1"/>
  <c r="E4" i="10"/>
  <c r="E4" i="14"/>
  <c r="F4" i="7"/>
  <c r="F4" i="16"/>
  <c r="D4" i="9"/>
  <c r="B4" i="16"/>
  <c r="G4" l="1"/>
  <c r="C24" i="12"/>
  <c r="D24" i="15" l="1"/>
  <c r="E22" l="1"/>
  <c r="E23" l="1"/>
  <c r="E6" l="1"/>
  <c r="D23" i="9" l="1"/>
  <c r="E23" i="10" l="1"/>
  <c r="D23" i="19" l="1"/>
  <c r="E23" i="12" l="1"/>
  <c r="C23" i="16" l="1"/>
  <c r="D22" l="1"/>
  <c r="D21"/>
  <c r="D6" l="1"/>
  <c r="C6" s="1"/>
  <c r="B6"/>
  <c r="D6" i="19" l="1"/>
  <c r="E6" i="16" l="1"/>
  <c r="D12" i="19" l="1"/>
  <c r="E6" i="14" l="1"/>
  <c r="D6" i="9" l="1"/>
  <c r="D6" i="13"/>
  <c r="F6" i="7"/>
  <c r="E6" i="10"/>
  <c r="F6" i="16" l="1"/>
  <c r="G6" s="1"/>
  <c r="E6" i="12"/>
  <c r="G42" i="16" l="1"/>
  <c r="D7" l="1"/>
  <c r="C7" i="14" l="1"/>
  <c r="D7" i="10" l="1"/>
  <c r="C7" i="13"/>
  <c r="E7" i="7"/>
  <c r="D7" i="14"/>
  <c r="F7" i="16"/>
  <c r="C7" i="9"/>
  <c r="C7" i="19"/>
  <c r="E7" i="16"/>
  <c r="B7" i="10" l="1"/>
  <c r="B7" i="13"/>
  <c r="B7" i="19"/>
  <c r="B7" i="14"/>
  <c r="D7" i="15"/>
  <c r="B7" i="7"/>
  <c r="B7" i="15"/>
  <c r="C7" i="12"/>
  <c r="B7" i="16"/>
  <c r="B7" i="9"/>
  <c r="C7" i="16" l="1"/>
  <c r="C7" i="10"/>
  <c r="C7" i="15"/>
  <c r="F12" i="16" l="1"/>
  <c r="D40" i="9" l="1"/>
  <c r="D40" i="13"/>
  <c r="F40" i="7"/>
  <c r="E40" i="10"/>
  <c r="E40" i="14"/>
  <c r="G40" i="16" l="1"/>
  <c r="F41" i="7"/>
  <c r="E41" i="10"/>
  <c r="D41" i="13"/>
  <c r="D41" i="9"/>
  <c r="G41" i="16" s="1"/>
  <c r="E41" i="14"/>
  <c r="E12" i="10" l="1"/>
  <c r="E12" i="12"/>
  <c r="B12" i="16"/>
  <c r="E12"/>
  <c r="F12" i="7"/>
  <c r="D12" i="16"/>
  <c r="D12" i="9"/>
  <c r="D12" i="13"/>
  <c r="E12" i="14"/>
  <c r="E12" i="15" l="1"/>
  <c r="C12" i="16" l="1"/>
  <c r="G12" l="1"/>
  <c r="B8" i="12" l="1"/>
  <c r="B8" i="15" l="1"/>
  <c r="B8" i="19"/>
  <c r="B10" i="12"/>
  <c r="B8" i="13"/>
  <c r="B9" i="12"/>
  <c r="C8"/>
  <c r="B8" i="14"/>
  <c r="B8" i="9"/>
  <c r="B8" i="16"/>
  <c r="D8" i="12"/>
  <c r="B8" i="10"/>
  <c r="B8" i="7"/>
  <c r="C18"/>
  <c r="C8" i="10" l="1"/>
  <c r="B10"/>
  <c r="B10" i="16"/>
  <c r="E8"/>
  <c r="C8"/>
  <c r="B10" i="14"/>
  <c r="C8"/>
  <c r="B13" i="12"/>
  <c r="C13" i="33" s="1"/>
  <c r="B15" i="12"/>
  <c r="B10" i="15"/>
  <c r="D8"/>
  <c r="B23" i="7"/>
  <c r="B23" i="13"/>
  <c r="D23" s="1"/>
  <c r="D18" i="16"/>
  <c r="C21" i="19"/>
  <c r="C8" i="7"/>
  <c r="B10"/>
  <c r="E8"/>
  <c r="D10" i="12"/>
  <c r="E8"/>
  <c r="B10" i="9"/>
  <c r="C8"/>
  <c r="C10" i="12"/>
  <c r="C8" i="15"/>
  <c r="C10" s="1"/>
  <c r="C15" s="1"/>
  <c r="B10" i="13"/>
  <c r="C8"/>
  <c r="B10" i="19"/>
  <c r="C8"/>
  <c r="C23" i="7"/>
  <c r="C24" l="1"/>
  <c r="D23" i="16"/>
  <c r="D24" s="1"/>
  <c r="B23" i="14"/>
  <c r="E23" s="1"/>
  <c r="C10" i="19"/>
  <c r="D8"/>
  <c r="C10" i="13"/>
  <c r="D10" s="1"/>
  <c r="D8"/>
  <c r="C10" i="9"/>
  <c r="D8"/>
  <c r="E10" i="7"/>
  <c r="F8"/>
  <c r="D8"/>
  <c r="D8" i="16"/>
  <c r="C10" i="7"/>
  <c r="B13" i="15"/>
  <c r="C50" i="33" s="1"/>
  <c r="B15" i="15"/>
  <c r="C10" i="14"/>
  <c r="D8"/>
  <c r="C9" i="16"/>
  <c r="B9" s="1"/>
  <c r="C10"/>
  <c r="B15"/>
  <c r="B13"/>
  <c r="C6" i="33"/>
  <c r="D8" i="10"/>
  <c r="C10"/>
  <c r="B13" i="19"/>
  <c r="C31" i="33" s="1"/>
  <c r="B15" i="19"/>
  <c r="B13" i="13"/>
  <c r="C36" i="33" s="1"/>
  <c r="B15" i="13"/>
  <c r="C15" i="12"/>
  <c r="C37" s="1"/>
  <c r="C25"/>
  <c r="D10" i="9"/>
  <c r="B13"/>
  <c r="C46" i="33" s="1"/>
  <c r="B15" i="9"/>
  <c r="D13" i="12"/>
  <c r="C14" i="33" s="1"/>
  <c r="D15" i="12"/>
  <c r="B13" i="7"/>
  <c r="C18" i="33" s="1"/>
  <c r="B15" i="7"/>
  <c r="F23"/>
  <c r="B23" i="16"/>
  <c r="G23" s="1"/>
  <c r="D10" i="15"/>
  <c r="E8"/>
  <c r="B13" i="14"/>
  <c r="C25" i="33" s="1"/>
  <c r="B15" i="14"/>
  <c r="E10" i="16"/>
  <c r="F8"/>
  <c r="B13" i="10"/>
  <c r="C41" i="33" s="1"/>
  <c r="B15" i="10"/>
  <c r="E10" i="12"/>
  <c r="B21" i="19"/>
  <c r="D21" l="1"/>
  <c r="B24"/>
  <c r="B25" s="1"/>
  <c r="L31" i="33" s="1"/>
  <c r="G8" i="16"/>
  <c r="F10"/>
  <c r="E10" i="15"/>
  <c r="D15"/>
  <c r="D37" s="1"/>
  <c r="D38" s="1"/>
  <c r="D25"/>
  <c r="D13"/>
  <c r="D19"/>
  <c r="D7" i="9"/>
  <c r="D9" s="1"/>
  <c r="C9" s="1"/>
  <c r="B9" s="1"/>
  <c r="D15"/>
  <c r="D13"/>
  <c r="C48" i="33" s="1"/>
  <c r="C15" i="10"/>
  <c r="C19"/>
  <c r="C15" i="16"/>
  <c r="C13"/>
  <c r="E8" i="14"/>
  <c r="D10"/>
  <c r="D10" i="16"/>
  <c r="C13" i="7"/>
  <c r="C19" i="33" s="1"/>
  <c r="C15" i="7"/>
  <c r="C37" s="1"/>
  <c r="C38" s="1"/>
  <c r="F19" i="33" s="1"/>
  <c r="C19" i="7"/>
  <c r="I19" i="33" s="1"/>
  <c r="D9" i="7"/>
  <c r="C9" s="1"/>
  <c r="B9" s="1"/>
  <c r="D10"/>
  <c r="E13"/>
  <c r="C21" i="33" s="1"/>
  <c r="E15" i="7"/>
  <c r="C13" i="9"/>
  <c r="C47" i="33" s="1"/>
  <c r="C15" i="9"/>
  <c r="C13" i="13"/>
  <c r="C37" i="33" s="1"/>
  <c r="C15" i="13"/>
  <c r="D10" i="19"/>
  <c r="C15"/>
  <c r="C13"/>
  <c r="C32" i="33" s="1"/>
  <c r="C25" i="7"/>
  <c r="L19" i="33" s="1"/>
  <c r="E7" i="12"/>
  <c r="E9" s="1"/>
  <c r="D9" s="1"/>
  <c r="C9" s="1"/>
  <c r="E15"/>
  <c r="E13"/>
  <c r="C15" i="33" s="1"/>
  <c r="E13" i="16"/>
  <c r="C8" i="33" s="1"/>
  <c r="E15" i="16"/>
  <c r="D7" i="13"/>
  <c r="D9" s="1"/>
  <c r="C9" s="1"/>
  <c r="B9" s="1"/>
  <c r="D15"/>
  <c r="D13"/>
  <c r="C38" i="33" s="1"/>
  <c r="E8" i="10"/>
  <c r="D10"/>
  <c r="C15" i="14"/>
  <c r="C13"/>
  <c r="G10" i="16"/>
  <c r="D25"/>
  <c r="L7" i="33" s="1"/>
  <c r="D21" i="12"/>
  <c r="B18" i="15"/>
  <c r="D21" i="10"/>
  <c r="C21" i="13"/>
  <c r="G7" i="16" l="1"/>
  <c r="G9" s="1"/>
  <c r="F9" s="1"/>
  <c r="E9" s="1"/>
  <c r="D9" s="1"/>
  <c r="G15"/>
  <c r="G13"/>
  <c r="C10" i="33" s="1"/>
  <c r="D15" i="10"/>
  <c r="D13"/>
  <c r="C42" i="33" s="1"/>
  <c r="E10" i="10"/>
  <c r="D7" i="19"/>
  <c r="D9" s="1"/>
  <c r="C9" s="1"/>
  <c r="B9" s="1"/>
  <c r="D13"/>
  <c r="C33" i="33" s="1"/>
  <c r="D15" i="19"/>
  <c r="D15" i="16"/>
  <c r="D37" s="1"/>
  <c r="D38" s="1"/>
  <c r="F7" i="33" s="1"/>
  <c r="D13" i="16"/>
  <c r="C7" i="33" s="1"/>
  <c r="D19" i="16"/>
  <c r="I7" i="33" s="1"/>
  <c r="E7" i="15"/>
  <c r="E9" s="1"/>
  <c r="D9" s="1"/>
  <c r="C9" s="1"/>
  <c r="B9" s="1"/>
  <c r="E13"/>
  <c r="E15"/>
  <c r="E18"/>
  <c r="B19"/>
  <c r="I50" i="33" s="1"/>
  <c r="D13" i="7"/>
  <c r="D15"/>
  <c r="F10"/>
  <c r="D15" i="14"/>
  <c r="D13"/>
  <c r="C27" i="33" s="1"/>
  <c r="E10" i="14"/>
  <c r="F13" i="16"/>
  <c r="C9" i="33" s="1"/>
  <c r="F15" i="16"/>
  <c r="D21" i="7"/>
  <c r="C21" i="14"/>
  <c r="C24" s="1"/>
  <c r="C25" s="1"/>
  <c r="C21" i="9"/>
  <c r="B21" i="15"/>
  <c r="C22" i="9"/>
  <c r="D22" i="10"/>
  <c r="C22" i="19"/>
  <c r="D22" i="12"/>
  <c r="E22" i="7"/>
  <c r="C22" i="13"/>
  <c r="D22" i="14"/>
  <c r="E21" i="7" l="1"/>
  <c r="E7" i="14"/>
  <c r="E9" s="1"/>
  <c r="D9" s="1"/>
  <c r="C9" s="1"/>
  <c r="B9" s="1"/>
  <c r="E15"/>
  <c r="E13"/>
  <c r="C28" i="33" s="1"/>
  <c r="B24" i="15"/>
  <c r="E21"/>
  <c r="D21" i="14"/>
  <c r="D24" i="7"/>
  <c r="D25" s="1"/>
  <c r="L20" i="33" s="1"/>
  <c r="L26" s="1"/>
  <c r="E21" i="16"/>
  <c r="E24" s="1"/>
  <c r="F7" i="7"/>
  <c r="F9" s="1"/>
  <c r="E9" s="1"/>
  <c r="F13"/>
  <c r="C22" i="33" s="1"/>
  <c r="F15" i="7"/>
  <c r="C24" i="15"/>
  <c r="C20" i="33"/>
  <c r="C26" s="1"/>
  <c r="C24" i="10"/>
  <c r="E19" i="15"/>
  <c r="C18" i="16"/>
  <c r="C19" s="1"/>
  <c r="E7" i="10"/>
  <c r="E9" s="1"/>
  <c r="D9" s="1"/>
  <c r="C9" s="1"/>
  <c r="B9" s="1"/>
  <c r="E15"/>
  <c r="E13"/>
  <c r="C43" i="33" s="1"/>
  <c r="E22" i="14"/>
  <c r="D24"/>
  <c r="D22" i="13"/>
  <c r="C24"/>
  <c r="F22" i="16"/>
  <c r="D24" i="12"/>
  <c r="E22"/>
  <c r="D24" i="10"/>
  <c r="E22"/>
  <c r="F22" i="7"/>
  <c r="E24"/>
  <c r="D22" i="19"/>
  <c r="D24" s="1"/>
  <c r="C24"/>
  <c r="D22" i="9"/>
  <c r="C24"/>
  <c r="B25" i="15" l="1"/>
  <c r="L50" i="33" s="1"/>
  <c r="B37" i="15"/>
  <c r="B38" s="1"/>
  <c r="C25" i="10"/>
  <c r="C37"/>
  <c r="C38" s="1"/>
  <c r="C25" i="15"/>
  <c r="C37"/>
  <c r="E25" i="16"/>
  <c r="L8" i="33" s="1"/>
  <c r="E24" i="15"/>
  <c r="C21" i="16"/>
  <c r="C24" s="1"/>
  <c r="F21"/>
  <c r="C25" i="9"/>
  <c r="C25" i="19"/>
  <c r="L32" i="33" s="1"/>
  <c r="E25" i="7"/>
  <c r="F24" i="16"/>
  <c r="G22"/>
  <c r="D25" i="19"/>
  <c r="L33" i="33" s="1"/>
  <c r="D25" i="10"/>
  <c r="D25" i="12"/>
  <c r="C25" i="13"/>
  <c r="D25" i="14"/>
  <c r="B18" i="9"/>
  <c r="C18" i="14"/>
  <c r="B18" i="7"/>
  <c r="B18" i="14"/>
  <c r="B18" i="19"/>
  <c r="B18" i="12"/>
  <c r="B18" i="13"/>
  <c r="D18" i="10"/>
  <c r="D19" s="1"/>
  <c r="D18" i="7"/>
  <c r="D37" s="1"/>
  <c r="D38" s="1"/>
  <c r="F20" i="33" s="1"/>
  <c r="F26" s="1"/>
  <c r="D18" i="12"/>
  <c r="B18" i="10"/>
  <c r="D19" i="12" l="1"/>
  <c r="B19" i="19"/>
  <c r="I31" i="33" s="1"/>
  <c r="B37" i="19"/>
  <c r="B38" s="1"/>
  <c r="F31" i="33" s="1"/>
  <c r="B19" i="14"/>
  <c r="I25" i="33" s="1"/>
  <c r="D18" i="14"/>
  <c r="E18" i="7"/>
  <c r="B19"/>
  <c r="I18" i="33" s="1"/>
  <c r="F18" i="7"/>
  <c r="F19" s="1"/>
  <c r="I22" i="33" s="1"/>
  <c r="B19" i="9"/>
  <c r="I46" i="33" s="1"/>
  <c r="C25" i="16"/>
  <c r="C37"/>
  <c r="C38" s="1"/>
  <c r="E18" i="10"/>
  <c r="E19" s="1"/>
  <c r="I43" i="33" s="1"/>
  <c r="B19" i="10"/>
  <c r="I41" i="33" s="1"/>
  <c r="D19" i="7"/>
  <c r="E18" i="16"/>
  <c r="B19" i="13"/>
  <c r="I36" i="33" s="1"/>
  <c r="B19" i="12"/>
  <c r="I13" i="33" s="1"/>
  <c r="E18" i="12"/>
  <c r="E19" s="1"/>
  <c r="I15" i="33" s="1"/>
  <c r="B18" i="16"/>
  <c r="C18" i="9"/>
  <c r="D18" s="1"/>
  <c r="D19" s="1"/>
  <c r="I48" i="33" s="1"/>
  <c r="C19" i="14"/>
  <c r="I20" i="33" s="1"/>
  <c r="I26" s="1"/>
  <c r="C37" i="14"/>
  <c r="C38" s="1"/>
  <c r="C18" i="13"/>
  <c r="C18" i="19"/>
  <c r="E25" i="15"/>
  <c r="E37"/>
  <c r="D37" i="12"/>
  <c r="D38" s="1"/>
  <c r="D37" i="10"/>
  <c r="D38" s="1"/>
  <c r="F25" i="16"/>
  <c r="L9" i="33" s="1"/>
  <c r="B21" i="10"/>
  <c r="B21" i="12"/>
  <c r="B21" i="7"/>
  <c r="B21" i="9"/>
  <c r="B21" i="13"/>
  <c r="B21" i="14"/>
  <c r="B24" l="1"/>
  <c r="E21"/>
  <c r="E24" s="1"/>
  <c r="D21" i="13"/>
  <c r="D24" s="1"/>
  <c r="B24"/>
  <c r="F21" i="7"/>
  <c r="F24" s="1"/>
  <c r="B24"/>
  <c r="E21" i="10"/>
  <c r="E24" s="1"/>
  <c r="B24"/>
  <c r="E19" i="16"/>
  <c r="I8" i="33" s="1"/>
  <c r="E37" i="16"/>
  <c r="E38" s="1"/>
  <c r="F8" i="33" s="1"/>
  <c r="E19" i="7"/>
  <c r="E37"/>
  <c r="E38" s="1"/>
  <c r="D19" i="14"/>
  <c r="D37"/>
  <c r="D38" s="1"/>
  <c r="E18"/>
  <c r="E19" s="1"/>
  <c r="I28" i="33" s="1"/>
  <c r="B24" i="9"/>
  <c r="D21"/>
  <c r="D24" s="1"/>
  <c r="B24" i="12"/>
  <c r="B21" i="16"/>
  <c r="E21" i="12"/>
  <c r="E24" s="1"/>
  <c r="L14" i="33"/>
  <c r="L21" s="1"/>
  <c r="L27" s="1"/>
  <c r="L37" s="1"/>
  <c r="L42" s="1"/>
  <c r="L47" s="1"/>
  <c r="E44" i="15"/>
  <c r="E38"/>
  <c r="C19" i="19"/>
  <c r="I32" i="33" s="1"/>
  <c r="C37" i="19"/>
  <c r="C38" s="1"/>
  <c r="F32" i="33" s="1"/>
  <c r="C19" i="13"/>
  <c r="C37"/>
  <c r="C38" s="1"/>
  <c r="C19" i="9"/>
  <c r="C37"/>
  <c r="C38" s="1"/>
  <c r="I6" i="33"/>
  <c r="B19" i="16"/>
  <c r="D18" i="13"/>
  <c r="D19" s="1"/>
  <c r="I38" i="33" s="1"/>
  <c r="D18" i="19"/>
  <c r="F18" i="16"/>
  <c r="G18" s="1"/>
  <c r="G19" s="1"/>
  <c r="I10" i="33" s="1"/>
  <c r="D19" i="19" l="1"/>
  <c r="I33" i="33" s="1"/>
  <c r="D37" i="19"/>
  <c r="G21" i="16"/>
  <c r="G24" s="1"/>
  <c r="B24"/>
  <c r="D37" i="9"/>
  <c r="D25"/>
  <c r="L48" i="33" s="1"/>
  <c r="E37" i="10"/>
  <c r="E25"/>
  <c r="L43" i="33" s="1"/>
  <c r="F25" i="7"/>
  <c r="L22" i="33" s="1"/>
  <c r="F37" i="7"/>
  <c r="D37" i="13"/>
  <c r="D25"/>
  <c r="L38" i="33" s="1"/>
  <c r="B25" i="14"/>
  <c r="L25" i="33" s="1"/>
  <c r="B37" i="14"/>
  <c r="B38" s="1"/>
  <c r="F25" i="33" s="1"/>
  <c r="F19" i="16"/>
  <c r="I9" i="33" s="1"/>
  <c r="F37" i="16"/>
  <c r="F38" s="1"/>
  <c r="F9" i="33" s="1"/>
  <c r="E25" i="12"/>
  <c r="L15" i="33" s="1"/>
  <c r="E37" i="12"/>
  <c r="B25"/>
  <c r="L13" i="33" s="1"/>
  <c r="B37" i="12"/>
  <c r="B38" s="1"/>
  <c r="F13" i="33" s="1"/>
  <c r="B25" i="9"/>
  <c r="L46" i="33" s="1"/>
  <c r="B37" i="9"/>
  <c r="B38" s="1"/>
  <c r="F46" i="33" s="1"/>
  <c r="B25" i="10"/>
  <c r="L41" i="33" s="1"/>
  <c r="B37" i="10"/>
  <c r="B38" s="1"/>
  <c r="F41" i="33" s="1"/>
  <c r="B25" i="7"/>
  <c r="L18" i="33" s="1"/>
  <c r="B37" i="7"/>
  <c r="B38" s="1"/>
  <c r="F18" i="33" s="1"/>
  <c r="B25" i="13"/>
  <c r="L36" i="33" s="1"/>
  <c r="B37" i="13"/>
  <c r="B38" s="1"/>
  <c r="F36" i="33" s="1"/>
  <c r="E25" i="14"/>
  <c r="L28" i="33" s="1"/>
  <c r="E37" i="14"/>
  <c r="I14" i="33" l="1"/>
  <c r="I21" s="1"/>
  <c r="I27" s="1"/>
  <c r="I37" s="1"/>
  <c r="I42" s="1"/>
  <c r="I47" s="1"/>
  <c r="D38" i="13"/>
  <c r="F38" i="33" s="1"/>
  <c r="D44" i="13"/>
  <c r="E44" i="10"/>
  <c r="E38"/>
  <c r="F43" i="33" s="1"/>
  <c r="D38" i="9"/>
  <c r="F48" i="33" s="1"/>
  <c r="D44" i="9"/>
  <c r="G25" i="16"/>
  <c r="L10" i="33" s="1"/>
  <c r="G37" i="16"/>
  <c r="E38" i="14"/>
  <c r="F28" i="33" s="1"/>
  <c r="E44" i="14"/>
  <c r="E38" i="12"/>
  <c r="F15" i="33" s="1"/>
  <c r="E44" i="12"/>
  <c r="F14" i="33"/>
  <c r="F21" s="1"/>
  <c r="F27" s="1"/>
  <c r="F37" s="1"/>
  <c r="F42" s="1"/>
  <c r="F47" s="1"/>
  <c r="F38" i="7"/>
  <c r="F22" i="33" s="1"/>
  <c r="F44" i="7"/>
  <c r="B25" i="16"/>
  <c r="L6" i="33"/>
  <c r="B37" i="16"/>
  <c r="D44" i="19"/>
  <c r="D38"/>
  <c r="F33" i="33" s="1"/>
  <c r="B38" i="16" l="1"/>
  <c r="F6" i="33"/>
  <c r="G38" i="16"/>
  <c r="F10" i="33" s="1"/>
  <c r="G44" i="16"/>
  <c r="G51" l="1"/>
  <c r="G52" s="1"/>
</calcChain>
</file>

<file path=xl/sharedStrings.xml><?xml version="1.0" encoding="utf-8"?>
<sst xmlns="http://schemas.openxmlformats.org/spreadsheetml/2006/main" count="295" uniqueCount="67">
  <si>
    <t>Total</t>
  </si>
  <si>
    <t>Regular Bus</t>
  </si>
  <si>
    <t>CMAQ Bus</t>
  </si>
  <si>
    <t>Disabled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</si>
  <si>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</si>
  <si>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</si>
  <si>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</si>
  <si>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</si>
  <si>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</si>
  <si>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</si>
  <si>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</si>
  <si>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</si>
  <si>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</si>
  <si>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</si>
  <si>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</si>
  <si>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</si>
  <si>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</si>
  <si>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</si>
  <si>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</si>
  <si>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</si>
  <si>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</si>
  <si>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</si>
  <si>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</si>
  <si>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</si>
  <si>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Total Crossroads/Expressways Cost</t>
  </si>
  <si>
    <t>MAX</t>
  </si>
  <si>
    <t>Navy Shuttle</t>
  </si>
  <si>
    <t>Net Operating Cost</t>
  </si>
  <si>
    <t>Residential Bus</t>
  </si>
  <si>
    <t>CMAQ MAX</t>
  </si>
  <si>
    <t>Passenger Revenue</t>
  </si>
  <si>
    <t>State Operating Assistance</t>
  </si>
  <si>
    <t>State Operating Assistance %</t>
  </si>
  <si>
    <t>Local Service Cost</t>
  </si>
  <si>
    <t>Federal Assistance</t>
  </si>
  <si>
    <t>Federal Assistance %</t>
  </si>
  <si>
    <t>Total Local Cost</t>
  </si>
  <si>
    <t>Local Service Cost %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</si>
  <si>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</si>
  <si>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</si>
  <si>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</si>
  <si>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</si>
  <si>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</si>
  <si>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</si>
  <si>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</si>
  <si>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</si>
  <si>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</si>
  <si>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</si>
  <si>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</si>
  <si>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</si>
  <si>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Suffolk</t>
  </si>
  <si>
    <t>Ridership</t>
  </si>
  <si>
    <t>Actual</t>
  </si>
  <si>
    <t>Local Assistance</t>
  </si>
  <si>
    <t>State Assistance</t>
  </si>
  <si>
    <t xml:space="preserve">Passenger Revenue </t>
  </si>
  <si>
    <t>January 2012 Operating Financial Summary - System</t>
  </si>
  <si>
    <t>*MAX services are funded by Passenger Revenue, Federal Assistance and State Assistance and therefore do not require any Local Assistance.</t>
  </si>
  <si>
    <t>June 2012 Comparison Summary</t>
  </si>
  <si>
    <t>June 2012 Operating Financial Summary - MAX</t>
  </si>
  <si>
    <t>June 2012 Operating Financial Summary - Newport News</t>
  </si>
  <si>
    <t>June 2012 Operating Financial Summary - Hampton</t>
  </si>
  <si>
    <t>June 2012 Operating Financial Summary - Virginia Beach</t>
  </si>
  <si>
    <t>June 2012 Operating Financial Summary - Portsmouth</t>
  </si>
  <si>
    <t>June 2012 Operating Financial Summary - Norfolk</t>
  </si>
  <si>
    <t>June 2012 Operating Financial Summary - Chesapeake</t>
  </si>
  <si>
    <t>June 2012 Operating Financial Summary - System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</si>
</sst>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7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3" fillId="3" borderId="0" xfId="4" applyFont="1" applyFill="1"/>
    <xf numFmtId="0" fontId="14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/>
    <xf numFmtId="0" fontId="13" fillId="3" borderId="0" xfId="4" applyFont="1" applyFill="1" applyAlignment="1">
      <alignment horizontal="center"/>
    </xf>
    <xf numFmtId="166" fontId="13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3" fillId="3" borderId="0" xfId="4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3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3" borderId="0" xfId="4" applyFont="1" applyFill="1" applyAlignment="1">
      <alignment wrapText="1"/>
    </xf>
    <xf numFmtId="0" fontId="3" fillId="3" borderId="0" xfId="0" applyFont="1" applyFill="1"/>
    <xf numFmtId="164" fontId="3" fillId="3" borderId="0" xfId="1" applyNumberFormat="1" applyFont="1" applyFill="1"/>
    <xf numFmtId="164" fontId="5" fillId="3" borderId="0" xfId="1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2" xfId="1" applyNumberFormat="1" applyFont="1" applyFill="1" applyBorder="1"/>
    <xf numFmtId="164" fontId="3" fillId="3" borderId="3" xfId="1" applyNumberFormat="1" applyFont="1" applyFill="1" applyBorder="1"/>
    <xf numFmtId="0" fontId="3" fillId="3" borderId="4" xfId="0" applyFont="1" applyFill="1" applyBorder="1"/>
    <xf numFmtId="44" fontId="3" fillId="3" borderId="0" xfId="2" applyFont="1" applyFill="1" applyBorder="1"/>
    <xf numFmtId="44" fontId="3" fillId="3" borderId="5" xfId="2" applyFont="1" applyFill="1" applyBorder="1"/>
    <xf numFmtId="0" fontId="5" fillId="3" borderId="6" xfId="0" applyFont="1" applyFill="1" applyBorder="1"/>
    <xf numFmtId="165" fontId="5" fillId="3" borderId="7" xfId="2" applyNumberFormat="1" applyFont="1" applyFill="1" applyBorder="1"/>
    <xf numFmtId="165" fontId="5" fillId="3" borderId="8" xfId="2" applyNumberFormat="1" applyFont="1" applyFill="1" applyBorder="1"/>
    <xf numFmtId="0" fontId="5" fillId="3" borderId="1" xfId="0" applyFont="1" applyFill="1" applyBorder="1"/>
    <xf numFmtId="164" fontId="5" fillId="3" borderId="2" xfId="1" applyNumberFormat="1" applyFont="1" applyFill="1" applyBorder="1"/>
    <xf numFmtId="165" fontId="5" fillId="3" borderId="2" xfId="2" applyNumberFormat="1" applyFont="1" applyFill="1" applyBorder="1"/>
    <xf numFmtId="165" fontId="5" fillId="3" borderId="3" xfId="2" applyNumberFormat="1" applyFont="1" applyFill="1" applyBorder="1"/>
    <xf numFmtId="0" fontId="3" fillId="3" borderId="6" xfId="0" applyFont="1" applyFill="1" applyBorder="1"/>
    <xf numFmtId="166" fontId="3" fillId="3" borderId="7" xfId="3" applyNumberFormat="1" applyFont="1" applyFill="1" applyBorder="1"/>
    <xf numFmtId="166" fontId="3" fillId="3" borderId="8" xfId="3" applyNumberFormat="1" applyFont="1" applyFill="1" applyBorder="1"/>
    <xf numFmtId="0" fontId="5" fillId="3" borderId="9" xfId="0" applyFont="1" applyFill="1" applyBorder="1"/>
    <xf numFmtId="165" fontId="5" fillId="3" borderId="10" xfId="2" applyNumberFormat="1" applyFont="1" applyFill="1" applyBorder="1"/>
    <xf numFmtId="165" fontId="5" fillId="3" borderId="11" xfId="2" applyNumberFormat="1" applyFont="1" applyFill="1" applyBorder="1"/>
    <xf numFmtId="0" fontId="5" fillId="3" borderId="0" xfId="0" applyFont="1" applyFill="1"/>
    <xf numFmtId="165" fontId="5" fillId="3" borderId="0" xfId="2" applyNumberFormat="1" applyFont="1" applyFill="1"/>
    <xf numFmtId="0" fontId="5" fillId="3" borderId="0" xfId="0" applyFont="1" applyFill="1" applyBorder="1"/>
    <xf numFmtId="165" fontId="5" fillId="3" borderId="0" xfId="2" applyNumberFormat="1" applyFont="1" applyFill="1" applyBorder="1"/>
    <xf numFmtId="0" fontId="5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4" fillId="3" borderId="0" xfId="3" applyNumberFormat="1" applyFont="1" applyFill="1" applyBorder="1"/>
    <xf numFmtId="166" fontId="4" fillId="3" borderId="5" xfId="3" applyNumberFormat="1" applyFont="1" applyFill="1" applyBorder="1"/>
    <xf numFmtId="165" fontId="5" fillId="3" borderId="5" xfId="2" applyNumberFormat="1" applyFont="1" applyFill="1" applyBorder="1"/>
    <xf numFmtId="165" fontId="3" fillId="3" borderId="0" xfId="2" applyNumberFormat="1" applyFont="1" applyFill="1" applyBorder="1"/>
    <xf numFmtId="165" fontId="3" fillId="3" borderId="5" xfId="2" applyNumberFormat="1" applyFont="1" applyFill="1" applyBorder="1"/>
    <xf numFmtId="0" fontId="5" fillId="3" borderId="4" xfId="0" applyFont="1" applyFill="1" applyBorder="1" applyAlignment="1">
      <alignment horizontal="left"/>
    </xf>
    <xf numFmtId="164" fontId="3" fillId="3" borderId="0" xfId="1" applyNumberFormat="1" applyFont="1" applyFill="1" applyBorder="1"/>
    <xf numFmtId="164" fontId="3" fillId="3" borderId="5" xfId="1" applyNumberFormat="1" applyFont="1" applyFill="1" applyBorder="1"/>
    <xf numFmtId="0" fontId="5" fillId="3" borderId="4" xfId="0" applyFont="1" applyFill="1" applyBorder="1"/>
    <xf numFmtId="166" fontId="6" fillId="3" borderId="0" xfId="3" applyNumberFormat="1" applyFont="1" applyFill="1" applyBorder="1"/>
    <xf numFmtId="166" fontId="6" fillId="3" borderId="5" xfId="3" applyNumberFormat="1" applyFont="1" applyFill="1" applyBorder="1"/>
    <xf numFmtId="165" fontId="3" fillId="3" borderId="0" xfId="2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43" fontId="3" fillId="3" borderId="0" xfId="1" applyFont="1" applyFill="1"/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8" fillId="2" borderId="10" xfId="1" applyNumberFormat="1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0" fontId="9" fillId="3" borderId="9" xfId="0" applyFont="1" applyFill="1" applyBorder="1"/>
    <xf numFmtId="164" fontId="5" fillId="3" borderId="10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8" fillId="3" borderId="9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164" fontId="8" fillId="2" borderId="10" xfId="1" applyNumberFormat="1" applyFont="1" applyFill="1" applyBorder="1"/>
    <xf numFmtId="166" fontId="11" fillId="3" borderId="12" xfId="5" applyNumberFormat="1" applyFont="1" applyFill="1" applyBorder="1" applyAlignment="1">
      <alignment horizontal="center" wrapText="1"/>
    </xf>
    <xf numFmtId="166" fontId="16" fillId="3" borderId="12" xfId="5" applyNumberFormat="1" applyFont="1" applyFill="1" applyBorder="1" applyAlignment="1">
      <alignment horizontal="center" wrapText="1"/>
    </xf>
    <xf numFmtId="166" fontId="11" fillId="3" borderId="0" xfId="5" applyNumberFormat="1" applyFont="1" applyFill="1" applyBorder="1" applyAlignment="1">
      <alignment horizont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li\AppData\Local\Microsoft\Windows\Temporary%20Internet%20Files\Content.Outlook\J6ATYWX2\June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"/>
      <sheetName val="Revenue Recon"/>
    </sheetNames>
    <sheetDataSet>
      <sheetData sheetId="0" refreshError="1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2772.8</v>
          </cell>
          <cell r="F14">
            <v>64822.107852909554</v>
          </cell>
          <cell r="S14">
            <v>59851.585473938299</v>
          </cell>
          <cell r="W14">
            <v>115153.05041477017</v>
          </cell>
        </row>
        <row r="26">
          <cell r="E26">
            <v>2887.4</v>
          </cell>
          <cell r="F26">
            <v>52200.101051487451</v>
          </cell>
          <cell r="G26">
            <v>74.507826440564884</v>
          </cell>
          <cell r="I26">
            <v>11.984796085985176</v>
          </cell>
          <cell r="U26">
            <v>41681.012183172694</v>
          </cell>
          <cell r="W26">
            <v>50784.126279116303</v>
          </cell>
        </row>
        <row r="28">
          <cell r="E28">
            <v>1730.1476437359456</v>
          </cell>
          <cell r="F28">
            <v>8759.1747170147901</v>
          </cell>
          <cell r="G28">
            <v>68.09664788539834</v>
          </cell>
          <cell r="U28">
            <v>23124.231062511695</v>
          </cell>
          <cell r="W28">
            <v>47592.024801038606</v>
          </cell>
          <cell r="X28">
            <v>17357.256895226103</v>
          </cell>
        </row>
        <row r="30">
          <cell r="AF30">
            <v>18554.036666666667</v>
          </cell>
          <cell r="AG30">
            <v>-2772.7643048449327</v>
          </cell>
          <cell r="AK30">
            <v>7838.0445709084324</v>
          </cell>
        </row>
        <row r="64">
          <cell r="E64">
            <v>22956.2</v>
          </cell>
          <cell r="F64">
            <v>403780.03668905795</v>
          </cell>
          <cell r="Q64">
            <v>128848.57267443548</v>
          </cell>
          <cell r="U64">
            <v>297641.1244727053</v>
          </cell>
          <cell r="W64">
            <v>362645.81063082704</v>
          </cell>
        </row>
        <row r="65">
          <cell r="E65">
            <v>2445.15</v>
          </cell>
          <cell r="F65">
            <v>161774.41120324645</v>
          </cell>
          <cell r="G65">
            <v>298.90870089769544</v>
          </cell>
          <cell r="Q65">
            <v>399855.32916271413</v>
          </cell>
          <cell r="U65">
            <v>114027.18512244699</v>
          </cell>
          <cell r="W65">
            <v>45454.545454545456</v>
          </cell>
        </row>
        <row r="68">
          <cell r="E68">
            <v>254.58500000000001</v>
          </cell>
          <cell r="F68">
            <v>20416.074670649512</v>
          </cell>
          <cell r="G68">
            <v>383.90557181295048</v>
          </cell>
          <cell r="U68">
            <v>16821.316655036346</v>
          </cell>
          <cell r="W68">
            <v>65892.494388996885</v>
          </cell>
        </row>
        <row r="69">
          <cell r="E69">
            <v>4063.0513054078019</v>
          </cell>
          <cell r="F69">
            <v>20569.90708111702</v>
          </cell>
          <cell r="U69">
            <v>54304.577730840836</v>
          </cell>
          <cell r="W69">
            <v>111764.35675588634</v>
          </cell>
          <cell r="X69">
            <v>40761.506997266551</v>
          </cell>
        </row>
        <row r="71">
          <cell r="AK71">
            <v>50446.418150119745</v>
          </cell>
        </row>
        <row r="83">
          <cell r="E83">
            <v>5157.7</v>
          </cell>
          <cell r="F83">
            <v>83442.814421477786</v>
          </cell>
          <cell r="Q83">
            <v>8379.425792336393</v>
          </cell>
          <cell r="U83">
            <v>72303.525126511231</v>
          </cell>
          <cell r="W83">
            <v>88094.582116036036</v>
          </cell>
        </row>
        <row r="85">
          <cell r="E85">
            <v>254.58500000000001</v>
          </cell>
          <cell r="F85">
            <v>20530.572387410568</v>
          </cell>
          <cell r="U85">
            <v>16821.316655036346</v>
          </cell>
          <cell r="W85">
            <v>65892.494388996885</v>
          </cell>
        </row>
        <row r="86">
          <cell r="E86">
            <v>1018.9885848577237</v>
          </cell>
          <cell r="F86">
            <v>5158.8077362804879</v>
          </cell>
          <cell r="U86">
            <v>13619.258201242872</v>
          </cell>
          <cell r="W86">
            <v>28029.821719611242</v>
          </cell>
          <cell r="X86">
            <v>10222.738333756775</v>
          </cell>
        </row>
        <row r="88">
          <cell r="AK88">
            <v>10916.749083077464</v>
          </cell>
        </row>
        <row r="95">
          <cell r="E95">
            <v>0</v>
          </cell>
          <cell r="U95">
            <v>0</v>
          </cell>
          <cell r="W95">
            <v>0</v>
          </cell>
        </row>
        <row r="96">
          <cell r="E96">
            <v>0</v>
          </cell>
          <cell r="U96">
            <v>0</v>
          </cell>
          <cell r="W96">
            <v>0</v>
          </cell>
          <cell r="X96">
            <v>0</v>
          </cell>
        </row>
        <row r="97">
          <cell r="AK97">
            <v>0</v>
          </cell>
        </row>
        <row r="116">
          <cell r="E116">
            <v>6876.1</v>
          </cell>
          <cell r="F116">
            <v>142672.13994123004</v>
          </cell>
          <cell r="Q116">
            <v>14828.638280171515</v>
          </cell>
          <cell r="U116">
            <v>96003.86253619293</v>
          </cell>
          <cell r="W116">
            <v>116971.06243233825</v>
          </cell>
        </row>
        <row r="126">
          <cell r="E126">
            <v>3549.826543958658</v>
          </cell>
          <cell r="F126">
            <v>17971.617061818892</v>
          </cell>
          <cell r="U126">
            <v>47445.089170011561</v>
          </cell>
          <cell r="W126">
            <v>97646.830044320595</v>
          </cell>
          <cell r="X126">
            <v>35612.712868790724</v>
          </cell>
        </row>
        <row r="128">
          <cell r="AK128">
            <v>17697.462646741315</v>
          </cell>
        </row>
        <row r="151">
          <cell r="E151">
            <v>6588.1</v>
          </cell>
          <cell r="F151">
            <v>124797.35958373279</v>
          </cell>
          <cell r="U151">
            <v>95102.402287164936</v>
          </cell>
          <cell r="W151">
            <v>115872.72367508698</v>
          </cell>
        </row>
        <row r="153">
          <cell r="E153">
            <v>2700.1573647509085</v>
          </cell>
          <cell r="F153">
            <v>13670.018398092892</v>
          </cell>
          <cell r="U153">
            <v>36088.863880319848</v>
          </cell>
          <cell r="W153">
            <v>74274.560749304917</v>
          </cell>
          <cell r="X153">
            <v>27088.627497891797</v>
          </cell>
        </row>
        <row r="155">
          <cell r="AK155">
            <v>15766.328975456761</v>
          </cell>
        </row>
        <row r="173">
          <cell r="E173">
            <v>10305.1</v>
          </cell>
          <cell r="F173">
            <v>244044.24219879767</v>
          </cell>
          <cell r="U173">
            <v>148759.09075597872</v>
          </cell>
          <cell r="W173">
            <v>181248.00849169542</v>
          </cell>
        </row>
        <row r="178">
          <cell r="E178">
            <v>3175.638557288964</v>
          </cell>
          <cell r="F178">
            <v>16077.22500567592</v>
          </cell>
          <cell r="U178">
            <v>42443.892020222738</v>
          </cell>
          <cell r="W178">
            <v>87353.856490121019</v>
          </cell>
          <cell r="X178">
            <v>31858.769073734718</v>
          </cell>
        </row>
        <row r="180">
          <cell r="AK180">
            <v>22882.845573696275</v>
          </cell>
        </row>
        <row r="184">
          <cell r="AL184">
            <v>2513210.1930285804</v>
          </cell>
        </row>
      </sheetData>
      <sheetData sheetId="2" refreshError="1"/>
      <sheetData sheetId="3">
        <row r="16">
          <cell r="B16">
            <v>36280.328831430212</v>
          </cell>
          <cell r="C16">
            <v>63084.16850473357</v>
          </cell>
          <cell r="D16">
            <v>536044.76139116904</v>
          </cell>
          <cell r="E16">
            <v>109720.8675516471</v>
          </cell>
          <cell r="G16">
            <v>151113.31533634168</v>
          </cell>
          <cell r="H16">
            <v>161370.58632010908</v>
          </cell>
          <cell r="I16">
            <v>277016.38672555913</v>
          </cell>
        </row>
        <row r="17">
          <cell r="D17">
            <v>146542.73864932286</v>
          </cell>
        </row>
        <row r="18">
          <cell r="D18">
            <v>13304.322108446611</v>
          </cell>
          <cell r="E18">
            <v>13506.524581240699</v>
          </cell>
        </row>
        <row r="19">
          <cell r="C19">
            <v>3463</v>
          </cell>
          <cell r="D19">
            <v>6947</v>
          </cell>
          <cell r="E19">
            <v>1728</v>
          </cell>
          <cell r="G19">
            <v>6251</v>
          </cell>
          <cell r="H19">
            <v>4882</v>
          </cell>
          <cell r="I19">
            <v>5784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zoomScaleNormal="100" workbookViewId="0">
      <selection activeCell="H15" sqref="H15"/>
    </sheetView>
  </sheetViews>
  <sheetFormatPr defaultRowHeight="12.75"/>
  <cols>
    <col min="1" max="1" width="14.140625" style="61" bestFit="1" customWidth="1"/>
    <col min="2" max="3" width="8.5703125" style="72" customWidth="1"/>
    <col min="4" max="4" width="1.42578125" style="73" customWidth="1"/>
    <col min="5" max="6" width="8.5703125" style="72" customWidth="1"/>
    <col min="7" max="7" width="1.42578125" style="73" customWidth="1"/>
    <col min="8" max="9" width="8.5703125" style="72" customWidth="1"/>
    <col min="10" max="10" width="1.42578125" style="73" customWidth="1"/>
    <col min="11" max="12" width="9" style="72" customWidth="1"/>
    <col min="13" max="16384" width="9.140625" style="61"/>
  </cols>
  <sheetData>
    <row r="1" spans="1:12" ht="12.75" customHeight="1">
      <c r="A1" s="139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3" spans="1:12" s="76" customFormat="1">
      <c r="A3" s="74"/>
      <c r="B3" s="138" t="s">
        <v>55</v>
      </c>
      <c r="C3" s="138"/>
      <c r="D3" s="75"/>
      <c r="E3" s="137" t="s">
        <v>53</v>
      </c>
      <c r="F3" s="137"/>
      <c r="G3" s="75"/>
      <c r="H3" s="137" t="s">
        <v>54</v>
      </c>
      <c r="I3" s="137"/>
      <c r="J3" s="75"/>
      <c r="K3" s="137" t="s">
        <v>34</v>
      </c>
      <c r="L3" s="137"/>
    </row>
    <row r="4" spans="1:12">
      <c r="B4" s="59" t="s">
        <v>40</v>
      </c>
      <c r="C4" s="59" t="s">
        <v>52</v>
      </c>
      <c r="D4" s="64"/>
      <c r="E4" s="59" t="s">
        <v>40</v>
      </c>
      <c r="F4" s="59" t="s">
        <v>52</v>
      </c>
      <c r="G4" s="64"/>
      <c r="H4" s="59" t="s">
        <v>40</v>
      </c>
      <c r="I4" s="59" t="s">
        <v>52</v>
      </c>
      <c r="J4" s="64"/>
      <c r="K4" s="59" t="s">
        <v>40</v>
      </c>
      <c r="L4" s="59" t="s">
        <v>52</v>
      </c>
    </row>
    <row r="5" spans="1:12">
      <c r="A5" s="58" t="s">
        <v>48</v>
      </c>
      <c r="B5" s="59"/>
      <c r="C5" s="59"/>
      <c r="D5" s="64"/>
      <c r="E5" s="59"/>
      <c r="F5" s="59"/>
      <c r="G5" s="64"/>
      <c r="H5" s="59"/>
      <c r="I5" s="59"/>
      <c r="J5" s="64"/>
      <c r="K5" s="59"/>
      <c r="L5" s="59"/>
    </row>
    <row r="6" spans="1:12">
      <c r="A6" s="60" t="s">
        <v>41</v>
      </c>
      <c r="B6" s="65">
        <v>0.26071789080528374</v>
      </c>
      <c r="C6" s="65">
        <f>+('System Total'!B12+'System Total'!C12)/('System Total'!B10+'System Total'!C10)</f>
        <v>0.22417941785018719</v>
      </c>
      <c r="D6" s="64"/>
      <c r="E6" s="65">
        <v>0.35558734896778277</v>
      </c>
      <c r="F6" s="65">
        <f>+('System Total'!B37+'System Total'!C37)/('System Total'!B10+'System Total'!C10)</f>
        <v>0.37515015413386094</v>
      </c>
      <c r="G6" s="64"/>
      <c r="H6" s="65">
        <v>0.15727464594293</v>
      </c>
      <c r="I6" s="65">
        <f>+('System Total'!B18+'System Total'!C18)/('System Total'!B10+'System Total'!C10)</f>
        <v>0.16301579884229492</v>
      </c>
      <c r="J6" s="64"/>
      <c r="K6" s="65">
        <v>0.255549324201096</v>
      </c>
      <c r="L6" s="65">
        <f>+('System Total'!B24+'System Total'!C24)/('System Total'!B10+'System Total'!C10)</f>
        <v>0.23765462917365693</v>
      </c>
    </row>
    <row r="7" spans="1:12">
      <c r="A7" s="60" t="s">
        <v>39</v>
      </c>
      <c r="B7" s="65">
        <v>8.7999999999999995E-2</v>
      </c>
      <c r="C7" s="65">
        <f>+'System Total'!D13</f>
        <v>0.21281031934997766</v>
      </c>
      <c r="D7" s="64"/>
      <c r="E7" s="65">
        <v>0.19500000000000001</v>
      </c>
      <c r="F7" s="65">
        <f>+'System Total'!D38</f>
        <v>5.1395327129323133E-2</v>
      </c>
      <c r="G7" s="64"/>
      <c r="H7" s="65">
        <v>0.15</v>
      </c>
      <c r="I7" s="65">
        <f>+'System Total'!D19</f>
        <v>0.14999999999999997</v>
      </c>
      <c r="J7" s="64"/>
      <c r="K7" s="65">
        <v>0.566621123821335</v>
      </c>
      <c r="L7" s="65">
        <f>+'System Total'!D25</f>
        <v>0.5857943535206992</v>
      </c>
    </row>
    <row r="8" spans="1:12">
      <c r="A8" s="60" t="s">
        <v>16</v>
      </c>
      <c r="B8" s="65">
        <v>0.253</v>
      </c>
      <c r="C8" s="65">
        <f>+'System Total'!E13</f>
        <v>0.20313305603981519</v>
      </c>
      <c r="D8" s="64"/>
      <c r="E8" s="65">
        <v>0.29299999999999998</v>
      </c>
      <c r="F8" s="65">
        <f>+'System Total'!E38</f>
        <v>2.3806318504998671E-2</v>
      </c>
      <c r="G8" s="64"/>
      <c r="H8" s="65">
        <v>0.158</v>
      </c>
      <c r="I8" s="65">
        <f>+'System Total'!E19</f>
        <v>0.16689842535365138</v>
      </c>
      <c r="J8" s="64"/>
      <c r="K8" s="65">
        <v>0.29799999999999999</v>
      </c>
      <c r="L8" s="65">
        <f>+'System Total'!E25</f>
        <v>0.65377483711153217</v>
      </c>
    </row>
    <row r="9" spans="1:12">
      <c r="A9" s="60" t="s">
        <v>49</v>
      </c>
      <c r="B9" s="65">
        <v>6.5000000000000002E-2</v>
      </c>
      <c r="C9" s="65">
        <f>+'System Total'!F13</f>
        <v>6.321907369440101E-2</v>
      </c>
      <c r="D9" s="64"/>
      <c r="E9" s="65">
        <v>0.378</v>
      </c>
      <c r="F9" s="65">
        <f>+'System Total'!F38</f>
        <v>0.30111306106641184</v>
      </c>
      <c r="G9" s="64"/>
      <c r="H9" s="65">
        <v>0.158</v>
      </c>
      <c r="I9" s="65">
        <f>+'System Total'!F19</f>
        <v>0.1668984253536514</v>
      </c>
      <c r="J9" s="64"/>
      <c r="K9" s="65">
        <v>0.39888110817059752</v>
      </c>
      <c r="L9" s="65">
        <f>+'System Total'!F25</f>
        <v>0.46876943988553571</v>
      </c>
    </row>
    <row r="10" spans="1:12" s="63" customFormat="1">
      <c r="A10" s="58" t="s">
        <v>0</v>
      </c>
      <c r="B10" s="59">
        <v>0.20399999999999999</v>
      </c>
      <c r="C10" s="59">
        <f>+'System Total'!G13</f>
        <v>0.19348681997057385</v>
      </c>
      <c r="D10" s="66"/>
      <c r="E10" s="59">
        <v>0.32800000000000001</v>
      </c>
      <c r="F10" s="59">
        <f>+'System Total'!G38</f>
        <v>0.31674493188972969</v>
      </c>
      <c r="G10" s="66"/>
      <c r="H10" s="59">
        <v>0.153</v>
      </c>
      <c r="I10" s="59">
        <f>+'System Total'!G19</f>
        <v>0.16245455311389065</v>
      </c>
      <c r="J10" s="66"/>
      <c r="K10" s="59">
        <v>0.3146414065273182</v>
      </c>
      <c r="L10" s="59">
        <f>+'System Total'!G25</f>
        <v>0.32731369502580587</v>
      </c>
    </row>
    <row r="11" spans="1:12">
      <c r="A11" s="58"/>
      <c r="B11" s="59"/>
      <c r="C11" s="59"/>
      <c r="D11" s="64"/>
      <c r="E11" s="59"/>
      <c r="F11" s="59"/>
      <c r="G11" s="64"/>
      <c r="H11" s="59"/>
      <c r="I11" s="59"/>
      <c r="J11" s="64"/>
      <c r="K11" s="59"/>
      <c r="L11" s="59"/>
    </row>
    <row r="12" spans="1:12">
      <c r="A12" s="58" t="s">
        <v>42</v>
      </c>
      <c r="B12" s="59"/>
      <c r="C12" s="59"/>
      <c r="D12" s="64"/>
      <c r="E12" s="59"/>
      <c r="F12" s="59"/>
      <c r="G12" s="64"/>
      <c r="H12" s="59"/>
      <c r="I12" s="59"/>
      <c r="J12" s="64"/>
      <c r="K12" s="59"/>
      <c r="L12" s="59"/>
    </row>
    <row r="13" spans="1:12">
      <c r="A13" s="60" t="s">
        <v>41</v>
      </c>
      <c r="B13" s="67">
        <v>0.22800000000000001</v>
      </c>
      <c r="C13" s="67">
        <f>+Chesapeake!B13</f>
        <v>0.20901878847155159</v>
      </c>
      <c r="D13" s="64"/>
      <c r="E13" s="67">
        <v>0.39400000000000002</v>
      </c>
      <c r="F13" s="67">
        <f>+Chesapeake!B38</f>
        <v>0.42073382066269477</v>
      </c>
      <c r="G13" s="64"/>
      <c r="H13" s="67">
        <v>0.158</v>
      </c>
      <c r="I13" s="67">
        <f>+Chesapeake!B19</f>
        <v>0.1668984253536514</v>
      </c>
      <c r="J13" s="64"/>
      <c r="K13" s="65">
        <v>0.22800000000000001</v>
      </c>
      <c r="L13" s="65">
        <f>+Chesapeake!B25</f>
        <v>0.20334896551210227</v>
      </c>
    </row>
    <row r="14" spans="1:12">
      <c r="A14" s="60" t="s">
        <v>49</v>
      </c>
      <c r="B14" s="65">
        <v>6.5000000000000002E-2</v>
      </c>
      <c r="C14" s="65">
        <f>+Chesapeake!D13</f>
        <v>6.321907369440101E-2</v>
      </c>
      <c r="D14" s="64"/>
      <c r="E14" s="65">
        <v>0.378</v>
      </c>
      <c r="F14" s="65">
        <f>+$F$9</f>
        <v>0.30111306106641184</v>
      </c>
      <c r="G14" s="64"/>
      <c r="H14" s="65">
        <v>0.158</v>
      </c>
      <c r="I14" s="65">
        <f>+I9</f>
        <v>0.1668984253536514</v>
      </c>
      <c r="J14" s="64"/>
      <c r="K14" s="65">
        <v>0.39899999999999997</v>
      </c>
      <c r="L14" s="65">
        <f>+L9</f>
        <v>0.46876943988553571</v>
      </c>
    </row>
    <row r="15" spans="1:12" s="63" customFormat="1">
      <c r="A15" s="58" t="s">
        <v>0</v>
      </c>
      <c r="B15" s="59">
        <v>0.17899999999999999</v>
      </c>
      <c r="C15" s="59">
        <f>+Chesapeake!E13</f>
        <v>0.15699357994678223</v>
      </c>
      <c r="D15" s="66"/>
      <c r="E15" s="59">
        <v>0.38900000000000001</v>
      </c>
      <c r="F15" s="59">
        <f>+Chesapeake!E38</f>
        <v>0.37804995827380045</v>
      </c>
      <c r="G15" s="66"/>
      <c r="H15" s="59">
        <v>0.158</v>
      </c>
      <c r="I15" s="59">
        <f>+Chesapeake!E19</f>
        <v>0.1668984253536514</v>
      </c>
      <c r="J15" s="66"/>
      <c r="K15" s="59">
        <v>0.27400000000000002</v>
      </c>
      <c r="L15" s="59">
        <f>+Chesapeake!E25</f>
        <v>0.29805803642576578</v>
      </c>
    </row>
    <row r="16" spans="1:12">
      <c r="A16" s="60"/>
      <c r="B16" s="65"/>
      <c r="C16" s="65"/>
      <c r="D16" s="64"/>
      <c r="E16" s="65"/>
      <c r="F16" s="65"/>
      <c r="G16" s="64"/>
      <c r="H16" s="65"/>
      <c r="I16" s="65"/>
      <c r="J16" s="64"/>
      <c r="K16" s="65"/>
      <c r="L16" s="65"/>
    </row>
    <row r="17" spans="1:12">
      <c r="A17" s="58" t="s">
        <v>43</v>
      </c>
      <c r="B17" s="62"/>
      <c r="C17" s="62"/>
      <c r="D17" s="68"/>
      <c r="E17" s="62"/>
      <c r="F17" s="62"/>
      <c r="G17" s="68"/>
      <c r="H17" s="62"/>
      <c r="I17" s="62"/>
      <c r="J17" s="68"/>
      <c r="K17" s="62"/>
      <c r="L17" s="62"/>
    </row>
    <row r="18" spans="1:12">
      <c r="A18" s="60" t="s">
        <v>41</v>
      </c>
      <c r="B18" s="67">
        <v>0.27</v>
      </c>
      <c r="C18" s="67">
        <f>+Norfolk!B13</f>
        <v>0.20336011458719438</v>
      </c>
      <c r="D18" s="64"/>
      <c r="E18" s="67">
        <v>0.34599999999999997</v>
      </c>
      <c r="F18" s="67">
        <f>+Norfolk!B38</f>
        <v>0.39919901983050726</v>
      </c>
      <c r="G18" s="64"/>
      <c r="H18" s="67">
        <v>0.15</v>
      </c>
      <c r="I18" s="67">
        <f>+Norfolk!B19</f>
        <v>0.14990422427754216</v>
      </c>
      <c r="J18" s="64"/>
      <c r="K18" s="65">
        <v>0.23292828570380039</v>
      </c>
      <c r="L18" s="65">
        <f>+Norfolk!B25</f>
        <v>0.24753664130475619</v>
      </c>
    </row>
    <row r="19" spans="1:12">
      <c r="A19" s="60" t="s">
        <v>39</v>
      </c>
      <c r="B19" s="65">
        <v>8.7999999999999995E-2</v>
      </c>
      <c r="C19" s="65">
        <f>+Norfolk!C13</f>
        <v>0.21281031934997766</v>
      </c>
      <c r="D19" s="64"/>
      <c r="E19" s="65">
        <v>0.19500000000000001</v>
      </c>
      <c r="F19" s="65">
        <f>+Norfolk!C38</f>
        <v>5.1395327129323133E-2</v>
      </c>
      <c r="G19" s="64"/>
      <c r="H19" s="65">
        <v>0.15</v>
      </c>
      <c r="I19" s="65">
        <f>+Norfolk!C19</f>
        <v>0.14999999999999997</v>
      </c>
      <c r="J19" s="64"/>
      <c r="K19" s="65">
        <v>0.566621123821335</v>
      </c>
      <c r="L19" s="65">
        <f>+Norfolk!C25</f>
        <v>0.5857943535206992</v>
      </c>
    </row>
    <row r="20" spans="1:12">
      <c r="A20" s="60" t="s">
        <v>16</v>
      </c>
      <c r="B20" s="65">
        <v>0.253</v>
      </c>
      <c r="C20" s="65">
        <f>+Norfolk!D13</f>
        <v>0.20256504198283329</v>
      </c>
      <c r="D20" s="64"/>
      <c r="E20" s="65">
        <v>0.29299999999999998</v>
      </c>
      <c r="F20" s="65">
        <f>+Norfolk!D38</f>
        <v>2.3238304448016812E-2</v>
      </c>
      <c r="G20" s="64"/>
      <c r="H20" s="65">
        <v>0.158</v>
      </c>
      <c r="I20" s="65">
        <f>+Portsmouth!C19</f>
        <v>0.16689842535365138</v>
      </c>
      <c r="J20" s="64"/>
      <c r="K20" s="65">
        <v>0.29599999999999999</v>
      </c>
      <c r="L20" s="65">
        <f>+Norfolk!D25</f>
        <v>0.65377483711153217</v>
      </c>
    </row>
    <row r="21" spans="1:12">
      <c r="A21" s="60" t="s">
        <v>49</v>
      </c>
      <c r="B21" s="65">
        <v>6.5000000000000002E-2</v>
      </c>
      <c r="C21" s="65">
        <f>+Norfolk!E13</f>
        <v>6.321907369440101E-2</v>
      </c>
      <c r="D21" s="64"/>
      <c r="E21" s="65">
        <v>0.378</v>
      </c>
      <c r="F21" s="65">
        <f>+F14</f>
        <v>0.30111306106641184</v>
      </c>
      <c r="G21" s="64"/>
      <c r="H21" s="65">
        <v>0.158</v>
      </c>
      <c r="I21" s="65">
        <f>+I14</f>
        <v>0.1668984253536514</v>
      </c>
      <c r="J21" s="64"/>
      <c r="K21" s="65">
        <v>0.39888115771480304</v>
      </c>
      <c r="L21" s="65">
        <f>+L14</f>
        <v>0.46876943988553571</v>
      </c>
    </row>
    <row r="22" spans="1:12" s="63" customFormat="1">
      <c r="A22" s="58" t="s">
        <v>0</v>
      </c>
      <c r="B22" s="59">
        <v>0.19400000000000001</v>
      </c>
      <c r="C22" s="59">
        <f>+Norfolk!F13</f>
        <v>0.19122390939794304</v>
      </c>
      <c r="D22" s="66"/>
      <c r="E22" s="59">
        <v>0.30099999999999999</v>
      </c>
      <c r="F22" s="59">
        <f>+Norfolk!F38</f>
        <v>0.29235877581146019</v>
      </c>
      <c r="G22" s="66"/>
      <c r="H22" s="59">
        <v>0.158</v>
      </c>
      <c r="I22" s="59">
        <f>+Norfolk!F19</f>
        <v>0.15221045557358234</v>
      </c>
      <c r="J22" s="66"/>
      <c r="K22" s="59">
        <v>0.36499999999999999</v>
      </c>
      <c r="L22" s="59">
        <f>+Norfolk!F25</f>
        <v>0.3642068592170144</v>
      </c>
    </row>
    <row r="23" spans="1:12">
      <c r="A23" s="60"/>
      <c r="B23" s="65"/>
      <c r="C23" s="65"/>
      <c r="D23" s="64"/>
      <c r="E23" s="65"/>
      <c r="F23" s="65"/>
      <c r="G23" s="64"/>
      <c r="H23" s="65"/>
      <c r="I23" s="65"/>
      <c r="J23" s="64"/>
      <c r="K23" s="65"/>
      <c r="L23" s="65"/>
    </row>
    <row r="24" spans="1:12">
      <c r="A24" s="58" t="s">
        <v>44</v>
      </c>
      <c r="B24" s="62"/>
      <c r="C24" s="62"/>
      <c r="D24" s="68"/>
      <c r="E24" s="62"/>
      <c r="F24" s="62"/>
      <c r="G24" s="68"/>
      <c r="H24" s="62"/>
      <c r="I24" s="62"/>
      <c r="J24" s="68"/>
      <c r="K24" s="62"/>
      <c r="L24" s="62"/>
    </row>
    <row r="25" spans="1:12">
      <c r="A25" s="60" t="s">
        <v>41</v>
      </c>
      <c r="B25" s="67">
        <v>0.223</v>
      </c>
      <c r="C25" s="67">
        <f>+Portsmouth!B13</f>
        <v>0.18704831523246016</v>
      </c>
      <c r="D25" s="64"/>
      <c r="E25" s="67">
        <v>0.39400000000000002</v>
      </c>
      <c r="F25" s="67">
        <f>+Portsmouth!B38</f>
        <v>0.43461409605912227</v>
      </c>
      <c r="G25" s="64"/>
      <c r="H25" s="67">
        <v>0.15</v>
      </c>
      <c r="I25" s="67">
        <f>+Portsmouth!B19</f>
        <v>0.1620780968864432</v>
      </c>
      <c r="J25" s="64"/>
      <c r="K25" s="65">
        <v>0.25849924500743804</v>
      </c>
      <c r="L25" s="65">
        <f>+Portsmouth!B25</f>
        <v>0.21625949182197435</v>
      </c>
    </row>
    <row r="26" spans="1:12">
      <c r="A26" s="60" t="s">
        <v>16</v>
      </c>
      <c r="B26" s="67">
        <v>0.253</v>
      </c>
      <c r="C26" s="67">
        <f>+C20</f>
        <v>0.20256504198283329</v>
      </c>
      <c r="D26" s="64"/>
      <c r="E26" s="67">
        <v>0.29299999999999998</v>
      </c>
      <c r="F26" s="67">
        <f>+F20</f>
        <v>2.3238304448016812E-2</v>
      </c>
      <c r="G26" s="64"/>
      <c r="H26" s="67">
        <v>0.158</v>
      </c>
      <c r="I26" s="67">
        <f>+I20</f>
        <v>0.16689842535365138</v>
      </c>
      <c r="J26" s="64"/>
      <c r="K26" s="65">
        <v>0.29599999999999999</v>
      </c>
      <c r="L26" s="65">
        <f>+L20</f>
        <v>0.65377483711153217</v>
      </c>
    </row>
    <row r="27" spans="1:12">
      <c r="A27" s="60" t="s">
        <v>49</v>
      </c>
      <c r="B27" s="65">
        <v>6.5000000000000002E-2</v>
      </c>
      <c r="C27" s="65">
        <f>+Portsmouth!D13</f>
        <v>6.321907369440101E-2</v>
      </c>
      <c r="D27" s="64"/>
      <c r="E27" s="65">
        <v>0.378</v>
      </c>
      <c r="F27" s="65">
        <f>+F21</f>
        <v>0.30111306106641184</v>
      </c>
      <c r="G27" s="64"/>
      <c r="H27" s="65">
        <v>0.158</v>
      </c>
      <c r="I27" s="65">
        <f>+I21</f>
        <v>0.1668984253536514</v>
      </c>
      <c r="J27" s="64"/>
      <c r="K27" s="65">
        <v>0.39888050988310603</v>
      </c>
      <c r="L27" s="65">
        <f>+L21</f>
        <v>0.46876943988553571</v>
      </c>
    </row>
    <row r="28" spans="1:12" s="63" customFormat="1">
      <c r="A28" s="58" t="s">
        <v>0</v>
      </c>
      <c r="B28" s="59">
        <v>0.20699999999999999</v>
      </c>
      <c r="C28" s="59">
        <f>+Portsmouth!E13</f>
        <v>0.17364111421525694</v>
      </c>
      <c r="D28" s="66"/>
      <c r="E28" s="59">
        <v>0.38200000000000001</v>
      </c>
      <c r="F28" s="59">
        <f>+Portsmouth!E38</f>
        <v>0.34367531345306623</v>
      </c>
      <c r="G28" s="66"/>
      <c r="H28" s="59">
        <v>0.158</v>
      </c>
      <c r="I28" s="59">
        <f>+Portsmouth!E19</f>
        <v>0.16347696547668555</v>
      </c>
      <c r="J28" s="66"/>
      <c r="K28" s="59">
        <v>0.25900000000000001</v>
      </c>
      <c r="L28" s="59">
        <f>+Portsmouth!E25</f>
        <v>0.3192066068549913</v>
      </c>
    </row>
    <row r="29" spans="1:12">
      <c r="A29" s="60"/>
      <c r="B29" s="65"/>
      <c r="C29" s="65"/>
      <c r="D29" s="64"/>
      <c r="E29" s="65"/>
      <c r="F29" s="65"/>
      <c r="G29" s="64"/>
      <c r="H29" s="65"/>
      <c r="I29" s="65"/>
      <c r="J29" s="64"/>
      <c r="K29" s="65"/>
      <c r="L29" s="65"/>
    </row>
    <row r="30" spans="1:12" hidden="1">
      <c r="A30" s="58" t="s">
        <v>50</v>
      </c>
      <c r="B30" s="65"/>
      <c r="C30" s="65"/>
      <c r="D30" s="64"/>
      <c r="E30" s="65"/>
      <c r="F30" s="65"/>
      <c r="G30" s="64"/>
      <c r="H30" s="65"/>
      <c r="I30" s="65"/>
      <c r="J30" s="64"/>
      <c r="K30" s="65"/>
      <c r="L30" s="65"/>
    </row>
    <row r="31" spans="1:12" hidden="1">
      <c r="A31" s="60" t="s">
        <v>41</v>
      </c>
      <c r="B31" s="65">
        <v>9.5000000000000001E-2</v>
      </c>
      <c r="C31" s="65" t="e">
        <f>Suffolk!B13</f>
        <v>#DIV/0!</v>
      </c>
      <c r="D31" s="64"/>
      <c r="E31" s="65">
        <v>0.52600000000000002</v>
      </c>
      <c r="F31" s="65" t="e">
        <f>Suffolk!B38</f>
        <v>#DIV/0!</v>
      </c>
      <c r="G31" s="64"/>
      <c r="H31" s="65">
        <v>0.158</v>
      </c>
      <c r="I31" s="65" t="e">
        <f>Suffolk!B19</f>
        <v>#DIV/0!</v>
      </c>
      <c r="J31" s="64"/>
      <c r="K31" s="65">
        <v>0.22</v>
      </c>
      <c r="L31" s="65" t="e">
        <f>Suffolk!B25</f>
        <v>#DIV/0!</v>
      </c>
    </row>
    <row r="32" spans="1:12" hidden="1">
      <c r="A32" s="60" t="s">
        <v>49</v>
      </c>
      <c r="B32" s="65">
        <v>6.5000000000000002E-2</v>
      </c>
      <c r="C32" s="65" t="e">
        <f>+Suffolk!C13</f>
        <v>#DIV/0!</v>
      </c>
      <c r="D32" s="64"/>
      <c r="E32" s="65">
        <v>0.378</v>
      </c>
      <c r="F32" s="65" t="e">
        <f>+Suffolk!C38</f>
        <v>#DIV/0!</v>
      </c>
      <c r="G32" s="64"/>
      <c r="H32" s="65">
        <v>0.158</v>
      </c>
      <c r="I32" s="65" t="e">
        <f>+Suffolk!C19</f>
        <v>#DIV/0!</v>
      </c>
      <c r="J32" s="64"/>
      <c r="K32" s="65">
        <v>0.39900000000000002</v>
      </c>
      <c r="L32" s="65" t="e">
        <f>+Suffolk!C25</f>
        <v>#DIV/0!</v>
      </c>
    </row>
    <row r="33" spans="1:12" s="63" customFormat="1" hidden="1">
      <c r="A33" s="58" t="s">
        <v>0</v>
      </c>
      <c r="B33" s="59">
        <v>9.1999999999999998E-2</v>
      </c>
      <c r="C33" s="59" t="e">
        <f>Suffolk!D13</f>
        <v>#DIV/0!</v>
      </c>
      <c r="D33" s="66"/>
      <c r="E33" s="59">
        <v>0.50900000000000001</v>
      </c>
      <c r="F33" s="59" t="e">
        <f>Suffolk!D38</f>
        <v>#DIV/0!</v>
      </c>
      <c r="G33" s="66"/>
      <c r="H33" s="59">
        <v>0.158</v>
      </c>
      <c r="I33" s="59" t="e">
        <f>Suffolk!D19</f>
        <v>#DIV/0!</v>
      </c>
      <c r="J33" s="66"/>
      <c r="K33" s="59">
        <v>0.24099999999999999</v>
      </c>
      <c r="L33" s="59" t="e">
        <f>Suffolk!D25</f>
        <v>#DIV/0!</v>
      </c>
    </row>
    <row r="34" spans="1:12" hidden="1">
      <c r="A34" s="58"/>
      <c r="B34" s="65"/>
      <c r="C34" s="65"/>
      <c r="D34" s="64"/>
      <c r="E34" s="65"/>
      <c r="F34" s="65"/>
      <c r="G34" s="64"/>
      <c r="H34" s="65"/>
      <c r="I34" s="65"/>
      <c r="J34" s="64"/>
      <c r="K34" s="65"/>
      <c r="L34" s="65"/>
    </row>
    <row r="35" spans="1:12">
      <c r="A35" s="58" t="s">
        <v>45</v>
      </c>
      <c r="B35" s="62"/>
      <c r="C35" s="62"/>
      <c r="D35" s="68"/>
      <c r="E35" s="62"/>
      <c r="F35" s="62"/>
      <c r="G35" s="68"/>
      <c r="H35" s="62"/>
      <c r="I35" s="62"/>
      <c r="J35" s="68"/>
      <c r="K35" s="62"/>
      <c r="L35" s="62"/>
    </row>
    <row r="36" spans="1:12">
      <c r="A36" s="60" t="s">
        <v>41</v>
      </c>
      <c r="B36" s="67">
        <v>0.28100000000000003</v>
      </c>
      <c r="C36" s="67">
        <f>+'Virginia Beach'!B13</f>
        <v>0.23989319342446397</v>
      </c>
      <c r="D36" s="64"/>
      <c r="E36" s="67">
        <v>0.33700000000000002</v>
      </c>
      <c r="F36" s="67">
        <f>+'Virginia Beach'!B38</f>
        <v>0.37707109768581054</v>
      </c>
      <c r="G36" s="64"/>
      <c r="H36" s="67">
        <v>0.152</v>
      </c>
      <c r="I36" s="67">
        <f>+'Virginia Beach'!B19</f>
        <v>0.16142375921730373</v>
      </c>
      <c r="J36" s="64"/>
      <c r="K36" s="65">
        <v>0.23022872222423335</v>
      </c>
      <c r="L36" s="65">
        <f>+'Virginia Beach'!B25</f>
        <v>0.22161194967242165</v>
      </c>
    </row>
    <row r="37" spans="1:12">
      <c r="A37" s="60" t="s">
        <v>49</v>
      </c>
      <c r="B37" s="65">
        <v>6.5000000000000002E-2</v>
      </c>
      <c r="C37" s="65">
        <f>+'Virginia Beach'!C13</f>
        <v>6.3219073694401023E-2</v>
      </c>
      <c r="D37" s="64"/>
      <c r="E37" s="65">
        <v>0.378</v>
      </c>
      <c r="F37" s="65">
        <f>+F27</f>
        <v>0.30111306106641184</v>
      </c>
      <c r="G37" s="64"/>
      <c r="H37" s="65">
        <v>0.158</v>
      </c>
      <c r="I37" s="65">
        <f>+I27</f>
        <v>0.1668984253536514</v>
      </c>
      <c r="J37" s="64"/>
      <c r="K37" s="65">
        <v>0.39900000000000002</v>
      </c>
      <c r="L37" s="65">
        <f>+L27</f>
        <v>0.46876943988553571</v>
      </c>
    </row>
    <row r="38" spans="1:12" s="63" customFormat="1">
      <c r="A38" s="58" t="s">
        <v>0</v>
      </c>
      <c r="B38" s="59">
        <v>0.23200000000000001</v>
      </c>
      <c r="C38" s="59">
        <f>+'Virginia Beach'!D13</f>
        <v>0.1827559146468308</v>
      </c>
      <c r="D38" s="66"/>
      <c r="E38" s="59">
        <v>0.34599999999999997</v>
      </c>
      <c r="F38" s="59">
        <f>+'Virginia Beach'!D38</f>
        <v>0.35250589526479215</v>
      </c>
      <c r="G38" s="66"/>
      <c r="H38" s="59">
        <v>0.158</v>
      </c>
      <c r="I38" s="59">
        <f>+'Virginia Beach'!D19</f>
        <v>0.16319429315699394</v>
      </c>
      <c r="J38" s="66"/>
      <c r="K38" s="59">
        <v>0.26900000000000002</v>
      </c>
      <c r="L38" s="59">
        <f>+'Virginia Beach'!D25</f>
        <v>0.30154389693138312</v>
      </c>
    </row>
    <row r="39" spans="1:12">
      <c r="A39" s="60"/>
      <c r="B39" s="65"/>
      <c r="C39" s="65"/>
      <c r="D39" s="64"/>
      <c r="E39" s="65"/>
      <c r="F39" s="65"/>
      <c r="G39" s="64"/>
      <c r="H39" s="65"/>
      <c r="I39" s="65"/>
      <c r="J39" s="64"/>
      <c r="K39" s="65"/>
      <c r="L39" s="65"/>
    </row>
    <row r="40" spans="1:12">
      <c r="A40" s="58" t="s">
        <v>46</v>
      </c>
      <c r="B40" s="62"/>
      <c r="C40" s="62"/>
      <c r="D40" s="68"/>
      <c r="E40" s="62"/>
      <c r="F40" s="62"/>
      <c r="G40" s="68"/>
      <c r="H40" s="62"/>
      <c r="I40" s="62"/>
      <c r="J40" s="68"/>
      <c r="K40" s="62"/>
      <c r="L40" s="62"/>
    </row>
    <row r="41" spans="1:12">
      <c r="A41" s="60" t="s">
        <v>41</v>
      </c>
      <c r="B41" s="67">
        <v>0.23300000000000001</v>
      </c>
      <c r="C41" s="67">
        <f>+Hampton!B13</f>
        <v>0.21901111120123029</v>
      </c>
      <c r="D41" s="64"/>
      <c r="E41" s="67">
        <v>0.38800000000000001</v>
      </c>
      <c r="F41" s="67">
        <f>+Hampton!B38</f>
        <v>0.41074149793301606</v>
      </c>
      <c r="G41" s="64"/>
      <c r="H41" s="67">
        <v>0.158</v>
      </c>
      <c r="I41" s="67">
        <f>+Hampton!B19</f>
        <v>0.1668984253536514</v>
      </c>
      <c r="J41" s="64"/>
      <c r="K41" s="65">
        <v>0.22</v>
      </c>
      <c r="L41" s="65">
        <f>+Hampton!B25</f>
        <v>0.20334896551210227</v>
      </c>
    </row>
    <row r="42" spans="1:12">
      <c r="A42" s="60" t="s">
        <v>49</v>
      </c>
      <c r="B42" s="65">
        <v>6.5000000000000002E-2</v>
      </c>
      <c r="C42" s="65">
        <f>+Hampton!D13</f>
        <v>6.321907369440101E-2</v>
      </c>
      <c r="D42" s="69"/>
      <c r="E42" s="65">
        <v>0.378</v>
      </c>
      <c r="F42" s="65">
        <f>+F37</f>
        <v>0.30111306106641184</v>
      </c>
      <c r="G42" s="69"/>
      <c r="H42" s="65">
        <v>0.158</v>
      </c>
      <c r="I42" s="65">
        <f>+I37</f>
        <v>0.1668984253536514</v>
      </c>
      <c r="J42" s="69"/>
      <c r="K42" s="65">
        <v>0.36899999999999999</v>
      </c>
      <c r="L42" s="65">
        <f>+L37</f>
        <v>0.46876943988553571</v>
      </c>
    </row>
    <row r="43" spans="1:12" s="63" customFormat="1">
      <c r="A43" s="58" t="s">
        <v>0</v>
      </c>
      <c r="B43" s="59">
        <v>0.19700000000000001</v>
      </c>
      <c r="C43" s="59">
        <f>+Hampton!E13</f>
        <v>0.17615492267993124</v>
      </c>
      <c r="D43" s="70"/>
      <c r="E43" s="59">
        <v>0.38600000000000001</v>
      </c>
      <c r="F43" s="59">
        <f>+Hampton!E38</f>
        <v>0.38058426375829407</v>
      </c>
      <c r="G43" s="70"/>
      <c r="H43" s="59">
        <v>0.158</v>
      </c>
      <c r="I43" s="59">
        <f>+Hampton!E19</f>
        <v>0.16689842535365138</v>
      </c>
      <c r="J43" s="70"/>
      <c r="K43" s="59">
        <v>0.25900000000000001</v>
      </c>
      <c r="L43" s="59">
        <f>+Hampton!E25</f>
        <v>0.2763623882081232</v>
      </c>
    </row>
    <row r="44" spans="1:12">
      <c r="A44" s="60"/>
      <c r="B44" s="65"/>
      <c r="C44" s="65"/>
      <c r="D44" s="69"/>
      <c r="E44" s="65"/>
      <c r="F44" s="65"/>
      <c r="G44" s="69"/>
      <c r="H44" s="65"/>
      <c r="I44" s="65"/>
      <c r="J44" s="69"/>
      <c r="K44" s="65"/>
      <c r="L44" s="65"/>
    </row>
    <row r="45" spans="1:12">
      <c r="A45" s="58" t="s">
        <v>47</v>
      </c>
      <c r="B45" s="62"/>
      <c r="C45" s="62"/>
      <c r="D45" s="68"/>
      <c r="E45" s="62"/>
      <c r="F45" s="62"/>
      <c r="G45" s="68"/>
      <c r="H45" s="62"/>
      <c r="I45" s="62"/>
      <c r="J45" s="68"/>
      <c r="K45" s="62"/>
      <c r="L45" s="62"/>
    </row>
    <row r="46" spans="1:12">
      <c r="A46" s="60" t="s">
        <v>41</v>
      </c>
      <c r="B46" s="67">
        <v>0.26600000000000001</v>
      </c>
      <c r="C46" s="67">
        <f>+'Newport News'!B13</f>
        <v>0.27380242466269222</v>
      </c>
      <c r="D46" s="64"/>
      <c r="E46" s="67">
        <v>0.35499999999999998</v>
      </c>
      <c r="F46" s="67">
        <f>+'Newport News'!B38</f>
        <v>0.35595018447155419</v>
      </c>
      <c r="G46" s="64"/>
      <c r="H46" s="67">
        <v>0.158</v>
      </c>
      <c r="I46" s="67">
        <f>+'Newport News'!B19</f>
        <v>0.1668984253536514</v>
      </c>
      <c r="J46" s="64"/>
      <c r="K46" s="65">
        <v>0.22047103061235362</v>
      </c>
      <c r="L46" s="65">
        <f>+'Newport News'!B25</f>
        <v>0.20334896551210224</v>
      </c>
    </row>
    <row r="47" spans="1:12">
      <c r="A47" s="60" t="s">
        <v>49</v>
      </c>
      <c r="B47" s="65">
        <v>6.5000000000000002E-2</v>
      </c>
      <c r="C47" s="65">
        <f>+'Newport News'!C13</f>
        <v>6.321907369440101E-2</v>
      </c>
      <c r="D47" s="69"/>
      <c r="E47" s="65">
        <v>0.378</v>
      </c>
      <c r="F47" s="65">
        <f>+F42</f>
        <v>0.30111306106641184</v>
      </c>
      <c r="G47" s="69"/>
      <c r="H47" s="65">
        <v>0.158</v>
      </c>
      <c r="I47" s="65">
        <f>+I42</f>
        <v>0.1668984253536514</v>
      </c>
      <c r="J47" s="69"/>
      <c r="K47" s="65">
        <v>0.39900000000000002</v>
      </c>
      <c r="L47" s="65">
        <f>+L42</f>
        <v>0.46876943988553571</v>
      </c>
    </row>
    <row r="48" spans="1:12" s="63" customFormat="1">
      <c r="A48" s="58" t="s">
        <v>0</v>
      </c>
      <c r="B48" s="71">
        <v>0.23100000000000001</v>
      </c>
      <c r="C48" s="71">
        <f>+'Newport News'!D13</f>
        <v>0.2270564122314086</v>
      </c>
      <c r="D48" s="66"/>
      <c r="E48" s="71">
        <v>0.35899999999999999</v>
      </c>
      <c r="F48" s="71">
        <f>+'Newport News'!D38</f>
        <v>0.34377725227817008</v>
      </c>
      <c r="G48" s="66"/>
      <c r="H48" s="59">
        <v>0.158</v>
      </c>
      <c r="I48" s="71">
        <f>+'Newport News'!D19</f>
        <v>0.1668984253536514</v>
      </c>
      <c r="J48" s="66"/>
      <c r="K48" s="71">
        <v>0.252</v>
      </c>
      <c r="L48" s="71">
        <f>+'Newport News'!D25</f>
        <v>0.26226791013676992</v>
      </c>
    </row>
    <row r="50" spans="1:12" s="63" customFormat="1">
      <c r="A50" s="58" t="s">
        <v>25</v>
      </c>
      <c r="B50" s="71">
        <v>0.21199999999999999</v>
      </c>
      <c r="C50" s="71">
        <f>+MAX!B13</f>
        <v>0.27028723670095317</v>
      </c>
      <c r="D50" s="66"/>
      <c r="E50" s="71">
        <v>0</v>
      </c>
      <c r="F50" s="71">
        <v>0</v>
      </c>
      <c r="G50" s="66"/>
      <c r="H50" s="59">
        <v>0.313</v>
      </c>
      <c r="I50" s="71">
        <f>+MAX!B19</f>
        <v>0.24956176504827401</v>
      </c>
      <c r="J50" s="66"/>
      <c r="K50" s="71">
        <v>0.47499999999999998</v>
      </c>
      <c r="L50" s="71">
        <f>+MAX!B25</f>
        <v>0.48015099825077279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topLeftCell="A15" zoomScaleNormal="100" workbookViewId="0">
      <selection activeCell="H15" sqref="H15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7">
      <c r="A1" s="99" t="s">
        <v>59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25</v>
      </c>
      <c r="C3" s="79" t="s">
        <v>29</v>
      </c>
      <c r="D3" s="79" t="s">
        <v>26</v>
      </c>
      <c r="E3" s="79" t="s">
        <v>0</v>
      </c>
      <c r="F3" s="77"/>
    </row>
    <row r="4" spans="1:7" ht="13.5" thickBot="1">
      <c r="A4" s="125" t="s">
        <v>51</v>
      </c>
      <c r="B4" s="126">
        <f>+'[1]System ridership '!$B$16</f>
        <v>36280.328831430212</v>
      </c>
      <c r="C4" s="126"/>
      <c r="D4" s="126"/>
      <c r="E4" s="128">
        <f>SUM(B4:D4)</f>
        <v>36280.328831430212</v>
      </c>
      <c r="F4" s="118"/>
      <c r="G4" s="50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Allocation'!$E$14</f>
        <v>2772.8</v>
      </c>
      <c r="C6" s="81"/>
      <c r="D6" s="81">
        <v>0</v>
      </c>
      <c r="E6" s="82">
        <f>SUM(B6:D6)</f>
        <v>2772.8</v>
      </c>
      <c r="F6" s="77"/>
    </row>
    <row r="7" spans="1:7" hidden="1">
      <c r="A7" s="83" t="s">
        <v>5</v>
      </c>
      <c r="B7" s="84">
        <f>+Chesapeake!B7</f>
        <v>74.507826440564884</v>
      </c>
      <c r="C7" s="84">
        <f>+Chesapeake!C7</f>
        <v>74.507826440564884</v>
      </c>
      <c r="D7" s="84">
        <f>+Chesapeake!B7</f>
        <v>74.507826440564884</v>
      </c>
      <c r="E7" s="85">
        <f>(E10/E6)-E8</f>
        <v>74.507826440564884</v>
      </c>
      <c r="F7" s="77"/>
    </row>
    <row r="8" spans="1:7" hidden="1">
      <c r="A8" s="83" t="s">
        <v>6</v>
      </c>
      <c r="B8" s="84">
        <f>+Chesapeake!B8</f>
        <v>11.984796085985176</v>
      </c>
      <c r="C8" s="84">
        <f>+Chesapeake!C8</f>
        <v>11.984796085985176</v>
      </c>
      <c r="D8" s="84">
        <f>B8</f>
        <v>11.984796085985176</v>
      </c>
      <c r="E8" s="85">
        <f>D8</f>
        <v>11.984796085985176</v>
      </c>
      <c r="F8" s="77"/>
    </row>
    <row r="9" spans="1:7">
      <c r="A9" s="83" t="s">
        <v>38</v>
      </c>
      <c r="B9" s="84">
        <f>SUM(B7:B8)</f>
        <v>86.492622526550065</v>
      </c>
      <c r="C9" s="84">
        <f>SUM(C7:C8)</f>
        <v>86.492622526550065</v>
      </c>
      <c r="D9" s="84">
        <f>SUM(D7:D8)</f>
        <v>86.492622526550065</v>
      </c>
      <c r="E9" s="85">
        <f>SUM(E7:E8)</f>
        <v>86.492622526550065</v>
      </c>
      <c r="F9" s="77"/>
    </row>
    <row r="10" spans="1:7" ht="13.5" thickBot="1">
      <c r="A10" s="86" t="s">
        <v>7</v>
      </c>
      <c r="B10" s="87">
        <f>SUM(B7:B8)*B6</f>
        <v>239826.74374161803</v>
      </c>
      <c r="C10" s="87">
        <f>SUM(C7:C8)*C6</f>
        <v>0</v>
      </c>
      <c r="D10" s="87">
        <f>SUM(D7:D8)*D6</f>
        <v>0</v>
      </c>
      <c r="E10" s="88">
        <f>SUM(B10:D10)</f>
        <v>239826.74374161803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0">
        <f>+'[1]Cost Allocation'!$F$14</f>
        <v>64822.107852909554</v>
      </c>
      <c r="C12" s="90"/>
      <c r="D12" s="90">
        <v>0</v>
      </c>
      <c r="E12" s="92">
        <f>SUM(B12:D12)</f>
        <v>64822.107852909554</v>
      </c>
      <c r="F12" s="77"/>
    </row>
    <row r="13" spans="1:7" ht="13.5" thickBot="1">
      <c r="A13" s="93" t="s">
        <v>8</v>
      </c>
      <c r="B13" s="94">
        <f>B12/B10</f>
        <v>0.27028723670095317</v>
      </c>
      <c r="C13" s="94"/>
      <c r="D13" s="94" t="e">
        <f>D12/D10</f>
        <v>#DIV/0!</v>
      </c>
      <c r="E13" s="95">
        <f>E12/E10</f>
        <v>0.27028723670095317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175004.63588870846</v>
      </c>
      <c r="C15" s="97">
        <f>C10-C12</f>
        <v>0</v>
      </c>
      <c r="D15" s="97">
        <f>D10-D12</f>
        <v>0</v>
      </c>
      <c r="E15" s="98">
        <f>E10-E12</f>
        <v>175004.63588870846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Allocation'!$S$14</f>
        <v>59851.585473938299</v>
      </c>
      <c r="C18" s="91">
        <v>0</v>
      </c>
      <c r="D18" s="91">
        <v>0</v>
      </c>
      <c r="E18" s="92">
        <f>SUM(B18:D18)</f>
        <v>59851.585473938299</v>
      </c>
      <c r="F18" s="99"/>
    </row>
    <row r="19" spans="1:6">
      <c r="A19" s="104" t="s">
        <v>32</v>
      </c>
      <c r="B19" s="105">
        <f>B18/B$10</f>
        <v>0.24956176504827401</v>
      </c>
      <c r="C19" s="105"/>
      <c r="D19" s="105" t="e">
        <f>D18/D$10</f>
        <v>#DIV/0!</v>
      </c>
      <c r="E19" s="106">
        <f>E18/E$10</f>
        <v>0.24956176504827401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Allocation'!$W$14</f>
        <v>115153.05041477017</v>
      </c>
      <c r="C21" s="108"/>
      <c r="D21" s="108">
        <v>0</v>
      </c>
      <c r="E21" s="109">
        <f>SUM(B21:D21)</f>
        <v>115153.05041477017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v>0</v>
      </c>
      <c r="E22" s="109">
        <f>SUM(B22:D22)</f>
        <v>0</v>
      </c>
      <c r="F22" s="77"/>
    </row>
    <row r="23" spans="1:6" hidden="1">
      <c r="A23" s="104" t="s">
        <v>12</v>
      </c>
      <c r="B23" s="84">
        <v>0</v>
      </c>
      <c r="C23" s="108">
        <f>+'[1]Cost Allocation'!$Q$8+'[1]Cost Allocation'!$Q$10</f>
        <v>0</v>
      </c>
      <c r="D23" s="108">
        <v>0</v>
      </c>
      <c r="E23" s="109">
        <f>SUM(C23:D23)</f>
        <v>0</v>
      </c>
      <c r="F23" s="77"/>
    </row>
    <row r="24" spans="1:6" s="8" customFormat="1">
      <c r="A24" s="110" t="s">
        <v>34</v>
      </c>
      <c r="B24" s="102">
        <f>SUM(B21:B23)</f>
        <v>115153.05041477017</v>
      </c>
      <c r="C24" s="102">
        <f>+Norfolk!D13</f>
        <v>0.20256504198283329</v>
      </c>
      <c r="D24" s="102">
        <f>SUM(D21:D23)</f>
        <v>0</v>
      </c>
      <c r="E24" s="107">
        <f>SUM(E21:E23)</f>
        <v>115153.05041477017</v>
      </c>
      <c r="F24" s="99"/>
    </row>
    <row r="25" spans="1:6">
      <c r="A25" s="104" t="s">
        <v>35</v>
      </c>
      <c r="B25" s="105">
        <f>+B24/B10</f>
        <v>0.48015099825077279</v>
      </c>
      <c r="C25" s="105" t="e">
        <f>+C24/C10</f>
        <v>#DIV/0!</v>
      </c>
      <c r="D25" s="105" t="e">
        <f>+D24/D10</f>
        <v>#DIV/0!</v>
      </c>
      <c r="E25" s="106">
        <f>+E24/E10</f>
        <v>0.48015099825077279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-0.20256504198283329</v>
      </c>
      <c r="D37" s="102">
        <f>+D15-D24-D18</f>
        <v>0</v>
      </c>
      <c r="E37" s="107">
        <f>+E15-E24-E18</f>
        <v>0</v>
      </c>
      <c r="F37" s="99"/>
    </row>
    <row r="38" spans="1:6" ht="13.5" thickBot="1">
      <c r="A38" s="93" t="s">
        <v>37</v>
      </c>
      <c r="B38" s="94">
        <f>ABS(B37/B10)</f>
        <v>0</v>
      </c>
      <c r="C38" s="94"/>
      <c r="D38" s="94" t="e">
        <f>ABS(D37/D10)</f>
        <v>#DIV/0!</v>
      </c>
      <c r="E38" s="95">
        <f>ABS(E37/E10)</f>
        <v>0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142" t="s">
        <v>13</v>
      </c>
      <c r="B40" s="142"/>
      <c r="C40" s="142"/>
      <c r="D40" s="142"/>
      <c r="E40" s="116">
        <v>0</v>
      </c>
      <c r="F40" s="77"/>
    </row>
    <row r="41" spans="1:6" ht="13.5" customHeight="1">
      <c r="A41" s="142" t="s">
        <v>14</v>
      </c>
      <c r="B41" s="142"/>
      <c r="C41" s="142"/>
      <c r="D41" s="142"/>
      <c r="E41" s="119">
        <v>0</v>
      </c>
      <c r="F41" s="77"/>
    </row>
    <row r="42" spans="1:6" ht="13.5" customHeight="1">
      <c r="A42" s="142" t="s">
        <v>15</v>
      </c>
      <c r="B42" s="142"/>
      <c r="C42" s="142"/>
      <c r="D42" s="142"/>
      <c r="E42" s="119">
        <v>0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143" t="s">
        <v>24</v>
      </c>
      <c r="B44" s="143"/>
      <c r="C44" s="143"/>
      <c r="D44" s="143"/>
      <c r="E44" s="100">
        <f>SUM(E40:E42)+E37</f>
        <v>0</v>
      </c>
      <c r="F44" s="77"/>
    </row>
    <row r="46" spans="1:6">
      <c r="A46" s="3"/>
    </row>
    <row r="47" spans="1:6" ht="12.75" customHeight="1">
      <c r="A47" s="145" t="s">
        <v>57</v>
      </c>
      <c r="B47" s="145"/>
      <c r="C47" s="145"/>
      <c r="D47" s="145"/>
      <c r="E47" s="145"/>
    </row>
    <row r="48" spans="1:6">
      <c r="A48" s="145"/>
      <c r="B48" s="145"/>
      <c r="C48" s="145"/>
      <c r="D48" s="145"/>
      <c r="E48" s="145"/>
    </row>
    <row r="49" spans="1:5">
      <c r="A49" s="145"/>
      <c r="B49" s="145"/>
      <c r="C49" s="145"/>
      <c r="D49" s="145"/>
      <c r="E49" s="145"/>
    </row>
  </sheetData>
  <mergeCells count="5">
    <mergeCell ref="A40:D40"/>
    <mergeCell ref="A41:D41"/>
    <mergeCell ref="A42:D42"/>
    <mergeCell ref="A44:D44"/>
    <mergeCell ref="A47:E49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9"/>
  <sheetViews>
    <sheetView tabSelected="1" zoomScaleNormal="100" workbookViewId="0">
      <selection activeCell="H15" sqref="H15"/>
    </sheetView>
  </sheetViews>
  <sheetFormatPr defaultRowHeight="12"/>
  <cols>
    <col min="1" max="1" width="24.42578125" style="11" bestFit="1" customWidth="1"/>
    <col min="2" max="2" width="15" style="21" bestFit="1" customWidth="1"/>
    <col min="3" max="4" width="13.140625" style="21" bestFit="1" customWidth="1"/>
    <col min="5" max="5" width="11.85546875" style="21" bestFit="1" customWidth="1"/>
    <col min="6" max="6" width="14.5703125" style="21" bestFit="1" customWidth="1"/>
    <col min="7" max="7" width="14.85546875" style="21" bestFit="1" customWidth="1"/>
    <col min="8" max="8" width="21" style="11" bestFit="1" customWidth="1"/>
    <col min="9" max="9" width="12.85546875" style="11" bestFit="1" customWidth="1"/>
    <col min="10" max="16384" width="9.140625" style="11"/>
  </cols>
  <sheetData>
    <row r="1" spans="1:7">
      <c r="A1" s="31" t="s">
        <v>66</v>
      </c>
    </row>
    <row r="3" spans="1:7" s="47" customFormat="1" ht="12.75" thickBot="1">
      <c r="B3" s="48" t="s">
        <v>1</v>
      </c>
      <c r="C3" s="48" t="s">
        <v>25</v>
      </c>
      <c r="D3" s="48" t="s">
        <v>39</v>
      </c>
      <c r="E3" s="48" t="s">
        <v>16</v>
      </c>
      <c r="F3" s="48" t="s">
        <v>49</v>
      </c>
      <c r="G3" s="48" t="s">
        <v>0</v>
      </c>
    </row>
    <row r="4" spans="1:7" s="47" customFormat="1" ht="12.75" thickBot="1">
      <c r="A4" s="135" t="s">
        <v>51</v>
      </c>
      <c r="B4" s="136">
        <f>+Chesapeake!B4+Norfolk!B4+Portsmouth!B4+Suffolk!B4+'Virginia Beach'!B4+Hampton!B4+'Newport News'!B4</f>
        <v>1298350.0858295597</v>
      </c>
      <c r="C4" s="123">
        <f>+MAX!E4</f>
        <v>36280.328831430212</v>
      </c>
      <c r="D4" s="123">
        <f>+Norfolk!C4</f>
        <v>146542.73864932286</v>
      </c>
      <c r="E4" s="123">
        <f>Norfolk!D4+Portsmouth!C4</f>
        <v>26810.846689687311</v>
      </c>
      <c r="F4" s="123">
        <f>+Chesapeake!D4+Norfolk!E4+Portsmouth!D4+Suffolk!C4+'Virginia Beach'!C4+Hampton!D4+'Newport News'!C4</f>
        <v>29055</v>
      </c>
      <c r="G4" s="124">
        <f>SUM(B4:F4)</f>
        <v>1537039.0000000002</v>
      </c>
    </row>
    <row r="5" spans="1:7" s="47" customFormat="1" ht="12.75" thickBot="1">
      <c r="B5" s="48"/>
      <c r="C5" s="48"/>
      <c r="D5" s="48"/>
      <c r="E5" s="48"/>
      <c r="F5" s="48"/>
      <c r="G5" s="48"/>
    </row>
    <row r="6" spans="1:7">
      <c r="A6" s="12" t="s">
        <v>4</v>
      </c>
      <c r="B6" s="13">
        <f>+Chesapeake!B6+Norfolk!B6+Portsmouth!B6+Suffolk!B6+'Virginia Beach'!B6+Hampton!B6+'Newport News'!B6</f>
        <v>54770.6</v>
      </c>
      <c r="C6" s="13">
        <f>+MAX!E6</f>
        <v>2772.8</v>
      </c>
      <c r="D6" s="13">
        <f>+Norfolk!C6</f>
        <v>2445.15</v>
      </c>
      <c r="E6" s="13">
        <f>Norfolk!D6+Portsmouth!C6</f>
        <v>509.17</v>
      </c>
      <c r="F6" s="13">
        <f>+Chesapeake!D6+Norfolk!E6+Portsmouth!D6+Suffolk!C6+'Virginia Beach'!C6+Hampton!D6+'Newport News'!C6</f>
        <v>16237.810000000001</v>
      </c>
      <c r="G6" s="14">
        <f>SUM(B6:F6)</f>
        <v>76735.53</v>
      </c>
    </row>
    <row r="7" spans="1:7" hidden="1">
      <c r="A7" s="15" t="s">
        <v>5</v>
      </c>
      <c r="B7" s="16">
        <f>+Chesapeake!B7</f>
        <v>74.507826440564884</v>
      </c>
      <c r="C7" s="16">
        <f>B7</f>
        <v>74.507826440564884</v>
      </c>
      <c r="D7" s="16">
        <f>+Norfolk!C7</f>
        <v>298.90870089769544</v>
      </c>
      <c r="E7" s="16">
        <f>+Portsmouth!C7</f>
        <v>383.90557181295048</v>
      </c>
      <c r="F7" s="16">
        <f>+Chesapeake!D7</f>
        <v>68.09664788539834</v>
      </c>
      <c r="G7" s="17">
        <f>(G10/G6)-G8</f>
        <v>82.354600274475231</v>
      </c>
    </row>
    <row r="8" spans="1:7" hidden="1">
      <c r="A8" s="15" t="s">
        <v>6</v>
      </c>
      <c r="B8" s="16">
        <f>+Chesapeake!B8</f>
        <v>11.984796085985176</v>
      </c>
      <c r="C8" s="16">
        <f>B8</f>
        <v>11.984796085985176</v>
      </c>
      <c r="D8" s="16">
        <f>+Norfolk!C8</f>
        <v>11.984796085985176</v>
      </c>
      <c r="E8" s="16">
        <f>B8</f>
        <v>11.984796085985176</v>
      </c>
      <c r="F8" s="16">
        <f>+E8</f>
        <v>11.984796085985176</v>
      </c>
      <c r="G8" s="17">
        <f>F8</f>
        <v>11.984796085985176</v>
      </c>
    </row>
    <row r="9" spans="1:7">
      <c r="A9" s="15" t="s">
        <v>38</v>
      </c>
      <c r="B9" s="16">
        <f t="shared" ref="B9:G9" si="0">SUM(B7:B8)</f>
        <v>86.492622526550065</v>
      </c>
      <c r="C9" s="16">
        <f t="shared" si="0"/>
        <v>86.492622526550065</v>
      </c>
      <c r="D9" s="16">
        <f t="shared" si="0"/>
        <v>310.89349698368062</v>
      </c>
      <c r="E9" s="16">
        <f t="shared" si="0"/>
        <v>395.89036789893566</v>
      </c>
      <c r="F9" s="16">
        <f t="shared" si="0"/>
        <v>80.081443971383521</v>
      </c>
      <c r="G9" s="17">
        <f t="shared" si="0"/>
        <v>94.339396360460412</v>
      </c>
    </row>
    <row r="10" spans="1:7" ht="12.75" thickBot="1">
      <c r="A10" s="18" t="s">
        <v>7</v>
      </c>
      <c r="B10" s="19">
        <f>SUM(B7:B8)*B6</f>
        <v>4737252.8313526632</v>
      </c>
      <c r="C10" s="19">
        <f>SUM(C7:C8)*C6</f>
        <v>239826.74374161803</v>
      </c>
      <c r="D10" s="19">
        <f>+Norfolk!C10</f>
        <v>760181.23414964671</v>
      </c>
      <c r="E10" s="19">
        <f>SUM(E7:E8)*E6</f>
        <v>201575.49862310107</v>
      </c>
      <c r="F10" s="19">
        <f>SUM(F7:F8)*F6</f>
        <v>1300347.2717329711</v>
      </c>
      <c r="G10" s="20">
        <f>SUM(B10:F10)</f>
        <v>7239183.5796000008</v>
      </c>
    </row>
    <row r="11" spans="1:7" ht="12.75" thickBot="1"/>
    <row r="12" spans="1:7">
      <c r="A12" s="22" t="s">
        <v>30</v>
      </c>
      <c r="B12" s="23">
        <f>+Chesapeake!B12+Norfolk!B12+Portsmouth!B12+Suffolk!B12+'Virginia Beach'!B12+Hampton!B12+'Newport News'!B12</f>
        <v>1050936.6938857837</v>
      </c>
      <c r="C12" s="23">
        <f>+MAX!E12</f>
        <v>64822.107852909554</v>
      </c>
      <c r="D12" s="23">
        <f>+Norfolk!C12</f>
        <v>161774.41120324645</v>
      </c>
      <c r="E12" s="23">
        <f>Norfolk!D12+Portsmouth!C12</f>
        <v>40946.64705806008</v>
      </c>
      <c r="F12" s="23">
        <f>+Chesapeake!D12+Norfolk!E12+Portsmouth!D12+Suffolk!C12+'Virginia Beach'!C12+Hampton!D12+'Newport News'!C12</f>
        <v>82206.75</v>
      </c>
      <c r="G12" s="24">
        <f>SUM(B12:F12)</f>
        <v>1400686.6099999996</v>
      </c>
    </row>
    <row r="13" spans="1:7" ht="12.75" thickBot="1">
      <c r="A13" s="25" t="s">
        <v>8</v>
      </c>
      <c r="B13" s="26">
        <f t="shared" ref="B13:G13" si="1">B12/B10</f>
        <v>0.22184517721544153</v>
      </c>
      <c r="C13" s="26">
        <f>C12/C10</f>
        <v>0.27028723670095317</v>
      </c>
      <c r="D13" s="26">
        <f t="shared" si="1"/>
        <v>0.21281031934997766</v>
      </c>
      <c r="E13" s="26">
        <f t="shared" si="1"/>
        <v>0.20313305603981519</v>
      </c>
      <c r="F13" s="26">
        <f t="shared" si="1"/>
        <v>6.321907369440101E-2</v>
      </c>
      <c r="G13" s="27">
        <f t="shared" si="1"/>
        <v>0.19348681997057385</v>
      </c>
    </row>
    <row r="14" spans="1:7" ht="12.75" thickBot="1"/>
    <row r="15" spans="1:7" ht="12.75" thickBot="1">
      <c r="A15" s="28" t="s">
        <v>27</v>
      </c>
      <c r="B15" s="29">
        <f t="shared" ref="B15:G15" si="2">+B10-B12</f>
        <v>3686316.1374668796</v>
      </c>
      <c r="C15" s="29">
        <f t="shared" si="2"/>
        <v>175004.63588870846</v>
      </c>
      <c r="D15" s="29">
        <f t="shared" si="2"/>
        <v>598406.82294640027</v>
      </c>
      <c r="E15" s="29">
        <f t="shared" si="2"/>
        <v>160628.851565041</v>
      </c>
      <c r="F15" s="29">
        <f t="shared" si="2"/>
        <v>1218140.5217329711</v>
      </c>
      <c r="G15" s="30">
        <f t="shared" si="2"/>
        <v>5838496.9696000014</v>
      </c>
    </row>
    <row r="16" spans="1:7" ht="12.75" thickBot="1">
      <c r="A16" s="31"/>
      <c r="B16" s="32"/>
      <c r="C16" s="32"/>
      <c r="D16" s="32"/>
      <c r="E16" s="32"/>
      <c r="F16" s="32"/>
      <c r="G16" s="32"/>
    </row>
    <row r="17" spans="1:8" ht="12.75" hidden="1" thickBot="1">
      <c r="A17" s="49"/>
      <c r="B17" s="37"/>
      <c r="C17" s="37"/>
      <c r="D17" s="37"/>
      <c r="E17" s="37"/>
      <c r="F17" s="37"/>
      <c r="G17" s="37"/>
    </row>
    <row r="18" spans="1:8" s="31" customFormat="1">
      <c r="A18" s="53" t="s">
        <v>31</v>
      </c>
      <c r="B18" s="23">
        <f>+Chesapeake!B18+Norfolk!B18+Portsmouth!B18+Suffolk!B18+'Virginia Beach'!B18+Hampton!B18+'Newport News'!B18</f>
        <v>751491.0173617258</v>
      </c>
      <c r="C18" s="23">
        <f>+MAX!E18</f>
        <v>59851.585473938299</v>
      </c>
      <c r="D18" s="23">
        <f>+Norfolk!C18</f>
        <v>114027.18512244699</v>
      </c>
      <c r="E18" s="23">
        <f>Norfolk!D18+Portsmouth!C18</f>
        <v>33642.633310072692</v>
      </c>
      <c r="F18" s="23">
        <f>+Chesapeake!D18+Norfolk!E18+Portsmouth!D18+Suffolk!C18+'Virginia Beach'!C18+Hampton!D18+'Newport News'!C18</f>
        <v>217025.91206514955</v>
      </c>
      <c r="G18" s="24">
        <f>SUM(B18:F18)</f>
        <v>1176038.3333333333</v>
      </c>
    </row>
    <row r="19" spans="1:8">
      <c r="A19" s="33" t="s">
        <v>32</v>
      </c>
      <c r="B19" s="39">
        <f t="shared" ref="B19:G19" si="3">B18/B$10</f>
        <v>0.15863434866471904</v>
      </c>
      <c r="C19" s="39">
        <f t="shared" si="3"/>
        <v>0.24956176504827401</v>
      </c>
      <c r="D19" s="39">
        <f t="shared" si="3"/>
        <v>0.14999999999999997</v>
      </c>
      <c r="E19" s="39">
        <f t="shared" si="3"/>
        <v>0.16689842535365138</v>
      </c>
      <c r="F19" s="39">
        <f t="shared" si="3"/>
        <v>0.1668984253536514</v>
      </c>
      <c r="G19" s="40">
        <f t="shared" si="3"/>
        <v>0.16245455311389065</v>
      </c>
    </row>
    <row r="20" spans="1:8">
      <c r="A20" s="33"/>
      <c r="B20" s="37"/>
      <c r="C20" s="37"/>
      <c r="D20" s="37"/>
      <c r="E20" s="37"/>
      <c r="F20" s="37"/>
      <c r="G20" s="38"/>
      <c r="H20" s="52"/>
    </row>
    <row r="21" spans="1:8" hidden="1">
      <c r="A21" s="33" t="s">
        <v>10</v>
      </c>
      <c r="B21" s="34">
        <f>+Chesapeake!B21+Norfolk!B21+Portsmouth!B21+Suffolk!B21+'Virginia Beach'!B21+Hampton!B21+'Newport News'!B21</f>
        <v>915616.31362509995</v>
      </c>
      <c r="C21" s="34">
        <f>+MAX!E21</f>
        <v>115153.05041477017</v>
      </c>
      <c r="D21" s="34">
        <f>+Norfolk!C21</f>
        <v>45454.545454545456</v>
      </c>
      <c r="E21" s="34">
        <f>Norfolk!D21+Portsmouth!C21</f>
        <v>131784.98877799377</v>
      </c>
      <c r="F21" s="34">
        <f>+Chesapeake!D21+Norfolk!E21+Portsmouth!D21+Suffolk!C21+'Virginia Beach'!C21+Hampton!D21+'Newport News'!C21</f>
        <v>446661.45056028268</v>
      </c>
      <c r="G21" s="35">
        <f>SUM(B21:F21)</f>
        <v>1654670.348832692</v>
      </c>
    </row>
    <row r="22" spans="1:8" hidden="1">
      <c r="A22" s="33" t="s">
        <v>11</v>
      </c>
      <c r="B22" s="34">
        <v>0</v>
      </c>
      <c r="C22" s="34">
        <v>0</v>
      </c>
      <c r="D22" s="34">
        <f>+Norfolk!C22</f>
        <v>0</v>
      </c>
      <c r="E22" s="34">
        <v>0</v>
      </c>
      <c r="F22" s="34">
        <f>+Chesapeake!D22+Norfolk!E22+Portsmouth!D22+Suffolk!C22+'Virginia Beach'!C22+Hampton!D22+'Newport News'!C22</f>
        <v>162901.61166666666</v>
      </c>
      <c r="G22" s="35">
        <f>SUM(B22:F22)</f>
        <v>162901.61166666666</v>
      </c>
    </row>
    <row r="23" spans="1:8" hidden="1">
      <c r="A23" s="33" t="s">
        <v>12</v>
      </c>
      <c r="B23" s="34">
        <f>+Norfolk!B23+Portsmouth!B23+'Virginia Beach'!B23</f>
        <v>152056.6367469434</v>
      </c>
      <c r="C23" s="34">
        <f>+MAX!E23</f>
        <v>0</v>
      </c>
      <c r="D23" s="34">
        <f>+Norfolk!C23</f>
        <v>399855.32916271413</v>
      </c>
      <c r="E23" s="34">
        <v>0</v>
      </c>
      <c r="F23" s="34">
        <v>0</v>
      </c>
      <c r="G23" s="35">
        <f>SUM(B23:F23)</f>
        <v>551911.96590965753</v>
      </c>
    </row>
    <row r="24" spans="1:8" s="31" customFormat="1">
      <c r="A24" s="55" t="s">
        <v>34</v>
      </c>
      <c r="B24" s="37">
        <f>SUM(B21:B23)</f>
        <v>1067672.9503720433</v>
      </c>
      <c r="C24" s="37">
        <f>SUM(C21:C23)</f>
        <v>115153.05041477017</v>
      </c>
      <c r="D24" s="37">
        <f t="shared" ref="D24:G24" si="4">SUM(D21:D23)</f>
        <v>445309.8746172596</v>
      </c>
      <c r="E24" s="37">
        <f t="shared" si="4"/>
        <v>131784.98877799377</v>
      </c>
      <c r="F24" s="37">
        <f t="shared" si="4"/>
        <v>609563.06222694938</v>
      </c>
      <c r="G24" s="38">
        <f t="shared" si="4"/>
        <v>2369483.9264090164</v>
      </c>
    </row>
    <row r="25" spans="1:8">
      <c r="A25" s="33" t="s">
        <v>35</v>
      </c>
      <c r="B25" s="39">
        <f t="shared" ref="B25:G25" si="5">+B24/B10</f>
        <v>0.22537808058413944</v>
      </c>
      <c r="C25" s="39">
        <f t="shared" si="5"/>
        <v>0.48015099825077279</v>
      </c>
      <c r="D25" s="39">
        <f>+D24/D10</f>
        <v>0.5857943535206992</v>
      </c>
      <c r="E25" s="39">
        <f t="shared" si="5"/>
        <v>0.65377483711153217</v>
      </c>
      <c r="F25" s="39">
        <f t="shared" si="5"/>
        <v>0.46876943988553571</v>
      </c>
      <c r="G25" s="40">
        <f t="shared" si="5"/>
        <v>0.32731369502580587</v>
      </c>
    </row>
    <row r="26" spans="1:8" hidden="1">
      <c r="A26" s="33"/>
      <c r="B26" s="39"/>
      <c r="C26" s="39"/>
      <c r="D26" s="39"/>
      <c r="E26" s="39"/>
      <c r="F26" s="39"/>
      <c r="G26" s="40"/>
    </row>
    <row r="27" spans="1:8" hidden="1">
      <c r="A27" s="33"/>
      <c r="B27" s="39"/>
      <c r="C27" s="39"/>
      <c r="D27" s="39"/>
      <c r="E27" s="39"/>
      <c r="F27" s="39"/>
      <c r="G27" s="40"/>
    </row>
    <row r="28" spans="1:8" hidden="1">
      <c r="A28" s="15"/>
      <c r="B28" s="41"/>
      <c r="C28" s="41"/>
      <c r="D28" s="41"/>
      <c r="E28" s="41"/>
      <c r="F28" s="41"/>
      <c r="G28" s="56"/>
    </row>
    <row r="29" spans="1:8" hidden="1">
      <c r="A29" s="15"/>
      <c r="B29" s="41"/>
      <c r="C29" s="41"/>
      <c r="D29" s="41"/>
      <c r="E29" s="41"/>
      <c r="F29" s="41"/>
      <c r="G29" s="56"/>
    </row>
    <row r="30" spans="1:8" hidden="1">
      <c r="A30" s="36"/>
      <c r="B30" s="37"/>
      <c r="C30" s="37"/>
      <c r="D30" s="37"/>
      <c r="E30" s="37"/>
      <c r="F30" s="37"/>
      <c r="G30" s="38"/>
    </row>
    <row r="31" spans="1:8" hidden="1">
      <c r="A31" s="15"/>
      <c r="B31" s="41"/>
      <c r="C31" s="41"/>
      <c r="D31" s="41"/>
      <c r="E31" s="41"/>
      <c r="F31" s="41"/>
      <c r="G31" s="56"/>
    </row>
    <row r="32" spans="1:8" hidden="1">
      <c r="A32" s="15"/>
      <c r="B32" s="41"/>
      <c r="C32" s="41"/>
      <c r="D32" s="41"/>
      <c r="E32" s="41"/>
      <c r="F32" s="41"/>
      <c r="G32" s="56"/>
    </row>
    <row r="33" spans="1:8" hidden="1">
      <c r="A33" s="15"/>
      <c r="B33" s="41"/>
      <c r="C33" s="41"/>
      <c r="D33" s="41"/>
      <c r="E33" s="41"/>
      <c r="F33" s="41"/>
      <c r="G33" s="56"/>
    </row>
    <row r="34" spans="1:8" hidden="1">
      <c r="A34" s="15"/>
      <c r="B34" s="41"/>
      <c r="C34" s="41"/>
      <c r="D34" s="41"/>
      <c r="E34" s="41"/>
      <c r="F34" s="41"/>
      <c r="G34" s="56"/>
    </row>
    <row r="35" spans="1:8" hidden="1">
      <c r="A35" s="36"/>
      <c r="B35" s="54"/>
      <c r="C35" s="54"/>
      <c r="D35" s="54"/>
      <c r="E35" s="54"/>
      <c r="F35" s="54"/>
      <c r="G35" s="57"/>
    </row>
    <row r="36" spans="1:8">
      <c r="A36" s="15"/>
      <c r="B36" s="41"/>
      <c r="C36" s="41"/>
      <c r="D36" s="41"/>
      <c r="E36" s="41"/>
      <c r="F36" s="41"/>
      <c r="G36" s="56"/>
    </row>
    <row r="37" spans="1:8" s="31" customFormat="1">
      <c r="A37" s="36" t="s">
        <v>33</v>
      </c>
      <c r="B37" s="37">
        <f t="shared" ref="B37:G37" si="6">+B15-B24-B18</f>
        <v>1867152.1697331108</v>
      </c>
      <c r="C37" s="37">
        <f t="shared" si="6"/>
        <v>0</v>
      </c>
      <c r="D37" s="37">
        <f t="shared" si="6"/>
        <v>39069.763206693679</v>
      </c>
      <c r="E37" s="37">
        <f t="shared" si="6"/>
        <v>-4798.7705230254651</v>
      </c>
      <c r="F37" s="37">
        <f t="shared" si="6"/>
        <v>391551.54744087218</v>
      </c>
      <c r="G37" s="38">
        <f t="shared" si="6"/>
        <v>2292974.709857652</v>
      </c>
    </row>
    <row r="38" spans="1:8" ht="12.75" thickBot="1">
      <c r="A38" s="25" t="s">
        <v>37</v>
      </c>
      <c r="B38" s="26">
        <f t="shared" ref="B38:G38" si="7">ABS(B37/B10)</f>
        <v>0.39414239353570008</v>
      </c>
      <c r="C38" s="26">
        <f t="shared" si="7"/>
        <v>0</v>
      </c>
      <c r="D38" s="26">
        <f t="shared" si="7"/>
        <v>5.1395327129323133E-2</v>
      </c>
      <c r="E38" s="26">
        <f t="shared" si="7"/>
        <v>2.3806318504998671E-2</v>
      </c>
      <c r="F38" s="26">
        <f t="shared" si="7"/>
        <v>0.30111306106641184</v>
      </c>
      <c r="G38" s="27">
        <f t="shared" si="7"/>
        <v>0.31674493188972969</v>
      </c>
    </row>
    <row r="40" spans="1:8" ht="13.5" customHeight="1">
      <c r="E40" s="140" t="s">
        <v>13</v>
      </c>
      <c r="F40" s="140"/>
      <c r="G40" s="34">
        <f>+Chesapeake!E40+Norfolk!F40+Portsmouth!E40+Suffolk!D40+'Virginia Beach'!D40+Hampton!E40+'Newport News'!D40</f>
        <v>111324.22</v>
      </c>
    </row>
    <row r="41" spans="1:8" ht="13.5" customHeight="1">
      <c r="E41" s="140" t="s">
        <v>14</v>
      </c>
      <c r="F41" s="140"/>
      <c r="G41" s="41">
        <f>Chesapeake!E41+Hampton!E41+'Newport News'!D41+Norfolk!F41+Portsmouth!E41+'Virginia Beach'!D41+Suffolk!D41</f>
        <v>-16636.585829069594</v>
      </c>
    </row>
    <row r="42" spans="1:8" ht="13.5" customHeight="1">
      <c r="E42" s="140" t="s">
        <v>15</v>
      </c>
      <c r="F42" s="140"/>
      <c r="G42" s="41">
        <f>Chesapeake!E42+Hampton!E42+'Newport News'!D42+Norfolk!F42+Portsmouth!E42+'Virginia Beach'!D42+Suffolk!D42</f>
        <v>125547.84899999999</v>
      </c>
    </row>
    <row r="43" spans="1:8">
      <c r="F43" s="42"/>
    </row>
    <row r="44" spans="1:8" ht="13.5" customHeight="1">
      <c r="E44" s="141" t="s">
        <v>36</v>
      </c>
      <c r="F44" s="141"/>
      <c r="G44" s="32">
        <f>+SUM(G40:G42)+G37</f>
        <v>2513210.1930285823</v>
      </c>
    </row>
    <row r="47" spans="1:8">
      <c r="F47" s="43"/>
    </row>
    <row r="48" spans="1:8">
      <c r="F48" s="44"/>
      <c r="G48" s="45"/>
      <c r="H48" s="31"/>
    </row>
    <row r="50" spans="7:9" hidden="1"/>
    <row r="51" spans="7:9" hidden="1">
      <c r="G51" s="21">
        <f>+'[1]Cost Allocation'!$AL$184</f>
        <v>2513210.1930285804</v>
      </c>
    </row>
    <row r="52" spans="7:9" hidden="1">
      <c r="G52" s="21">
        <f>+G51-G44</f>
        <v>0</v>
      </c>
    </row>
    <row r="59" spans="7:9">
      <c r="I59" s="46"/>
    </row>
  </sheetData>
  <mergeCells count="4">
    <mergeCell ref="E40:F40"/>
    <mergeCell ref="E41:F41"/>
    <mergeCell ref="E44:F44"/>
    <mergeCell ref="E42:F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7"/>
  <sheetViews>
    <sheetView zoomScaleNormal="100" workbookViewId="0">
      <selection activeCell="H15" sqref="H15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7">
      <c r="A1" s="99" t="s">
        <v>65</v>
      </c>
      <c r="B1" s="78"/>
      <c r="C1" s="78"/>
      <c r="D1" s="78"/>
      <c r="E1" s="78"/>
    </row>
    <row r="2" spans="1:7">
      <c r="A2" s="77"/>
      <c r="B2" s="78"/>
      <c r="C2" s="78"/>
      <c r="D2" s="78"/>
      <c r="E2" s="78"/>
    </row>
    <row r="3" spans="1:7" ht="13.5" thickBot="1">
      <c r="A3" s="77"/>
      <c r="B3" s="79" t="s">
        <v>1</v>
      </c>
      <c r="C3" s="79" t="s">
        <v>2</v>
      </c>
      <c r="D3" s="79" t="s">
        <v>49</v>
      </c>
      <c r="E3" s="79" t="s">
        <v>0</v>
      </c>
    </row>
    <row r="4" spans="1:7" ht="13.5" thickBot="1">
      <c r="A4" s="130" t="s">
        <v>51</v>
      </c>
      <c r="B4" s="126">
        <f>+'[1]System ridership '!$C$16</f>
        <v>63084.16850473357</v>
      </c>
      <c r="C4" s="126"/>
      <c r="D4" s="126">
        <f>+'[1]System ridership '!$C$19</f>
        <v>3463</v>
      </c>
      <c r="E4" s="128">
        <f>SUM(B4:D4)</f>
        <v>66547.168504733563</v>
      </c>
      <c r="F4" s="50"/>
      <c r="G4" s="50"/>
    </row>
    <row r="5" spans="1:7" ht="13.5" thickBot="1">
      <c r="A5" s="77"/>
      <c r="B5" s="79"/>
      <c r="C5" s="79"/>
      <c r="D5" s="79"/>
      <c r="E5" s="79"/>
    </row>
    <row r="6" spans="1:7">
      <c r="A6" s="80" t="s">
        <v>4</v>
      </c>
      <c r="B6" s="81">
        <f>+'[1]Cost Allocation'!$E$26</f>
        <v>2887.4</v>
      </c>
      <c r="C6" s="81"/>
      <c r="D6" s="81">
        <f>+'[1]Cost Allocation'!$E$28</f>
        <v>1730.1476437359456</v>
      </c>
      <c r="E6" s="82">
        <f>SUM(B6:D6)</f>
        <v>4617.5476437359457</v>
      </c>
    </row>
    <row r="7" spans="1:7" hidden="1">
      <c r="A7" s="83" t="s">
        <v>5</v>
      </c>
      <c r="B7" s="84">
        <f>+'[1]Cost Allocation'!$G$26</f>
        <v>74.507826440564884</v>
      </c>
      <c r="C7" s="84">
        <f>+B7</f>
        <v>74.507826440564884</v>
      </c>
      <c r="D7" s="84">
        <f>+'[1]Cost Allocation'!$G$28</f>
        <v>68.09664788539834</v>
      </c>
      <c r="E7" s="85">
        <f>(E10/E6)-E8</f>
        <v>72.105623728950349</v>
      </c>
    </row>
    <row r="8" spans="1:7" hidden="1">
      <c r="A8" s="83" t="s">
        <v>6</v>
      </c>
      <c r="B8" s="84">
        <f>+'[1]Cost Allocation'!$I$26</f>
        <v>11.984796085985176</v>
      </c>
      <c r="C8" s="84">
        <f>+B8</f>
        <v>11.984796085985176</v>
      </c>
      <c r="D8" s="84">
        <f>+B8</f>
        <v>11.984796085985176</v>
      </c>
      <c r="E8" s="85">
        <f>D8</f>
        <v>11.984796085985176</v>
      </c>
    </row>
    <row r="9" spans="1:7">
      <c r="A9" s="83" t="s">
        <v>38</v>
      </c>
      <c r="B9" s="84">
        <f>SUM(B7:B8)</f>
        <v>86.492622526550065</v>
      </c>
      <c r="C9" s="84">
        <f>SUM(C7:C8)</f>
        <v>86.492622526550065</v>
      </c>
      <c r="D9" s="84">
        <f>SUM(D7:D8)</f>
        <v>80.081443971383521</v>
      </c>
      <c r="E9" s="85">
        <f>SUM(E7:E8)</f>
        <v>84.09041981493553</v>
      </c>
    </row>
    <row r="10" spans="1:7" ht="13.5" thickBot="1">
      <c r="A10" s="86" t="s">
        <v>7</v>
      </c>
      <c r="B10" s="87">
        <f>SUM(B7:B8)*B6</f>
        <v>249738.79828316066</v>
      </c>
      <c r="C10" s="87">
        <f>SUM(C7:C8)*C6</f>
        <v>0</v>
      </c>
      <c r="D10" s="87">
        <f>SUM(D7:D8)*D6</f>
        <v>138552.72159406135</v>
      </c>
      <c r="E10" s="88">
        <f>SUM(B10:D10)</f>
        <v>388291.51987722202</v>
      </c>
    </row>
    <row r="11" spans="1:7" ht="13.5" thickBot="1">
      <c r="A11" s="77"/>
      <c r="B11" s="78"/>
      <c r="C11" s="78"/>
      <c r="D11" s="78"/>
      <c r="E11" s="78"/>
    </row>
    <row r="12" spans="1:7">
      <c r="A12" s="89" t="s">
        <v>30</v>
      </c>
      <c r="B12" s="91">
        <f>+'[1]Cost Allocation'!$F$26</f>
        <v>52200.101051487451</v>
      </c>
      <c r="C12" s="91">
        <v>0</v>
      </c>
      <c r="D12" s="91">
        <f>+'[1]Cost Allocation'!$F$28</f>
        <v>8759.1747170147901</v>
      </c>
      <c r="E12" s="92">
        <f>SUM(B12:D12)</f>
        <v>60959.275768502237</v>
      </c>
    </row>
    <row r="13" spans="1:7" ht="13.5" thickBot="1">
      <c r="A13" s="93" t="s">
        <v>8</v>
      </c>
      <c r="B13" s="94">
        <f>B12/B10</f>
        <v>0.20901878847155159</v>
      </c>
      <c r="C13" s="94">
        <v>0</v>
      </c>
      <c r="D13" s="94">
        <f>D12/D10</f>
        <v>6.321907369440101E-2</v>
      </c>
      <c r="E13" s="95">
        <f>E12/E10</f>
        <v>0.15699357994678223</v>
      </c>
    </row>
    <row r="14" spans="1:7" ht="13.5" thickBot="1">
      <c r="A14" s="77"/>
      <c r="B14" s="78"/>
      <c r="C14" s="78"/>
      <c r="D14" s="78"/>
      <c r="E14" s="78"/>
    </row>
    <row r="15" spans="1:7" ht="13.5" thickBot="1">
      <c r="A15" s="96" t="s">
        <v>27</v>
      </c>
      <c r="B15" s="97">
        <f>+B10-B12</f>
        <v>197538.69723167323</v>
      </c>
      <c r="C15" s="97">
        <f>+C10-C12</f>
        <v>0</v>
      </c>
      <c r="D15" s="97">
        <f>+D10-D12</f>
        <v>129793.54687704657</v>
      </c>
      <c r="E15" s="98">
        <f>+E10-E12</f>
        <v>327332.24410871975</v>
      </c>
    </row>
    <row r="16" spans="1:7" ht="13.5" thickBot="1">
      <c r="A16" s="99"/>
      <c r="B16" s="100"/>
      <c r="C16" s="100"/>
      <c r="D16" s="100"/>
      <c r="E16" s="100"/>
    </row>
    <row r="17" spans="1:6" ht="13.5" hidden="1" thickBot="1">
      <c r="A17" s="101"/>
      <c r="B17" s="102"/>
      <c r="C17" s="102"/>
      <c r="D17" s="102"/>
      <c r="E17" s="102"/>
    </row>
    <row r="18" spans="1:6" s="8" customFormat="1">
      <c r="A18" s="103" t="s">
        <v>31</v>
      </c>
      <c r="B18" s="91">
        <f>+'[1]Cost Allocation'!$U$26</f>
        <v>41681.012183172694</v>
      </c>
      <c r="C18" s="91">
        <v>0</v>
      </c>
      <c r="D18" s="91">
        <f>+'[1]Cost Allocation'!$U$28</f>
        <v>23124.231062511695</v>
      </c>
      <c r="E18" s="92">
        <f>SUM(B18:D18)</f>
        <v>64805.243245684389</v>
      </c>
    </row>
    <row r="19" spans="1:6">
      <c r="A19" s="104" t="s">
        <v>32</v>
      </c>
      <c r="B19" s="105">
        <f>B18/B$10</f>
        <v>0.1668984253536514</v>
      </c>
      <c r="C19" s="105">
        <v>0</v>
      </c>
      <c r="D19" s="105">
        <f>D18/D$10</f>
        <v>0.1668984253536514</v>
      </c>
      <c r="E19" s="106">
        <f>E18/E$10</f>
        <v>0.1668984253536514</v>
      </c>
    </row>
    <row r="20" spans="1:6">
      <c r="A20" s="104"/>
      <c r="B20" s="102"/>
      <c r="C20" s="102"/>
      <c r="D20" s="102"/>
      <c r="E20" s="107"/>
      <c r="F20" s="50"/>
    </row>
    <row r="21" spans="1:6" hidden="1">
      <c r="A21" s="104" t="s">
        <v>10</v>
      </c>
      <c r="B21" s="108">
        <f>+'[1]Cost Allocation'!$W$26</f>
        <v>50784.126279116303</v>
      </c>
      <c r="C21" s="108">
        <v>0</v>
      </c>
      <c r="D21" s="108">
        <f>+'[1]Cost Allocation'!$W$28</f>
        <v>47592.024801038606</v>
      </c>
      <c r="E21" s="109">
        <f>SUM(B21:D21)</f>
        <v>98376.151080154901</v>
      </c>
    </row>
    <row r="22" spans="1:6" hidden="1">
      <c r="A22" s="104" t="s">
        <v>11</v>
      </c>
      <c r="B22" s="84">
        <v>0</v>
      </c>
      <c r="C22" s="108">
        <v>0</v>
      </c>
      <c r="D22" s="108">
        <f>+'[1]Cost Allocation'!$X$28</f>
        <v>17357.256895226103</v>
      </c>
      <c r="E22" s="109">
        <f>SUM(B22:D22)</f>
        <v>17357.256895226103</v>
      </c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</row>
    <row r="24" spans="1:6" s="8" customFormat="1">
      <c r="A24" s="110" t="s">
        <v>34</v>
      </c>
      <c r="B24" s="102">
        <f>SUM(B21:B23)</f>
        <v>50784.126279116303</v>
      </c>
      <c r="C24" s="102">
        <f>SUM(C21:C23)</f>
        <v>0</v>
      </c>
      <c r="D24" s="102">
        <f>SUM(D21:D23)</f>
        <v>64949.281696264705</v>
      </c>
      <c r="E24" s="107">
        <f>SUM(E21:E23)</f>
        <v>115733.40797538101</v>
      </c>
    </row>
    <row r="25" spans="1:6">
      <c r="A25" s="104" t="s">
        <v>35</v>
      </c>
      <c r="B25" s="105">
        <f>+B24/B10</f>
        <v>0.20334896551210227</v>
      </c>
      <c r="C25" s="105" t="e">
        <f>+C24/C10</f>
        <v>#DIV/0!</v>
      </c>
      <c r="D25" s="105">
        <f>+D24/D10</f>
        <v>0.46876943988553565</v>
      </c>
      <c r="E25" s="106">
        <f>+E24/E10</f>
        <v>0.29805803642576578</v>
      </c>
    </row>
    <row r="26" spans="1:6" hidden="1">
      <c r="A26" s="104"/>
      <c r="B26" s="105"/>
      <c r="C26" s="105"/>
      <c r="D26" s="105"/>
      <c r="E26" s="106"/>
    </row>
    <row r="27" spans="1:6" hidden="1">
      <c r="A27" s="104"/>
      <c r="B27" s="105"/>
      <c r="C27" s="105"/>
      <c r="D27" s="105"/>
      <c r="E27" s="106"/>
    </row>
    <row r="28" spans="1:6" hidden="1">
      <c r="A28" s="83"/>
      <c r="B28" s="111"/>
      <c r="C28" s="111"/>
      <c r="D28" s="111"/>
      <c r="E28" s="112"/>
    </row>
    <row r="29" spans="1:6" hidden="1">
      <c r="A29" s="83"/>
      <c r="B29" s="111"/>
      <c r="C29" s="111"/>
      <c r="D29" s="111"/>
      <c r="E29" s="112"/>
    </row>
    <row r="30" spans="1:6" hidden="1">
      <c r="A30" s="113"/>
      <c r="B30" s="102"/>
      <c r="C30" s="102"/>
      <c r="D30" s="102"/>
      <c r="E30" s="107"/>
    </row>
    <row r="31" spans="1:6" hidden="1">
      <c r="A31" s="83"/>
      <c r="B31" s="111"/>
      <c r="C31" s="111"/>
      <c r="D31" s="111"/>
      <c r="E31" s="112"/>
    </row>
    <row r="32" spans="1:6" hidden="1">
      <c r="A32" s="83"/>
      <c r="B32" s="111"/>
      <c r="C32" s="111"/>
      <c r="D32" s="111"/>
      <c r="E32" s="112"/>
    </row>
    <row r="33" spans="1:5" hidden="1">
      <c r="A33" s="83"/>
      <c r="B33" s="111"/>
      <c r="C33" s="111"/>
      <c r="D33" s="111"/>
      <c r="E33" s="112"/>
    </row>
    <row r="34" spans="1:5" hidden="1">
      <c r="A34" s="83"/>
      <c r="B34" s="111"/>
      <c r="C34" s="111"/>
      <c r="D34" s="111"/>
      <c r="E34" s="112"/>
    </row>
    <row r="35" spans="1:5" hidden="1">
      <c r="A35" s="113"/>
      <c r="B35" s="114"/>
      <c r="C35" s="114"/>
      <c r="D35" s="114"/>
      <c r="E35" s="115"/>
    </row>
    <row r="36" spans="1:5">
      <c r="A36" s="83"/>
      <c r="B36" s="111"/>
      <c r="C36" s="111"/>
      <c r="D36" s="111"/>
      <c r="E36" s="112"/>
    </row>
    <row r="37" spans="1:5" s="8" customFormat="1">
      <c r="A37" s="113" t="s">
        <v>33</v>
      </c>
      <c r="B37" s="102">
        <f>+B15-B24-B18</f>
        <v>105073.55876938422</v>
      </c>
      <c r="C37" s="102">
        <f>+C15-C24-C18</f>
        <v>0</v>
      </c>
      <c r="D37" s="102">
        <f>+D15-D24-D18</f>
        <v>41720.034118270167</v>
      </c>
      <c r="E37" s="107">
        <f>+E15-E24-E18</f>
        <v>146793.59288765435</v>
      </c>
    </row>
    <row r="38" spans="1:5" ht="13.5" thickBot="1">
      <c r="A38" s="93" t="s">
        <v>37</v>
      </c>
      <c r="B38" s="94">
        <f>ABS(B37/B10)</f>
        <v>0.42073382066269477</v>
      </c>
      <c r="C38" s="94">
        <v>0</v>
      </c>
      <c r="D38" s="94">
        <f>ABS(D37/D10)</f>
        <v>0.30111306106641195</v>
      </c>
      <c r="E38" s="95">
        <f>ABS(E37/E10)</f>
        <v>0.37804995827380045</v>
      </c>
    </row>
    <row r="39" spans="1:5">
      <c r="A39" s="77"/>
      <c r="B39" s="78"/>
      <c r="C39" s="78"/>
      <c r="D39" s="78"/>
      <c r="E39" s="78"/>
    </row>
    <row r="40" spans="1:5" ht="13.5" customHeight="1">
      <c r="A40" s="77"/>
      <c r="B40" s="142" t="s">
        <v>13</v>
      </c>
      <c r="C40" s="142"/>
      <c r="D40" s="142"/>
      <c r="E40" s="116">
        <f>+'[1]Cost Allocation'!$AF$30</f>
        <v>18554.036666666667</v>
      </c>
    </row>
    <row r="41" spans="1:5" ht="13.5" customHeight="1">
      <c r="A41" s="77"/>
      <c r="B41" s="142" t="s">
        <v>14</v>
      </c>
      <c r="C41" s="142"/>
      <c r="D41" s="142"/>
      <c r="E41" s="116">
        <f>+'[1]Cost Allocation'!$AG$30</f>
        <v>-2772.7643048449327</v>
      </c>
    </row>
    <row r="42" spans="1:5" ht="13.5" customHeight="1">
      <c r="A42" s="77"/>
      <c r="B42" s="142" t="s">
        <v>15</v>
      </c>
      <c r="C42" s="142"/>
      <c r="D42" s="142"/>
      <c r="E42" s="116">
        <f>+'[1]Cost Allocation'!$AK$30</f>
        <v>7838.0445709084324</v>
      </c>
    </row>
    <row r="43" spans="1:5">
      <c r="A43" s="77"/>
      <c r="B43" s="78"/>
      <c r="C43" s="78"/>
      <c r="D43" s="117"/>
      <c r="E43" s="78"/>
    </row>
    <row r="44" spans="1:5" ht="13.5" customHeight="1">
      <c r="A44" s="99"/>
      <c r="B44" s="143" t="s">
        <v>21</v>
      </c>
      <c r="C44" s="143"/>
      <c r="D44" s="143"/>
      <c r="E44" s="100">
        <f>SUM(E40:E42)+E37</f>
        <v>170412.90982038452</v>
      </c>
    </row>
    <row r="45" spans="1:5">
      <c r="A45" s="6"/>
      <c r="B45" s="5"/>
      <c r="C45" s="5"/>
      <c r="D45" s="5"/>
      <c r="E45" s="5"/>
    </row>
    <row r="46" spans="1:5">
      <c r="A46" s="9"/>
      <c r="B46" s="5"/>
      <c r="C46" s="5"/>
      <c r="D46" s="5"/>
      <c r="E46" s="5"/>
    </row>
    <row r="47" spans="1:5">
      <c r="A47" s="6"/>
      <c r="B47" s="5"/>
      <c r="C47" s="5"/>
      <c r="D47" s="5"/>
      <c r="E47" s="5"/>
    </row>
  </sheetData>
  <mergeCells count="4"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H15" sqref="H15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7">
      <c r="A1" s="99" t="s">
        <v>64</v>
      </c>
      <c r="B1" s="78"/>
      <c r="C1" s="78"/>
      <c r="D1" s="78"/>
      <c r="E1" s="78"/>
      <c r="F1" s="78"/>
    </row>
    <row r="2" spans="1:7">
      <c r="A2" s="77"/>
      <c r="B2" s="78"/>
      <c r="C2" s="78"/>
      <c r="D2" s="78"/>
      <c r="E2" s="78"/>
      <c r="F2" s="78"/>
    </row>
    <row r="3" spans="1:7" ht="13.5" thickBot="1">
      <c r="A3" s="77"/>
      <c r="B3" s="79" t="s">
        <v>1</v>
      </c>
      <c r="C3" s="79" t="s">
        <v>39</v>
      </c>
      <c r="D3" s="79" t="s">
        <v>16</v>
      </c>
      <c r="E3" s="79" t="s">
        <v>49</v>
      </c>
      <c r="F3" s="79" t="s">
        <v>0</v>
      </c>
    </row>
    <row r="4" spans="1:7" ht="13.5" thickBot="1">
      <c r="A4" s="130" t="s">
        <v>51</v>
      </c>
      <c r="B4" s="126">
        <f>+'[1]System ridership '!$D$16</f>
        <v>536044.76139116904</v>
      </c>
      <c r="C4" s="126">
        <f>+'[1]System ridership '!$D$17</f>
        <v>146542.73864932286</v>
      </c>
      <c r="D4" s="126">
        <f>+'[1]System ridership '!$D$18</f>
        <v>13304.322108446611</v>
      </c>
      <c r="E4" s="126">
        <f>+'[1]System ridership '!$D$19</f>
        <v>6947</v>
      </c>
      <c r="F4" s="128">
        <f>SUM(B4:E4)</f>
        <v>702838.82214893855</v>
      </c>
      <c r="G4" s="50"/>
    </row>
    <row r="5" spans="1:7" ht="13.5" thickBot="1">
      <c r="A5" s="77"/>
      <c r="B5" s="79"/>
      <c r="C5" s="79"/>
      <c r="D5" s="79"/>
      <c r="E5" s="79"/>
      <c r="F5" s="79"/>
    </row>
    <row r="6" spans="1:7">
      <c r="A6" s="80" t="s">
        <v>4</v>
      </c>
      <c r="B6" s="81">
        <f>+'[1]Cost Allocation'!$E$64</f>
        <v>22956.2</v>
      </c>
      <c r="C6" s="81">
        <f>+'[1]Cost Allocation'!$E$65</f>
        <v>2445.15</v>
      </c>
      <c r="D6" s="81">
        <f>+'[1]Cost Allocation'!$E$68</f>
        <v>254.58500000000001</v>
      </c>
      <c r="E6" s="81">
        <f>+'[1]Cost Allocation'!$E$69</f>
        <v>4063.0513054078019</v>
      </c>
      <c r="F6" s="82">
        <f>SUM(B6:E6)</f>
        <v>29718.986305407801</v>
      </c>
    </row>
    <row r="7" spans="1:7" hidden="1">
      <c r="A7" s="83" t="s">
        <v>5</v>
      </c>
      <c r="B7" s="84">
        <f>+Chesapeake!B7</f>
        <v>74.507826440564884</v>
      </c>
      <c r="C7" s="84">
        <f>+'[1]Cost Allocation'!$G$65</f>
        <v>298.90870089769544</v>
      </c>
      <c r="D7" s="84">
        <f>+'[1]Cost Allocation'!$G$68</f>
        <v>383.90557181295048</v>
      </c>
      <c r="E7" s="84">
        <f>+Chesapeake!D7</f>
        <v>68.09664788539834</v>
      </c>
      <c r="F7" s="85">
        <f>(F10/F6)-F8</f>
        <v>94.744481540650654</v>
      </c>
    </row>
    <row r="8" spans="1:7" hidden="1">
      <c r="A8" s="83" t="s">
        <v>6</v>
      </c>
      <c r="B8" s="84">
        <f>+Chesapeake!B8</f>
        <v>11.984796085985176</v>
      </c>
      <c r="C8" s="84">
        <f>+B8</f>
        <v>11.984796085985176</v>
      </c>
      <c r="D8" s="84">
        <f>+C8</f>
        <v>11.984796085985176</v>
      </c>
      <c r="E8" s="84">
        <f>+B8</f>
        <v>11.984796085985176</v>
      </c>
      <c r="F8" s="85">
        <f>E8</f>
        <v>11.984796085985176</v>
      </c>
    </row>
    <row r="9" spans="1:7">
      <c r="A9" s="83" t="s">
        <v>38</v>
      </c>
      <c r="B9" s="84">
        <f>SUM(B7:B8)</f>
        <v>86.492622526550065</v>
      </c>
      <c r="C9" s="84">
        <f>SUM(C7:C8)</f>
        <v>310.89349698368062</v>
      </c>
      <c r="D9" s="84">
        <f>SUM(D7:D8)</f>
        <v>395.89036789893566</v>
      </c>
      <c r="E9" s="84">
        <f>SUM(E7:E8)</f>
        <v>80.081443971383521</v>
      </c>
      <c r="F9" s="85">
        <f>SUM(F7:F8)</f>
        <v>106.72927762663583</v>
      </c>
    </row>
    <row r="10" spans="1:7" ht="13.5" thickBot="1">
      <c r="A10" s="86" t="s">
        <v>7</v>
      </c>
      <c r="B10" s="87">
        <f>SUM(B7:B8)*B6</f>
        <v>1985541.9412439887</v>
      </c>
      <c r="C10" s="87">
        <f>SUM(C7:C8)*C6</f>
        <v>760181.23414964671</v>
      </c>
      <c r="D10" s="87">
        <f>SUM(D7:D8)*D6</f>
        <v>100787.74931155053</v>
      </c>
      <c r="E10" s="87">
        <f>SUM(E7:E8)*E6</f>
        <v>325375.01546687155</v>
      </c>
      <c r="F10" s="88">
        <f>SUM(B10:E10)</f>
        <v>3171885.9401720576</v>
      </c>
    </row>
    <row r="11" spans="1:7" ht="13.5" thickBot="1">
      <c r="A11" s="77"/>
      <c r="B11" s="78"/>
      <c r="C11" s="78"/>
      <c r="D11" s="78"/>
      <c r="E11" s="78"/>
      <c r="F11" s="78"/>
    </row>
    <row r="12" spans="1:7">
      <c r="A12" s="89" t="s">
        <v>30</v>
      </c>
      <c r="B12" s="90">
        <f>+'[1]Cost Allocation'!$F$64</f>
        <v>403780.03668905795</v>
      </c>
      <c r="C12" s="90">
        <f>+'[1]Cost Allocation'!$F$65</f>
        <v>161774.41120324645</v>
      </c>
      <c r="D12" s="91">
        <f>+'[1]Cost Allocation'!$F$68</f>
        <v>20416.074670649512</v>
      </c>
      <c r="E12" s="91">
        <f>+'[1]Cost Allocation'!$F$69</f>
        <v>20569.90708111702</v>
      </c>
      <c r="F12" s="92">
        <f>SUM(B12:E12)</f>
        <v>606540.42964407091</v>
      </c>
    </row>
    <row r="13" spans="1:7" ht="13.5" thickBot="1">
      <c r="A13" s="93" t="s">
        <v>8</v>
      </c>
      <c r="B13" s="94">
        <f>B12/B10</f>
        <v>0.20336011458719438</v>
      </c>
      <c r="C13" s="94">
        <f>C12/C10</f>
        <v>0.21281031934997766</v>
      </c>
      <c r="D13" s="94">
        <f>D12/D10</f>
        <v>0.20256504198283329</v>
      </c>
      <c r="E13" s="94">
        <f>E12/E10</f>
        <v>6.321907369440101E-2</v>
      </c>
      <c r="F13" s="95">
        <f>F12/F10</f>
        <v>0.19122390939794304</v>
      </c>
    </row>
    <row r="14" spans="1:7" ht="13.5" thickBot="1">
      <c r="A14" s="77"/>
      <c r="B14" s="78"/>
      <c r="C14" s="78"/>
      <c r="D14" s="78"/>
      <c r="E14" s="78"/>
      <c r="F14" s="78"/>
    </row>
    <row r="15" spans="1:7" ht="13.5" thickBot="1">
      <c r="A15" s="96" t="s">
        <v>27</v>
      </c>
      <c r="B15" s="97">
        <f>B10-B12</f>
        <v>1581761.9045549307</v>
      </c>
      <c r="C15" s="97">
        <f>C10-C12</f>
        <v>598406.82294640027</v>
      </c>
      <c r="D15" s="97">
        <f>D10-D12</f>
        <v>80371.674640901023</v>
      </c>
      <c r="E15" s="97">
        <f>E10-E12</f>
        <v>304805.10838575452</v>
      </c>
      <c r="F15" s="98">
        <f>F10-F12</f>
        <v>2565345.5105279866</v>
      </c>
    </row>
    <row r="16" spans="1:7" ht="13.5" thickBot="1">
      <c r="A16" s="99"/>
      <c r="B16" s="100"/>
      <c r="C16" s="100"/>
      <c r="D16" s="100"/>
      <c r="E16" s="100"/>
      <c r="F16" s="100"/>
    </row>
    <row r="17" spans="1:7" ht="13.5" hidden="1" thickBot="1">
      <c r="A17" s="101"/>
      <c r="B17" s="102"/>
      <c r="C17" s="102"/>
      <c r="D17" s="102"/>
      <c r="E17" s="102"/>
      <c r="F17" s="102"/>
    </row>
    <row r="18" spans="1:7" s="8" customFormat="1">
      <c r="A18" s="103" t="s">
        <v>31</v>
      </c>
      <c r="B18" s="91">
        <f>+'[1]Cost Allocation'!$U$64</f>
        <v>297641.1244727053</v>
      </c>
      <c r="C18" s="91">
        <f>+'[1]Cost Allocation'!$U$65</f>
        <v>114027.18512244699</v>
      </c>
      <c r="D18" s="91">
        <f>+'[1]Cost Allocation'!$U$68</f>
        <v>16821.316655036346</v>
      </c>
      <c r="E18" s="91">
        <f>+'[1]Cost Allocation'!$U$69</f>
        <v>54304.577730840836</v>
      </c>
      <c r="F18" s="92">
        <f>SUM(B18:E18)</f>
        <v>482794.20398102945</v>
      </c>
    </row>
    <row r="19" spans="1:7">
      <c r="A19" s="104" t="s">
        <v>32</v>
      </c>
      <c r="B19" s="105">
        <f>B18/B$10</f>
        <v>0.14990422427754216</v>
      </c>
      <c r="C19" s="105">
        <f>C18/C$10</f>
        <v>0.14999999999999997</v>
      </c>
      <c r="D19" s="105">
        <f>D18/D$10</f>
        <v>0.16689842535365138</v>
      </c>
      <c r="E19" s="105">
        <f>E18/E$10</f>
        <v>0.1668984253536514</v>
      </c>
      <c r="F19" s="106">
        <f>F18/F$10</f>
        <v>0.15221045557358234</v>
      </c>
    </row>
    <row r="20" spans="1:7">
      <c r="A20" s="104"/>
      <c r="B20" s="102"/>
      <c r="C20" s="102"/>
      <c r="D20" s="102"/>
      <c r="E20" s="102"/>
      <c r="F20" s="107"/>
      <c r="G20" s="50"/>
    </row>
    <row r="21" spans="1:7" hidden="1">
      <c r="A21" s="104" t="s">
        <v>10</v>
      </c>
      <c r="B21" s="108">
        <f>+'[1]Cost Allocation'!$W$64</f>
        <v>362645.81063082704</v>
      </c>
      <c r="C21" s="108">
        <f>+'[1]Cost Allocation'!$W$65</f>
        <v>45454.545454545456</v>
      </c>
      <c r="D21" s="108">
        <f>+'[1]Cost Allocation'!$W$68</f>
        <v>65892.494388996885</v>
      </c>
      <c r="E21" s="108">
        <f>+'[1]Cost Allocation'!$W$69</f>
        <v>111764.35675588634</v>
      </c>
      <c r="F21" s="109">
        <f>SUM(B21:E21)</f>
        <v>585757.20723025571</v>
      </c>
    </row>
    <row r="22" spans="1:7" hidden="1">
      <c r="A22" s="104" t="s">
        <v>11</v>
      </c>
      <c r="B22" s="108">
        <v>0</v>
      </c>
      <c r="C22" s="108">
        <v>0</v>
      </c>
      <c r="D22" s="108">
        <v>0</v>
      </c>
      <c r="E22" s="108">
        <f>+'[1]Cost Allocation'!$X$69</f>
        <v>40761.506997266551</v>
      </c>
      <c r="F22" s="109">
        <f>SUM(B22:E22)</f>
        <v>40761.506997266551</v>
      </c>
    </row>
    <row r="23" spans="1:7" hidden="1">
      <c r="A23" s="104" t="s">
        <v>12</v>
      </c>
      <c r="B23" s="108">
        <f>+'[1]Cost Allocation'!$Q$64</f>
        <v>128848.57267443548</v>
      </c>
      <c r="C23" s="108">
        <f>+'[1]Cost Allocation'!$Q$65</f>
        <v>399855.32916271413</v>
      </c>
      <c r="D23" s="108">
        <v>0</v>
      </c>
      <c r="E23" s="108">
        <v>0</v>
      </c>
      <c r="F23" s="109">
        <f>SUM(B23:E23)</f>
        <v>528703.90183714963</v>
      </c>
    </row>
    <row r="24" spans="1:7" s="8" customFormat="1">
      <c r="A24" s="110" t="s">
        <v>34</v>
      </c>
      <c r="B24" s="102">
        <f>SUM(B21:B23)</f>
        <v>491494.38330526254</v>
      </c>
      <c r="C24" s="102">
        <f>SUM(C21:C23)</f>
        <v>445309.8746172596</v>
      </c>
      <c r="D24" s="102">
        <f>SUM(D21:D23)</f>
        <v>65892.494388996885</v>
      </c>
      <c r="E24" s="102">
        <f>SUM(E21:E23)</f>
        <v>152525.86375315289</v>
      </c>
      <c r="F24" s="107">
        <f>SUM(F21:F23)</f>
        <v>1155222.6160646719</v>
      </c>
    </row>
    <row r="25" spans="1:7">
      <c r="A25" s="104" t="s">
        <v>35</v>
      </c>
      <c r="B25" s="105">
        <f>+B24/B10</f>
        <v>0.24753664130475619</v>
      </c>
      <c r="C25" s="105">
        <f>+C24/C10</f>
        <v>0.5857943535206992</v>
      </c>
      <c r="D25" s="105">
        <f>+D24/D10</f>
        <v>0.65377483711153217</v>
      </c>
      <c r="E25" s="105">
        <f>+E24/E10</f>
        <v>0.46876943988553571</v>
      </c>
      <c r="F25" s="106">
        <f>+F24/F10</f>
        <v>0.3642068592170144</v>
      </c>
    </row>
    <row r="26" spans="1:7" hidden="1">
      <c r="A26" s="104"/>
      <c r="B26" s="105"/>
      <c r="C26" s="105"/>
      <c r="D26" s="105"/>
      <c r="E26" s="105"/>
      <c r="F26" s="106"/>
    </row>
    <row r="27" spans="1:7" hidden="1">
      <c r="A27" s="104"/>
      <c r="B27" s="105"/>
      <c r="C27" s="105"/>
      <c r="D27" s="105"/>
      <c r="E27" s="105"/>
      <c r="F27" s="106"/>
    </row>
    <row r="28" spans="1:7" hidden="1">
      <c r="A28" s="83"/>
      <c r="B28" s="111"/>
      <c r="C28" s="111"/>
      <c r="D28" s="111"/>
      <c r="E28" s="111"/>
      <c r="F28" s="112"/>
    </row>
    <row r="29" spans="1:7" hidden="1">
      <c r="A29" s="83"/>
      <c r="B29" s="111"/>
      <c r="C29" s="111"/>
      <c r="D29" s="111"/>
      <c r="E29" s="111"/>
      <c r="F29" s="112"/>
    </row>
    <row r="30" spans="1:7" hidden="1">
      <c r="A30" s="113"/>
      <c r="B30" s="102"/>
      <c r="C30" s="102"/>
      <c r="D30" s="102"/>
      <c r="E30" s="102"/>
      <c r="F30" s="107"/>
    </row>
    <row r="31" spans="1:7" hidden="1">
      <c r="A31" s="83"/>
      <c r="B31" s="111"/>
      <c r="C31" s="111"/>
      <c r="D31" s="111"/>
      <c r="E31" s="111"/>
      <c r="F31" s="112"/>
    </row>
    <row r="32" spans="1:7" hidden="1">
      <c r="A32" s="83"/>
      <c r="B32" s="111"/>
      <c r="C32" s="111"/>
      <c r="D32" s="111"/>
      <c r="E32" s="111"/>
      <c r="F32" s="112"/>
    </row>
    <row r="33" spans="1:6" hidden="1">
      <c r="A33" s="83"/>
      <c r="B33" s="111"/>
      <c r="C33" s="111"/>
      <c r="D33" s="111"/>
      <c r="E33" s="111"/>
      <c r="F33" s="112"/>
    </row>
    <row r="34" spans="1:6" hidden="1">
      <c r="A34" s="83"/>
      <c r="B34" s="111"/>
      <c r="C34" s="111"/>
      <c r="D34" s="111"/>
      <c r="E34" s="111"/>
      <c r="F34" s="112"/>
    </row>
    <row r="35" spans="1:6" hidden="1">
      <c r="A35" s="113"/>
      <c r="B35" s="114"/>
      <c r="C35" s="114"/>
      <c r="D35" s="114"/>
      <c r="E35" s="114"/>
      <c r="F35" s="115"/>
    </row>
    <row r="36" spans="1:6">
      <c r="A36" s="83"/>
      <c r="B36" s="111"/>
      <c r="C36" s="111"/>
      <c r="D36" s="111"/>
      <c r="E36" s="111"/>
      <c r="F36" s="112"/>
    </row>
    <row r="37" spans="1:6" s="8" customFormat="1">
      <c r="A37" s="113" t="s">
        <v>33</v>
      </c>
      <c r="B37" s="102">
        <f>+B15-B24-B18</f>
        <v>792626.39677696291</v>
      </c>
      <c r="C37" s="102">
        <f>+C15-C24-C18</f>
        <v>39069.763206693679</v>
      </c>
      <c r="D37" s="102">
        <f>+D15-D24-D18</f>
        <v>-2342.1364031322082</v>
      </c>
      <c r="E37" s="102">
        <f>+E15-E24-E18</f>
        <v>97974.666901760793</v>
      </c>
      <c r="F37" s="107">
        <f>+F15-F24-F18</f>
        <v>927328.69048228522</v>
      </c>
    </row>
    <row r="38" spans="1:6" ht="13.5" thickBot="1">
      <c r="A38" s="93" t="s">
        <v>37</v>
      </c>
      <c r="B38" s="94">
        <f>ABS(B37/B10)</f>
        <v>0.39919901983050726</v>
      </c>
      <c r="C38" s="94">
        <f>ABS(C37/C10)</f>
        <v>5.1395327129323133E-2</v>
      </c>
      <c r="D38" s="94">
        <f>ABS(D37/D10)</f>
        <v>2.3238304448016812E-2</v>
      </c>
      <c r="E38" s="94">
        <f>ABS(E37/E10)</f>
        <v>0.30111306106641184</v>
      </c>
      <c r="F38" s="95">
        <f>ABS(F37/F10)</f>
        <v>0.29235877581146019</v>
      </c>
    </row>
    <row r="39" spans="1:6">
      <c r="A39" s="77"/>
      <c r="B39" s="78"/>
      <c r="C39" s="78"/>
      <c r="D39" s="78"/>
      <c r="E39" s="78"/>
      <c r="F39" s="78"/>
    </row>
    <row r="40" spans="1:6" ht="13.5" customHeight="1">
      <c r="A40" s="77"/>
      <c r="B40" s="78"/>
      <c r="C40" s="78"/>
      <c r="D40" s="142" t="s">
        <v>13</v>
      </c>
      <c r="E40" s="142"/>
      <c r="F40" s="116">
        <f>+Chesapeake!E40</f>
        <v>18554.036666666667</v>
      </c>
    </row>
    <row r="41" spans="1:6" ht="13.5" customHeight="1">
      <c r="A41" s="77"/>
      <c r="B41" s="78"/>
      <c r="C41" s="78"/>
      <c r="D41" s="142" t="s">
        <v>14</v>
      </c>
      <c r="E41" s="142"/>
      <c r="F41" s="116">
        <f>+Chesapeake!E41</f>
        <v>-2772.7643048449327</v>
      </c>
    </row>
    <row r="42" spans="1:6" ht="13.5" customHeight="1">
      <c r="A42" s="77"/>
      <c r="B42" s="142" t="s">
        <v>15</v>
      </c>
      <c r="C42" s="142"/>
      <c r="D42" s="142"/>
      <c r="E42" s="142"/>
      <c r="F42" s="116">
        <f>+'[1]Cost Allocation'!$AK$71</f>
        <v>50446.418150119745</v>
      </c>
    </row>
    <row r="43" spans="1:6">
      <c r="A43" s="77"/>
      <c r="B43" s="78"/>
      <c r="C43" s="78"/>
      <c r="D43" s="78"/>
      <c r="E43" s="117"/>
      <c r="F43" s="78"/>
    </row>
    <row r="44" spans="1:6" ht="13.5" customHeight="1">
      <c r="A44" s="99"/>
      <c r="B44" s="78"/>
      <c r="C44" s="78"/>
      <c r="D44" s="143" t="s">
        <v>17</v>
      </c>
      <c r="E44" s="143"/>
      <c r="F44" s="100">
        <f>SUM(F40:F42)+F37</f>
        <v>993556.38099422667</v>
      </c>
    </row>
  </sheetData>
  <mergeCells count="4">
    <mergeCell ref="D40:E40"/>
    <mergeCell ref="D41:E41"/>
    <mergeCell ref="D44:E44"/>
    <mergeCell ref="B42:E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E8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H15" sqref="H15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7">
      <c r="A1" s="99" t="s">
        <v>63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s="10" customFormat="1" ht="13.5" thickBot="1">
      <c r="A3" s="121"/>
      <c r="B3" s="122" t="s">
        <v>1</v>
      </c>
      <c r="C3" s="122" t="s">
        <v>16</v>
      </c>
      <c r="D3" s="122" t="s">
        <v>49</v>
      </c>
      <c r="E3" s="122" t="s">
        <v>0</v>
      </c>
      <c r="F3" s="121"/>
    </row>
    <row r="4" spans="1:7" s="134" customFormat="1" ht="13.5" thickBot="1">
      <c r="A4" s="131" t="s">
        <v>51</v>
      </c>
      <c r="B4" s="127">
        <f>+'[1]System ridership '!$E$16</f>
        <v>109720.8675516471</v>
      </c>
      <c r="C4" s="127">
        <f>+'[1]System ridership '!$E$18</f>
        <v>13506.524581240699</v>
      </c>
      <c r="D4" s="127">
        <f>+'[1]System ridership '!$E$19</f>
        <v>1728</v>
      </c>
      <c r="E4" s="129">
        <f>SUM(B4:D4)</f>
        <v>124955.39213288779</v>
      </c>
      <c r="F4" s="132"/>
      <c r="G4" s="133"/>
    </row>
    <row r="5" spans="1:7" s="10" customFormat="1" ht="13.5" thickBot="1">
      <c r="A5" s="121"/>
      <c r="B5" s="122"/>
      <c r="C5" s="122"/>
      <c r="D5" s="122"/>
      <c r="E5" s="122"/>
      <c r="F5" s="121"/>
    </row>
    <row r="6" spans="1:7">
      <c r="A6" s="80" t="s">
        <v>4</v>
      </c>
      <c r="B6" s="81">
        <f>+'[1]Cost Allocation'!$E$83</f>
        <v>5157.7</v>
      </c>
      <c r="C6" s="81">
        <f>+'[1]Cost Allocation'!$E$85</f>
        <v>254.58500000000001</v>
      </c>
      <c r="D6" s="81">
        <f>+'[1]Cost Allocation'!$E$86</f>
        <v>1018.9885848577237</v>
      </c>
      <c r="E6" s="82">
        <f>SUM(B6:D6)</f>
        <v>6431.2735848577231</v>
      </c>
      <c r="F6" s="77"/>
    </row>
    <row r="7" spans="1:7" hidden="1">
      <c r="A7" s="83" t="s">
        <v>5</v>
      </c>
      <c r="B7" s="84">
        <f>+Chesapeake!B7</f>
        <v>74.507826440564884</v>
      </c>
      <c r="C7" s="84">
        <f>+Norfolk!D7</f>
        <v>383.90557181295048</v>
      </c>
      <c r="D7" s="84">
        <f>+Chesapeake!D7</f>
        <v>68.09664788539834</v>
      </c>
      <c r="E7" s="85">
        <f>(E10/E6)-E8</f>
        <v>85.739677533403679</v>
      </c>
      <c r="F7" s="77"/>
    </row>
    <row r="8" spans="1:7" hidden="1">
      <c r="A8" s="83" t="s">
        <v>6</v>
      </c>
      <c r="B8" s="84">
        <f>+Chesapeake!B8</f>
        <v>11.984796085985176</v>
      </c>
      <c r="C8" s="84">
        <f>B8</f>
        <v>11.984796085985176</v>
      </c>
      <c r="D8" s="84">
        <f>C8</f>
        <v>11.984796085985176</v>
      </c>
      <c r="E8" s="85">
        <f>D8</f>
        <v>11.984796085985176</v>
      </c>
      <c r="F8" s="77"/>
    </row>
    <row r="9" spans="1:7">
      <c r="A9" s="83" t="s">
        <v>38</v>
      </c>
      <c r="B9" s="84">
        <f>SUM(B7:B8)</f>
        <v>86.492622526550065</v>
      </c>
      <c r="C9" s="84">
        <f>SUM(C7:C8)</f>
        <v>395.89036789893566</v>
      </c>
      <c r="D9" s="84">
        <f>SUM(D7:D8)</f>
        <v>80.081443971383521</v>
      </c>
      <c r="E9" s="85">
        <f>SUM(E7:E8)</f>
        <v>97.72447361938886</v>
      </c>
      <c r="F9" s="77"/>
    </row>
    <row r="10" spans="1:7" ht="13.5" thickBot="1">
      <c r="A10" s="86" t="s">
        <v>7</v>
      </c>
      <c r="B10" s="87">
        <f>SUM(B7:B8)*B6</f>
        <v>446102.99920518725</v>
      </c>
      <c r="C10" s="87">
        <f>SUM(C7:C8)*C6</f>
        <v>100787.74931155053</v>
      </c>
      <c r="D10" s="87">
        <f>SUM(D7:D8)*D6</f>
        <v>81602.07726576319</v>
      </c>
      <c r="E10" s="88">
        <f>SUM(B10:D10)</f>
        <v>628492.82578250102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Allocation'!$F$83</f>
        <v>83442.814421477786</v>
      </c>
      <c r="C12" s="91">
        <f>+'[1]Cost Allocation'!$F$85</f>
        <v>20530.572387410568</v>
      </c>
      <c r="D12" s="91">
        <f>+'[1]Cost Allocation'!$F$86</f>
        <v>5158.8077362804879</v>
      </c>
      <c r="E12" s="92">
        <f>SUM(B12:D12)</f>
        <v>109132.19454516884</v>
      </c>
      <c r="F12" s="77"/>
    </row>
    <row r="13" spans="1:7" ht="13.5" thickBot="1">
      <c r="A13" s="93" t="s">
        <v>8</v>
      </c>
      <c r="B13" s="94">
        <f>B12/B10</f>
        <v>0.18704831523246016</v>
      </c>
      <c r="C13" s="94">
        <f>C12/C10</f>
        <v>0.20370107009679708</v>
      </c>
      <c r="D13" s="94">
        <f>D12/D10</f>
        <v>6.321907369440101E-2</v>
      </c>
      <c r="E13" s="95">
        <f>E12/E10</f>
        <v>0.17364111421525694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362660.18478370947</v>
      </c>
      <c r="C15" s="97">
        <f>C10-C12</f>
        <v>80257.17692413996</v>
      </c>
      <c r="D15" s="97">
        <f>D10-D12</f>
        <v>76443.269529482699</v>
      </c>
      <c r="E15" s="98">
        <f>E10-E12</f>
        <v>519360.63123733219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Allocation'!$U$83</f>
        <v>72303.525126511231</v>
      </c>
      <c r="C18" s="91">
        <f>+'[1]Cost Allocation'!$U$85</f>
        <v>16821.316655036346</v>
      </c>
      <c r="D18" s="91">
        <f>+'[1]Cost Allocation'!$U$86</f>
        <v>13619.258201242872</v>
      </c>
      <c r="E18" s="92">
        <f>SUM(B18:D18)</f>
        <v>102744.09998279046</v>
      </c>
      <c r="F18" s="99"/>
    </row>
    <row r="19" spans="1:6">
      <c r="A19" s="104" t="s">
        <v>32</v>
      </c>
      <c r="B19" s="105">
        <f>B18/B$10</f>
        <v>0.1620780968864432</v>
      </c>
      <c r="C19" s="105">
        <f>C18/C$10</f>
        <v>0.16689842535365138</v>
      </c>
      <c r="D19" s="105">
        <f>D18/D$10</f>
        <v>0.1668984253536514</v>
      </c>
      <c r="E19" s="106">
        <f>E18/E$10</f>
        <v>0.16347696547668555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Allocation'!$W$83</f>
        <v>88094.582116036036</v>
      </c>
      <c r="C21" s="108">
        <f>+'[1]Cost Allocation'!$W$85</f>
        <v>65892.494388996885</v>
      </c>
      <c r="D21" s="108">
        <f>+'[1]Cost Allocation'!$W$86</f>
        <v>28029.821719611242</v>
      </c>
      <c r="E21" s="109">
        <f>SUM(B21:D21)</f>
        <v>182016.89822464416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Allocation'!$X$86</f>
        <v>10222.738333756775</v>
      </c>
      <c r="E22" s="109">
        <f>SUM(B22:D22)</f>
        <v>10222.738333756775</v>
      </c>
      <c r="F22" s="77"/>
    </row>
    <row r="23" spans="1:6" hidden="1">
      <c r="A23" s="104" t="s">
        <v>12</v>
      </c>
      <c r="B23" s="108">
        <f>+'[1]Cost Allocation'!$Q$83</f>
        <v>8379.425792336393</v>
      </c>
      <c r="C23" s="108">
        <v>0</v>
      </c>
      <c r="D23" s="108">
        <v>0</v>
      </c>
      <c r="E23" s="109">
        <f>SUM(B23:D23)</f>
        <v>8379.425792336393</v>
      </c>
      <c r="F23" s="77"/>
    </row>
    <row r="24" spans="1:6" s="8" customFormat="1">
      <c r="A24" s="110" t="s">
        <v>34</v>
      </c>
      <c r="B24" s="102">
        <f>SUM(B21:B23)</f>
        <v>96474.007908372427</v>
      </c>
      <c r="C24" s="102">
        <f>SUM(C21:C23)</f>
        <v>65892.494388996885</v>
      </c>
      <c r="D24" s="102">
        <f>SUM(D21:D23)</f>
        <v>38252.560053368019</v>
      </c>
      <c r="E24" s="107">
        <f>SUM(E21:E23)</f>
        <v>200619.06235073734</v>
      </c>
      <c r="F24" s="99"/>
    </row>
    <row r="25" spans="1:6">
      <c r="A25" s="104" t="s">
        <v>35</v>
      </c>
      <c r="B25" s="105">
        <f>+B24/B10</f>
        <v>0.21625949182197435</v>
      </c>
      <c r="C25" s="105">
        <f>+C24/C10</f>
        <v>0.65377483711153217</v>
      </c>
      <c r="D25" s="105">
        <f>+D24/D10</f>
        <v>0.46876943988553571</v>
      </c>
      <c r="E25" s="106">
        <f>+E24/E10</f>
        <v>0.3192066068549913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193882.6517488258</v>
      </c>
      <c r="C37" s="102">
        <f>+C15-C24-C18</f>
        <v>-2456.6341198932714</v>
      </c>
      <c r="D37" s="102">
        <f>+D15-D24-D18</f>
        <v>24571.451274871808</v>
      </c>
      <c r="E37" s="107">
        <f>+E15-E24-E18</f>
        <v>215997.46890380437</v>
      </c>
      <c r="F37" s="99"/>
    </row>
    <row r="38" spans="1:6" ht="13.5" thickBot="1">
      <c r="A38" s="93" t="s">
        <v>37</v>
      </c>
      <c r="B38" s="94">
        <f>ABS(B37/B10)</f>
        <v>0.43461409605912227</v>
      </c>
      <c r="C38" s="94">
        <f>ABS(C37/C10)</f>
        <v>2.4374332561980672E-2</v>
      </c>
      <c r="D38" s="94">
        <f>ABS(D37/D10)</f>
        <v>0.30111306106641184</v>
      </c>
      <c r="E38" s="95">
        <f>ABS(E37/E10)</f>
        <v>0.34367531345306623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78"/>
      <c r="C40" s="142" t="s">
        <v>13</v>
      </c>
      <c r="D40" s="142"/>
      <c r="E40" s="116">
        <f>+Chesapeake!E40</f>
        <v>18554.036666666667</v>
      </c>
      <c r="F40" s="77"/>
    </row>
    <row r="41" spans="1:6" ht="13.5" customHeight="1">
      <c r="A41" s="77"/>
      <c r="B41" s="78"/>
      <c r="C41" s="142" t="s">
        <v>14</v>
      </c>
      <c r="D41" s="142"/>
      <c r="E41" s="116">
        <f>+Chesapeake!E41</f>
        <v>-2772.7643048449327</v>
      </c>
      <c r="F41" s="77"/>
    </row>
    <row r="42" spans="1:6" ht="13.5" customHeight="1">
      <c r="A42" s="77"/>
      <c r="B42" s="142" t="s">
        <v>15</v>
      </c>
      <c r="C42" s="142"/>
      <c r="D42" s="142"/>
      <c r="E42" s="116">
        <f>+'[1]Cost Allocation'!$AK$88</f>
        <v>10916.749083077464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99"/>
      <c r="B44" s="78"/>
      <c r="C44" s="143" t="s">
        <v>23</v>
      </c>
      <c r="D44" s="143"/>
      <c r="E44" s="100">
        <f>SUM(E40:E42)+E37</f>
        <v>242695.49034870358</v>
      </c>
      <c r="F44" s="77"/>
    </row>
    <row r="46" spans="1:6">
      <c r="A46" s="8"/>
    </row>
  </sheetData>
  <mergeCells count="4">
    <mergeCell ref="C40:D40"/>
    <mergeCell ref="C41:D41"/>
    <mergeCell ref="B42:D42"/>
    <mergeCell ref="C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8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8"/>
  <sheetViews>
    <sheetView zoomScaleNormal="100" workbookViewId="0">
      <selection activeCell="F14" sqref="F14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7">
      <c r="A1" s="99" t="s">
        <v>56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51</v>
      </c>
      <c r="B4" s="126"/>
      <c r="C4" s="126"/>
      <c r="D4" s="128"/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Allocation'!$E$95</f>
        <v>0</v>
      </c>
      <c r="C6" s="81">
        <f>+'[1]Cost Allocation'!$E$96</f>
        <v>0</v>
      </c>
      <c r="D6" s="82">
        <f>SUM(B6:C6)</f>
        <v>0</v>
      </c>
      <c r="E6" s="77"/>
      <c r="F6" s="77"/>
    </row>
    <row r="7" spans="1:7" hidden="1">
      <c r="A7" s="83" t="s">
        <v>5</v>
      </c>
      <c r="B7" s="84">
        <f>+Chesapeake!B7</f>
        <v>74.507826440564884</v>
      </c>
      <c r="C7" s="84">
        <f>+Chesapeake!D7</f>
        <v>68.09664788539834</v>
      </c>
      <c r="D7" s="85" t="e">
        <f>(D10/D6)-D8</f>
        <v>#DIV/0!</v>
      </c>
      <c r="E7" s="77"/>
      <c r="F7" s="77"/>
    </row>
    <row r="8" spans="1:7" hidden="1">
      <c r="A8" s="83" t="s">
        <v>6</v>
      </c>
      <c r="B8" s="84">
        <f>+Chesapeake!B8</f>
        <v>11.984796085985176</v>
      </c>
      <c r="C8" s="84">
        <f>+B8</f>
        <v>11.984796085985176</v>
      </c>
      <c r="D8" s="85">
        <f>C8</f>
        <v>11.984796085985176</v>
      </c>
      <c r="E8" s="77"/>
      <c r="F8" s="77"/>
    </row>
    <row r="9" spans="1:7">
      <c r="A9" s="83" t="s">
        <v>38</v>
      </c>
      <c r="B9" s="84">
        <f>SUM(B7:B8)</f>
        <v>86.492622526550065</v>
      </c>
      <c r="C9" s="84">
        <f>SUM(C7:C8)</f>
        <v>80.081443971383521</v>
      </c>
      <c r="D9" s="85" t="e">
        <f>SUM(D7:D8)</f>
        <v>#DIV/0!</v>
      </c>
      <c r="E9" s="77"/>
      <c r="F9" s="77"/>
    </row>
    <row r="10" spans="1:7" ht="13.5" thickBot="1">
      <c r="A10" s="86" t="s">
        <v>7</v>
      </c>
      <c r="B10" s="87">
        <f>SUM(B7:B8)*B6</f>
        <v>0</v>
      </c>
      <c r="C10" s="87">
        <f>SUM(C7:C8)*C6</f>
        <v>0</v>
      </c>
      <c r="D10" s="88">
        <f>SUM(B10:C10)</f>
        <v>0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/>
      <c r="C12" s="91"/>
      <c r="D12" s="92">
        <f>SUM(B12:C12)</f>
        <v>0</v>
      </c>
      <c r="E12" s="77"/>
      <c r="F12" s="77"/>
    </row>
    <row r="13" spans="1:7" ht="13.5" thickBot="1">
      <c r="A13" s="93" t="s">
        <v>8</v>
      </c>
      <c r="B13" s="94" t="e">
        <f>B12/B10</f>
        <v>#DIV/0!</v>
      </c>
      <c r="C13" s="94" t="e">
        <f>C12/C10</f>
        <v>#DIV/0!</v>
      </c>
      <c r="D13" s="95" t="e">
        <f>D12/D10</f>
        <v>#DIV/0!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0</v>
      </c>
      <c r="C15" s="97">
        <f>C10-C12</f>
        <v>0</v>
      </c>
      <c r="D15" s="98">
        <f>D10-D12</f>
        <v>0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Allocation'!$U$95</f>
        <v>0</v>
      </c>
      <c r="C18" s="91">
        <f>+'[1]Cost Allocation'!$U$96</f>
        <v>0</v>
      </c>
      <c r="D18" s="92">
        <f>SUM(B18:C18)</f>
        <v>0</v>
      </c>
      <c r="E18" s="99"/>
      <c r="F18" s="99"/>
    </row>
    <row r="19" spans="1:6">
      <c r="A19" s="104" t="s">
        <v>32</v>
      </c>
      <c r="B19" s="105" t="e">
        <f>B18/B$10</f>
        <v>#DIV/0!</v>
      </c>
      <c r="C19" s="105" t="e">
        <f>C18/C$10</f>
        <v>#DIV/0!</v>
      </c>
      <c r="D19" s="106" t="e">
        <f>D18/D$10</f>
        <v>#DIV/0!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Allocation'!$W$95</f>
        <v>0</v>
      </c>
      <c r="C21" s="108">
        <f>+'[1]Cost Allocation'!$W$96</f>
        <v>0</v>
      </c>
      <c r="D21" s="109">
        <f>SUM(B21:C21)</f>
        <v>0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Allocation'!$X$96</f>
        <v>0</v>
      </c>
      <c r="D22" s="109">
        <f>SUM(B22:C22)</f>
        <v>0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0</v>
      </c>
      <c r="C24" s="102">
        <f>SUM(C21:C23)</f>
        <v>0</v>
      </c>
      <c r="D24" s="107">
        <f>SUM(D21:D23)</f>
        <v>0</v>
      </c>
      <c r="E24" s="99"/>
      <c r="F24" s="99"/>
    </row>
    <row r="25" spans="1:6">
      <c r="A25" s="104" t="s">
        <v>35</v>
      </c>
      <c r="B25" s="105" t="e">
        <f>+B24/B10</f>
        <v>#DIV/0!</v>
      </c>
      <c r="C25" s="105" t="e">
        <f>+C24/C10</f>
        <v>#DIV/0!</v>
      </c>
      <c r="D25" s="106" t="e">
        <f>+D24/D10</f>
        <v>#DIV/0!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0</v>
      </c>
      <c r="D37" s="107">
        <f>+D15-D24-D18</f>
        <v>0</v>
      </c>
      <c r="E37" s="99"/>
      <c r="F37" s="99"/>
    </row>
    <row r="38" spans="1:6" ht="13.5" thickBot="1">
      <c r="A38" s="93" t="s">
        <v>37</v>
      </c>
      <c r="B38" s="94" t="e">
        <f>ABS(B37/B10)</f>
        <v>#DIV/0!</v>
      </c>
      <c r="C38" s="94" t="e">
        <f>ABS(C37/C10)</f>
        <v>#DIV/0!</v>
      </c>
      <c r="D38" s="95" t="e">
        <f>ABS(D37/D10)</f>
        <v>#DIV/0!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 ht="13.5" customHeight="1">
      <c r="A40" s="142" t="s">
        <v>13</v>
      </c>
      <c r="B40" s="142"/>
      <c r="C40" s="142"/>
      <c r="D40" s="116"/>
      <c r="E40" s="77"/>
      <c r="F40" s="77"/>
    </row>
    <row r="41" spans="1:6" ht="13.5" customHeight="1">
      <c r="A41" s="142" t="s">
        <v>14</v>
      </c>
      <c r="B41" s="142"/>
      <c r="C41" s="142"/>
      <c r="D41" s="116"/>
      <c r="E41" s="77"/>
      <c r="F41" s="77"/>
    </row>
    <row r="42" spans="1:6" ht="13.5" customHeight="1">
      <c r="A42" s="142" t="s">
        <v>15</v>
      </c>
      <c r="B42" s="142"/>
      <c r="C42" s="142"/>
      <c r="D42" s="116">
        <f>+'[1]Cost Allocation'!$AK$97</f>
        <v>0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 ht="13.5" customHeight="1">
      <c r="A44" s="99"/>
      <c r="B44" s="78"/>
      <c r="C44" s="120" t="s">
        <v>20</v>
      </c>
      <c r="D44" s="100">
        <f>SUM(D40:D42)+D37</f>
        <v>0</v>
      </c>
      <c r="E44" s="77"/>
      <c r="F44" s="77"/>
    </row>
    <row r="45" spans="1:6">
      <c r="A45" s="6"/>
      <c r="B45" s="5"/>
      <c r="C45" s="5"/>
      <c r="D45" s="5"/>
    </row>
    <row r="46" spans="1:6">
      <c r="A46" s="4"/>
      <c r="B46" s="5"/>
      <c r="C46" s="5"/>
      <c r="D46" s="5"/>
    </row>
    <row r="47" spans="1:6">
      <c r="A47" s="6"/>
      <c r="B47" s="5"/>
      <c r="C47" s="5"/>
      <c r="D47" s="5"/>
    </row>
    <row r="48" spans="1:6">
      <c r="A48" s="6"/>
      <c r="B48" s="5"/>
      <c r="C48" s="5"/>
      <c r="D48" s="7"/>
    </row>
  </sheetData>
  <mergeCells count="3">
    <mergeCell ref="A40:C40"/>
    <mergeCell ref="A41:C41"/>
    <mergeCell ref="A42:C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H15" sqref="H15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62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'!$G$16</f>
        <v>151113.31533634168</v>
      </c>
      <c r="C4" s="126">
        <f>+'[1]System ridership '!$G$19</f>
        <v>6251</v>
      </c>
      <c r="D4" s="128">
        <f>SUM(B4:C4)</f>
        <v>157364.31533634168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Allocation'!$E$116</f>
        <v>6876.1</v>
      </c>
      <c r="C6" s="81">
        <f>+'[1]Cost Allocation'!$E$126</f>
        <v>3549.826543958658</v>
      </c>
      <c r="D6" s="82">
        <f>SUM(B6:C6)</f>
        <v>10425.926543958658</v>
      </c>
      <c r="E6" s="77"/>
      <c r="F6" s="77"/>
    </row>
    <row r="7" spans="1:7" hidden="1">
      <c r="A7" s="83" t="s">
        <v>5</v>
      </c>
      <c r="B7" s="84">
        <f>+Chesapeake!B7</f>
        <v>74.507826440564884</v>
      </c>
      <c r="C7" s="84">
        <f>+Chesapeake!D7</f>
        <v>68.09664788539834</v>
      </c>
      <c r="D7" s="85">
        <f>(D10/D6)-D8</f>
        <v>72.324944015944681</v>
      </c>
      <c r="E7" s="77"/>
      <c r="F7" s="77"/>
    </row>
    <row r="8" spans="1:7" hidden="1">
      <c r="A8" s="83" t="s">
        <v>6</v>
      </c>
      <c r="B8" s="84">
        <f>+Chesapeake!B8</f>
        <v>11.984796085985176</v>
      </c>
      <c r="C8" s="84">
        <f>+B8</f>
        <v>11.984796085985176</v>
      </c>
      <c r="D8" s="85">
        <f>C8</f>
        <v>11.984796085985176</v>
      </c>
      <c r="E8" s="77"/>
      <c r="F8" s="77"/>
    </row>
    <row r="9" spans="1:7">
      <c r="A9" s="83" t="s">
        <v>38</v>
      </c>
      <c r="B9" s="84">
        <f>SUM(B7:B8)</f>
        <v>86.492622526550065</v>
      </c>
      <c r="C9" s="84">
        <f>SUM(C7:C8)</f>
        <v>80.081443971383521</v>
      </c>
      <c r="D9" s="85">
        <f>SUM(D7:D8)</f>
        <v>84.309740101929862</v>
      </c>
      <c r="E9" s="77"/>
      <c r="F9" s="77"/>
    </row>
    <row r="10" spans="1:7" ht="13.5" thickBot="1">
      <c r="A10" s="86" t="s">
        <v>7</v>
      </c>
      <c r="B10" s="87">
        <f>SUM(B7:B8)*B6</f>
        <v>594731.92175481096</v>
      </c>
      <c r="C10" s="87">
        <f>SUM(C7:C8)*C6</f>
        <v>284275.23548815527</v>
      </c>
      <c r="D10" s="88">
        <f>SUM(B10:C10)</f>
        <v>879007.15724296623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Allocation'!$F$116</f>
        <v>142672.13994123004</v>
      </c>
      <c r="C12" s="91">
        <f>+'[1]Cost Allocation'!$F$126</f>
        <v>17971.617061818892</v>
      </c>
      <c r="D12" s="92">
        <f>SUM(B12:C12)</f>
        <v>160643.75700304893</v>
      </c>
      <c r="E12" s="77"/>
      <c r="F12" s="77"/>
    </row>
    <row r="13" spans="1:7" ht="13.5" thickBot="1">
      <c r="A13" s="93" t="s">
        <v>8</v>
      </c>
      <c r="B13" s="94">
        <f>B12/B10</f>
        <v>0.23989319342446397</v>
      </c>
      <c r="C13" s="94">
        <f>C12/C10</f>
        <v>6.3219073694401023E-2</v>
      </c>
      <c r="D13" s="95">
        <f>D12/D10</f>
        <v>0.1827559146468308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9</v>
      </c>
      <c r="B15" s="97">
        <f>B10-B12</f>
        <v>452059.78181358089</v>
      </c>
      <c r="C15" s="97">
        <f>C10-C12</f>
        <v>266303.61842633638</v>
      </c>
      <c r="D15" s="98">
        <f>D10-D12</f>
        <v>718363.40023991733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Allocation'!$U$116</f>
        <v>96003.86253619293</v>
      </c>
      <c r="C18" s="91">
        <f>+'[1]Cost Allocation'!$U$126</f>
        <v>47445.089170011561</v>
      </c>
      <c r="D18" s="92">
        <f>SUM(B18:C18)</f>
        <v>143448.95170620451</v>
      </c>
      <c r="E18" s="99"/>
      <c r="F18" s="99"/>
    </row>
    <row r="19" spans="1:6">
      <c r="A19" s="104" t="s">
        <v>32</v>
      </c>
      <c r="B19" s="105">
        <f>B18/B$10</f>
        <v>0.16142375921730373</v>
      </c>
      <c r="C19" s="105">
        <f>C18/C$10</f>
        <v>0.1668984253536514</v>
      </c>
      <c r="D19" s="106">
        <f>D18/D$10</f>
        <v>0.16319429315699394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Allocation'!$W$116</f>
        <v>116971.06243233825</v>
      </c>
      <c r="C21" s="108">
        <f>+'[1]Cost Allocation'!$W$126</f>
        <v>97646.830044320595</v>
      </c>
      <c r="D21" s="109">
        <f>SUM(B21:C21)</f>
        <v>214617.89247665886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Allocation'!$X$126</f>
        <v>35612.712868790724</v>
      </c>
      <c r="D22" s="109">
        <f>SUM(B22:C22)</f>
        <v>35612.712868790724</v>
      </c>
      <c r="E22" s="77"/>
      <c r="F22" s="77"/>
    </row>
    <row r="23" spans="1:6" hidden="1">
      <c r="A23" s="104" t="s">
        <v>12</v>
      </c>
      <c r="B23" s="108">
        <f>+'[1]Cost Allocation'!$Q$116</f>
        <v>14828.638280171515</v>
      </c>
      <c r="C23" s="108">
        <v>0</v>
      </c>
      <c r="D23" s="109">
        <f>SUM(B23:C23)</f>
        <v>14828.638280171515</v>
      </c>
      <c r="E23" s="77"/>
      <c r="F23" s="77"/>
    </row>
    <row r="24" spans="1:6" s="8" customFormat="1">
      <c r="A24" s="110" t="s">
        <v>34</v>
      </c>
      <c r="B24" s="102">
        <f>SUM(B21:B23)</f>
        <v>131799.70071250977</v>
      </c>
      <c r="C24" s="102">
        <f>SUM(C21:C23)</f>
        <v>133259.54291311133</v>
      </c>
      <c r="D24" s="107">
        <f>SUM(D21:D23)</f>
        <v>265059.24362562108</v>
      </c>
      <c r="E24" s="99"/>
      <c r="F24" s="99"/>
    </row>
    <row r="25" spans="1:6">
      <c r="A25" s="104" t="s">
        <v>35</v>
      </c>
      <c r="B25" s="105">
        <f>+B24/B10</f>
        <v>0.22161194967242165</v>
      </c>
      <c r="C25" s="105">
        <f>+C24/C10</f>
        <v>0.46876943988553577</v>
      </c>
      <c r="D25" s="106">
        <f>+D24/D10</f>
        <v>0.30154389693138312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224256.21856487816</v>
      </c>
      <c r="C37" s="102">
        <f>+C15-C24-C18</f>
        <v>85598.986343213488</v>
      </c>
      <c r="D37" s="107">
        <f>+D15-D24-D18</f>
        <v>309855.20490809175</v>
      </c>
      <c r="E37" s="99"/>
      <c r="F37" s="99"/>
    </row>
    <row r="38" spans="1:6" ht="13.5" thickBot="1">
      <c r="A38" s="93" t="s">
        <v>37</v>
      </c>
      <c r="B38" s="94">
        <f>ABS(B37/B10)</f>
        <v>0.37707109768581054</v>
      </c>
      <c r="C38" s="94">
        <f>ABS(C37/C10)</f>
        <v>0.30111306106641178</v>
      </c>
      <c r="D38" s="95">
        <f>ABS(D37/D10)</f>
        <v>0.35250589526479215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18554.036666666667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-2772.7643048449327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Allocation'!$AK$128</f>
        <v>17697.462646741315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99"/>
      <c r="B44" s="78"/>
      <c r="C44" s="120" t="s">
        <v>22</v>
      </c>
      <c r="D44" s="100">
        <f>SUM(D40:D42)+D37</f>
        <v>343333.93991665478</v>
      </c>
      <c r="E44" s="77"/>
      <c r="F44" s="77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53"/>
  <sheetViews>
    <sheetView zoomScaleNormal="100" workbookViewId="0">
      <selection activeCell="H15" sqref="H15"/>
    </sheetView>
  </sheetViews>
  <sheetFormatPr defaultRowHeight="12.75"/>
  <cols>
    <col min="1" max="1" width="28.5703125" style="6" customWidth="1"/>
    <col min="2" max="2" width="14.140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7">
      <c r="A1" s="99" t="s">
        <v>61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1</v>
      </c>
      <c r="C3" s="79" t="s">
        <v>28</v>
      </c>
      <c r="D3" s="79" t="s">
        <v>49</v>
      </c>
      <c r="E3" s="79" t="s">
        <v>0</v>
      </c>
      <c r="F3" s="77"/>
    </row>
    <row r="4" spans="1:7" ht="13.5" thickBot="1">
      <c r="A4" s="130" t="s">
        <v>51</v>
      </c>
      <c r="B4" s="126">
        <f>+'[1]System ridership '!$H$16</f>
        <v>161370.58632010908</v>
      </c>
      <c r="C4" s="126"/>
      <c r="D4" s="126">
        <f>+'[1]System ridership '!$H$19</f>
        <v>4882</v>
      </c>
      <c r="E4" s="128">
        <f>SUM(B4:D4)</f>
        <v>166252.58632010908</v>
      </c>
      <c r="F4" s="118"/>
      <c r="G4" s="51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Allocation'!$E$151</f>
        <v>6588.1</v>
      </c>
      <c r="C6" s="81"/>
      <c r="D6" s="81">
        <f>+'[1]Cost Allocation'!$E$153</f>
        <v>2700.1573647509085</v>
      </c>
      <c r="E6" s="82">
        <f>SUM(B6:D6)</f>
        <v>9288.2573647509089</v>
      </c>
      <c r="F6" s="77"/>
    </row>
    <row r="7" spans="1:7" hidden="1">
      <c r="A7" s="83" t="s">
        <v>5</v>
      </c>
      <c r="B7" s="84">
        <f>+Chesapeake!B7</f>
        <v>74.507826440564884</v>
      </c>
      <c r="C7" s="84">
        <f>B7</f>
        <v>74.507826440564884</v>
      </c>
      <c r="D7" s="84">
        <f>+Chesapeake!D7</f>
        <v>68.09664788539834</v>
      </c>
      <c r="E7" s="85">
        <f>(E10/E6)-E8</f>
        <v>72.644054764926111</v>
      </c>
      <c r="F7" s="77"/>
    </row>
    <row r="8" spans="1:7" hidden="1">
      <c r="A8" s="83" t="s">
        <v>6</v>
      </c>
      <c r="B8" s="84">
        <f>+Chesapeake!B8</f>
        <v>11.984796085985176</v>
      </c>
      <c r="C8" s="84">
        <f>B8</f>
        <v>11.984796085985176</v>
      </c>
      <c r="D8" s="84">
        <f>C8</f>
        <v>11.984796085985176</v>
      </c>
      <c r="E8" s="85">
        <f>D8</f>
        <v>11.984796085985176</v>
      </c>
      <c r="F8" s="77"/>
    </row>
    <row r="9" spans="1:7">
      <c r="A9" s="83" t="s">
        <v>38</v>
      </c>
      <c r="B9" s="84">
        <f>SUM(B7:B8)</f>
        <v>86.492622526550065</v>
      </c>
      <c r="C9" s="84">
        <f>SUM(C7:C8)</f>
        <v>86.492622526550065</v>
      </c>
      <c r="D9" s="84">
        <f>SUM(D7:D8)</f>
        <v>80.081443971383521</v>
      </c>
      <c r="E9" s="85">
        <f>SUM(E7:E8)</f>
        <v>84.628850850911292</v>
      </c>
      <c r="F9" s="77"/>
    </row>
    <row r="10" spans="1:7" ht="13.5" thickBot="1">
      <c r="A10" s="86" t="s">
        <v>7</v>
      </c>
      <c r="B10" s="87">
        <f>SUM(B7:B8)*B6</f>
        <v>569822.04646716453</v>
      </c>
      <c r="C10" s="87">
        <f>SUM(C7:C8)*C6</f>
        <v>0</v>
      </c>
      <c r="D10" s="87">
        <f>SUM(D7:D8)*D6</f>
        <v>216232.50071921846</v>
      </c>
      <c r="E10" s="88">
        <f>SUM(B10:D10)</f>
        <v>786054.54718638305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Allocation'!$F$151</f>
        <v>124797.35958373279</v>
      </c>
      <c r="C12" s="91"/>
      <c r="D12" s="91">
        <f>+'[1]Cost Allocation'!$F$153</f>
        <v>13670.018398092892</v>
      </c>
      <c r="E12" s="92">
        <f>SUM(B12:D12)</f>
        <v>138467.37798182567</v>
      </c>
      <c r="F12" s="77"/>
    </row>
    <row r="13" spans="1:7" ht="13.5" thickBot="1">
      <c r="A13" s="93" t="s">
        <v>8</v>
      </c>
      <c r="B13" s="94">
        <f>B12/B10</f>
        <v>0.21901111120123029</v>
      </c>
      <c r="C13" s="94">
        <v>0.7</v>
      </c>
      <c r="D13" s="94">
        <f>D12/D10</f>
        <v>6.321907369440101E-2</v>
      </c>
      <c r="E13" s="95">
        <f>E12/E10</f>
        <v>0.17615492267993124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445024.68688343174</v>
      </c>
      <c r="C15" s="97">
        <f>C10-C12</f>
        <v>0</v>
      </c>
      <c r="D15" s="97">
        <f>D10-D12</f>
        <v>202562.48232112557</v>
      </c>
      <c r="E15" s="98">
        <f>E10-E12</f>
        <v>647587.16920455731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4" customFormat="1">
      <c r="A18" s="103" t="s">
        <v>31</v>
      </c>
      <c r="B18" s="91">
        <f>+'[1]Cost Allocation'!$U$151</f>
        <v>95102.402287164936</v>
      </c>
      <c r="C18" s="91">
        <v>0</v>
      </c>
      <c r="D18" s="91">
        <f>+'[1]Cost Allocation'!$U$153</f>
        <v>36088.863880319848</v>
      </c>
      <c r="E18" s="92">
        <f>SUM(B18:D18)</f>
        <v>131191.26616748478</v>
      </c>
      <c r="F18" s="99"/>
    </row>
    <row r="19" spans="1:6">
      <c r="A19" s="104" t="s">
        <v>32</v>
      </c>
      <c r="B19" s="105">
        <f>B18/B$10</f>
        <v>0.1668984253536514</v>
      </c>
      <c r="C19" s="105" t="e">
        <f>C18/C$10</f>
        <v>#DIV/0!</v>
      </c>
      <c r="D19" s="105">
        <f>D18/D$10</f>
        <v>0.16689842535365138</v>
      </c>
      <c r="E19" s="106">
        <f>E18/E$10</f>
        <v>0.16689842535365138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Allocation'!$W$151</f>
        <v>115872.72367508698</v>
      </c>
      <c r="C21" s="108">
        <v>0</v>
      </c>
      <c r="D21" s="108">
        <f>+'[1]Cost Allocation'!$W$153</f>
        <v>74274.560749304917</v>
      </c>
      <c r="E21" s="109">
        <f>SUM(B21:D21)</f>
        <v>190147.2844243919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Allocation'!$X$153</f>
        <v>27088.627497891797</v>
      </c>
      <c r="E22" s="109">
        <f>SUM(B22:D22)</f>
        <v>27088.627497891797</v>
      </c>
      <c r="F22" s="77"/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  <c r="F23" s="77"/>
    </row>
    <row r="24" spans="1:6" s="4" customFormat="1">
      <c r="A24" s="110" t="s">
        <v>34</v>
      </c>
      <c r="B24" s="102">
        <f>SUM(B21:B23)</f>
        <v>115872.72367508698</v>
      </c>
      <c r="C24" s="102">
        <f>+Norfolk!D13</f>
        <v>0.20256504198283329</v>
      </c>
      <c r="D24" s="102">
        <f>SUM(D21:D23)</f>
        <v>101363.18824719671</v>
      </c>
      <c r="E24" s="107">
        <f>SUM(E21:E23)</f>
        <v>217235.9119222837</v>
      </c>
      <c r="F24" s="99"/>
    </row>
    <row r="25" spans="1:6">
      <c r="A25" s="104" t="s">
        <v>35</v>
      </c>
      <c r="B25" s="105">
        <f>+B24/B10</f>
        <v>0.20334896551210227</v>
      </c>
      <c r="C25" s="105" t="e">
        <f>+C24/C10</f>
        <v>#DIV/0!</v>
      </c>
      <c r="D25" s="105">
        <f>+D24/D10</f>
        <v>0.4687694398855356</v>
      </c>
      <c r="E25" s="106">
        <f>+E24/E10</f>
        <v>0.2763623882081232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4" customFormat="1">
      <c r="A37" s="113" t="s">
        <v>33</v>
      </c>
      <c r="B37" s="102">
        <f>+B15-B24-B18</f>
        <v>234049.56092117983</v>
      </c>
      <c r="C37" s="102">
        <f>+C15-C24-C18</f>
        <v>-0.20256504198283329</v>
      </c>
      <c r="D37" s="102">
        <f>+D15-D24-D18</f>
        <v>65110.430193609012</v>
      </c>
      <c r="E37" s="107">
        <f>+E15-E24-E18</f>
        <v>299159.99111478881</v>
      </c>
      <c r="F37" s="99"/>
    </row>
    <row r="38" spans="1:6" ht="13.5" thickBot="1">
      <c r="A38" s="93" t="s">
        <v>37</v>
      </c>
      <c r="B38" s="94">
        <f>ABS(B37/B10)</f>
        <v>0.41074149793301606</v>
      </c>
      <c r="C38" s="94" t="e">
        <f>-(C37/C10)</f>
        <v>#DIV/0!</v>
      </c>
      <c r="D38" s="94">
        <f>ABS(D37/D10)</f>
        <v>0.30111306106641206</v>
      </c>
      <c r="E38" s="95">
        <f>ABS(E37/E10)</f>
        <v>0.38058426375829407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142" t="s">
        <v>13</v>
      </c>
      <c r="C40" s="142"/>
      <c r="D40" s="142"/>
      <c r="E40" s="116">
        <f>+Chesapeake!E40</f>
        <v>18554.036666666667</v>
      </c>
      <c r="F40" s="77"/>
    </row>
    <row r="41" spans="1:6" ht="13.5" customHeight="1">
      <c r="A41" s="77"/>
      <c r="B41" s="142" t="s">
        <v>14</v>
      </c>
      <c r="C41" s="142"/>
      <c r="D41" s="142"/>
      <c r="E41" s="78">
        <f>+Chesapeake!E41</f>
        <v>-2772.7643048449327</v>
      </c>
      <c r="F41" s="77"/>
    </row>
    <row r="42" spans="1:6" ht="13.5" customHeight="1">
      <c r="A42" s="77"/>
      <c r="B42" s="142" t="s">
        <v>15</v>
      </c>
      <c r="C42" s="142"/>
      <c r="D42" s="142"/>
      <c r="E42" s="78">
        <f>+'[1]Cost Allocation'!$AK$155</f>
        <v>15766.328975456761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77"/>
      <c r="B44" s="143" t="s">
        <v>18</v>
      </c>
      <c r="C44" s="143"/>
      <c r="D44" s="143"/>
      <c r="E44" s="100">
        <f>SUM(E40:E42)+E37</f>
        <v>330707.5924520673</v>
      </c>
      <c r="F44" s="77"/>
    </row>
    <row r="52" spans="1:5">
      <c r="A52" s="144"/>
      <c r="B52" s="144"/>
      <c r="C52" s="144"/>
      <c r="D52" s="144"/>
      <c r="E52" s="144"/>
    </row>
    <row r="53" spans="1:5">
      <c r="A53" s="144"/>
      <c r="B53" s="144"/>
      <c r="C53" s="144"/>
      <c r="D53" s="144"/>
      <c r="E53" s="144"/>
    </row>
  </sheetData>
  <mergeCells count="5">
    <mergeCell ref="A52:E53"/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38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H15" sqref="H15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60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49</v>
      </c>
      <c r="D3" s="79" t="s">
        <v>0</v>
      </c>
      <c r="E3" s="77"/>
      <c r="F3" s="77"/>
    </row>
    <row r="4" spans="1:7" ht="13.5" thickBot="1">
      <c r="A4" s="130" t="s">
        <v>51</v>
      </c>
      <c r="B4" s="126">
        <f>+'[1]System ridership '!$I$16</f>
        <v>277016.38672555913</v>
      </c>
      <c r="C4" s="126">
        <f>+'[1]System ridership '!$I$19</f>
        <v>5784</v>
      </c>
      <c r="D4" s="128">
        <f>SUM(B4:C4)</f>
        <v>282800.38672555913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Allocation'!$E$173</f>
        <v>10305.1</v>
      </c>
      <c r="C6" s="81">
        <f>+'[1]Cost Allocation'!$E$178</f>
        <v>3175.638557288964</v>
      </c>
      <c r="D6" s="82">
        <f>SUM(B6:C6)</f>
        <v>13480.738557288965</v>
      </c>
      <c r="E6" s="77"/>
      <c r="F6" s="77"/>
    </row>
    <row r="7" spans="1:7" hidden="1">
      <c r="A7" s="83" t="s">
        <v>5</v>
      </c>
      <c r="B7" s="84">
        <f>+Chesapeake!B7</f>
        <v>74.507826440564884</v>
      </c>
      <c r="C7" s="84">
        <f>+Chesapeake!D7</f>
        <v>68.09664788539834</v>
      </c>
      <c r="D7" s="85">
        <f>(D10/D6)-D8</f>
        <v>72.997554156080682</v>
      </c>
      <c r="E7" s="77"/>
      <c r="F7" s="77"/>
    </row>
    <row r="8" spans="1:7" hidden="1">
      <c r="A8" s="83" t="s">
        <v>6</v>
      </c>
      <c r="B8" s="84">
        <f>+Chesapeake!B8</f>
        <v>11.984796085985176</v>
      </c>
      <c r="C8" s="84">
        <f>+B8</f>
        <v>11.984796085985176</v>
      </c>
      <c r="D8" s="85">
        <f>C8</f>
        <v>11.984796085985176</v>
      </c>
      <c r="E8" s="77"/>
      <c r="F8" s="77"/>
    </row>
    <row r="9" spans="1:7">
      <c r="A9" s="83" t="s">
        <v>38</v>
      </c>
      <c r="B9" s="84">
        <f>SUM(B7:B8)</f>
        <v>86.492622526550065</v>
      </c>
      <c r="C9" s="84">
        <f>SUM(C7:C8)</f>
        <v>80.081443971383521</v>
      </c>
      <c r="D9" s="85">
        <f>SUM(D7:D8)</f>
        <v>84.982350242065863</v>
      </c>
      <c r="E9" s="77"/>
      <c r="F9" s="77"/>
    </row>
    <row r="10" spans="1:7" ht="13.5" thickBot="1">
      <c r="A10" s="86" t="s">
        <v>7</v>
      </c>
      <c r="B10" s="87">
        <f>SUM(B7:B8)*B6</f>
        <v>891315.12439835106</v>
      </c>
      <c r="C10" s="87">
        <f>SUM(C7:C8)*C6</f>
        <v>254309.72119890136</v>
      </c>
      <c r="D10" s="88">
        <f>SUM(B10:C10)</f>
        <v>1145624.8455972525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Allocation'!$F$173</f>
        <v>244044.24219879767</v>
      </c>
      <c r="C12" s="91">
        <f>+'[1]Cost Allocation'!$F$178</f>
        <v>16077.22500567592</v>
      </c>
      <c r="D12" s="92">
        <f>SUM(B12:C12)</f>
        <v>260121.46720447359</v>
      </c>
      <c r="E12" s="77"/>
      <c r="F12" s="77"/>
    </row>
    <row r="13" spans="1:7" ht="13.5" thickBot="1">
      <c r="A13" s="93" t="s">
        <v>8</v>
      </c>
      <c r="B13" s="94">
        <f>B12/B10</f>
        <v>0.27380242466269222</v>
      </c>
      <c r="C13" s="94">
        <f>C12/C10</f>
        <v>6.321907369440101E-2</v>
      </c>
      <c r="D13" s="95">
        <f>D12/D10</f>
        <v>0.2270564122314086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647270.88219955342</v>
      </c>
      <c r="C15" s="97">
        <f>C10-C12</f>
        <v>238232.49619322544</v>
      </c>
      <c r="D15" s="98">
        <f>D10-D12</f>
        <v>885503.37839277892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Allocation'!$U$173</f>
        <v>148759.09075597872</v>
      </c>
      <c r="C18" s="91">
        <f>+'[1]Cost Allocation'!$U$178</f>
        <v>42443.892020222738</v>
      </c>
      <c r="D18" s="92">
        <f>SUM(B18:C18)</f>
        <v>191202.98277620145</v>
      </c>
      <c r="E18" s="99"/>
      <c r="F18" s="99"/>
    </row>
    <row r="19" spans="1:6">
      <c r="A19" s="104" t="s">
        <v>32</v>
      </c>
      <c r="B19" s="105">
        <f>B18/B$10</f>
        <v>0.1668984253536514</v>
      </c>
      <c r="C19" s="105">
        <f>C18/C$10</f>
        <v>0.1668984253536514</v>
      </c>
      <c r="D19" s="106">
        <f>D18/D$10</f>
        <v>0.1668984253536514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Allocation'!$W$173</f>
        <v>181248.00849169542</v>
      </c>
      <c r="C21" s="108">
        <f>+'[1]Cost Allocation'!$W$178</f>
        <v>87353.856490121019</v>
      </c>
      <c r="D21" s="109">
        <f>SUM(B21:C21)</f>
        <v>268601.86498181644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Allocation'!$X$178</f>
        <v>31858.769073734718</v>
      </c>
      <c r="D22" s="109">
        <f>SUM(B22:C22)</f>
        <v>31858.769073734718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181248.00849169542</v>
      </c>
      <c r="C24" s="102">
        <f>SUM(C21:C23)</f>
        <v>119212.62556385573</v>
      </c>
      <c r="D24" s="107">
        <f>SUM(D21:D23)</f>
        <v>300460.63405555114</v>
      </c>
      <c r="E24" s="99"/>
      <c r="F24" s="99"/>
    </row>
    <row r="25" spans="1:6">
      <c r="A25" s="104" t="s">
        <v>35</v>
      </c>
      <c r="B25" s="105">
        <f>+B24/B10</f>
        <v>0.20334896551210224</v>
      </c>
      <c r="C25" s="105">
        <f>+C24/C10</f>
        <v>0.46876943988553571</v>
      </c>
      <c r="D25" s="106">
        <f>+D24/D10</f>
        <v>0.26226791013676992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317263.78295187932</v>
      </c>
      <c r="C37" s="102">
        <f>+C15-C24-C18</f>
        <v>76575.978609146958</v>
      </c>
      <c r="D37" s="107">
        <f>+D15-D24-D18</f>
        <v>393839.76156102633</v>
      </c>
      <c r="E37" s="99"/>
      <c r="F37" s="99"/>
    </row>
    <row r="38" spans="1:6" ht="13.5" thickBot="1">
      <c r="A38" s="93" t="s">
        <v>37</v>
      </c>
      <c r="B38" s="94">
        <f>ABS(B37/B10)</f>
        <v>0.35595018447155419</v>
      </c>
      <c r="C38" s="94">
        <f>ABS(C37/C10)</f>
        <v>0.30111306106641184</v>
      </c>
      <c r="D38" s="95">
        <f>ABS(D37/D10)</f>
        <v>0.34377725227817008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18554.036666666667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-2772.7643048449327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Allocation'!$AK$180</f>
        <v>22882.845573696275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77"/>
      <c r="B44" s="78"/>
      <c r="C44" s="120" t="s">
        <v>19</v>
      </c>
      <c r="D44" s="100">
        <f>SUM(D40:D42)+D37</f>
        <v>432503.87949654437</v>
      </c>
      <c r="E44" s="77"/>
      <c r="F44" s="77"/>
    </row>
    <row r="46" spans="1:6">
      <c r="A46" s="3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MAX!Print_Area</vt:lpstr>
      <vt:lpstr>'Newport News'!Print_Area</vt:lpstr>
      <vt:lpstr>Portsmouth!Print_Area</vt:lpstr>
      <vt:lpstr>Suffolk!Print_Area</vt:lpstr>
      <vt:lpstr>'System Total'!Print_Area</vt:lpstr>
      <vt:lpstr>'Virginia Beach'!Print_Area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hli</cp:lastModifiedBy>
  <cp:lastPrinted>2012-02-16T14:32:15Z</cp:lastPrinted>
  <dcterms:created xsi:type="dcterms:W3CDTF">2004-09-09T18:58:16Z</dcterms:created>
  <dcterms:modified xsi:type="dcterms:W3CDTF">2012-07-25T16:16:17Z</dcterms:modified>
</cp:coreProperties>
</file>