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codeName="ThisWorkbook" hidePivotFieldList="1"/>
  <mc:AlternateContent xmlns:mc="http://schemas.openxmlformats.org/markup-compatibility/2006">
    <mc:Choice Requires="x15">
      <x15ac:absPath xmlns:x15ac="http://schemas.microsoft.com/office/spreadsheetml/2010/11/ac" url="/Users/xhf/Documents/GitHub/20160804_ABS/"/>
    </mc:Choice>
  </mc:AlternateContent>
  <bookViews>
    <workbookView xWindow="0" yWindow="460" windowWidth="19200" windowHeight="21060" tabRatio="623" activeTab="6"/>
  </bookViews>
  <sheets>
    <sheet name="统计" sheetId="7" r:id="rId1"/>
    <sheet name="调整收益分析" sheetId="22" r:id="rId2"/>
    <sheet name="投资者收益测算表" sheetId="21" r:id="rId3"/>
    <sheet name="Sheet1" sheetId="32" r:id="rId4"/>
    <sheet name="分类统计" sheetId="11" r:id="rId5"/>
    <sheet name="每日存款测算表" sheetId="27" r:id="rId6"/>
    <sheet name="基础资产现金流" sheetId="6" r:id="rId7"/>
    <sheet name="工作安排" sheetId="2" r:id="rId8"/>
    <sheet name="影子评级初稿" sheetId="13" r:id="rId9"/>
    <sheet name="锦石测算" sheetId="31" r:id="rId10"/>
  </sheets>
  <definedNames>
    <definedName name="_xlnm._FilterDatabase" localSheetId="6" hidden="1">基础资产现金流!$A$1:$G$139</definedName>
  </definedNames>
  <calcPr calcId="150001" concurrentCalc="0"/>
  <pivotCaches>
    <pivotCache cacheId="0" r:id="rId11"/>
    <pivotCache cacheId="1" r:id="rId12"/>
    <pivotCache cacheId="2" r:id="rId13"/>
    <pivotCache cacheId="3" r:id="rId14"/>
    <pivotCache cacheId="4" r:id="rId15"/>
  </pivotCaches>
  <extLst>
    <ext xmlns:mx="http://schemas.microsoft.com/office/mac/excel/2008/main" uri="{7523E5D3-25F3-A5E0-1632-64F254C22452}">
      <mx:ArchID Flags="2"/>
    </ext>
  </extLst>
</workbook>
</file>

<file path=xl/calcChain.xml><?xml version="1.0" encoding="utf-8"?>
<calcChain xmlns="http://schemas.openxmlformats.org/spreadsheetml/2006/main">
  <c r="F41" i="11" l="1"/>
  <c r="T24" i="7"/>
  <c r="T32" i="7"/>
  <c r="A91" i="6"/>
  <c r="A92" i="6"/>
  <c r="A93" i="6"/>
  <c r="A94" i="6"/>
  <c r="A95" i="6"/>
  <c r="A96" i="6"/>
  <c r="A97" i="6"/>
  <c r="A98" i="6"/>
  <c r="A99" i="6"/>
  <c r="F98" i="6"/>
  <c r="C98" i="6"/>
  <c r="D98" i="6"/>
  <c r="E98" i="6"/>
  <c r="B98" i="6"/>
  <c r="G98" i="6"/>
  <c r="H98" i="6"/>
  <c r="I98" i="6"/>
  <c r="A100" i="6"/>
  <c r="F99" i="6"/>
  <c r="C99" i="6"/>
  <c r="D99" i="6"/>
  <c r="E99" i="6"/>
  <c r="G99" i="6"/>
  <c r="H99" i="6"/>
  <c r="I99" i="6"/>
  <c r="F93" i="6"/>
  <c r="C93" i="6"/>
  <c r="D93" i="6"/>
  <c r="E93" i="6"/>
  <c r="G93" i="6"/>
  <c r="H93" i="6"/>
  <c r="I93" i="6"/>
  <c r="F94" i="6"/>
  <c r="C94" i="6"/>
  <c r="D94" i="6"/>
  <c r="E94" i="6"/>
  <c r="G94" i="6"/>
  <c r="H94" i="6"/>
  <c r="I94" i="6"/>
  <c r="F95" i="6"/>
  <c r="C95" i="6"/>
  <c r="D95" i="6"/>
  <c r="E95" i="6"/>
  <c r="G95" i="6"/>
  <c r="H95" i="6"/>
  <c r="I95" i="6"/>
  <c r="F96" i="6"/>
  <c r="C96" i="6"/>
  <c r="D96" i="6"/>
  <c r="E96" i="6"/>
  <c r="G96" i="6"/>
  <c r="H96" i="6"/>
  <c r="I96" i="6"/>
  <c r="F97" i="6"/>
  <c r="C97" i="6"/>
  <c r="D97" i="6"/>
  <c r="E97" i="6"/>
  <c r="G97" i="6"/>
  <c r="H97" i="6"/>
  <c r="I97" i="6"/>
  <c r="A80" i="6"/>
  <c r="A81" i="6"/>
  <c r="A82" i="6"/>
  <c r="A83" i="6"/>
  <c r="A84" i="6"/>
  <c r="A85" i="6"/>
  <c r="F84" i="6"/>
  <c r="C84" i="6"/>
  <c r="D84" i="6"/>
  <c r="E84" i="6"/>
  <c r="G84" i="6"/>
  <c r="H84" i="6"/>
  <c r="I84" i="6"/>
  <c r="A86" i="6"/>
  <c r="F85" i="6"/>
  <c r="C85" i="6"/>
  <c r="D85" i="6"/>
  <c r="E85" i="6"/>
  <c r="G85" i="6"/>
  <c r="H85" i="6"/>
  <c r="I85" i="6"/>
  <c r="A87" i="6"/>
  <c r="F86" i="6"/>
  <c r="C86" i="6"/>
  <c r="D86" i="6"/>
  <c r="E86" i="6"/>
  <c r="G86" i="6"/>
  <c r="H86" i="6"/>
  <c r="B87" i="6"/>
  <c r="I86" i="6"/>
  <c r="A88" i="6"/>
  <c r="F87" i="6"/>
  <c r="C87" i="6"/>
  <c r="D87" i="6"/>
  <c r="E87" i="6"/>
  <c r="G87" i="6"/>
  <c r="H87" i="6"/>
  <c r="I87" i="6"/>
  <c r="A89" i="6"/>
  <c r="F88" i="6"/>
  <c r="C88" i="6"/>
  <c r="D88" i="6"/>
  <c r="E88" i="6"/>
  <c r="G88" i="6"/>
  <c r="H88" i="6"/>
  <c r="I88" i="6"/>
  <c r="C89" i="6"/>
  <c r="F89" i="6"/>
  <c r="D89" i="6"/>
  <c r="E89" i="6"/>
  <c r="G89" i="6"/>
  <c r="H89" i="6"/>
  <c r="I89" i="6"/>
  <c r="B28" i="21"/>
  <c r="I44" i="21"/>
  <c r="C47" i="21"/>
  <c r="C46" i="21"/>
  <c r="E199" i="22"/>
  <c r="G199" i="22"/>
  <c r="G200" i="22"/>
  <c r="G201" i="22"/>
  <c r="F183" i="22"/>
  <c r="I90" i="6"/>
  <c r="I91" i="6"/>
  <c r="I92" i="6"/>
  <c r="I100" i="6"/>
  <c r="A102" i="6"/>
  <c r="I101" i="6"/>
  <c r="A103" i="6"/>
  <c r="I102" i="6"/>
  <c r="A104" i="6"/>
  <c r="I103" i="6"/>
  <c r="A105" i="6"/>
  <c r="I104" i="6"/>
  <c r="A106" i="6"/>
  <c r="I105" i="6"/>
  <c r="A107" i="6"/>
  <c r="I106" i="6"/>
  <c r="B108" i="6"/>
  <c r="A108" i="6"/>
  <c r="I107" i="6"/>
  <c r="A109" i="6"/>
  <c r="I108" i="6"/>
  <c r="A110" i="6"/>
  <c r="I109" i="6"/>
  <c r="A111" i="6"/>
  <c r="I110" i="6"/>
  <c r="I111" i="6"/>
  <c r="A113" i="6"/>
  <c r="I112" i="6"/>
  <c r="A114" i="6"/>
  <c r="I113" i="6"/>
  <c r="A115" i="6"/>
  <c r="I114" i="6"/>
  <c r="A116" i="6"/>
  <c r="I115" i="6"/>
  <c r="A117" i="6"/>
  <c r="I116" i="6"/>
  <c r="B118" i="6"/>
  <c r="A118" i="6"/>
  <c r="I117" i="6"/>
  <c r="A119" i="6"/>
  <c r="I118" i="6"/>
  <c r="A120" i="6"/>
  <c r="I119" i="6"/>
  <c r="I120" i="6"/>
  <c r="A122" i="6"/>
  <c r="I121" i="6"/>
  <c r="A123" i="6"/>
  <c r="I122" i="6"/>
  <c r="A124" i="6"/>
  <c r="I123" i="6"/>
  <c r="B125" i="6"/>
  <c r="A125" i="6"/>
  <c r="I124" i="6"/>
  <c r="A126" i="6"/>
  <c r="I125" i="6"/>
  <c r="I126" i="6"/>
  <c r="A128" i="6"/>
  <c r="I127" i="6"/>
  <c r="A129" i="6"/>
  <c r="I128" i="6"/>
  <c r="A130" i="6"/>
  <c r="I129" i="6"/>
  <c r="B131" i="6"/>
  <c r="A131" i="6"/>
  <c r="I130" i="6"/>
  <c r="A132" i="6"/>
  <c r="I131" i="6"/>
  <c r="I132" i="6"/>
  <c r="A134" i="6"/>
  <c r="I133" i="6"/>
  <c r="A135" i="6"/>
  <c r="I134" i="6"/>
  <c r="A136" i="6"/>
  <c r="I135" i="6"/>
  <c r="B137" i="6"/>
  <c r="A137" i="6"/>
  <c r="I136" i="6"/>
  <c r="A138" i="6"/>
  <c r="I137" i="6"/>
  <c r="I138" i="6"/>
  <c r="A4" i="6"/>
  <c r="A5" i="6"/>
  <c r="I4" i="6"/>
  <c r="I5" i="6"/>
  <c r="B7" i="6"/>
  <c r="A7" i="6"/>
  <c r="I6" i="6"/>
  <c r="A8" i="6"/>
  <c r="I7" i="6"/>
  <c r="A9" i="6"/>
  <c r="I8" i="6"/>
  <c r="I9" i="6"/>
  <c r="B11" i="6"/>
  <c r="A11" i="6"/>
  <c r="I10" i="6"/>
  <c r="A12" i="6"/>
  <c r="I11" i="6"/>
  <c r="A13" i="6"/>
  <c r="I12" i="6"/>
  <c r="I13" i="6"/>
  <c r="B15" i="6"/>
  <c r="A15" i="6"/>
  <c r="I14" i="6"/>
  <c r="A16" i="6"/>
  <c r="I15" i="6"/>
  <c r="A17" i="6"/>
  <c r="I16" i="6"/>
  <c r="I17" i="6"/>
  <c r="A19" i="6"/>
  <c r="I18" i="6"/>
  <c r="B20" i="6"/>
  <c r="A20" i="6"/>
  <c r="I19" i="6"/>
  <c r="A21" i="6"/>
  <c r="I20" i="6"/>
  <c r="A22" i="6"/>
  <c r="I21" i="6"/>
  <c r="I22" i="6"/>
  <c r="A24" i="6"/>
  <c r="I23" i="6"/>
  <c r="B25" i="6"/>
  <c r="A25" i="6"/>
  <c r="I24" i="6"/>
  <c r="A26" i="6"/>
  <c r="I25" i="6"/>
  <c r="A27" i="6"/>
  <c r="I26" i="6"/>
  <c r="I27" i="6"/>
  <c r="B29" i="6"/>
  <c r="A29" i="6"/>
  <c r="I28" i="6"/>
  <c r="A30" i="6"/>
  <c r="I29" i="6"/>
  <c r="A31" i="6"/>
  <c r="I30" i="6"/>
  <c r="I31" i="6"/>
  <c r="B33" i="6"/>
  <c r="A33" i="6"/>
  <c r="I32" i="6"/>
  <c r="A34" i="6"/>
  <c r="I33" i="6"/>
  <c r="A35" i="6"/>
  <c r="I34" i="6"/>
  <c r="I35" i="6"/>
  <c r="B37" i="6"/>
  <c r="A37" i="6"/>
  <c r="I36" i="6"/>
  <c r="A38" i="6"/>
  <c r="I37" i="6"/>
  <c r="A39" i="6"/>
  <c r="I38" i="6"/>
  <c r="I39" i="6"/>
  <c r="A41" i="6"/>
  <c r="I40" i="6"/>
  <c r="B42" i="6"/>
  <c r="A42" i="6"/>
  <c r="I41" i="6"/>
  <c r="A43" i="6"/>
  <c r="I42" i="6"/>
  <c r="A44" i="6"/>
  <c r="I43" i="6"/>
  <c r="I44" i="6"/>
  <c r="B46" i="6"/>
  <c r="A46" i="6"/>
  <c r="I45" i="6"/>
  <c r="I46" i="6"/>
  <c r="I47" i="6"/>
  <c r="I48" i="6"/>
  <c r="B50" i="6"/>
  <c r="A50" i="6"/>
  <c r="I49" i="6"/>
  <c r="I50" i="6"/>
  <c r="I51" i="6"/>
  <c r="I52" i="6"/>
  <c r="B54" i="6"/>
  <c r="A54" i="6"/>
  <c r="I53" i="6"/>
  <c r="I54" i="6"/>
  <c r="I55" i="6"/>
  <c r="I56" i="6"/>
  <c r="A58" i="6"/>
  <c r="I57" i="6"/>
  <c r="A59" i="6"/>
  <c r="I58" i="6"/>
  <c r="A60" i="6"/>
  <c r="I59" i="6"/>
  <c r="A61" i="6"/>
  <c r="I60" i="6"/>
  <c r="A62" i="6"/>
  <c r="I61" i="6"/>
  <c r="A63" i="6"/>
  <c r="I62" i="6"/>
  <c r="B64" i="6"/>
  <c r="A64" i="6"/>
  <c r="I63" i="6"/>
  <c r="A65" i="6"/>
  <c r="I64" i="6"/>
  <c r="A66" i="6"/>
  <c r="I65" i="6"/>
  <c r="A67" i="6"/>
  <c r="I66" i="6"/>
  <c r="I67" i="6"/>
  <c r="A69" i="6"/>
  <c r="I68" i="6"/>
  <c r="A70" i="6"/>
  <c r="I69" i="6"/>
  <c r="A71" i="6"/>
  <c r="I70" i="6"/>
  <c r="A72" i="6"/>
  <c r="I71" i="6"/>
  <c r="A73" i="6"/>
  <c r="I72" i="6"/>
  <c r="A74" i="6"/>
  <c r="I73" i="6"/>
  <c r="B75" i="6"/>
  <c r="A75" i="6"/>
  <c r="I74" i="6"/>
  <c r="A76" i="6"/>
  <c r="I75" i="6"/>
  <c r="A77" i="6"/>
  <c r="I76" i="6"/>
  <c r="A78" i="6"/>
  <c r="I77" i="6"/>
  <c r="I78" i="6"/>
  <c r="I79" i="6"/>
  <c r="I80" i="6"/>
  <c r="I81" i="6"/>
  <c r="I82" i="6"/>
  <c r="I83" i="6"/>
  <c r="Q24" i="7"/>
  <c r="C53" i="21"/>
  <c r="C54" i="21"/>
  <c r="C55" i="21"/>
  <c r="B74" i="21"/>
  <c r="J79" i="21"/>
  <c r="J84" i="21"/>
  <c r="J85" i="21"/>
  <c r="E184" i="22"/>
  <c r="E183" i="22"/>
  <c r="D116" i="6"/>
  <c r="E116" i="6"/>
  <c r="D117" i="6"/>
  <c r="E117" i="6"/>
  <c r="D118" i="6"/>
  <c r="E118" i="6"/>
  <c r="F115" i="6"/>
  <c r="C115" i="6"/>
  <c r="D115" i="6"/>
  <c r="E115" i="6"/>
  <c r="G115" i="6"/>
  <c r="H115" i="6"/>
  <c r="F116" i="6"/>
  <c r="C116" i="6"/>
  <c r="G116" i="6"/>
  <c r="H116" i="6"/>
  <c r="F117" i="6"/>
  <c r="C117" i="6"/>
  <c r="G117" i="6"/>
  <c r="H117" i="6"/>
  <c r="F118" i="6"/>
  <c r="C118" i="6"/>
  <c r="G118" i="6"/>
  <c r="H118" i="6"/>
  <c r="F119" i="6"/>
  <c r="C119" i="6"/>
  <c r="D119" i="6"/>
  <c r="E119" i="6"/>
  <c r="G119" i="6"/>
  <c r="H119" i="6"/>
  <c r="F52" i="21"/>
  <c r="F51" i="21"/>
  <c r="F53" i="21"/>
  <c r="F54" i="21"/>
  <c r="G342" i="22"/>
  <c r="G343" i="22"/>
  <c r="G344" i="22"/>
  <c r="G345" i="22"/>
  <c r="G346" i="22"/>
  <c r="D342" i="22"/>
  <c r="D343" i="22"/>
  <c r="D344" i="22"/>
  <c r="D345" i="22"/>
  <c r="D346" i="22"/>
  <c r="D347" i="22"/>
  <c r="C306" i="22"/>
  <c r="C326" i="22"/>
  <c r="C347" i="22"/>
  <c r="C301" i="22"/>
  <c r="C321" i="22"/>
  <c r="C342" i="22"/>
  <c r="F347" i="22"/>
  <c r="G347" i="22"/>
  <c r="G348" i="22"/>
  <c r="G349" i="22"/>
  <c r="G350" i="22"/>
  <c r="G351" i="22"/>
  <c r="D348" i="22"/>
  <c r="D349" i="22"/>
  <c r="D350" i="22"/>
  <c r="D351" i="22"/>
  <c r="D352" i="22"/>
  <c r="E352" i="22"/>
  <c r="C311" i="22"/>
  <c r="C331" i="22"/>
  <c r="C352" i="22"/>
  <c r="F352" i="22"/>
  <c r="G352" i="22"/>
  <c r="G353" i="22"/>
  <c r="D321" i="22"/>
  <c r="D322" i="22"/>
  <c r="D323" i="22"/>
  <c r="D324" i="22"/>
  <c r="D325" i="22"/>
  <c r="D326" i="22"/>
  <c r="D327" i="22"/>
  <c r="C307" i="22"/>
  <c r="C327" i="22"/>
  <c r="C304" i="22"/>
  <c r="C324" i="22"/>
  <c r="F327" i="22"/>
  <c r="G327" i="22"/>
  <c r="G307" i="22"/>
  <c r="G328" i="22"/>
  <c r="G308" i="22"/>
  <c r="D328" i="22"/>
  <c r="D329" i="22"/>
  <c r="C309" i="22"/>
  <c r="C329" i="22"/>
  <c r="F329" i="22"/>
  <c r="G329" i="22"/>
  <c r="G309" i="22"/>
  <c r="G330" i="22"/>
  <c r="G310" i="22"/>
  <c r="D330" i="22"/>
  <c r="D331" i="22"/>
  <c r="E331" i="22"/>
  <c r="F331" i="22"/>
  <c r="G331" i="22"/>
  <c r="G311" i="22"/>
  <c r="G321" i="22"/>
  <c r="G301" i="22"/>
  <c r="G322" i="22"/>
  <c r="G302" i="22"/>
  <c r="G323" i="22"/>
  <c r="G303" i="22"/>
  <c r="F324" i="22"/>
  <c r="G324" i="22"/>
  <c r="G304" i="22"/>
  <c r="G325" i="22"/>
  <c r="G305" i="22"/>
  <c r="G326" i="22"/>
  <c r="G306" i="22"/>
  <c r="G312" i="22"/>
  <c r="F353" i="22"/>
  <c r="E353" i="22"/>
  <c r="B29" i="21"/>
  <c r="C302" i="22"/>
  <c r="C322" i="22"/>
  <c r="C343" i="22"/>
  <c r="C303" i="22"/>
  <c r="C323" i="22"/>
  <c r="C344" i="22"/>
  <c r="C345" i="22"/>
  <c r="C305" i="22"/>
  <c r="C325" i="22"/>
  <c r="C346" i="22"/>
  <c r="C348" i="22"/>
  <c r="C308" i="22"/>
  <c r="C328" i="22"/>
  <c r="C349" i="22"/>
  <c r="C350" i="22"/>
  <c r="B37" i="21"/>
  <c r="C310" i="22"/>
  <c r="C330" i="22"/>
  <c r="C351" i="22"/>
  <c r="D341" i="22"/>
  <c r="E341" i="22"/>
  <c r="F341" i="22"/>
  <c r="G341" i="22"/>
  <c r="C300" i="22"/>
  <c r="C320" i="22"/>
  <c r="C341" i="22"/>
  <c r="D318" i="22"/>
  <c r="D339" i="22"/>
  <c r="F119" i="21"/>
  <c r="B114" i="21"/>
  <c r="E117" i="21"/>
  <c r="F117" i="21"/>
  <c r="D301" i="22"/>
  <c r="E301" i="22"/>
  <c r="F301" i="22"/>
  <c r="H301" i="22"/>
  <c r="D302" i="22"/>
  <c r="E302" i="22"/>
  <c r="F302" i="22"/>
  <c r="H302" i="22"/>
  <c r="D303" i="22"/>
  <c r="E303" i="22"/>
  <c r="F303" i="22"/>
  <c r="H303" i="22"/>
  <c r="E31" i="21"/>
  <c r="D304" i="22"/>
  <c r="C135" i="21"/>
  <c r="C136" i="21"/>
  <c r="C137" i="21"/>
  <c r="C138" i="21"/>
  <c r="B135" i="21"/>
  <c r="E138" i="21"/>
  <c r="F138" i="21"/>
  <c r="F31" i="21"/>
  <c r="E304" i="22"/>
  <c r="F304" i="22"/>
  <c r="H304" i="22"/>
  <c r="D305" i="22"/>
  <c r="E305" i="22"/>
  <c r="F305" i="22"/>
  <c r="H305" i="22"/>
  <c r="E33" i="21"/>
  <c r="D306" i="22"/>
  <c r="E306" i="22"/>
  <c r="B154" i="21"/>
  <c r="E159" i="21"/>
  <c r="F159" i="21"/>
  <c r="G33" i="21"/>
  <c r="F306" i="22"/>
  <c r="H306" i="22"/>
  <c r="E120" i="21"/>
  <c r="F120" i="21"/>
  <c r="E34" i="21"/>
  <c r="D307" i="22"/>
  <c r="C139" i="21"/>
  <c r="C140" i="21"/>
  <c r="C141" i="21"/>
  <c r="E141" i="21"/>
  <c r="F141" i="21"/>
  <c r="F34" i="21"/>
  <c r="E307" i="22"/>
  <c r="F307" i="22"/>
  <c r="H307" i="22"/>
  <c r="D308" i="22"/>
  <c r="E308" i="22"/>
  <c r="F308" i="22"/>
  <c r="H308" i="22"/>
  <c r="E122" i="21"/>
  <c r="F122" i="21"/>
  <c r="E36" i="21"/>
  <c r="D309" i="22"/>
  <c r="C142" i="21"/>
  <c r="C143" i="21"/>
  <c r="E143" i="21"/>
  <c r="F143" i="21"/>
  <c r="F36" i="21"/>
  <c r="E309" i="22"/>
  <c r="F309" i="22"/>
  <c r="H309" i="22"/>
  <c r="D310" i="22"/>
  <c r="E310" i="22"/>
  <c r="F310" i="22"/>
  <c r="H310" i="22"/>
  <c r="E124" i="21"/>
  <c r="C114" i="21"/>
  <c r="C115" i="21"/>
  <c r="C116" i="21"/>
  <c r="C117" i="21"/>
  <c r="C118" i="21"/>
  <c r="C119" i="21"/>
  <c r="C120" i="21"/>
  <c r="C121" i="21"/>
  <c r="C122" i="21"/>
  <c r="C123" i="21"/>
  <c r="C124" i="21"/>
  <c r="D124" i="21"/>
  <c r="F124" i="21"/>
  <c r="E38" i="21"/>
  <c r="D311" i="22"/>
  <c r="C144" i="21"/>
  <c r="C145" i="21"/>
  <c r="E145" i="21"/>
  <c r="D145" i="21"/>
  <c r="F145" i="21"/>
  <c r="F38" i="21"/>
  <c r="E311" i="22"/>
  <c r="C154" i="21"/>
  <c r="C155" i="21"/>
  <c r="C156" i="21"/>
  <c r="C157" i="21"/>
  <c r="C158" i="21"/>
  <c r="C159" i="21"/>
  <c r="C160" i="21"/>
  <c r="C161" i="21"/>
  <c r="C162" i="21"/>
  <c r="C163" i="21"/>
  <c r="C164" i="21"/>
  <c r="D164" i="21"/>
  <c r="E164" i="21"/>
  <c r="F164" i="21"/>
  <c r="G38" i="21"/>
  <c r="F311" i="22"/>
  <c r="H311" i="22"/>
  <c r="F332" i="22"/>
  <c r="G332" i="22"/>
  <c r="E332" i="22"/>
  <c r="C332" i="22"/>
  <c r="E39" i="21"/>
  <c r="D312" i="22"/>
  <c r="F39" i="21"/>
  <c r="E312" i="22"/>
  <c r="G39" i="21"/>
  <c r="F312" i="22"/>
  <c r="V38" i="7"/>
  <c r="V37" i="7"/>
  <c r="B36" i="21"/>
  <c r="B104" i="21"/>
  <c r="B95" i="21"/>
  <c r="E104" i="21"/>
  <c r="F104" i="21"/>
  <c r="D37" i="21"/>
  <c r="F123" i="21"/>
  <c r="E37" i="21"/>
  <c r="F144" i="21"/>
  <c r="F37" i="21"/>
  <c r="F163" i="21"/>
  <c r="G37" i="21"/>
  <c r="C74" i="21"/>
  <c r="D74" i="21"/>
  <c r="C75" i="21"/>
  <c r="B96" i="21"/>
  <c r="L37" i="21"/>
  <c r="J3" i="7"/>
  <c r="J4" i="7"/>
  <c r="J5" i="7"/>
  <c r="J6" i="7"/>
  <c r="J7" i="7"/>
  <c r="J8" i="7"/>
  <c r="J9" i="7"/>
  <c r="J10" i="7"/>
  <c r="J11" i="7"/>
  <c r="J12" i="7"/>
  <c r="J13" i="7"/>
  <c r="J14" i="7"/>
  <c r="J15" i="7"/>
  <c r="J16" i="7"/>
  <c r="J17" i="7"/>
  <c r="J18" i="7"/>
  <c r="J19" i="7"/>
  <c r="J20" i="7"/>
  <c r="J21" i="7"/>
  <c r="J22" i="7"/>
  <c r="J23" i="7"/>
  <c r="S3" i="7"/>
  <c r="K3" i="7"/>
  <c r="S4" i="7"/>
  <c r="K4" i="7"/>
  <c r="S5" i="7"/>
  <c r="K5" i="7"/>
  <c r="S6" i="7"/>
  <c r="K6" i="7"/>
  <c r="S7" i="7"/>
  <c r="K7" i="7"/>
  <c r="S8" i="7"/>
  <c r="K8" i="7"/>
  <c r="S9" i="7"/>
  <c r="K9" i="7"/>
  <c r="S10" i="7"/>
  <c r="K10" i="7"/>
  <c r="S11" i="7"/>
  <c r="K11" i="7"/>
  <c r="S12" i="7"/>
  <c r="K12" i="7"/>
  <c r="S13" i="7"/>
  <c r="K13" i="7"/>
  <c r="S14" i="7"/>
  <c r="K14" i="7"/>
  <c r="S15" i="7"/>
  <c r="K15" i="7"/>
  <c r="S16" i="7"/>
  <c r="K16" i="7"/>
  <c r="S17" i="7"/>
  <c r="K17" i="7"/>
  <c r="S18" i="7"/>
  <c r="K18" i="7"/>
  <c r="S19" i="7"/>
  <c r="K19" i="7"/>
  <c r="S20" i="7"/>
  <c r="K20" i="7"/>
  <c r="S21" i="7"/>
  <c r="K21" i="7"/>
  <c r="S22" i="7"/>
  <c r="K22" i="7"/>
  <c r="S23" i="7"/>
  <c r="K23" i="7"/>
  <c r="S2" i="7"/>
  <c r="K2" i="7"/>
  <c r="K24" i="7"/>
  <c r="M3" i="7"/>
  <c r="M4" i="7"/>
  <c r="M5" i="7"/>
  <c r="M6" i="7"/>
  <c r="M7" i="7"/>
  <c r="M8" i="7"/>
  <c r="M9" i="7"/>
  <c r="M10" i="7"/>
  <c r="M11" i="7"/>
  <c r="M12" i="7"/>
  <c r="M13" i="7"/>
  <c r="M14" i="7"/>
  <c r="M15" i="7"/>
  <c r="M16" i="7"/>
  <c r="M17" i="7"/>
  <c r="M18" i="7"/>
  <c r="M19" i="7"/>
  <c r="M20" i="7"/>
  <c r="M21" i="7"/>
  <c r="M22" i="7"/>
  <c r="M23" i="7"/>
  <c r="M2" i="7"/>
  <c r="M26" i="7"/>
  <c r="AT2" i="7"/>
  <c r="AT3" i="7"/>
  <c r="AT4" i="7"/>
  <c r="AT5" i="7"/>
  <c r="AT6" i="7"/>
  <c r="AT7" i="7"/>
  <c r="AT8" i="7"/>
  <c r="AT9" i="7"/>
  <c r="AT10" i="7"/>
  <c r="AT11" i="7"/>
  <c r="AT12" i="7"/>
  <c r="AT13" i="7"/>
  <c r="AT14" i="7"/>
  <c r="AT15" i="7"/>
  <c r="AT16" i="7"/>
  <c r="AT17" i="7"/>
  <c r="AT18" i="7"/>
  <c r="AT19" i="7"/>
  <c r="AT20" i="7"/>
  <c r="AT21" i="7"/>
  <c r="AT22" i="7"/>
  <c r="AT23" i="7"/>
  <c r="AT24" i="7"/>
  <c r="M24" i="7"/>
  <c r="B33" i="21"/>
  <c r="B79" i="21"/>
  <c r="F44" i="21"/>
  <c r="F45" i="21"/>
  <c r="F46" i="21"/>
  <c r="B38" i="21"/>
  <c r="B84" i="21"/>
  <c r="B31" i="21"/>
  <c r="B117" i="21"/>
  <c r="B34" i="21"/>
  <c r="B120" i="21"/>
  <c r="B122" i="21"/>
  <c r="B124" i="21"/>
  <c r="E125" i="21"/>
  <c r="G44" i="21"/>
  <c r="G183" i="22"/>
  <c r="B138" i="21"/>
  <c r="B141" i="21"/>
  <c r="B143" i="21"/>
  <c r="B145" i="21"/>
  <c r="E146" i="21"/>
  <c r="G45" i="21"/>
  <c r="J44" i="21"/>
  <c r="J45" i="21"/>
  <c r="I45" i="21"/>
  <c r="F135" i="6"/>
  <c r="C135" i="6"/>
  <c r="D135" i="6"/>
  <c r="E135" i="6"/>
  <c r="G135" i="6"/>
  <c r="H135" i="6"/>
  <c r="F136" i="6"/>
  <c r="C136" i="6"/>
  <c r="D136" i="6"/>
  <c r="E136" i="6"/>
  <c r="G136" i="6"/>
  <c r="H136" i="6"/>
  <c r="F137" i="6"/>
  <c r="C137" i="6"/>
  <c r="D137" i="6"/>
  <c r="E137" i="6"/>
  <c r="G137" i="6"/>
  <c r="H137" i="6"/>
  <c r="C138" i="6"/>
  <c r="F138" i="6"/>
  <c r="D138" i="6"/>
  <c r="E138" i="6"/>
  <c r="G138" i="6"/>
  <c r="H138" i="6"/>
  <c r="F106" i="6"/>
  <c r="C106" i="6"/>
  <c r="D106" i="6"/>
  <c r="E106" i="6"/>
  <c r="G106" i="6"/>
  <c r="H106" i="6"/>
  <c r="F107" i="6"/>
  <c r="C107" i="6"/>
  <c r="D107" i="6"/>
  <c r="E107" i="6"/>
  <c r="G107" i="6"/>
  <c r="H107" i="6"/>
  <c r="F108" i="6"/>
  <c r="C108" i="6"/>
  <c r="D108" i="6"/>
  <c r="E108" i="6"/>
  <c r="G108" i="6"/>
  <c r="H108" i="6"/>
  <c r="F109" i="6"/>
  <c r="C109" i="6"/>
  <c r="D109" i="6"/>
  <c r="E109" i="6"/>
  <c r="G109" i="6"/>
  <c r="H109" i="6"/>
  <c r="F110" i="6"/>
  <c r="C110" i="6"/>
  <c r="D110" i="6"/>
  <c r="E110" i="6"/>
  <c r="G110" i="6"/>
  <c r="H110" i="6"/>
  <c r="C111" i="6"/>
  <c r="F111" i="6"/>
  <c r="D111" i="6"/>
  <c r="E111" i="6"/>
  <c r="G111" i="6"/>
  <c r="H111" i="6"/>
  <c r="F72" i="6"/>
  <c r="C72" i="6"/>
  <c r="D72" i="6"/>
  <c r="E72" i="6"/>
  <c r="G72" i="6"/>
  <c r="H72" i="6"/>
  <c r="F73" i="6"/>
  <c r="C73" i="6"/>
  <c r="D73" i="6"/>
  <c r="E73" i="6"/>
  <c r="G73" i="6"/>
  <c r="H73" i="6"/>
  <c r="F74" i="6"/>
  <c r="C74" i="6"/>
  <c r="D74" i="6"/>
  <c r="E74" i="6"/>
  <c r="G74" i="6"/>
  <c r="H74" i="6"/>
  <c r="F75" i="6"/>
  <c r="C75" i="6"/>
  <c r="D75" i="6"/>
  <c r="E75" i="6"/>
  <c r="G75" i="6"/>
  <c r="H75" i="6"/>
  <c r="F76" i="6"/>
  <c r="C76" i="6"/>
  <c r="D76" i="6"/>
  <c r="E76" i="6"/>
  <c r="G76" i="6"/>
  <c r="H76" i="6"/>
  <c r="F61" i="6"/>
  <c r="C61" i="6"/>
  <c r="D61" i="6"/>
  <c r="E61" i="6"/>
  <c r="G61" i="6"/>
  <c r="H61" i="6"/>
  <c r="F62" i="6"/>
  <c r="C62" i="6"/>
  <c r="D62" i="6"/>
  <c r="E62" i="6"/>
  <c r="G62" i="6"/>
  <c r="H62" i="6"/>
  <c r="F63" i="6"/>
  <c r="C63" i="6"/>
  <c r="D63" i="6"/>
  <c r="E63" i="6"/>
  <c r="G63" i="6"/>
  <c r="H63" i="6"/>
  <c r="F64" i="6"/>
  <c r="C64" i="6"/>
  <c r="D64" i="6"/>
  <c r="E64" i="6"/>
  <c r="G64" i="6"/>
  <c r="H64" i="6"/>
  <c r="F65" i="6"/>
  <c r="C65" i="6"/>
  <c r="D65" i="6"/>
  <c r="E65" i="6"/>
  <c r="G65" i="6"/>
  <c r="H65" i="6"/>
  <c r="F66" i="6"/>
  <c r="C66" i="6"/>
  <c r="D66" i="6"/>
  <c r="E66" i="6"/>
  <c r="G66" i="6"/>
  <c r="H66" i="6"/>
  <c r="C67" i="6"/>
  <c r="F67" i="6"/>
  <c r="D67" i="6"/>
  <c r="E67" i="6"/>
  <c r="G67" i="6"/>
  <c r="H67" i="6"/>
  <c r="F45" i="6"/>
  <c r="G45" i="6"/>
  <c r="H45" i="6"/>
  <c r="C44" i="6"/>
  <c r="F44" i="6"/>
  <c r="D44" i="6"/>
  <c r="E44" i="6"/>
  <c r="G44" i="6"/>
  <c r="H44" i="6"/>
  <c r="F43" i="6"/>
  <c r="C43" i="6"/>
  <c r="D43" i="6"/>
  <c r="E43" i="6"/>
  <c r="G43" i="6"/>
  <c r="H43" i="6"/>
  <c r="F42" i="6"/>
  <c r="C42" i="6"/>
  <c r="D42" i="6"/>
  <c r="E42" i="6"/>
  <c r="G42" i="6"/>
  <c r="H42" i="6"/>
  <c r="F41" i="6"/>
  <c r="C41" i="6"/>
  <c r="D41" i="6"/>
  <c r="E41" i="6"/>
  <c r="G41" i="6"/>
  <c r="H41" i="6"/>
  <c r="F40" i="6"/>
  <c r="G40" i="6"/>
  <c r="H40" i="6"/>
  <c r="C39" i="6"/>
  <c r="F39" i="6"/>
  <c r="D39" i="6"/>
  <c r="E39" i="6"/>
  <c r="G39" i="6"/>
  <c r="H39" i="6"/>
  <c r="C17" i="6"/>
  <c r="F17" i="6"/>
  <c r="D17" i="6"/>
  <c r="E17" i="6"/>
  <c r="G17" i="6"/>
  <c r="H17" i="6"/>
  <c r="F18" i="6"/>
  <c r="G18" i="6"/>
  <c r="H18" i="6"/>
  <c r="F19" i="6"/>
  <c r="C19" i="6"/>
  <c r="D19" i="6"/>
  <c r="E19" i="6"/>
  <c r="G19" i="6"/>
  <c r="H19" i="6"/>
  <c r="F20" i="6"/>
  <c r="C20" i="6"/>
  <c r="D20" i="6"/>
  <c r="E20" i="6"/>
  <c r="G20" i="6"/>
  <c r="H20" i="6"/>
  <c r="F21" i="6"/>
  <c r="C21" i="6"/>
  <c r="D21" i="6"/>
  <c r="E21" i="6"/>
  <c r="G21" i="6"/>
  <c r="H21" i="6"/>
  <c r="C22" i="6"/>
  <c r="F22" i="6"/>
  <c r="D22" i="6"/>
  <c r="E22" i="6"/>
  <c r="G22" i="6"/>
  <c r="H22" i="6"/>
  <c r="F23" i="6"/>
  <c r="G23" i="6"/>
  <c r="H23" i="6"/>
  <c r="F24" i="6"/>
  <c r="C24" i="6"/>
  <c r="D24" i="6"/>
  <c r="E24" i="6"/>
  <c r="G24" i="6"/>
  <c r="H24" i="6"/>
  <c r="C30" i="31"/>
  <c r="C31" i="31"/>
  <c r="B31" i="31"/>
  <c r="B9" i="31"/>
  <c r="B30" i="31"/>
  <c r="G31" i="31"/>
  <c r="C32" i="31"/>
  <c r="B13" i="31"/>
  <c r="B32" i="31"/>
  <c r="G32" i="31"/>
  <c r="G33" i="31"/>
  <c r="H31" i="31"/>
  <c r="H32" i="31"/>
  <c r="H33" i="31"/>
  <c r="F31" i="31"/>
  <c r="I31" i="31"/>
  <c r="F32" i="31"/>
  <c r="D32" i="31"/>
  <c r="I32" i="31"/>
  <c r="I33" i="31"/>
  <c r="B159" i="21"/>
  <c r="J31" i="31"/>
  <c r="H72" i="21"/>
  <c r="B75" i="21"/>
  <c r="H75" i="21"/>
  <c r="G72" i="21"/>
  <c r="G75" i="21"/>
  <c r="I72" i="21"/>
  <c r="I75" i="21"/>
  <c r="K75" i="21"/>
  <c r="H29" i="21"/>
  <c r="K31" i="31"/>
  <c r="F33" i="31"/>
  <c r="B10" i="31"/>
  <c r="E31" i="31"/>
  <c r="E32" i="31"/>
  <c r="E30" i="31"/>
  <c r="D29" i="31"/>
  <c r="E29" i="31"/>
  <c r="F29" i="31"/>
  <c r="G29" i="31"/>
  <c r="H29" i="31"/>
  <c r="I29" i="31"/>
  <c r="J29" i="31"/>
  <c r="K29" i="31"/>
  <c r="C29" i="31"/>
  <c r="J11" i="31"/>
  <c r="C9" i="31"/>
  <c r="C10" i="31"/>
  <c r="C11" i="31"/>
  <c r="B11" i="31"/>
  <c r="F11" i="31"/>
  <c r="G11" i="31"/>
  <c r="H11" i="31"/>
  <c r="I11" i="31"/>
  <c r="K11" i="31"/>
  <c r="J12" i="31"/>
  <c r="C12" i="31"/>
  <c r="B12" i="31"/>
  <c r="F12" i="31"/>
  <c r="G12" i="31"/>
  <c r="H12" i="31"/>
  <c r="I12" i="31"/>
  <c r="K12" i="31"/>
  <c r="J13" i="31"/>
  <c r="C13" i="31"/>
  <c r="F13" i="31"/>
  <c r="G13" i="31"/>
  <c r="H13" i="31"/>
  <c r="D13" i="31"/>
  <c r="I13" i="31"/>
  <c r="K13" i="31"/>
  <c r="F10" i="31"/>
  <c r="G10" i="31"/>
  <c r="H10" i="31"/>
  <c r="I10" i="31"/>
  <c r="I14" i="31"/>
  <c r="J10" i="31"/>
  <c r="J14" i="31"/>
  <c r="K14" i="31"/>
  <c r="K10" i="31"/>
  <c r="G14" i="31"/>
  <c r="H14" i="31"/>
  <c r="F14" i="31"/>
  <c r="E10" i="31"/>
  <c r="E11" i="31"/>
  <c r="E12" i="31"/>
  <c r="E13" i="31"/>
  <c r="E9" i="31"/>
  <c r="G274" i="22"/>
  <c r="C285" i="22"/>
  <c r="C280" i="22"/>
  <c r="I285" i="22"/>
  <c r="F116" i="21"/>
  <c r="E30" i="21"/>
  <c r="D282" i="22"/>
  <c r="F137" i="21"/>
  <c r="F30" i="21"/>
  <c r="E282" i="22"/>
  <c r="F156" i="21"/>
  <c r="G30" i="21"/>
  <c r="F282" i="22"/>
  <c r="G282" i="22"/>
  <c r="F115" i="21"/>
  <c r="E29" i="21"/>
  <c r="D281" i="22"/>
  <c r="F136" i="21"/>
  <c r="F29" i="21"/>
  <c r="E281" i="22"/>
  <c r="F155" i="21"/>
  <c r="G29" i="21"/>
  <c r="F281" i="22"/>
  <c r="G281" i="22"/>
  <c r="J281" i="22"/>
  <c r="J282" i="22"/>
  <c r="D283" i="22"/>
  <c r="E283" i="22"/>
  <c r="F157" i="21"/>
  <c r="G31" i="21"/>
  <c r="F283" i="22"/>
  <c r="G283" i="22"/>
  <c r="J283" i="22"/>
  <c r="F118" i="21"/>
  <c r="E32" i="21"/>
  <c r="D284" i="22"/>
  <c r="F139" i="21"/>
  <c r="F32" i="21"/>
  <c r="E284" i="22"/>
  <c r="F158" i="21"/>
  <c r="G32" i="21"/>
  <c r="F284" i="22"/>
  <c r="G284" i="22"/>
  <c r="J284" i="22"/>
  <c r="D285" i="22"/>
  <c r="F140" i="21"/>
  <c r="F33" i="21"/>
  <c r="E285" i="22"/>
  <c r="F285" i="22"/>
  <c r="G285" i="22"/>
  <c r="J285" i="22"/>
  <c r="C286" i="22"/>
  <c r="I286" i="22"/>
  <c r="D286" i="22"/>
  <c r="E286" i="22"/>
  <c r="F160" i="21"/>
  <c r="G34" i="21"/>
  <c r="F286" i="22"/>
  <c r="G286" i="22"/>
  <c r="J286" i="22"/>
  <c r="F121" i="21"/>
  <c r="E35" i="21"/>
  <c r="D287" i="22"/>
  <c r="F142" i="21"/>
  <c r="F35" i="21"/>
  <c r="E287" i="22"/>
  <c r="F161" i="21"/>
  <c r="G35" i="21"/>
  <c r="F287" i="22"/>
  <c r="G287" i="22"/>
  <c r="J287" i="22"/>
  <c r="D288" i="22"/>
  <c r="E288" i="22"/>
  <c r="F162" i="21"/>
  <c r="G36" i="21"/>
  <c r="F288" i="22"/>
  <c r="G288" i="22"/>
  <c r="J288" i="22"/>
  <c r="D289" i="22"/>
  <c r="E289" i="22"/>
  <c r="F289" i="22"/>
  <c r="G289" i="22"/>
  <c r="J289" i="22"/>
  <c r="D290" i="22"/>
  <c r="E290" i="22"/>
  <c r="F114" i="21"/>
  <c r="E28" i="21"/>
  <c r="D280" i="22"/>
  <c r="F135" i="21"/>
  <c r="F28" i="21"/>
  <c r="E280" i="22"/>
  <c r="F154" i="21"/>
  <c r="G28" i="21"/>
  <c r="F280" i="22"/>
  <c r="G280" i="22"/>
  <c r="H280" i="22"/>
  <c r="H281" i="22"/>
  <c r="H282" i="22"/>
  <c r="H283" i="22"/>
  <c r="H284" i="22"/>
  <c r="H285" i="22"/>
  <c r="H286" i="22"/>
  <c r="H287" i="22"/>
  <c r="H288" i="22"/>
  <c r="H289" i="22"/>
  <c r="C281" i="22"/>
  <c r="B30" i="21"/>
  <c r="C282" i="22"/>
  <c r="C283" i="22"/>
  <c r="B32" i="21"/>
  <c r="C284" i="22"/>
  <c r="B35" i="21"/>
  <c r="C287" i="22"/>
  <c r="C288" i="22"/>
  <c r="C289" i="22"/>
  <c r="C290" i="22"/>
  <c r="D263" i="22"/>
  <c r="E263" i="22"/>
  <c r="F263" i="22"/>
  <c r="D262" i="22"/>
  <c r="E262" i="22"/>
  <c r="F262" i="22"/>
  <c r="D261" i="22"/>
  <c r="E261" i="22"/>
  <c r="F261" i="22"/>
  <c r="D260" i="22"/>
  <c r="E260" i="22"/>
  <c r="F260" i="22"/>
  <c r="D259" i="22"/>
  <c r="E259" i="22"/>
  <c r="F259" i="22"/>
  <c r="D258" i="22"/>
  <c r="E258" i="22"/>
  <c r="F258" i="22"/>
  <c r="G258" i="22"/>
  <c r="G259" i="22"/>
  <c r="G260" i="22"/>
  <c r="G261" i="22"/>
  <c r="G262" i="22"/>
  <c r="G263" i="22"/>
  <c r="G253" i="22"/>
  <c r="C263" i="22"/>
  <c r="C257" i="22"/>
  <c r="H263" i="22"/>
  <c r="I263" i="22"/>
  <c r="D264" i="22"/>
  <c r="E264" i="22"/>
  <c r="F264" i="22"/>
  <c r="G264" i="22"/>
  <c r="I264" i="22"/>
  <c r="D265" i="22"/>
  <c r="E265" i="22"/>
  <c r="F265" i="22"/>
  <c r="G265" i="22"/>
  <c r="I265" i="22"/>
  <c r="D266" i="22"/>
  <c r="E266" i="22"/>
  <c r="F266" i="22"/>
  <c r="G266" i="22"/>
  <c r="I266" i="22"/>
  <c r="C267" i="22"/>
  <c r="C262" i="22"/>
  <c r="H267" i="22"/>
  <c r="I259" i="22"/>
  <c r="I260" i="22"/>
  <c r="I261" i="22"/>
  <c r="I262" i="22"/>
  <c r="I258" i="22"/>
  <c r="D267" i="22"/>
  <c r="D257" i="22"/>
  <c r="E257" i="22"/>
  <c r="F257" i="22"/>
  <c r="C258" i="22"/>
  <c r="C259" i="22"/>
  <c r="C260" i="22"/>
  <c r="C261" i="22"/>
  <c r="C264" i="22"/>
  <c r="C265" i="22"/>
  <c r="C266" i="22"/>
  <c r="C243" i="22"/>
  <c r="AR2" i="7"/>
  <c r="AR3" i="7"/>
  <c r="AR4" i="7"/>
  <c r="AR5" i="7"/>
  <c r="AR6" i="7"/>
  <c r="AR7" i="7"/>
  <c r="AR8" i="7"/>
  <c r="AR9" i="7"/>
  <c r="AR10" i="7"/>
  <c r="AR11" i="7"/>
  <c r="AR12" i="7"/>
  <c r="AR13" i="7"/>
  <c r="AR14" i="7"/>
  <c r="AR15" i="7"/>
  <c r="AR16" i="7"/>
  <c r="AR17" i="7"/>
  <c r="AR18" i="7"/>
  <c r="AR19" i="7"/>
  <c r="AR20" i="7"/>
  <c r="AR21" i="7"/>
  <c r="AR22" i="7"/>
  <c r="AR23" i="7"/>
  <c r="V45" i="7"/>
  <c r="V44" i="7"/>
  <c r="AS2" i="7"/>
  <c r="AS3" i="7"/>
  <c r="AS4" i="7"/>
  <c r="AS5" i="7"/>
  <c r="AS6" i="7"/>
  <c r="AS7" i="7"/>
  <c r="AS8" i="7"/>
  <c r="AS9" i="7"/>
  <c r="AS10" i="7"/>
  <c r="AS11" i="7"/>
  <c r="AS12" i="7"/>
  <c r="AS13" i="7"/>
  <c r="AS14" i="7"/>
  <c r="AS15" i="7"/>
  <c r="AS16" i="7"/>
  <c r="AS17" i="7"/>
  <c r="AS18" i="7"/>
  <c r="AS19" i="7"/>
  <c r="AS20" i="7"/>
  <c r="AS21" i="7"/>
  <c r="AS22" i="7"/>
  <c r="AS23" i="7"/>
  <c r="AS24" i="7"/>
  <c r="V43" i="7"/>
  <c r="B97" i="21"/>
  <c r="I97" i="21"/>
  <c r="B98" i="21"/>
  <c r="I98" i="21"/>
  <c r="B99" i="21"/>
  <c r="I99" i="21"/>
  <c r="B100" i="21"/>
  <c r="I100" i="21"/>
  <c r="B101" i="21"/>
  <c r="I101" i="21"/>
  <c r="B102" i="21"/>
  <c r="I102" i="21"/>
  <c r="B103" i="21"/>
  <c r="I103" i="21"/>
  <c r="I96" i="21"/>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45" i="27"/>
  <c r="E46" i="27"/>
  <c r="E47" i="27"/>
  <c r="E48" i="27"/>
  <c r="E49" i="27"/>
  <c r="E50" i="27"/>
  <c r="E51" i="27"/>
  <c r="E52" i="27"/>
  <c r="E53" i="27"/>
  <c r="E54" i="27"/>
  <c r="E55" i="27"/>
  <c r="E56" i="27"/>
  <c r="E57" i="27"/>
  <c r="E58" i="27"/>
  <c r="E59" i="27"/>
  <c r="E60" i="27"/>
  <c r="E61" i="27"/>
  <c r="E62" i="27"/>
  <c r="E9" i="27"/>
  <c r="E8" i="27"/>
  <c r="C63" i="27"/>
  <c r="D63" i="27"/>
  <c r="L29" i="21"/>
  <c r="L30" i="21"/>
  <c r="L31" i="21"/>
  <c r="L32" i="21"/>
  <c r="L33" i="21"/>
  <c r="L34" i="21"/>
  <c r="L35" i="21"/>
  <c r="L36" i="21"/>
  <c r="L38" i="21"/>
  <c r="L28" i="21"/>
  <c r="D28" i="21"/>
  <c r="H28" i="21"/>
  <c r="M28" i="21"/>
  <c r="I46" i="21"/>
  <c r="J46" i="21"/>
  <c r="G187" i="22"/>
  <c r="G188" i="22"/>
  <c r="E188" i="22"/>
  <c r="F188" i="22"/>
  <c r="E189" i="22"/>
  <c r="F189" i="22"/>
  <c r="E190" i="22"/>
  <c r="F190" i="22"/>
  <c r="E191" i="22"/>
  <c r="F191" i="22"/>
  <c r="F187" i="22"/>
  <c r="E187" i="22"/>
  <c r="A3" i="6"/>
  <c r="E3" i="6"/>
  <c r="E4" i="6"/>
  <c r="E5" i="6"/>
  <c r="E6" i="6"/>
  <c r="E7" i="6"/>
  <c r="E8" i="6"/>
  <c r="E9" i="6"/>
  <c r="E10" i="6"/>
  <c r="E11" i="6"/>
  <c r="E12" i="6"/>
  <c r="E13" i="6"/>
  <c r="E14" i="6"/>
  <c r="E15" i="6"/>
  <c r="E16" i="6"/>
  <c r="E18" i="6"/>
  <c r="E23" i="6"/>
  <c r="E25" i="6"/>
  <c r="E26" i="6"/>
  <c r="E27" i="6"/>
  <c r="E28" i="6"/>
  <c r="E29" i="6"/>
  <c r="E30" i="6"/>
  <c r="E31" i="6"/>
  <c r="E32" i="6"/>
  <c r="E33" i="6"/>
  <c r="E34" i="6"/>
  <c r="E35" i="6"/>
  <c r="E36" i="6"/>
  <c r="E37" i="6"/>
  <c r="E38" i="6"/>
  <c r="E40" i="6"/>
  <c r="E45" i="6"/>
  <c r="E46" i="6"/>
  <c r="E47" i="6"/>
  <c r="E48" i="6"/>
  <c r="E49" i="6"/>
  <c r="E50" i="6"/>
  <c r="E51" i="6"/>
  <c r="E52" i="6"/>
  <c r="E53" i="6"/>
  <c r="E54" i="6"/>
  <c r="E55" i="6"/>
  <c r="E56" i="6"/>
  <c r="E57" i="6"/>
  <c r="E58" i="6"/>
  <c r="E59" i="6"/>
  <c r="E60" i="6"/>
  <c r="E68" i="6"/>
  <c r="E69" i="6"/>
  <c r="E70" i="6"/>
  <c r="E71" i="6"/>
  <c r="E77" i="6"/>
  <c r="E78" i="6"/>
  <c r="E79" i="6"/>
  <c r="E80" i="6"/>
  <c r="E81" i="6"/>
  <c r="E82" i="6"/>
  <c r="E83" i="6"/>
  <c r="E90" i="6"/>
  <c r="E91" i="6"/>
  <c r="E92" i="6"/>
  <c r="E100" i="6"/>
  <c r="E101" i="6"/>
  <c r="E102" i="6"/>
  <c r="E103" i="6"/>
  <c r="E104" i="6"/>
  <c r="E105" i="6"/>
  <c r="E112" i="6"/>
  <c r="E113" i="6"/>
  <c r="E114" i="6"/>
  <c r="E120" i="6"/>
  <c r="E121" i="6"/>
  <c r="E122" i="6"/>
  <c r="E123" i="6"/>
  <c r="E124" i="6"/>
  <c r="E125" i="6"/>
  <c r="E126" i="6"/>
  <c r="E127" i="6"/>
  <c r="E128" i="6"/>
  <c r="E129" i="6"/>
  <c r="E130" i="6"/>
  <c r="E131" i="6"/>
  <c r="E132" i="6"/>
  <c r="E133" i="6"/>
  <c r="E134" i="6"/>
  <c r="E2" i="6"/>
  <c r="C3" i="6"/>
  <c r="C4" i="6"/>
  <c r="C5" i="6"/>
  <c r="C6" i="6"/>
  <c r="C7" i="6"/>
  <c r="C8" i="6"/>
  <c r="C9" i="6"/>
  <c r="C10" i="6"/>
  <c r="C11" i="6"/>
  <c r="C12" i="6"/>
  <c r="C13" i="6"/>
  <c r="C14" i="6"/>
  <c r="C15" i="6"/>
  <c r="C16" i="6"/>
  <c r="C18" i="6"/>
  <c r="C23" i="6"/>
  <c r="C25" i="6"/>
  <c r="C26" i="6"/>
  <c r="C27" i="6"/>
  <c r="C28" i="6"/>
  <c r="C29" i="6"/>
  <c r="C30" i="6"/>
  <c r="C31" i="6"/>
  <c r="C32" i="6"/>
  <c r="C33" i="6"/>
  <c r="C34" i="6"/>
  <c r="C35" i="6"/>
  <c r="C36" i="6"/>
  <c r="C37" i="6"/>
  <c r="C38" i="6"/>
  <c r="C40" i="6"/>
  <c r="C45" i="6"/>
  <c r="C46" i="6"/>
  <c r="C47" i="6"/>
  <c r="C48" i="6"/>
  <c r="C49" i="6"/>
  <c r="C50" i="6"/>
  <c r="C51" i="6"/>
  <c r="C52" i="6"/>
  <c r="C53" i="6"/>
  <c r="C54" i="6"/>
  <c r="C55" i="6"/>
  <c r="C56" i="6"/>
  <c r="C57" i="6"/>
  <c r="C58" i="6"/>
  <c r="C59" i="6"/>
  <c r="C60" i="6"/>
  <c r="C68" i="6"/>
  <c r="C69" i="6"/>
  <c r="C70" i="6"/>
  <c r="C71" i="6"/>
  <c r="C77" i="6"/>
  <c r="C78" i="6"/>
  <c r="C79" i="6"/>
  <c r="C80" i="6"/>
  <c r="C81" i="6"/>
  <c r="C82" i="6"/>
  <c r="C83" i="6"/>
  <c r="C90" i="6"/>
  <c r="C91" i="6"/>
  <c r="C92" i="6"/>
  <c r="C100" i="6"/>
  <c r="C101" i="6"/>
  <c r="C102" i="6"/>
  <c r="C103" i="6"/>
  <c r="C104" i="6"/>
  <c r="C105" i="6"/>
  <c r="C112" i="6"/>
  <c r="C113" i="6"/>
  <c r="C114" i="6"/>
  <c r="C120" i="6"/>
  <c r="C121" i="6"/>
  <c r="C122" i="6"/>
  <c r="C123" i="6"/>
  <c r="C124" i="6"/>
  <c r="C125" i="6"/>
  <c r="C126" i="6"/>
  <c r="C127" i="6"/>
  <c r="C128" i="6"/>
  <c r="C129" i="6"/>
  <c r="C130" i="6"/>
  <c r="C131" i="6"/>
  <c r="C132" i="6"/>
  <c r="C133" i="6"/>
  <c r="C134" i="6"/>
  <c r="C2" i="6"/>
  <c r="D3" i="6"/>
  <c r="D4" i="6"/>
  <c r="D5" i="6"/>
  <c r="D6" i="6"/>
  <c r="D7" i="6"/>
  <c r="D8" i="6"/>
  <c r="D9" i="6"/>
  <c r="D10" i="6"/>
  <c r="D11" i="6"/>
  <c r="D12" i="6"/>
  <c r="D13" i="6"/>
  <c r="D14" i="6"/>
  <c r="D15" i="6"/>
  <c r="D16" i="6"/>
  <c r="D18" i="6"/>
  <c r="D23" i="6"/>
  <c r="D25" i="6"/>
  <c r="D26" i="6"/>
  <c r="D27" i="6"/>
  <c r="D28" i="6"/>
  <c r="D29" i="6"/>
  <c r="D30" i="6"/>
  <c r="D31" i="6"/>
  <c r="D32" i="6"/>
  <c r="D33" i="6"/>
  <c r="D34" i="6"/>
  <c r="D35" i="6"/>
  <c r="D36" i="6"/>
  <c r="D37" i="6"/>
  <c r="D38" i="6"/>
  <c r="D40" i="6"/>
  <c r="D45" i="6"/>
  <c r="D46" i="6"/>
  <c r="D47" i="6"/>
  <c r="D48" i="6"/>
  <c r="D49" i="6"/>
  <c r="D50" i="6"/>
  <c r="D51" i="6"/>
  <c r="D52" i="6"/>
  <c r="D53" i="6"/>
  <c r="D54" i="6"/>
  <c r="D55" i="6"/>
  <c r="D56" i="6"/>
  <c r="D57" i="6"/>
  <c r="D58" i="6"/>
  <c r="D59" i="6"/>
  <c r="D60" i="6"/>
  <c r="D68" i="6"/>
  <c r="D69" i="6"/>
  <c r="D70" i="6"/>
  <c r="D71" i="6"/>
  <c r="D77" i="6"/>
  <c r="D78" i="6"/>
  <c r="D79" i="6"/>
  <c r="D80" i="6"/>
  <c r="D81" i="6"/>
  <c r="D82" i="6"/>
  <c r="D83" i="6"/>
  <c r="D90" i="6"/>
  <c r="D91" i="6"/>
  <c r="D92" i="6"/>
  <c r="D100" i="6"/>
  <c r="D101" i="6"/>
  <c r="D102" i="6"/>
  <c r="D103" i="6"/>
  <c r="D104" i="6"/>
  <c r="D105" i="6"/>
  <c r="D112" i="6"/>
  <c r="D113" i="6"/>
  <c r="D114" i="6"/>
  <c r="D120" i="6"/>
  <c r="D121" i="6"/>
  <c r="D122" i="6"/>
  <c r="D123" i="6"/>
  <c r="D124" i="6"/>
  <c r="D125" i="6"/>
  <c r="D126" i="6"/>
  <c r="D127" i="6"/>
  <c r="D128" i="6"/>
  <c r="D129" i="6"/>
  <c r="D130" i="6"/>
  <c r="D131" i="6"/>
  <c r="D132" i="6"/>
  <c r="D133" i="6"/>
  <c r="D134" i="6"/>
  <c r="D2" i="6"/>
  <c r="G127" i="6"/>
  <c r="G128" i="6"/>
  <c r="G129" i="6"/>
  <c r="G130" i="6"/>
  <c r="G2" i="6"/>
  <c r="B3" i="6"/>
  <c r="G3" i="6"/>
  <c r="G4" i="6"/>
  <c r="G5" i="6"/>
  <c r="G6" i="6"/>
  <c r="G7" i="6"/>
  <c r="G8" i="6"/>
  <c r="G9" i="6"/>
  <c r="G10" i="6"/>
  <c r="G11" i="6"/>
  <c r="G12" i="6"/>
  <c r="G13" i="6"/>
  <c r="G14" i="6"/>
  <c r="G15" i="6"/>
  <c r="G16" i="6"/>
  <c r="G25" i="6"/>
  <c r="G26" i="6"/>
  <c r="G27" i="6"/>
  <c r="G28" i="6"/>
  <c r="G29" i="6"/>
  <c r="G30" i="6"/>
  <c r="G31" i="6"/>
  <c r="G32" i="6"/>
  <c r="G33" i="6"/>
  <c r="G34" i="6"/>
  <c r="G35" i="6"/>
  <c r="G36" i="6"/>
  <c r="G37" i="6"/>
  <c r="G38" i="6"/>
  <c r="G46" i="6"/>
  <c r="G47" i="6"/>
  <c r="G48" i="6"/>
  <c r="G49" i="6"/>
  <c r="G50" i="6"/>
  <c r="G51" i="6"/>
  <c r="G52" i="6"/>
  <c r="G53" i="6"/>
  <c r="G54" i="6"/>
  <c r="G55" i="6"/>
  <c r="G56" i="6"/>
  <c r="G57" i="6"/>
  <c r="G58" i="6"/>
  <c r="G59" i="6"/>
  <c r="G60" i="6"/>
  <c r="G68" i="6"/>
  <c r="G69" i="6"/>
  <c r="G70" i="6"/>
  <c r="G71" i="6"/>
  <c r="G77" i="6"/>
  <c r="G78" i="6"/>
  <c r="G79" i="6"/>
  <c r="G80" i="6"/>
  <c r="G81" i="6"/>
  <c r="G82" i="6"/>
  <c r="G83" i="6"/>
  <c r="G90" i="6"/>
  <c r="G91" i="6"/>
  <c r="G92" i="6"/>
  <c r="G100" i="6"/>
  <c r="G101" i="6"/>
  <c r="G102" i="6"/>
  <c r="G103" i="6"/>
  <c r="G104" i="6"/>
  <c r="G105" i="6"/>
  <c r="G112" i="6"/>
  <c r="G113" i="6"/>
  <c r="G114" i="6"/>
  <c r="G120" i="6"/>
  <c r="G121" i="6"/>
  <c r="G122" i="6"/>
  <c r="G123" i="6"/>
  <c r="G124" i="6"/>
  <c r="G125" i="6"/>
  <c r="G126" i="6"/>
  <c r="G131" i="6"/>
  <c r="G132" i="6"/>
  <c r="G133" i="6"/>
  <c r="G134" i="6"/>
  <c r="W3" i="7"/>
  <c r="U3" i="7"/>
  <c r="X3" i="7"/>
  <c r="W4" i="7"/>
  <c r="U4" i="7"/>
  <c r="X4" i="7"/>
  <c r="W5" i="7"/>
  <c r="U5" i="7"/>
  <c r="X5" i="7"/>
  <c r="W6" i="7"/>
  <c r="U6" i="7"/>
  <c r="X6" i="7"/>
  <c r="W7" i="7"/>
  <c r="U7" i="7"/>
  <c r="X7" i="7"/>
  <c r="W8" i="7"/>
  <c r="U8" i="7"/>
  <c r="X8" i="7"/>
  <c r="W9" i="7"/>
  <c r="U9" i="7"/>
  <c r="X9" i="7"/>
  <c r="W10" i="7"/>
  <c r="U10" i="7"/>
  <c r="X10" i="7"/>
  <c r="W11" i="7"/>
  <c r="U11" i="7"/>
  <c r="X11" i="7"/>
  <c r="W12" i="7"/>
  <c r="U12" i="7"/>
  <c r="X12" i="7"/>
  <c r="W13" i="7"/>
  <c r="U13" i="7"/>
  <c r="X13" i="7"/>
  <c r="W14" i="7"/>
  <c r="U14" i="7"/>
  <c r="X14" i="7"/>
  <c r="W15" i="7"/>
  <c r="U15" i="7"/>
  <c r="X15" i="7"/>
  <c r="W16" i="7"/>
  <c r="U16" i="7"/>
  <c r="X16" i="7"/>
  <c r="W17" i="7"/>
  <c r="U17" i="7"/>
  <c r="X17" i="7"/>
  <c r="W18" i="7"/>
  <c r="U18" i="7"/>
  <c r="X18" i="7"/>
  <c r="W19" i="7"/>
  <c r="U19" i="7"/>
  <c r="X19" i="7"/>
  <c r="W20" i="7"/>
  <c r="U20" i="7"/>
  <c r="X20" i="7"/>
  <c r="W21" i="7"/>
  <c r="U21" i="7"/>
  <c r="X21" i="7"/>
  <c r="W22" i="7"/>
  <c r="U22" i="7"/>
  <c r="X22" i="7"/>
  <c r="W23" i="7"/>
  <c r="U23" i="7"/>
  <c r="X23" i="7"/>
  <c r="W2" i="7"/>
  <c r="U2" i="7"/>
  <c r="X2" i="7"/>
  <c r="AP2" i="7"/>
  <c r="AP3" i="7"/>
  <c r="AP4" i="7"/>
  <c r="AP5" i="7"/>
  <c r="AP6" i="7"/>
  <c r="AP7" i="7"/>
  <c r="AP8" i="7"/>
  <c r="AP9" i="7"/>
  <c r="AP10" i="7"/>
  <c r="AP11" i="7"/>
  <c r="AP12" i="7"/>
  <c r="AP13" i="7"/>
  <c r="AP14" i="7"/>
  <c r="AP15" i="7"/>
  <c r="AP16" i="7"/>
  <c r="AP17" i="7"/>
  <c r="AP18" i="7"/>
  <c r="AP19" i="7"/>
  <c r="AP20" i="7"/>
  <c r="AP21" i="7"/>
  <c r="AP22" i="7"/>
  <c r="AP23" i="7"/>
  <c r="AP24" i="7"/>
  <c r="I24" i="7"/>
  <c r="T27" i="7"/>
  <c r="T28" i="7"/>
  <c r="D46" i="21"/>
  <c r="D226" i="22"/>
  <c r="E226" i="22"/>
  <c r="D236" i="22"/>
  <c r="F236" i="22"/>
  <c r="D237" i="22"/>
  <c r="D244" i="22"/>
  <c r="D245" i="22"/>
  <c r="D218" i="22"/>
  <c r="D43" i="21"/>
  <c r="D223" i="22"/>
  <c r="E223" i="22"/>
  <c r="F223" i="22"/>
  <c r="G223" i="22"/>
  <c r="D44" i="21"/>
  <c r="D224" i="22"/>
  <c r="E224" i="22"/>
  <c r="F224" i="22"/>
  <c r="G224" i="22"/>
  <c r="D45" i="21"/>
  <c r="D225" i="22"/>
  <c r="E225" i="22"/>
  <c r="F225" i="22"/>
  <c r="G225" i="22"/>
  <c r="G228" i="22"/>
  <c r="D243" i="22"/>
  <c r="F243" i="22"/>
  <c r="G236" i="22"/>
  <c r="F182" i="22"/>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I139" i="6"/>
  <c r="F129" i="6"/>
  <c r="H129" i="6"/>
  <c r="F130" i="6"/>
  <c r="H130" i="6"/>
  <c r="F131" i="6"/>
  <c r="H131" i="6"/>
  <c r="F132" i="6"/>
  <c r="H132" i="6"/>
  <c r="F133" i="6"/>
  <c r="H133" i="6"/>
  <c r="F121" i="6"/>
  <c r="H121" i="6"/>
  <c r="F122" i="6"/>
  <c r="H122" i="6"/>
  <c r="F123" i="6"/>
  <c r="H123" i="6"/>
  <c r="F124" i="6"/>
  <c r="H124" i="6"/>
  <c r="F125" i="6"/>
  <c r="H125" i="6"/>
  <c r="F126" i="6"/>
  <c r="H126" i="6"/>
  <c r="F127" i="6"/>
  <c r="H127" i="6"/>
  <c r="F128" i="6"/>
  <c r="H128" i="6"/>
  <c r="I3" i="6"/>
  <c r="F120" i="6"/>
  <c r="H120" i="6"/>
  <c r="F59" i="6"/>
  <c r="H59" i="6"/>
  <c r="F60" i="6"/>
  <c r="H60" i="6"/>
  <c r="F68" i="6"/>
  <c r="H68" i="6"/>
  <c r="F69" i="6"/>
  <c r="H69" i="6"/>
  <c r="F70" i="6"/>
  <c r="H70" i="6"/>
  <c r="F71" i="6"/>
  <c r="H71" i="6"/>
  <c r="B76" i="21"/>
  <c r="B77" i="21"/>
  <c r="B78" i="21"/>
  <c r="B80" i="21"/>
  <c r="B81" i="21"/>
  <c r="B82" i="21"/>
  <c r="B83" i="21"/>
  <c r="B164" i="21"/>
  <c r="B105" i="21"/>
  <c r="E105" i="21"/>
  <c r="L134" i="22"/>
  <c r="L135" i="22"/>
  <c r="G134" i="22"/>
  <c r="G135" i="22"/>
  <c r="L126" i="22"/>
  <c r="L127" i="22"/>
  <c r="E126" i="22"/>
  <c r="G126" i="22"/>
  <c r="G127" i="22"/>
  <c r="F137" i="22"/>
  <c r="K135" i="22"/>
  <c r="F135" i="22"/>
  <c r="K127" i="22"/>
  <c r="E127" i="22"/>
  <c r="F127" i="22"/>
  <c r="E157" i="22"/>
  <c r="E156" i="22"/>
  <c r="F166" i="22"/>
  <c r="E116" i="22"/>
  <c r="E103" i="22"/>
  <c r="K103" i="22"/>
  <c r="C104" i="22"/>
  <c r="E104" i="22"/>
  <c r="I103" i="22"/>
  <c r="G103" i="22"/>
  <c r="E97" i="22"/>
  <c r="K97" i="22"/>
  <c r="C98" i="22"/>
  <c r="E98" i="22"/>
  <c r="I97" i="22"/>
  <c r="G97" i="22"/>
  <c r="E91" i="22"/>
  <c r="K91" i="22"/>
  <c r="C92" i="22"/>
  <c r="E92" i="22"/>
  <c r="I91" i="22"/>
  <c r="G91" i="22"/>
  <c r="E102" i="22"/>
  <c r="E96" i="22"/>
  <c r="E90" i="22"/>
  <c r="E115" i="22"/>
  <c r="F105" i="21"/>
  <c r="D38" i="21"/>
  <c r="K49" i="21"/>
  <c r="L49" i="21"/>
  <c r="M49" i="21"/>
  <c r="K50" i="21"/>
  <c r="V9" i="7"/>
  <c r="V10" i="7"/>
  <c r="V4" i="7"/>
  <c r="V6" i="7"/>
  <c r="V8" i="7"/>
  <c r="V7" i="7"/>
  <c r="V2" i="7"/>
  <c r="V3" i="7"/>
  <c r="V5" i="7"/>
  <c r="V13" i="7"/>
  <c r="V14" i="7"/>
  <c r="V15" i="7"/>
  <c r="V16" i="7"/>
  <c r="V18" i="7"/>
  <c r="V17" i="7"/>
  <c r="V11" i="7"/>
  <c r="V12" i="7"/>
  <c r="V19" i="7"/>
  <c r="V20" i="7"/>
  <c r="V21" i="7"/>
  <c r="V23" i="7"/>
  <c r="V22" i="7"/>
  <c r="F2" i="6"/>
  <c r="H2" i="6"/>
  <c r="F3" i="6"/>
  <c r="H3" i="6"/>
  <c r="F4" i="6"/>
  <c r="H4" i="6"/>
  <c r="F5" i="6"/>
  <c r="H5" i="6"/>
  <c r="F6" i="6"/>
  <c r="H6" i="6"/>
  <c r="F7" i="6"/>
  <c r="H7" i="6"/>
  <c r="F8" i="6"/>
  <c r="H8" i="6"/>
  <c r="F9" i="6"/>
  <c r="H9" i="6"/>
  <c r="F10" i="6"/>
  <c r="H10" i="6"/>
  <c r="F11" i="6"/>
  <c r="H11" i="6"/>
  <c r="F12" i="6"/>
  <c r="H12" i="6"/>
  <c r="F13" i="6"/>
  <c r="H13" i="6"/>
  <c r="F14" i="6"/>
  <c r="H14" i="6"/>
  <c r="F15" i="6"/>
  <c r="H15" i="6"/>
  <c r="F16" i="6"/>
  <c r="H16" i="6"/>
  <c r="F25" i="6"/>
  <c r="H25" i="6"/>
  <c r="F26" i="6"/>
  <c r="H26" i="6"/>
  <c r="F27" i="6"/>
  <c r="H27" i="6"/>
  <c r="F28" i="6"/>
  <c r="H28" i="6"/>
  <c r="F29" i="6"/>
  <c r="H29" i="6"/>
  <c r="F30" i="6"/>
  <c r="H30" i="6"/>
  <c r="F31" i="6"/>
  <c r="H31" i="6"/>
  <c r="F32" i="6"/>
  <c r="H32" i="6"/>
  <c r="F33" i="6"/>
  <c r="H33" i="6"/>
  <c r="F34" i="6"/>
  <c r="H34" i="6"/>
  <c r="F35" i="6"/>
  <c r="H35" i="6"/>
  <c r="F36" i="6"/>
  <c r="H36" i="6"/>
  <c r="F37" i="6"/>
  <c r="H37" i="6"/>
  <c r="F38" i="6"/>
  <c r="H38" i="6"/>
  <c r="F46" i="6"/>
  <c r="H46" i="6"/>
  <c r="F47" i="6"/>
  <c r="H47" i="6"/>
  <c r="F48" i="6"/>
  <c r="H48" i="6"/>
  <c r="F49" i="6"/>
  <c r="H49" i="6"/>
  <c r="F50" i="6"/>
  <c r="H50" i="6"/>
  <c r="F51" i="6"/>
  <c r="H51" i="6"/>
  <c r="F52" i="6"/>
  <c r="H52" i="6"/>
  <c r="F53" i="6"/>
  <c r="H53" i="6"/>
  <c r="F54" i="6"/>
  <c r="H54" i="6"/>
  <c r="F55" i="6"/>
  <c r="H55" i="6"/>
  <c r="F56" i="6"/>
  <c r="H56" i="6"/>
  <c r="F57" i="6"/>
  <c r="H57" i="6"/>
  <c r="F58" i="6"/>
  <c r="H58" i="6"/>
  <c r="F77" i="6"/>
  <c r="H77" i="6"/>
  <c r="F78" i="6"/>
  <c r="H78" i="6"/>
  <c r="F79" i="6"/>
  <c r="H79" i="6"/>
  <c r="F80" i="6"/>
  <c r="H80" i="6"/>
  <c r="F81" i="6"/>
  <c r="H81" i="6"/>
  <c r="F82" i="6"/>
  <c r="H82" i="6"/>
  <c r="F83" i="6"/>
  <c r="H83" i="6"/>
  <c r="F90" i="6"/>
  <c r="H90" i="6"/>
  <c r="F91" i="6"/>
  <c r="H91" i="6"/>
  <c r="F92" i="6"/>
  <c r="H92" i="6"/>
  <c r="F100" i="6"/>
  <c r="H100" i="6"/>
  <c r="F101" i="6"/>
  <c r="H101" i="6"/>
  <c r="F102" i="6"/>
  <c r="H102" i="6"/>
  <c r="F103" i="6"/>
  <c r="H103" i="6"/>
  <c r="F104" i="6"/>
  <c r="H104" i="6"/>
  <c r="F105" i="6"/>
  <c r="H105" i="6"/>
  <c r="F112" i="6"/>
  <c r="H112" i="6"/>
  <c r="F113" i="6"/>
  <c r="H113" i="6"/>
  <c r="F114" i="6"/>
  <c r="H114" i="6"/>
  <c r="F134" i="6"/>
  <c r="H134" i="6"/>
  <c r="V24" i="7"/>
  <c r="V27" i="7"/>
  <c r="V34" i="7"/>
  <c r="G115" i="21"/>
  <c r="G116" i="21"/>
  <c r="G117" i="21"/>
  <c r="G118" i="21"/>
  <c r="G119" i="21"/>
  <c r="G120" i="21"/>
  <c r="G121" i="21"/>
  <c r="G122" i="21"/>
  <c r="G123" i="21"/>
  <c r="G124" i="21"/>
  <c r="B92" i="21"/>
  <c r="B151" i="21"/>
  <c r="B111" i="21"/>
  <c r="B132" i="21"/>
  <c r="H45" i="21"/>
  <c r="H44" i="21"/>
  <c r="F146" i="21"/>
  <c r="G136" i="21"/>
  <c r="G137" i="21"/>
  <c r="G138" i="21"/>
  <c r="G139" i="21"/>
  <c r="G140" i="21"/>
  <c r="G141" i="21"/>
  <c r="G142" i="21"/>
  <c r="G143" i="21"/>
  <c r="G144" i="21"/>
  <c r="G145" i="21"/>
  <c r="D146" i="21"/>
  <c r="V32" i="7"/>
  <c r="K78" i="22"/>
  <c r="I78" i="22"/>
  <c r="I64" i="22"/>
  <c r="E74" i="22"/>
  <c r="E75" i="22"/>
  <c r="E73" i="22"/>
  <c r="E78" i="22"/>
  <c r="A28" i="21"/>
  <c r="J43" i="21"/>
  <c r="I43" i="21"/>
  <c r="D7" i="22"/>
  <c r="D6" i="22"/>
  <c r="G155" i="21"/>
  <c r="G156" i="21"/>
  <c r="G157" i="21"/>
  <c r="G158" i="21"/>
  <c r="G159" i="21"/>
  <c r="G160" i="21"/>
  <c r="G161" i="21"/>
  <c r="G162" i="21"/>
  <c r="G163" i="21"/>
  <c r="G164" i="21"/>
  <c r="D83" i="21"/>
  <c r="B123" i="21"/>
  <c r="B119" i="21"/>
  <c r="L75" i="21"/>
  <c r="K44" i="21"/>
  <c r="L44" i="21"/>
  <c r="C95" i="21"/>
  <c r="C96" i="21"/>
  <c r="D84" i="21"/>
  <c r="E77" i="21"/>
  <c r="F77" i="21"/>
  <c r="B155" i="21"/>
  <c r="B156" i="21"/>
  <c r="B157" i="21"/>
  <c r="B158" i="21"/>
  <c r="B160" i="21"/>
  <c r="B161" i="21"/>
  <c r="B162" i="21"/>
  <c r="B163" i="21"/>
  <c r="B136" i="21"/>
  <c r="B137" i="21"/>
  <c r="B139" i="21"/>
  <c r="B140" i="21"/>
  <c r="B142" i="21"/>
  <c r="B144" i="21"/>
  <c r="B115" i="21"/>
  <c r="B116" i="21"/>
  <c r="B118" i="21"/>
  <c r="B121" i="21"/>
  <c r="B4" i="21"/>
  <c r="U24" i="7"/>
  <c r="U27" i="7"/>
  <c r="F46" i="22"/>
  <c r="F47" i="22"/>
  <c r="F48" i="22"/>
  <c r="F49" i="22"/>
  <c r="F50" i="22"/>
  <c r="F45" i="22"/>
  <c r="F39" i="22"/>
  <c r="F40" i="22"/>
  <c r="F41" i="22"/>
  <c r="F42" i="22"/>
  <c r="F43" i="22"/>
  <c r="F38" i="22"/>
  <c r="F52" i="22"/>
  <c r="F53" i="22"/>
  <c r="F54" i="22"/>
  <c r="F55" i="22"/>
  <c r="F56" i="22"/>
  <c r="F57" i="22"/>
  <c r="F34" i="22"/>
  <c r="G16" i="22"/>
  <c r="F165" i="21"/>
  <c r="D165" i="21"/>
  <c r="D125" i="21"/>
  <c r="F125" i="21"/>
  <c r="G34" i="22"/>
  <c r="H34" i="22"/>
  <c r="F33" i="22"/>
  <c r="Y14" i="7"/>
  <c r="Y18" i="7"/>
  <c r="Y9" i="7"/>
  <c r="Y10" i="7"/>
  <c r="Y4" i="7"/>
  <c r="Y6" i="7"/>
  <c r="Y8" i="7"/>
  <c r="Y7" i="7"/>
  <c r="Y2" i="7"/>
  <c r="Y3" i="7"/>
  <c r="Y5" i="7"/>
  <c r="Y13" i="7"/>
  <c r="Y15" i="7"/>
  <c r="Y16" i="7"/>
  <c r="Y17" i="7"/>
  <c r="Y11" i="7"/>
  <c r="Y12" i="7"/>
  <c r="Y19" i="7"/>
  <c r="Y20" i="7"/>
  <c r="Y21" i="7"/>
  <c r="Y23" i="7"/>
  <c r="Y22" i="7"/>
  <c r="Y24" i="7"/>
  <c r="Y27" i="7"/>
  <c r="K45" i="21"/>
  <c r="L45" i="21"/>
  <c r="G7" i="22"/>
  <c r="G12" i="22"/>
  <c r="G13" i="22"/>
  <c r="H3" i="22"/>
  <c r="J114" i="21"/>
  <c r="G139" i="6"/>
  <c r="F139" i="6"/>
  <c r="H139" i="6"/>
  <c r="H33" i="22"/>
  <c r="C8" i="22"/>
  <c r="D8" i="22"/>
  <c r="E8" i="22"/>
  <c r="F8" i="22"/>
  <c r="G8" i="22"/>
  <c r="C9" i="22"/>
  <c r="D9" i="22"/>
  <c r="E9" i="22"/>
  <c r="G33" i="22"/>
  <c r="F16" i="22"/>
  <c r="J26" i="22"/>
  <c r="J27" i="22"/>
  <c r="J28" i="22"/>
  <c r="J25" i="22"/>
  <c r="I3" i="22"/>
  <c r="F14" i="22"/>
  <c r="J3" i="22"/>
  <c r="C16" i="22"/>
  <c r="J72" i="21"/>
  <c r="J73" i="21"/>
  <c r="F13" i="22"/>
  <c r="F15" i="22"/>
  <c r="C13" i="22"/>
  <c r="C14" i="22"/>
  <c r="C15" i="22"/>
  <c r="F12" i="22"/>
  <c r="C12" i="22"/>
  <c r="E7" i="22"/>
  <c r="E6" i="22"/>
  <c r="C7" i="22"/>
  <c r="F7" i="22"/>
  <c r="C6" i="22"/>
  <c r="F6" i="22"/>
  <c r="B153" i="21"/>
  <c r="B134" i="21"/>
  <c r="B113" i="21"/>
  <c r="B73" i="21"/>
  <c r="B94" i="21"/>
  <c r="E85" i="21"/>
  <c r="F85" i="21"/>
  <c r="I73" i="21"/>
  <c r="H73" i="21"/>
  <c r="G73" i="21"/>
  <c r="F73" i="21"/>
  <c r="E73" i="21"/>
  <c r="E165" i="21"/>
  <c r="AL18" i="7"/>
  <c r="AM18" i="7"/>
  <c r="F22" i="7"/>
  <c r="E22" i="7"/>
  <c r="AO5" i="7"/>
  <c r="AO13" i="7"/>
  <c r="AO14" i="7"/>
  <c r="AO15" i="7"/>
  <c r="AO16" i="7"/>
  <c r="AO18" i="7"/>
  <c r="AO17" i="7"/>
  <c r="AO11" i="7"/>
  <c r="AO12" i="7"/>
  <c r="AO19" i="7"/>
  <c r="AO20" i="7"/>
  <c r="AO21" i="7"/>
  <c r="AO23" i="7"/>
  <c r="AO22" i="7"/>
  <c r="AO4" i="7"/>
  <c r="AO6" i="7"/>
  <c r="AO8" i="7"/>
  <c r="AO7" i="7"/>
  <c r="AO2" i="7"/>
  <c r="AO3" i="7"/>
  <c r="AO10" i="7"/>
  <c r="AO9" i="7"/>
  <c r="Z9" i="7"/>
  <c r="F5" i="2"/>
  <c r="I6" i="2"/>
  <c r="I9" i="2"/>
  <c r="F2" i="7"/>
  <c r="E2" i="7"/>
  <c r="F3" i="7"/>
  <c r="F4" i="7"/>
  <c r="E4" i="7"/>
  <c r="F6" i="7"/>
  <c r="E6" i="7"/>
  <c r="F7" i="7"/>
  <c r="F21" i="7"/>
  <c r="E21" i="7"/>
  <c r="F23" i="7"/>
  <c r="E23" i="7"/>
  <c r="F9" i="7"/>
  <c r="E9" i="7"/>
  <c r="F10" i="7"/>
  <c r="F11" i="7"/>
  <c r="E11" i="7"/>
  <c r="F13" i="7"/>
  <c r="E13" i="7"/>
  <c r="F14" i="7"/>
  <c r="F15" i="7"/>
  <c r="E15" i="7"/>
  <c r="F17" i="7"/>
  <c r="E17" i="7"/>
  <c r="F18" i="7"/>
  <c r="F19" i="7"/>
  <c r="E19" i="7"/>
  <c r="D11" i="7"/>
  <c r="C11" i="7"/>
  <c r="D12" i="7"/>
  <c r="C12" i="7"/>
  <c r="D15" i="7"/>
  <c r="C15" i="7"/>
  <c r="D18" i="7"/>
  <c r="C18" i="7"/>
  <c r="D2" i="7"/>
  <c r="C2" i="7"/>
  <c r="D3" i="7"/>
  <c r="C3" i="7"/>
  <c r="D4" i="7"/>
  <c r="C4" i="7"/>
  <c r="D5" i="7"/>
  <c r="C5" i="7"/>
  <c r="D6" i="7"/>
  <c r="C6" i="7"/>
  <c r="D7" i="7"/>
  <c r="C7" i="7"/>
  <c r="D21" i="7"/>
  <c r="C21" i="7"/>
  <c r="D22" i="7"/>
  <c r="C22" i="7"/>
  <c r="D23" i="7"/>
  <c r="C23" i="7"/>
  <c r="D8" i="7"/>
  <c r="C8" i="7"/>
  <c r="D9" i="7"/>
  <c r="C9" i="7"/>
  <c r="D10" i="7"/>
  <c r="C10" i="7"/>
  <c r="D13" i="7"/>
  <c r="C13" i="7"/>
  <c r="D14" i="7"/>
  <c r="C14" i="7"/>
  <c r="D16" i="7"/>
  <c r="D19" i="7"/>
  <c r="AN19" i="7"/>
  <c r="D17" i="7"/>
  <c r="C17" i="7"/>
  <c r="AN23" i="7"/>
  <c r="D20" i="7"/>
  <c r="C20" i="7"/>
  <c r="E3" i="7"/>
  <c r="E7" i="7"/>
  <c r="E10" i="7"/>
  <c r="E14" i="7"/>
  <c r="E18" i="7"/>
  <c r="F6" i="2"/>
  <c r="H6" i="2"/>
  <c r="F9" i="2"/>
  <c r="H9" i="2"/>
  <c r="E10" i="2"/>
  <c r="G10" i="2"/>
  <c r="G6" i="2"/>
  <c r="G9" i="2"/>
  <c r="Z10" i="7"/>
  <c r="AA10" i="7"/>
  <c r="Z4" i="7"/>
  <c r="AA4" i="7"/>
  <c r="Z6" i="7"/>
  <c r="Z8" i="7"/>
  <c r="AA8" i="7"/>
  <c r="Z7" i="7"/>
  <c r="AA7" i="7"/>
  <c r="Z2" i="7"/>
  <c r="AA2" i="7"/>
  <c r="Z3" i="7"/>
  <c r="Z5" i="7"/>
  <c r="AA5" i="7"/>
  <c r="Z13" i="7"/>
  <c r="Z14" i="7"/>
  <c r="AA14" i="7"/>
  <c r="Z15" i="7"/>
  <c r="AA15" i="7"/>
  <c r="Z16" i="7"/>
  <c r="AA16" i="7"/>
  <c r="Z18" i="7"/>
  <c r="Z17" i="7"/>
  <c r="AA17" i="7"/>
  <c r="Z11" i="7"/>
  <c r="AA11" i="7"/>
  <c r="Z12" i="7"/>
  <c r="AA12" i="7"/>
  <c r="Z19" i="7"/>
  <c r="Z20" i="7"/>
  <c r="AA20" i="7"/>
  <c r="Z21" i="7"/>
  <c r="AA21" i="7"/>
  <c r="Z23" i="7"/>
  <c r="AA23" i="7"/>
  <c r="Z22" i="7"/>
  <c r="AN22" i="7"/>
  <c r="AN21" i="7"/>
  <c r="AK18" i="7"/>
  <c r="AK12" i="7"/>
  <c r="AN10" i="7"/>
  <c r="AN2" i="7"/>
  <c r="AN13" i="7"/>
  <c r="AN15" i="7"/>
  <c r="AN12" i="7"/>
  <c r="F7" i="2"/>
  <c r="AN5" i="7"/>
  <c r="AK20" i="7"/>
  <c r="AK14" i="7"/>
  <c r="AK2" i="7"/>
  <c r="AK13" i="7"/>
  <c r="AL7" i="7"/>
  <c r="AM7" i="7"/>
  <c r="AL10" i="7"/>
  <c r="AM10" i="7"/>
  <c r="AK10" i="7"/>
  <c r="AK6" i="7"/>
  <c r="AL16" i="7"/>
  <c r="AM16" i="7"/>
  <c r="AL15" i="7"/>
  <c r="AM15" i="7"/>
  <c r="AL11" i="7"/>
  <c r="AM11" i="7"/>
  <c r="AK11" i="7"/>
  <c r="AK15" i="7"/>
  <c r="AK7" i="7"/>
  <c r="AL19" i="7"/>
  <c r="AM19" i="7"/>
  <c r="AK16" i="7"/>
  <c r="AL17" i="7"/>
  <c r="AM17" i="7"/>
  <c r="AL22" i="7"/>
  <c r="AM22" i="7"/>
  <c r="AL23" i="7"/>
  <c r="AM23" i="7"/>
  <c r="AK23" i="7"/>
  <c r="AL21" i="7"/>
  <c r="AM21" i="7"/>
  <c r="AK21" i="7"/>
  <c r="AK4" i="7"/>
  <c r="AL12" i="7"/>
  <c r="AM12" i="7"/>
  <c r="AL2" i="7"/>
  <c r="AM2" i="7"/>
  <c r="AL8" i="7"/>
  <c r="AM8" i="7"/>
  <c r="AL4" i="7"/>
  <c r="AM4" i="7"/>
  <c r="AK8" i="7"/>
  <c r="AK22" i="7"/>
  <c r="AK9" i="7"/>
  <c r="AK5" i="7"/>
  <c r="AL5" i="7"/>
  <c r="AM5" i="7"/>
  <c r="AL20" i="7"/>
  <c r="AM20" i="7"/>
  <c r="AK3" i="7"/>
  <c r="AN16" i="7"/>
  <c r="AK19" i="7"/>
  <c r="AA22" i="7"/>
  <c r="AA19" i="7"/>
  <c r="AA18" i="7"/>
  <c r="AA13" i="7"/>
  <c r="J12" i="2"/>
  <c r="F20" i="7"/>
  <c r="F16" i="7"/>
  <c r="E16" i="7"/>
  <c r="F12" i="7"/>
  <c r="E12" i="7"/>
  <c r="F8" i="7"/>
  <c r="E8" i="7"/>
  <c r="J10" i="2"/>
  <c r="I10" i="2"/>
  <c r="T25" i="7"/>
  <c r="AL9" i="7"/>
  <c r="AM9" i="7"/>
  <c r="AL3" i="7"/>
  <c r="AM3" i="7"/>
  <c r="AL6" i="7"/>
  <c r="AM6" i="7"/>
  <c r="AK17" i="7"/>
  <c r="AL14" i="7"/>
  <c r="AM14" i="7"/>
  <c r="AL13" i="7"/>
  <c r="AM13" i="7"/>
  <c r="F8" i="2"/>
  <c r="AN17" i="7"/>
  <c r="AN8" i="7"/>
  <c r="AA3" i="7"/>
  <c r="AA6" i="7"/>
  <c r="F5" i="7"/>
  <c r="E5" i="7"/>
  <c r="AA9" i="7"/>
  <c r="AN4" i="7"/>
  <c r="AN11" i="7"/>
  <c r="AN14" i="7"/>
  <c r="AN7" i="7"/>
  <c r="AN9" i="7"/>
  <c r="H10" i="2"/>
  <c r="C19" i="7"/>
  <c r="C16" i="7"/>
  <c r="C24" i="7"/>
  <c r="AN20" i="7"/>
  <c r="AN18" i="7"/>
  <c r="AN3" i="7"/>
  <c r="AN6" i="7"/>
  <c r="F28" i="7"/>
  <c r="AA24" i="7"/>
  <c r="F27" i="7"/>
  <c r="E20" i="7"/>
  <c r="E24" i="7"/>
  <c r="D47" i="21"/>
  <c r="I28" i="2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D97" i="21"/>
  <c r="E97" i="21"/>
  <c r="F97" i="21"/>
  <c r="D30" i="21"/>
  <c r="D98" i="21"/>
  <c r="E98" i="21"/>
  <c r="F98" i="21"/>
  <c r="D31" i="21"/>
  <c r="D76" i="21"/>
  <c r="D99" i="21"/>
  <c r="E99" i="21"/>
  <c r="F99" i="21"/>
  <c r="D32" i="21"/>
  <c r="D77" i="21"/>
  <c r="D100" i="21"/>
  <c r="E100" i="21"/>
  <c r="F100" i="21"/>
  <c r="D33" i="21"/>
  <c r="D78" i="21"/>
  <c r="D101" i="21"/>
  <c r="E101" i="21"/>
  <c r="F101" i="21"/>
  <c r="D34" i="21"/>
  <c r="D79" i="21"/>
  <c r="D102" i="21"/>
  <c r="E102" i="21"/>
  <c r="F102" i="21"/>
  <c r="D35" i="21"/>
  <c r="D80" i="21"/>
  <c r="D81" i="21"/>
  <c r="J102" i="21"/>
  <c r="J101" i="21"/>
  <c r="J100" i="21"/>
  <c r="J99" i="21"/>
  <c r="J98" i="21"/>
  <c r="J97" i="21"/>
  <c r="I92" i="11"/>
  <c r="C32" i="21"/>
  <c r="C31" i="21"/>
  <c r="C30" i="21"/>
  <c r="C29" i="21"/>
  <c r="C36" i="21"/>
  <c r="C35" i="21"/>
  <c r="C34" i="21"/>
  <c r="C33" i="21"/>
  <c r="D96" i="21"/>
  <c r="D75" i="21"/>
  <c r="C76" i="21"/>
  <c r="C77" i="21"/>
  <c r="C78" i="21"/>
  <c r="C79" i="21"/>
  <c r="C80" i="21"/>
  <c r="C81" i="21"/>
  <c r="C82" i="21"/>
  <c r="C97" i="21"/>
  <c r="C98" i="21"/>
  <c r="C99" i="21"/>
  <c r="C100" i="21"/>
  <c r="C101" i="21"/>
  <c r="C102" i="21"/>
  <c r="C103" i="21"/>
  <c r="D103" i="21"/>
  <c r="D82" i="21"/>
  <c r="C83" i="21"/>
  <c r="C84" i="21"/>
  <c r="G84" i="21"/>
  <c r="H84" i="21"/>
  <c r="I84" i="21"/>
  <c r="K84" i="21"/>
  <c r="H38" i="21"/>
  <c r="C37" i="21"/>
  <c r="G83" i="21"/>
  <c r="H83" i="21"/>
  <c r="I83" i="21"/>
  <c r="K83" i="21"/>
  <c r="H37" i="21"/>
  <c r="I37" i="21"/>
  <c r="E103" i="21"/>
  <c r="F103" i="21"/>
  <c r="D36" i="21"/>
  <c r="G82" i="21"/>
  <c r="H82" i="21"/>
  <c r="I82" i="21"/>
  <c r="K82" i="21"/>
  <c r="H36" i="21"/>
  <c r="I36" i="21"/>
  <c r="G81" i="21"/>
  <c r="H81" i="21"/>
  <c r="I81" i="21"/>
  <c r="K81" i="21"/>
  <c r="H35" i="21"/>
  <c r="I35" i="21"/>
  <c r="G80" i="21"/>
  <c r="H80" i="21"/>
  <c r="I80" i="21"/>
  <c r="K80" i="21"/>
  <c r="H34" i="21"/>
  <c r="I34" i="21"/>
  <c r="G79" i="21"/>
  <c r="H79" i="21"/>
  <c r="I79" i="21"/>
  <c r="K79" i="21"/>
  <c r="H33" i="21"/>
  <c r="I33" i="21"/>
  <c r="G78" i="21"/>
  <c r="H78" i="21"/>
  <c r="I78" i="21"/>
  <c r="K78" i="21"/>
  <c r="H32" i="21"/>
  <c r="I32" i="21"/>
  <c r="G77" i="21"/>
  <c r="H77" i="21"/>
  <c r="I77" i="21"/>
  <c r="K77" i="21"/>
  <c r="H31" i="21"/>
  <c r="I31" i="21"/>
  <c r="G76" i="21"/>
  <c r="H76" i="21"/>
  <c r="I76" i="21"/>
  <c r="K76" i="21"/>
  <c r="H30" i="21"/>
  <c r="I30" i="21"/>
  <c r="E96" i="21"/>
  <c r="F96" i="21"/>
  <c r="D29" i="21"/>
  <c r="I29" i="21"/>
  <c r="J29" i="21"/>
  <c r="J30" i="21"/>
  <c r="J31" i="21"/>
  <c r="J32" i="21"/>
  <c r="J33" i="21"/>
  <c r="J34" i="21"/>
  <c r="J35" i="21"/>
  <c r="J36" i="21"/>
  <c r="J37" i="21"/>
  <c r="D85" i="21"/>
  <c r="G96" i="21"/>
  <c r="G97" i="21"/>
  <c r="G98" i="21"/>
  <c r="G99" i="21"/>
  <c r="G100" i="21"/>
  <c r="G101" i="21"/>
  <c r="G102" i="21"/>
  <c r="G103" i="21"/>
  <c r="F106" i="21"/>
  <c r="E106" i="21"/>
  <c r="G43" i="21"/>
  <c r="G6" i="22"/>
  <c r="G85" i="21"/>
  <c r="D61" i="21"/>
  <c r="G14" i="22"/>
  <c r="H85" i="21"/>
  <c r="D62" i="21"/>
  <c r="G15" i="22"/>
  <c r="G17" i="22"/>
  <c r="N38" i="22"/>
  <c r="C104" i="21"/>
  <c r="C105" i="21"/>
  <c r="K85" i="21"/>
  <c r="L76" i="21"/>
  <c r="L77" i="21"/>
  <c r="L78" i="21"/>
  <c r="L79" i="21"/>
  <c r="L80" i="21"/>
  <c r="L81" i="21"/>
  <c r="L82" i="21"/>
  <c r="L83" i="21"/>
  <c r="L84" i="21"/>
  <c r="G77" i="22"/>
  <c r="G78" i="22"/>
  <c r="G90" i="22"/>
  <c r="I90" i="22"/>
  <c r="K90" i="22"/>
  <c r="G96" i="22"/>
  <c r="I96" i="22"/>
  <c r="K96" i="22"/>
  <c r="G102" i="22"/>
  <c r="I102" i="22"/>
  <c r="K102" i="22"/>
  <c r="I85" i="21"/>
  <c r="D64" i="21"/>
  <c r="F139" i="22"/>
  <c r="F141" i="22"/>
  <c r="F143" i="22"/>
  <c r="F168" i="22"/>
  <c r="F170" i="22"/>
  <c r="F172" i="22"/>
  <c r="J96" i="21"/>
  <c r="J103" i="21"/>
  <c r="D106" i="21"/>
  <c r="J104" i="21"/>
  <c r="V36" i="7"/>
  <c r="G182" i="22"/>
  <c r="G189" i="22"/>
  <c r="G190" i="22"/>
  <c r="G191" i="22"/>
  <c r="G192" i="22"/>
  <c r="F247" i="22"/>
  <c r="H16" i="22"/>
  <c r="I16" i="22"/>
  <c r="K52" i="22"/>
  <c r="K53" i="22"/>
  <c r="K54" i="22"/>
  <c r="K55" i="22"/>
  <c r="K56" i="22"/>
  <c r="K57" i="22"/>
  <c r="K45" i="22"/>
  <c r="K46" i="22"/>
  <c r="K47" i="22"/>
  <c r="K48" i="22"/>
  <c r="K49" i="22"/>
  <c r="K50" i="22"/>
  <c r="K38" i="22"/>
  <c r="K43" i="22"/>
  <c r="K42" i="22"/>
  <c r="K41" i="22"/>
  <c r="K40" i="22"/>
  <c r="K39" i="22"/>
  <c r="D39" i="21"/>
  <c r="H39" i="21"/>
  <c r="H43" i="21"/>
  <c r="D65" i="21"/>
  <c r="G108" i="22"/>
  <c r="G110" i="22"/>
  <c r="M29" i="21"/>
  <c r="M30" i="21"/>
  <c r="M31" i="21"/>
  <c r="M32" i="21"/>
  <c r="M33" i="21"/>
  <c r="M34" i="21"/>
  <c r="M35" i="21"/>
  <c r="M36" i="21"/>
  <c r="M37" i="21"/>
  <c r="H92" i="11"/>
  <c r="J92" i="11"/>
  <c r="K92" i="11"/>
  <c r="M92" i="11"/>
  <c r="H130" i="11"/>
  <c r="J130" i="11"/>
  <c r="H129" i="11"/>
  <c r="J129" i="11"/>
  <c r="H128" i="11"/>
  <c r="J128" i="11"/>
  <c r="H127" i="11"/>
  <c r="J127" i="11"/>
  <c r="H126" i="11"/>
  <c r="J126" i="11"/>
  <c r="H125" i="11"/>
  <c r="J125" i="11"/>
  <c r="H124" i="11"/>
  <c r="J124" i="11"/>
  <c r="H123" i="11"/>
  <c r="J123" i="11"/>
  <c r="H122" i="11"/>
  <c r="J122" i="11"/>
  <c r="H121" i="11"/>
  <c r="J121" i="11"/>
  <c r="H120" i="11"/>
  <c r="J120" i="11"/>
  <c r="H119" i="11"/>
  <c r="J119" i="11"/>
  <c r="H118" i="11"/>
  <c r="J118" i="11"/>
  <c r="H117" i="11"/>
  <c r="J117" i="11"/>
  <c r="H116" i="11"/>
  <c r="J116" i="11"/>
  <c r="H115" i="11"/>
  <c r="J115" i="11"/>
  <c r="H114" i="11"/>
  <c r="J114" i="11"/>
  <c r="H113" i="11"/>
  <c r="J113" i="11"/>
  <c r="H112" i="11"/>
  <c r="J112" i="11"/>
  <c r="H111" i="11"/>
  <c r="J111" i="11"/>
  <c r="H110" i="11"/>
  <c r="J110" i="11"/>
  <c r="H109" i="11"/>
  <c r="J109" i="11"/>
  <c r="H108" i="11"/>
  <c r="J108" i="11"/>
  <c r="H107" i="11"/>
  <c r="J107" i="11"/>
  <c r="H106" i="11"/>
  <c r="J106" i="11"/>
  <c r="H105" i="11"/>
  <c r="J105" i="11"/>
  <c r="H104" i="11"/>
  <c r="J104" i="11"/>
  <c r="H103" i="11"/>
  <c r="J103" i="11"/>
  <c r="H102" i="11"/>
  <c r="J102" i="11"/>
  <c r="H101" i="11"/>
  <c r="J101" i="11"/>
  <c r="H100" i="11"/>
  <c r="J100" i="11"/>
  <c r="H99" i="11"/>
  <c r="J99" i="11"/>
  <c r="H98" i="11"/>
  <c r="J98" i="11"/>
  <c r="H97" i="11"/>
  <c r="J97" i="11"/>
  <c r="H96" i="11"/>
  <c r="J96" i="11"/>
  <c r="H95" i="11"/>
  <c r="J95" i="11"/>
  <c r="H94" i="11"/>
  <c r="J94" i="11"/>
  <c r="H93" i="11"/>
  <c r="J93"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M130" i="11"/>
  <c r="M129" i="11"/>
  <c r="M128" i="11"/>
  <c r="M127" i="11"/>
  <c r="M126" i="11"/>
  <c r="M125" i="11"/>
  <c r="M124" i="11"/>
  <c r="M123" i="11"/>
  <c r="M122" i="11"/>
  <c r="M121" i="11"/>
  <c r="M120" i="11"/>
  <c r="M119" i="11"/>
  <c r="M118" i="11"/>
  <c r="M117" i="11"/>
  <c r="M116" i="11"/>
  <c r="M115" i="11"/>
  <c r="M114" i="11"/>
  <c r="M113" i="11"/>
  <c r="M112" i="11"/>
  <c r="M111" i="11"/>
  <c r="M110" i="11"/>
  <c r="M109" i="11"/>
  <c r="M108" i="11"/>
  <c r="M107" i="11"/>
  <c r="M106" i="11"/>
  <c r="M105" i="11"/>
  <c r="M104" i="11"/>
  <c r="M103" i="11"/>
  <c r="M102" i="11"/>
  <c r="M101" i="11"/>
  <c r="M100" i="11"/>
  <c r="M99" i="11"/>
  <c r="M98" i="11"/>
  <c r="M97" i="11"/>
  <c r="M96" i="11"/>
  <c r="M95" i="11"/>
  <c r="M94" i="11"/>
  <c r="M93" i="11"/>
  <c r="C38" i="21"/>
  <c r="I38" i="21"/>
  <c r="J38" i="21"/>
  <c r="G46" i="21"/>
  <c r="G184" i="22"/>
  <c r="G202" i="22"/>
  <c r="G203" i="22"/>
  <c r="J32" i="31"/>
  <c r="J33" i="31"/>
  <c r="K32" i="31"/>
  <c r="K33" i="31"/>
  <c r="E267" i="22"/>
  <c r="F267" i="22"/>
  <c r="G267" i="22"/>
  <c r="I267" i="22"/>
  <c r="G269" i="22"/>
  <c r="C39" i="21"/>
  <c r="V28" i="7"/>
  <c r="V33" i="7"/>
  <c r="V29" i="7"/>
  <c r="M38" i="21"/>
  <c r="M39" i="21"/>
  <c r="G130" i="11"/>
  <c r="G129" i="11"/>
  <c r="G128" i="11"/>
  <c r="G127" i="11"/>
  <c r="G126" i="11"/>
  <c r="G125" i="11"/>
  <c r="G124"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E46" i="21"/>
  <c r="F226" i="22"/>
  <c r="G226" i="22"/>
  <c r="F237" i="22"/>
  <c r="E237" i="22"/>
  <c r="G47" i="21"/>
  <c r="M135" i="22"/>
  <c r="H135" i="22"/>
  <c r="M127" i="22"/>
  <c r="H127" i="22"/>
  <c r="G92" i="22"/>
  <c r="G106" i="22"/>
  <c r="G112" i="22"/>
  <c r="L50" i="21"/>
  <c r="M50" i="21"/>
  <c r="H46" i="21"/>
  <c r="H47" i="21"/>
  <c r="H48" i="21"/>
  <c r="J75" i="22"/>
  <c r="I65" i="22"/>
  <c r="I44" i="22"/>
  <c r="I39" i="22"/>
  <c r="H39" i="22"/>
  <c r="I40" i="22"/>
  <c r="H40" i="22"/>
  <c r="I41" i="22"/>
  <c r="H41" i="22"/>
  <c r="I42" i="22"/>
  <c r="H42" i="22"/>
  <c r="I43" i="22"/>
  <c r="H43" i="22"/>
  <c r="I45" i="22"/>
  <c r="H45" i="22"/>
  <c r="I46" i="22"/>
  <c r="H46" i="22"/>
  <c r="I47" i="22"/>
  <c r="H47" i="22"/>
  <c r="I48" i="22"/>
  <c r="H48" i="22"/>
  <c r="I49" i="22"/>
  <c r="H49" i="22"/>
  <c r="I50" i="22"/>
  <c r="H50" i="22"/>
  <c r="I52" i="22"/>
  <c r="H52" i="22"/>
  <c r="I53" i="22"/>
  <c r="H53" i="22"/>
  <c r="I54" i="22"/>
  <c r="H54" i="22"/>
  <c r="I55" i="22"/>
  <c r="H55" i="22"/>
  <c r="I56" i="22"/>
  <c r="H56" i="22"/>
  <c r="I57" i="22"/>
  <c r="H57" i="22"/>
  <c r="I38" i="22"/>
  <c r="H38" i="22"/>
  <c r="I39" i="21"/>
  <c r="J34" i="22"/>
  <c r="I34" i="22"/>
  <c r="L39" i="22"/>
  <c r="L40" i="22"/>
  <c r="L41" i="22"/>
  <c r="L42" i="22"/>
  <c r="L43" i="22"/>
  <c r="L38" i="22"/>
  <c r="K46" i="21"/>
  <c r="L46" i="21"/>
  <c r="L50" i="22"/>
  <c r="L49" i="22"/>
  <c r="L48" i="22"/>
  <c r="L47" i="22"/>
  <c r="L46" i="22"/>
  <c r="L45" i="22"/>
  <c r="F9" i="22"/>
  <c r="L57" i="22"/>
  <c r="L56" i="22"/>
  <c r="L55" i="22"/>
  <c r="L54" i="22"/>
  <c r="L53" i="22"/>
  <c r="L52" i="22"/>
  <c r="J33" i="22"/>
  <c r="I33" i="22"/>
  <c r="G9" i="22"/>
  <c r="H9" i="22"/>
  <c r="I9" i="22"/>
  <c r="I19" i="22"/>
  <c r="I20" i="22"/>
  <c r="H19" i="22"/>
  <c r="H20" i="22"/>
  <c r="F92" i="22"/>
  <c r="I92" i="22"/>
  <c r="H92" i="22"/>
  <c r="K92" i="22"/>
  <c r="J92" i="22"/>
  <c r="G98" i="22"/>
  <c r="F98" i="22"/>
  <c r="I98" i="22"/>
  <c r="H98" i="22"/>
  <c r="K98" i="22"/>
  <c r="J98" i="22"/>
  <c r="G104" i="22"/>
  <c r="F104" i="22"/>
  <c r="I104" i="22"/>
  <c r="H104" i="22"/>
  <c r="K104" i="22"/>
  <c r="J104" i="22"/>
  <c r="G237" i="22"/>
  <c r="G227" i="22"/>
  <c r="G229" i="22"/>
  <c r="G231" i="22"/>
  <c r="E245" i="22"/>
  <c r="F245" i="22"/>
  <c r="E244" i="22"/>
  <c r="F244" i="22"/>
  <c r="G185" i="22"/>
  <c r="G194" i="22"/>
  <c r="F290" i="22"/>
  <c r="G290" i="22"/>
  <c r="H290" i="22"/>
  <c r="H292" i="22"/>
  <c r="J290" i="22"/>
  <c r="F184" i="22"/>
  <c r="F202" i="22"/>
</calcChain>
</file>

<file path=xl/comments1.xml><?xml version="1.0" encoding="utf-8"?>
<comments xmlns="http://schemas.openxmlformats.org/spreadsheetml/2006/main">
  <authors>
    <author>Haifeng Xu</author>
  </authors>
  <commentList>
    <comment ref="N4" authorId="0">
      <text>
        <r>
          <rPr>
            <b/>
            <sz val="10"/>
            <color indexed="81"/>
            <rFont val="MicrosoftYaHei"/>
          </rPr>
          <t>Haifeng Xu:</t>
        </r>
        <r>
          <rPr>
            <sz val="10"/>
            <color indexed="81"/>
            <rFont val="MicrosoftYaHei"/>
          </rPr>
          <t xml:space="preserve">
这些不确定是不是以365天为基数</t>
        </r>
      </text>
    </comment>
  </commentList>
</comments>
</file>

<file path=xl/comments2.xml><?xml version="1.0" encoding="utf-8"?>
<comments xmlns="http://schemas.openxmlformats.org/spreadsheetml/2006/main">
  <authors>
    <author>SHI</author>
    <author>金祎</author>
  </authors>
  <commentList>
    <comment ref="B19" authorId="0">
      <text>
        <r>
          <rPr>
            <b/>
            <sz val="9"/>
            <color indexed="81"/>
            <rFont val="Tahoma"/>
            <family val="2"/>
          </rPr>
          <t>SHI:</t>
        </r>
        <r>
          <rPr>
            <sz val="9"/>
            <color indexed="81"/>
            <rFont val="Tahoma"/>
            <family val="2"/>
          </rPr>
          <t xml:space="preserve">
自然年，看合同，每年6月20日分配，终止时分配</t>
        </r>
      </text>
    </comment>
    <comment ref="A122" authorId="1">
      <text>
        <r>
          <rPr>
            <b/>
            <sz val="9"/>
            <color indexed="81"/>
            <rFont val="宋体"/>
            <family val="3"/>
            <charset val="134"/>
          </rPr>
          <t>金祎:</t>
        </r>
        <r>
          <rPr>
            <sz val="9"/>
            <color indexed="81"/>
            <rFont val="宋体"/>
            <family val="3"/>
            <charset val="134"/>
          </rPr>
          <t xml:space="preserve">
祥生绍兴望湖名都</t>
        </r>
      </text>
    </comment>
  </commentList>
</comments>
</file>

<file path=xl/sharedStrings.xml><?xml version="1.0" encoding="utf-8"?>
<sst xmlns="http://schemas.openxmlformats.org/spreadsheetml/2006/main" count="976" uniqueCount="447">
  <si>
    <t>产品名称</t>
  </si>
  <si>
    <t>合同编号</t>
  </si>
  <si>
    <t>分配周期</t>
    <phoneticPr fontId="0" type="noConversion"/>
  </si>
  <si>
    <t>WX-XT-201402004-0121</t>
  </si>
  <si>
    <t>信托半年度</t>
  </si>
  <si>
    <t>WX-XT-201402004-0070</t>
  </si>
  <si>
    <t>WX-XT-201402004-0068</t>
  </si>
  <si>
    <t>WX-XT-201402009-0042</t>
  </si>
  <si>
    <t>WX-XT-201402009-0045</t>
  </si>
  <si>
    <t>信托季</t>
  </si>
  <si>
    <t>WX-XT-201401008-0018</t>
  </si>
  <si>
    <t>WX-XT-201405007-0012</t>
  </si>
  <si>
    <t>WX-XT-201405008-0070</t>
  </si>
  <si>
    <t>万信-基础设施建设信托基金031号001</t>
  </si>
  <si>
    <t>万信-资产流动类信托基金002号003</t>
  </si>
  <si>
    <t>万信-资产流动类信托基金002号002</t>
  </si>
  <si>
    <t>万信-资产流动类信托基金002号001</t>
  </si>
  <si>
    <t>万信-基础设施建设信托基金023号001</t>
  </si>
  <si>
    <t>万信-基础设施建设信托基金023号002</t>
  </si>
  <si>
    <t>万信-基础设施建设信托基金019号001</t>
  </si>
  <si>
    <t>万信-基础设施建设信托基金020号001</t>
  </si>
  <si>
    <t>万信-基础设施建设信托基金046号001</t>
  </si>
  <si>
    <t>万信-磐石024号001</t>
  </si>
  <si>
    <t>万信-磐石025号001</t>
  </si>
  <si>
    <t>万信-磐石026号001</t>
  </si>
  <si>
    <t>万信-磐石027号001</t>
  </si>
  <si>
    <t>万信-磐石030号001</t>
  </si>
  <si>
    <t>万信-磐石028号001</t>
  </si>
  <si>
    <t>万信-磐石036号001</t>
  </si>
  <si>
    <t>整理基础资产</t>
  </si>
  <si>
    <t>日期</t>
  </si>
  <si>
    <t>事项</t>
  </si>
  <si>
    <t>万信-磐石035号002</t>
  </si>
  <si>
    <t>期限（月）</t>
  </si>
  <si>
    <t>封包日</t>
  </si>
  <si>
    <t>封包后产生的利息（元）</t>
  </si>
  <si>
    <t>实际借款人</t>
  </si>
  <si>
    <t>借款人所在省</t>
  </si>
  <si>
    <t>借款人所在市/县</t>
  </si>
  <si>
    <t>借款人行业（基建、房地产、工商）</t>
  </si>
  <si>
    <t>保证人</t>
  </si>
  <si>
    <t>资产是否入池</t>
  </si>
  <si>
    <t>贷款担保方式（抵押、质押、保证）</t>
  </si>
  <si>
    <t>资产起息日</t>
  </si>
  <si>
    <t>资产到期日</t>
  </si>
  <si>
    <t>底层资产授信规模（元）</t>
  </si>
  <si>
    <t>底层资产实际成立规模（元）</t>
  </si>
  <si>
    <t>预期年化收益率</t>
  </si>
  <si>
    <t>底层基础资产信托合同编号</t>
  </si>
  <si>
    <t>现金流</t>
  </si>
  <si>
    <t>项目名称</t>
  </si>
  <si>
    <t>还款日期</t>
  </si>
  <si>
    <t>未偿本金（元）</t>
  </si>
  <si>
    <t>收取本金（元）</t>
  </si>
  <si>
    <t>收取利息（元）</t>
  </si>
  <si>
    <t>年华利率</t>
  </si>
  <si>
    <t>年化天数</t>
  </si>
  <si>
    <t>期间固定为6月20日。</t>
  </si>
  <si>
    <t>万信-磐石037号001</t>
  </si>
  <si>
    <t>万信-磐石040号001</t>
  </si>
  <si>
    <t>舟山群岛新区三农农副产品综合批发市场股份有限公司</t>
  </si>
  <si>
    <t>浙江</t>
  </si>
  <si>
    <t>成都市龙泉驿区国有资产投资经营有限公司</t>
  </si>
  <si>
    <t>基建</t>
  </si>
  <si>
    <t>四川</t>
  </si>
  <si>
    <t>成都</t>
  </si>
  <si>
    <t>成都经济技术开发区建设发展有限公司</t>
  </si>
  <si>
    <t>质押、保证</t>
  </si>
  <si>
    <t>德清县临杭新农村建设投资有限公司</t>
  </si>
  <si>
    <t>德清</t>
  </si>
  <si>
    <t>浙江省德清县交通投资集团有限公司</t>
  </si>
  <si>
    <t>保证</t>
  </si>
  <si>
    <t>镇江新区城市建设投资有限公司</t>
  </si>
  <si>
    <t>江苏</t>
  </si>
  <si>
    <t>镇江</t>
  </si>
  <si>
    <t>成都新城西城市投资经营中心</t>
  </si>
  <si>
    <t>成都光华资产管理有限公司</t>
  </si>
  <si>
    <t>浙江祥生房地产开发有限公司</t>
  </si>
  <si>
    <t>抵押、保证</t>
  </si>
  <si>
    <t>成都市润弘投资有限公司</t>
  </si>
  <si>
    <t>年化基数（365/360）</t>
  </si>
  <si>
    <t>自然季</t>
  </si>
  <si>
    <t xml:space="preserve">绍兴祥生暨越置业有限公司 </t>
  </si>
  <si>
    <t>合计</t>
  </si>
  <si>
    <t>基础资产的全部利息（元）</t>
  </si>
  <si>
    <t>信托年</t>
  </si>
  <si>
    <t>扬州</t>
  </si>
  <si>
    <t>广西</t>
  </si>
  <si>
    <t>来宾</t>
  </si>
  <si>
    <t>湖南</t>
  </si>
  <si>
    <t>湘潭</t>
  </si>
  <si>
    <t>常州</t>
  </si>
  <si>
    <t>自然年</t>
  </si>
  <si>
    <t>贵州</t>
  </si>
  <si>
    <t>六盘水</t>
  </si>
  <si>
    <t>山东</t>
  </si>
  <si>
    <t>潍坊市投资公司</t>
  </si>
  <si>
    <t>特殊</t>
  </si>
  <si>
    <t>遵义</t>
  </si>
  <si>
    <t>重庆</t>
  </si>
  <si>
    <t>（1）江动集团对本信托计划的溢价回购款做保证担保；新疆新世纪对本信托计划溢价回购款做保证担保.
（2）创源投资发展有限公司以其持有的新疆新世纪100%股权做质押担保.
（3）江动集团对应收债权做债务确认.</t>
  </si>
  <si>
    <t>遂宁</t>
  </si>
  <si>
    <t>扬州广贸物流开发建设有限公司</t>
  </si>
  <si>
    <t>湘潭九华经济建设投资有限公司（AA）</t>
  </si>
  <si>
    <t>常州市武进湖塘科技产业园投资管理有限公司</t>
  </si>
  <si>
    <t>六盘水市交通投资开发有限责任公司（AA）</t>
  </si>
  <si>
    <t>工商</t>
  </si>
  <si>
    <t>大丰市华丰投资发展有限公司</t>
  </si>
  <si>
    <t>遵义县水务投资有限公司</t>
  </si>
  <si>
    <t>四川盈嘉资产经营管理有限责任公司</t>
  </si>
  <si>
    <t>大丰</t>
  </si>
  <si>
    <t>青州</t>
  </si>
  <si>
    <t>青州市城市建设投资开发有限公司</t>
  </si>
  <si>
    <t>本年终止日</t>
  </si>
  <si>
    <t>预评级发大公国际</t>
  </si>
  <si>
    <t>分配周期（月）</t>
  </si>
  <si>
    <t>剩余期限(天）</t>
    <phoneticPr fontId="32" type="noConversion"/>
  </si>
  <si>
    <t>剩余期限(年）</t>
    <phoneticPr fontId="32" type="noConversion"/>
  </si>
  <si>
    <t>资产本年度总利息</t>
    <phoneticPr fontId="32" type="noConversion"/>
  </si>
  <si>
    <t>融资方行业</t>
  </si>
  <si>
    <t>融资方所在城市</t>
  </si>
  <si>
    <t>融资方所在区域</t>
  </si>
  <si>
    <t>信托合同期限</t>
  </si>
  <si>
    <t>信托合同期限</t>
    <phoneticPr fontId="32" type="noConversion"/>
  </si>
  <si>
    <t>一到二年以内</t>
  </si>
  <si>
    <t>一年以内</t>
  </si>
  <si>
    <t>信托合同剩余期限</t>
  </si>
  <si>
    <t>信托合同剩余期限</t>
    <phoneticPr fontId="32" type="noConversion"/>
  </si>
  <si>
    <t>信托受益权总额</t>
  </si>
  <si>
    <t>信托受益权总额</t>
    <phoneticPr fontId="32" type="noConversion"/>
  </si>
  <si>
    <t>1000万（含）以下</t>
  </si>
  <si>
    <t>项目数量</t>
  </si>
  <si>
    <t>数量占比</t>
  </si>
  <si>
    <t>本息和</t>
    <phoneticPr fontId="32" type="noConversion"/>
  </si>
  <si>
    <t>主体评级</t>
  </si>
  <si>
    <t>青州市宏源公有资产经营有限公司（AA）</t>
  </si>
  <si>
    <t xml:space="preserve"> 四川天盈实业有限责任公司（AA）</t>
  </si>
  <si>
    <t>成都市新益州城市建设发展有限公司（AA-）</t>
  </si>
  <si>
    <t>广西来宾城建投资集团有限公司（AA）</t>
  </si>
  <si>
    <t>部分影子评级发我</t>
  </si>
  <si>
    <t>借款人</t>
  </si>
  <si>
    <t>级别</t>
    <phoneticPr fontId="15" type="noConversion"/>
  </si>
  <si>
    <t>保证人</t>
    <phoneticPr fontId="15" type="noConversion"/>
  </si>
  <si>
    <t>保证人级别</t>
    <phoneticPr fontId="15" type="noConversion"/>
  </si>
  <si>
    <t>综合</t>
  </si>
  <si>
    <t>BBB-</t>
    <phoneticPr fontId="15" type="noConversion"/>
  </si>
  <si>
    <t>-</t>
    <phoneticPr fontId="15" type="noConversion"/>
  </si>
  <si>
    <t>AA</t>
    <phoneticPr fontId="15" type="noConversion"/>
  </si>
  <si>
    <t>AA-</t>
    <phoneticPr fontId="15" type="noConversion"/>
  </si>
  <si>
    <t>镇江市交通投资建设发展公司，镇江新区经济开发总公司</t>
    <phoneticPr fontId="15" type="noConversion"/>
  </si>
  <si>
    <t>A</t>
    <phoneticPr fontId="15" type="noConversion"/>
  </si>
  <si>
    <t>详生集团</t>
  </si>
  <si>
    <t>成都市新益州城市建设发展有限公司</t>
  </si>
  <si>
    <t>A-</t>
    <phoneticPr fontId="15" type="noConversion"/>
  </si>
  <si>
    <t>扬州鼎盛开发建设有限公司，扬州广陵经济开发区开发建设有限公司</t>
    <phoneticPr fontId="15" type="noConversion"/>
  </si>
  <si>
    <t>广西来宾城建投资集团有限公司</t>
  </si>
  <si>
    <t>广西来宾城建投资集团有限公司，广西来宾市工业投资有限责任公司</t>
    <phoneticPr fontId="15" type="noConversion"/>
  </si>
  <si>
    <t>湘潭九华经济建设投资有限公司</t>
    <phoneticPr fontId="15" type="noConversion"/>
  </si>
  <si>
    <t>武进经济发展集团有限公司,常州市武进湖塘科技产业园投资管理有限公司</t>
    <phoneticPr fontId="15" type="noConversion"/>
  </si>
  <si>
    <t>AA+</t>
    <phoneticPr fontId="15" type="noConversion"/>
  </si>
  <si>
    <t>六盘水市交通投资开发有限责任公司</t>
    <phoneticPr fontId="15" type="noConversion"/>
  </si>
  <si>
    <t>六盘水市交通投资开发有限责任公司、六盘水市民生发展有限责任公司</t>
    <phoneticPr fontId="15" type="noConversion"/>
  </si>
  <si>
    <t>大丰市城建国有资产经营有限公司</t>
    <phoneticPr fontId="15" type="noConversion"/>
  </si>
  <si>
    <t>A+</t>
    <phoneticPr fontId="15" type="noConversion"/>
  </si>
  <si>
    <t>遵义县国有资产投资经营有限责任公司，遵义县城市建设投资经营有限公司</t>
    <phoneticPr fontId="15" type="noConversion"/>
  </si>
  <si>
    <t>重庆东银控股集团有限公司</t>
    <phoneticPr fontId="15" type="noConversion"/>
  </si>
  <si>
    <t>江苏江动集团有限公司，新疆新世纪矿业有限公司</t>
    <phoneticPr fontId="15" type="noConversion"/>
  </si>
  <si>
    <t>BBB</t>
    <phoneticPr fontId="15" type="noConversion"/>
  </si>
  <si>
    <t>四川天盈实业有限责任公司</t>
    <phoneticPr fontId="15" type="noConversion"/>
  </si>
  <si>
    <t>青州市宏源公有资产经营有限公司</t>
  </si>
  <si>
    <t>成都市龙泉驿区国有资产投资经营有限公司（AA）</t>
  </si>
  <si>
    <t>成都经济技术开发区建设发展有限公司（AA）</t>
  </si>
  <si>
    <t>浙江省德清县交通投资集团有限公司（AA）</t>
  </si>
  <si>
    <t>镇江市交通投资建设发展公司（AA）、镇江新区经济开发总公司（AA）</t>
  </si>
  <si>
    <t>镇江新区城市建设投资有限公司（AA-)</t>
  </si>
  <si>
    <t>成都新城西城市投资经营中心（AA）</t>
  </si>
  <si>
    <t>成都光华资产管理有限公司（AA）</t>
  </si>
  <si>
    <t>扬州鼎盛开发建设有限公司（AA）、扬州广陵经济开发区开发建设有限公司</t>
  </si>
  <si>
    <t>广西来宾工业投资集团有限公司（AA）</t>
  </si>
  <si>
    <t>武进经济发展集团有限公司（AA＋）</t>
  </si>
  <si>
    <t>六盘水市民生发展有限责任公司</t>
  </si>
  <si>
    <t>大丰市城建国有资产经营有限公司（AA）</t>
  </si>
  <si>
    <t>遵义县国有资产投资经营（集团）有限责任公司、遵义县城市建设投资经营有限公司</t>
  </si>
  <si>
    <t xml:space="preserve">AAA </t>
  </si>
  <si>
    <t>AA+</t>
  </si>
  <si>
    <t>AA</t>
  </si>
  <si>
    <t>AA-</t>
  </si>
  <si>
    <t>比例</t>
  </si>
  <si>
    <t>资产到期日与封包日（月）</t>
    <phoneticPr fontId="32" type="noConversion"/>
  </si>
  <si>
    <t>总期限（月）*本资产存续金额</t>
    <phoneticPr fontId="32" type="noConversion"/>
  </si>
  <si>
    <t>剩余月份*本资产存续金额</t>
    <phoneticPr fontId="32" type="noConversion"/>
  </si>
  <si>
    <t>万信-磐石042号001</t>
  </si>
  <si>
    <t>青州市城市建设投资开发有限公司（AA）</t>
  </si>
  <si>
    <t>预评级结果</t>
  </si>
  <si>
    <t>万信-磐石043号001</t>
  </si>
  <si>
    <t>万信-磐石041号001</t>
  </si>
  <si>
    <t>江苏江动集团有限公司 （上市公司“智慧农业”（000816）控股股东）、新疆新世纪矿业有限责任公司、创源投资发展有限公司</t>
  </si>
  <si>
    <t>重庆东银控股集团有限公司（旗下三家上市公司：迪马股份（SH.600565）、智慧农业（SZ.000816）、东原地产（HK.00668））</t>
  </si>
  <si>
    <t>根据预评级结果调整资产</t>
  </si>
  <si>
    <t>WX-PS-201608004-0001</t>
  </si>
  <si>
    <t>WX-PS-201608005-0001</t>
  </si>
  <si>
    <t>WX-PS-201608006-0001</t>
  </si>
  <si>
    <t>兴义市龙达交通建设投资有限公司</t>
  </si>
  <si>
    <t>兴义</t>
  </si>
  <si>
    <t>陕西</t>
  </si>
  <si>
    <t>西安</t>
  </si>
  <si>
    <t>安宁发展投资集团有限公司（AA）</t>
  </si>
  <si>
    <t>绿源农产品贸易股份公司</t>
  </si>
  <si>
    <t>云南</t>
  </si>
  <si>
    <t>安宁</t>
  </si>
  <si>
    <t>质押</t>
  </si>
  <si>
    <t>西安市灞桥区基础设施建设投资有限公司(AA-)</t>
  </si>
  <si>
    <t>兴义市信恒城市建设投资有限公司（AA）</t>
  </si>
  <si>
    <t>值</t>
  </si>
  <si>
    <t>第二次预评级结果</t>
  </si>
  <si>
    <t>绝对比例</t>
  </si>
  <si>
    <t>绝对值</t>
  </si>
  <si>
    <t>次级</t>
  </si>
  <si>
    <t>实际</t>
  </si>
  <si>
    <t>最长期限</t>
  </si>
  <si>
    <t>最短期限</t>
  </si>
  <si>
    <t>流入本金（元）</t>
  </si>
  <si>
    <t>流入利息（元）</t>
  </si>
  <si>
    <t>合计（元）</t>
  </si>
  <si>
    <t>累计（元）</t>
  </si>
  <si>
    <t>资产封包</t>
  </si>
  <si>
    <t>1000万（不含）至3000万（含）</t>
  </si>
  <si>
    <t>3000万（不含）到5000万（含）</t>
  </si>
  <si>
    <t>支付利息（元）</t>
  </si>
  <si>
    <t>支付本金（元）</t>
  </si>
  <si>
    <t>支付合计（元）</t>
  </si>
  <si>
    <t>累计支付（元）</t>
  </si>
  <si>
    <t>次级A</t>
  </si>
  <si>
    <t>完成现金流测算</t>
  </si>
  <si>
    <t>优先A级</t>
  </si>
  <si>
    <t>优先B级</t>
  </si>
  <si>
    <t>次级B</t>
  </si>
  <si>
    <t>受益级别</t>
  </si>
  <si>
    <t>金额（元）</t>
  </si>
  <si>
    <t>手工计算（5.00％）</t>
  </si>
  <si>
    <t>手工计算（7.00％）</t>
  </si>
  <si>
    <t>律师费</t>
  </si>
  <si>
    <t>评级费</t>
  </si>
  <si>
    <t>其它费用</t>
  </si>
  <si>
    <t>存续本金</t>
  </si>
  <si>
    <t>归还本金</t>
  </si>
  <si>
    <t>资产服务机构（万向信托）</t>
  </si>
  <si>
    <t>收益</t>
  </si>
  <si>
    <t>累计</t>
  </si>
  <si>
    <t>资产池流入（元）</t>
  </si>
  <si>
    <t>支付优先A级</t>
  </si>
  <si>
    <t>支付优先B级</t>
  </si>
  <si>
    <t>支付其他</t>
  </si>
  <si>
    <t>其他</t>
  </si>
  <si>
    <t>当期盈余（元）</t>
  </si>
  <si>
    <t>累计盈余（元）</t>
  </si>
  <si>
    <t>本金＋收益</t>
  </si>
  <si>
    <t>费率</t>
    <phoneticPr fontId="32" type="noConversion"/>
  </si>
  <si>
    <t>N.A.</t>
    <phoneticPr fontId="32" type="noConversion"/>
  </si>
  <si>
    <t>N.A.</t>
    <phoneticPr fontId="32" type="noConversion"/>
  </si>
  <si>
    <t>本金余额×年华利率</t>
  </si>
  <si>
    <t>利率</t>
  </si>
  <si>
    <t>资产池利息汇总（票面收益）</t>
  </si>
  <si>
    <t>资产池利息汇总（调整资产收益）</t>
  </si>
  <si>
    <t>调整后产生的利息（元）</t>
  </si>
  <si>
    <t>盈余</t>
  </si>
  <si>
    <t>差额</t>
  </si>
  <si>
    <t>资产服务费</t>
  </si>
  <si>
    <t>到期日</t>
  </si>
  <si>
    <t>支付利息总额（元）</t>
  </si>
  <si>
    <t>规模（元）</t>
  </si>
  <si>
    <t>优先A收益率</t>
  </si>
  <si>
    <t>优先B收益率</t>
  </si>
  <si>
    <t>次级B年化收益率</t>
  </si>
  <si>
    <t>次级B收益（元）</t>
  </si>
  <si>
    <t>资产服务费（元）</t>
  </si>
  <si>
    <t>资产服务费年化费率</t>
  </si>
  <si>
    <t>次级B规模（元）</t>
  </si>
  <si>
    <t>规模</t>
  </si>
  <si>
    <t>费率</t>
  </si>
  <si>
    <t>收益合计</t>
  </si>
  <si>
    <t>次级A（含通道费、托管费打包价）</t>
  </si>
  <si>
    <t>次级B收益率</t>
  </si>
  <si>
    <t>次级A收益</t>
  </si>
  <si>
    <t>次级规模</t>
  </si>
  <si>
    <t>调整额</t>
  </si>
  <si>
    <t>检验</t>
  </si>
  <si>
    <t>起息日</t>
  </si>
  <si>
    <t>本金摊还，不适用</t>
  </si>
  <si>
    <t>预计收益</t>
  </si>
  <si>
    <t>备份日期</t>
  </si>
  <si>
    <t>期间分配收益率</t>
  </si>
  <si>
    <t>投资者收益中计算</t>
  </si>
  <si>
    <t>方案确认</t>
  </si>
  <si>
    <t>原有的日期</t>
  </si>
  <si>
    <t>金额</t>
  </si>
  <si>
    <t>根据基础资产推迟天数</t>
  </si>
  <si>
    <t>预期成立日</t>
  </si>
  <si>
    <t>预期到期日</t>
  </si>
  <si>
    <t>年化预期收益率</t>
  </si>
  <si>
    <t>方案一</t>
  </si>
  <si>
    <t>方案二</t>
  </si>
  <si>
    <t>其他费用</t>
  </si>
  <si>
    <t>N.A.</t>
  </si>
  <si>
    <t>方案三</t>
  </si>
  <si>
    <t>对优先A级本金覆盖</t>
  </si>
  <si>
    <t>优先C级</t>
  </si>
  <si>
    <t>对优先A及B级本金覆盖</t>
  </si>
  <si>
    <t>对优先ABC级本金覆盖</t>
  </si>
  <si>
    <t>WX-XT-201405025-0013</t>
  </si>
  <si>
    <t>WX-PS-201608003-0001</t>
  </si>
  <si>
    <t>收益率</t>
  </si>
  <si>
    <t>本金</t>
  </si>
  <si>
    <t>私募A级</t>
  </si>
  <si>
    <t>私募B级</t>
  </si>
  <si>
    <t>收益小计</t>
  </si>
  <si>
    <t>预计成立日：</t>
  </si>
  <si>
    <t>预计到期日：</t>
  </si>
  <si>
    <t>方案四</t>
  </si>
  <si>
    <t>方案五</t>
  </si>
  <si>
    <t>方案六</t>
  </si>
  <si>
    <t>方案七</t>
  </si>
  <si>
    <t>方案八</t>
  </si>
  <si>
    <t>方案九</t>
  </si>
  <si>
    <t>私募A</t>
  </si>
  <si>
    <t>私募B</t>
  </si>
  <si>
    <t>收益分配日期</t>
  </si>
  <si>
    <t>过手型</t>
  </si>
  <si>
    <t>2016年12月、2017年6月、2017年12月及到期日</t>
  </si>
  <si>
    <t>2017年3月及到期日</t>
  </si>
  <si>
    <t>支付优先C级</t>
  </si>
  <si>
    <t>支付次级</t>
  </si>
  <si>
    <t>另外的方案测算</t>
  </si>
  <si>
    <t>早偿资产平均收益率</t>
  </si>
  <si>
    <t>利息</t>
  </si>
  <si>
    <t>早偿规模（元）</t>
  </si>
  <si>
    <t>早偿天数（天）</t>
  </si>
  <si>
    <t>资产到期日（备份）</t>
  </si>
  <si>
    <t>提前归还</t>
  </si>
  <si>
    <t>少流入资金</t>
  </si>
  <si>
    <t>少支付金额</t>
  </si>
  <si>
    <t>少支付服务费、通道费等</t>
  </si>
  <si>
    <t>次级投资表</t>
  </si>
  <si>
    <t>IRR</t>
  </si>
  <si>
    <t>资产池综合收益减少值</t>
  </si>
  <si>
    <t>（实际为次级B减少值）</t>
  </si>
  <si>
    <t>底层资产受托人</t>
  </si>
  <si>
    <t>华澳信托</t>
  </si>
  <si>
    <t>加权收益率</t>
  </si>
  <si>
    <t>根据（基础资产现金流）测算</t>
  </si>
  <si>
    <t>是否相等</t>
  </si>
  <si>
    <t>投资者收益与服务费：合计</t>
  </si>
  <si>
    <t>私募基金成立的规模</t>
  </si>
  <si>
    <t>私募2号</t>
  </si>
  <si>
    <t>总收益（元）</t>
  </si>
  <si>
    <t>支付合计</t>
  </si>
  <si>
    <t>支付</t>
  </si>
  <si>
    <t>流入</t>
  </si>
  <si>
    <t>差额天数</t>
  </si>
  <si>
    <t>按汇利1号存续本金规模计算</t>
  </si>
  <si>
    <t>固定费用</t>
  </si>
  <si>
    <t>优先A久期</t>
  </si>
  <si>
    <t>加权平均信托合同期限（月）</t>
  </si>
  <si>
    <t>加权平均信托合同剩余期限（月）</t>
  </si>
  <si>
    <t>单笔信托合同最长剩余期限（月）</t>
  </si>
  <si>
    <t>单笔信托合同最短剩余期限（月）</t>
  </si>
  <si>
    <t>封包日到终止日相差月</t>
  </si>
  <si>
    <t>相差月数</t>
  </si>
  <si>
    <t>久期</t>
  </si>
  <si>
    <t>权重</t>
  </si>
  <si>
    <t>加权</t>
  </si>
  <si>
    <t>私募3号</t>
  </si>
  <si>
    <t>锦石3号</t>
  </si>
  <si>
    <t>B＋D级</t>
  </si>
  <si>
    <t>支付B级</t>
  </si>
  <si>
    <t>支付D级</t>
  </si>
  <si>
    <t>本金规模</t>
  </si>
  <si>
    <t>B级收益</t>
  </si>
  <si>
    <t>C级收益</t>
  </si>
  <si>
    <t>D级收益</t>
  </si>
  <si>
    <t>剩余</t>
  </si>
  <si>
    <t>剩余收益</t>
  </si>
  <si>
    <t>总收益</t>
  </si>
  <si>
    <t>总规模</t>
  </si>
  <si>
    <t>剩余本金</t>
  </si>
  <si>
    <t>支付利息</t>
  </si>
  <si>
    <t>锦石2号投资者收益率</t>
  </si>
  <si>
    <t>锦石2号管理费</t>
  </si>
  <si>
    <t>锦石2号国泰君安</t>
  </si>
  <si>
    <t>支付管理费</t>
  </si>
  <si>
    <t>支付国泰君安</t>
  </si>
  <si>
    <t>收入合计</t>
  </si>
  <si>
    <t>锦石3号投资者收益率</t>
  </si>
  <si>
    <t>锦石3号管理费</t>
  </si>
  <si>
    <t>锦石3号国泰君安</t>
  </si>
  <si>
    <t>锦石5号</t>
  </si>
  <si>
    <t>锦石通道费及国泰君安费用</t>
  </si>
  <si>
    <t>按固有核算之后收益率</t>
  </si>
  <si>
    <t>本资产打包金额（元）</t>
  </si>
  <si>
    <t>核算利差(7.5%)</t>
  </si>
  <si>
    <t>按新收益率核算(7%)</t>
  </si>
  <si>
    <t>核算利差(7%)</t>
  </si>
  <si>
    <t>按新收益率核算(7.5%)</t>
  </si>
  <si>
    <t>优先A期限</t>
  </si>
  <si>
    <t>优先B期限</t>
  </si>
  <si>
    <t xml:space="preserve">优先C期限 </t>
  </si>
  <si>
    <t>误差</t>
  </si>
  <si>
    <t>资产端收益</t>
  </si>
  <si>
    <t>未偿本金规模</t>
  </si>
  <si>
    <t>归还本金规模</t>
  </si>
  <si>
    <t>天数</t>
  </si>
  <si>
    <t>支付锦石</t>
  </si>
  <si>
    <t>优先B级收益</t>
  </si>
  <si>
    <t>优先C级收益</t>
  </si>
  <si>
    <t>次级收益</t>
  </si>
  <si>
    <t xml:space="preserve">盈余 </t>
  </si>
  <si>
    <t>锦石5号收益率</t>
  </si>
  <si>
    <t>锦石6号收益率</t>
  </si>
  <si>
    <t>汇利1号收益分配一览</t>
  </si>
  <si>
    <t>基建公司管理费</t>
  </si>
  <si>
    <t>海通汇利1号保管费</t>
  </si>
  <si>
    <t>海通 SPV 管理费</t>
  </si>
  <si>
    <t>锦石认购汇利1号通道费（财通/东北）</t>
  </si>
  <si>
    <t>小计</t>
  </si>
  <si>
    <t>本金规模（元）</t>
  </si>
  <si>
    <t>国泰君安服务费</t>
  </si>
  <si>
    <t>（1）</t>
  </si>
  <si>
    <t>（2）</t>
  </si>
  <si>
    <t>＝（1）＋（2）</t>
  </si>
  <si>
    <t>总期限（月）*本资产存续金额</t>
  </si>
  <si>
    <t>剩余月份*本资产存续金额</t>
  </si>
  <si>
    <t>资产到期日与封包日（月）</t>
  </si>
  <si>
    <t>资产本年度总利息</t>
  </si>
  <si>
    <t>分配周期</t>
  </si>
  <si>
    <t>NOTE</t>
  </si>
  <si>
    <t>剩余期限(天）</t>
  </si>
  <si>
    <t>剩余期限(年）</t>
  </si>
  <si>
    <t>WX-XT-201502050-0001</t>
  </si>
  <si>
    <t>Sum of 本资产打包金额（元）</t>
  </si>
  <si>
    <t>WX-XT-201502036-0001</t>
  </si>
  <si>
    <t>WX-XT-201502037-0001</t>
  </si>
  <si>
    <t>WX-XT-201502040-0001</t>
  </si>
  <si>
    <t>WX-XT-201502041-0001</t>
  </si>
  <si>
    <t>WX-XT-201502042-0001</t>
  </si>
  <si>
    <t>WX-XT-201502044-0001</t>
  </si>
  <si>
    <t>WX-XT-201502049-0002</t>
  </si>
  <si>
    <t>WX-PS-201608001-0001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</si>
</sst>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 #,##0.00_ ;_ * \-#,##0.00_ ;_ * &quot;-&quot;??_ ;_ @_ "/>
    <numFmt numFmtId="165" formatCode="yyyy\-mm\-dd"/>
    <numFmt numFmtId="166" formatCode="_(* #,##0_);_(* \(#,##0\);_(* &quot;-&quot;??_);_(@_)"/>
    <numFmt numFmtId="167" formatCode="0.0000%"/>
    <numFmt numFmtId="168" formatCode="_(* #,##0.0000_);_(* \(#,##0.0000\);_(* &quot;-&quot;??_);_(@_)"/>
    <numFmt numFmtId="169" formatCode="#,##0.0000_);[Red]\(#,##0.0000\)"/>
    <numFmt numFmtId="170" formatCode="_(* #,##0.0000_);_(* \(#,##0.0000\);_(* &quot;-&quot;????_);_(@_)"/>
    <numFmt numFmtId="171" formatCode="0.00000%"/>
    <numFmt numFmtId="172" formatCode="_(* #,##0.000000_);_(* \(#,##0.000000\);_(* &quot;-&quot;??_);_(@_)"/>
  </numFmts>
  <fonts count="54" x14ac:knownFonts="1">
    <font>
      <sz val="12"/>
      <color theme="1"/>
      <name val="MicrosoftYaHei"/>
      <family val="2"/>
    </font>
    <font>
      <sz val="10"/>
      <color theme="1"/>
      <name val="MicrosoftYaHei"/>
      <family val="2"/>
    </font>
    <font>
      <sz val="10"/>
      <color theme="1"/>
      <name val="MicrosoftYaHei"/>
      <family val="2"/>
    </font>
    <font>
      <sz val="10"/>
      <color theme="1"/>
      <name val="MicrosoftYaHei"/>
      <family val="2"/>
    </font>
    <font>
      <sz val="10"/>
      <color theme="1"/>
      <name val="MicrosoftYaHei"/>
      <family val="2"/>
    </font>
    <font>
      <sz val="10"/>
      <color theme="1"/>
      <name val="MicrosoftYaHei"/>
      <family val="2"/>
    </font>
    <font>
      <sz val="10"/>
      <color theme="1"/>
      <name val="MicrosoftYaHei"/>
      <family val="2"/>
    </font>
    <font>
      <sz val="10"/>
      <color theme="1"/>
      <name val="MicrosoftYaHei"/>
      <family val="2"/>
    </font>
    <font>
      <sz val="10"/>
      <color theme="1"/>
      <name val="MicrosoftYaHei"/>
      <family val="2"/>
    </font>
    <font>
      <sz val="10"/>
      <color theme="1"/>
      <name val="MicrosoftYaHei"/>
      <family val="2"/>
    </font>
    <font>
      <sz val="10"/>
      <color theme="1"/>
      <name val="MicrosoftYaHei"/>
      <family val="2"/>
    </font>
    <font>
      <sz val="10"/>
      <color theme="1"/>
      <name val="MicrosoftYaHei"/>
      <family val="2"/>
    </font>
    <font>
      <sz val="12"/>
      <color theme="1"/>
      <name val="MicrosoftYaHei"/>
      <family val="2"/>
    </font>
    <font>
      <sz val="12"/>
      <color theme="1"/>
      <name val="MicrosoftYaHei"/>
      <family val="2"/>
    </font>
    <font>
      <sz val="11"/>
      <color indexed="8"/>
      <name val="宋体"/>
      <family val="3"/>
      <charset val="134"/>
    </font>
    <font>
      <b/>
      <sz val="9"/>
      <color indexed="81"/>
      <name val="宋体"/>
      <family val="3"/>
      <charset val="134"/>
    </font>
    <font>
      <sz val="9"/>
      <color indexed="81"/>
      <name val="宋体"/>
      <family val="3"/>
      <charset val="134"/>
    </font>
    <font>
      <sz val="10"/>
      <color indexed="81"/>
      <name val="MicrosoftYaHei"/>
    </font>
    <font>
      <b/>
      <sz val="10"/>
      <color indexed="81"/>
      <name val="MicrosoftYaHei"/>
    </font>
    <font>
      <sz val="11"/>
      <color indexed="8"/>
      <name val="Microsoft YaHei"/>
      <family val="1"/>
    </font>
    <font>
      <sz val="11"/>
      <color theme="1"/>
      <name val="Microsoft YaHei"/>
      <family val="2"/>
    </font>
    <font>
      <sz val="11"/>
      <color rgb="FF4C4C4C"/>
      <name val="Microsoft YaHei"/>
      <family val="2"/>
    </font>
    <font>
      <sz val="11"/>
      <name val="Microsoft YaHei"/>
      <family val="2"/>
    </font>
    <font>
      <sz val="11"/>
      <color indexed="63"/>
      <name val="Microsoft YaHei"/>
      <family val="2"/>
    </font>
    <font>
      <u/>
      <sz val="12"/>
      <color theme="10"/>
      <name val="MicrosoftYaHei"/>
      <family val="2"/>
    </font>
    <font>
      <u/>
      <sz val="12"/>
      <color theme="11"/>
      <name val="MicrosoftYaHei"/>
      <family val="2"/>
    </font>
    <font>
      <b/>
      <sz val="9"/>
      <color indexed="81"/>
      <name val="Tahoma"/>
      <family val="2"/>
    </font>
    <font>
      <sz val="9"/>
      <color indexed="81"/>
      <name val="Tahoma"/>
      <family val="2"/>
    </font>
    <font>
      <b/>
      <sz val="11"/>
      <color theme="1"/>
      <name val="Microsoft YaHei"/>
      <family val="2"/>
    </font>
    <font>
      <sz val="11"/>
      <color theme="1"/>
      <name val="MicrosoftYaHei"/>
      <family val="2"/>
    </font>
    <font>
      <b/>
      <sz val="11"/>
      <color rgb="FF4C4C4C"/>
      <name val="Microsoft YaHei"/>
      <family val="2"/>
    </font>
    <font>
      <b/>
      <sz val="11"/>
      <color indexed="8"/>
      <name val="Microsoft YaHei"/>
      <family val="2"/>
    </font>
    <font>
      <sz val="9"/>
      <name val="宋体"/>
      <family val="3"/>
      <charset val="134"/>
    </font>
    <font>
      <sz val="11"/>
      <color theme="1"/>
      <name val="宋体"/>
      <family val="3"/>
      <charset val="134"/>
    </font>
    <font>
      <sz val="9"/>
      <color theme="1"/>
      <name val="MicrosoftYaHei"/>
      <family val="2"/>
    </font>
    <font>
      <sz val="9"/>
      <color theme="0"/>
      <name val="MicrosoftYaHei"/>
      <family val="2"/>
    </font>
    <font>
      <sz val="10"/>
      <color theme="1"/>
      <name val="宋体"/>
      <family val="3"/>
      <charset val="134"/>
    </font>
    <font>
      <b/>
      <sz val="9"/>
      <color theme="1"/>
      <name val="MicrosoftYaHei"/>
      <family val="2"/>
    </font>
    <font>
      <sz val="9"/>
      <color theme="1"/>
      <name val="Microsoft YaHei"/>
      <charset val="134"/>
    </font>
    <font>
      <u val="singleAccounting"/>
      <sz val="12"/>
      <color theme="1"/>
      <name val="MicrosoftYaHei"/>
      <family val="2"/>
    </font>
    <font>
      <u val="doubleAccounting"/>
      <sz val="12"/>
      <color theme="1"/>
      <name val="MicrosoftYaHei"/>
      <family val="2"/>
    </font>
    <font>
      <sz val="12"/>
      <color theme="0"/>
      <name val="MicrosoftYaHei"/>
      <family val="2"/>
    </font>
    <font>
      <sz val="8"/>
      <name val="MicrosoftYaHei"/>
      <family val="2"/>
    </font>
    <font>
      <b/>
      <u val="doubleAccounting"/>
      <sz val="12"/>
      <color theme="1"/>
      <name val="MicrosoftYaHei"/>
    </font>
    <font>
      <sz val="14"/>
      <color theme="0"/>
      <name val="MicrosoftYaHei"/>
      <family val="2"/>
    </font>
    <font>
      <sz val="9"/>
      <name val="MicrosoftYaHei"/>
      <family val="2"/>
    </font>
    <font>
      <sz val="10"/>
      <name val="MicrosoftYaHei"/>
      <family val="2"/>
    </font>
    <font>
      <u val="doubleAccounting"/>
      <sz val="10"/>
      <color theme="1"/>
      <name val="MicrosoftYaHei"/>
      <family val="2"/>
    </font>
    <font>
      <b/>
      <sz val="9"/>
      <color theme="0"/>
      <name val="MicrosoftYaHei"/>
      <family val="2"/>
    </font>
    <font>
      <b/>
      <sz val="9"/>
      <color theme="1"/>
      <name val="宋体"/>
      <family val="3"/>
      <charset val="134"/>
    </font>
    <font>
      <u val="singleAccounting"/>
      <sz val="10"/>
      <color theme="1"/>
      <name val="MicrosoftYaHei"/>
      <family val="2"/>
    </font>
    <font>
      <u val="double"/>
      <sz val="12"/>
      <color theme="1"/>
      <name val="MicrosoftYaHei"/>
      <family val="2"/>
    </font>
    <font>
      <sz val="11"/>
      <color rgb="FF333333"/>
      <name val="Microsoft YaHei"/>
      <charset val="134"/>
    </font>
    <font>
      <sz val="11"/>
      <color rgb="FF000000"/>
      <name val="Microsoft YaHei"/>
      <charset val="134"/>
    </font>
  </fonts>
  <fills count="1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6" tint="0.79998168889431442"/>
        <bgColor theme="6" tint="0.79998168889431442"/>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249977111117893"/>
        <bgColor theme="9" tint="-0.249977111117893"/>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FF9300"/>
        <bgColor indexed="64"/>
      </patternFill>
    </fill>
    <fill>
      <patternFill patternType="solid">
        <fgColor rgb="FFFFC000"/>
        <bgColor indexed="64"/>
      </patternFill>
    </fill>
    <fill>
      <patternFill patternType="solid">
        <fgColor rgb="FFFFC000"/>
        <bgColor theme="9" tint="-0.249977111117893"/>
      </patternFill>
    </fill>
  </fills>
  <borders count="57">
    <border>
      <left/>
      <right/>
      <top/>
      <bottom/>
      <diagonal/>
    </border>
    <border>
      <left style="dotted">
        <color auto="1"/>
      </left>
      <right style="dotted">
        <color auto="1"/>
      </right>
      <top style="dotted">
        <color auto="1"/>
      </top>
      <bottom style="dotted">
        <color auto="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dotted">
        <color auto="1"/>
      </left>
      <right style="dotted">
        <color auto="1"/>
      </right>
      <top style="dotted">
        <color auto="1"/>
      </top>
      <bottom style="thin">
        <color theme="4" tint="0.39997558519241921"/>
      </bottom>
      <diagonal/>
    </border>
    <border>
      <left style="dotted">
        <color auto="1"/>
      </left>
      <right style="dotted">
        <color auto="1"/>
      </right>
      <top style="dotted">
        <color auto="1"/>
      </top>
      <bottom/>
      <diagonal/>
    </border>
    <border>
      <left style="dotted">
        <color auto="1"/>
      </left>
      <right style="dotted">
        <color auto="1"/>
      </right>
      <top/>
      <bottom style="dotted">
        <color auto="1"/>
      </bottom>
      <diagonal/>
    </border>
    <border>
      <left style="medium">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medium">
        <color auto="1"/>
      </top>
      <bottom style="medium">
        <color auto="1"/>
      </bottom>
      <diagonal/>
    </border>
    <border>
      <left style="dotted">
        <color auto="1"/>
      </left>
      <right style="dotted">
        <color auto="1"/>
      </right>
      <top style="medium">
        <color auto="1"/>
      </top>
      <bottom style="medium">
        <color auto="1"/>
      </bottom>
      <diagonal/>
    </border>
    <border>
      <left style="dotted">
        <color auto="1"/>
      </left>
      <right style="medium">
        <color auto="1"/>
      </right>
      <top style="medium">
        <color auto="1"/>
      </top>
      <bottom style="medium">
        <color auto="1"/>
      </bottom>
      <diagonal/>
    </border>
    <border>
      <left style="dotted">
        <color auto="1"/>
      </left>
      <right style="medium">
        <color auto="1"/>
      </right>
      <top style="dotted">
        <color auto="1"/>
      </top>
      <bottom/>
      <diagonal/>
    </border>
    <border>
      <left style="medium">
        <color auto="1"/>
      </left>
      <right style="dotted">
        <color auto="1"/>
      </right>
      <top/>
      <bottom style="dotted">
        <color auto="1"/>
      </bottom>
      <diagonal/>
    </border>
    <border>
      <left style="dotted">
        <color auto="1"/>
      </left>
      <right style="medium">
        <color auto="1"/>
      </right>
      <top/>
      <bottom style="dotted">
        <color auto="1"/>
      </bottom>
      <diagonal/>
    </border>
    <border>
      <left style="dotted">
        <color auto="1"/>
      </left>
      <right style="dotted">
        <color auto="1"/>
      </right>
      <top/>
      <bottom/>
      <diagonal/>
    </border>
    <border>
      <left style="dotted">
        <color auto="1"/>
      </left>
      <right/>
      <top style="dotted">
        <color auto="1"/>
      </top>
      <bottom style="dotted">
        <color auto="1"/>
      </bottom>
      <diagonal/>
    </border>
    <border>
      <left style="medium">
        <color auto="1"/>
      </left>
      <right style="medium">
        <color auto="1"/>
      </right>
      <top style="medium">
        <color auto="1"/>
      </top>
      <bottom style="medium">
        <color auto="1"/>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medium">
        <color auto="1"/>
      </right>
      <top style="medium">
        <color auto="1"/>
      </top>
      <bottom style="dotted">
        <color auto="1"/>
      </bottom>
      <diagonal/>
    </border>
    <border>
      <left style="medium">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medium">
        <color auto="1"/>
      </left>
      <right style="dotted">
        <color auto="1"/>
      </right>
      <top style="dotted">
        <color auto="1"/>
      </top>
      <bottom/>
      <diagonal/>
    </border>
    <border>
      <left style="thin">
        <color auto="1"/>
      </left>
      <right style="thin">
        <color auto="1"/>
      </right>
      <top style="thin">
        <color auto="1"/>
      </top>
      <bottom style="thin">
        <color auto="1"/>
      </bottom>
      <diagonal/>
    </border>
    <border>
      <left style="medium">
        <color auto="1"/>
      </left>
      <right style="dotted">
        <color auto="1"/>
      </right>
      <top style="medium">
        <color auto="1"/>
      </top>
      <bottom/>
      <diagonal/>
    </border>
    <border>
      <left style="dotted">
        <color auto="1"/>
      </left>
      <right style="dotted">
        <color auto="1"/>
      </right>
      <top style="medium">
        <color auto="1"/>
      </top>
      <bottom/>
      <diagonal/>
    </border>
    <border>
      <left style="dotted">
        <color auto="1"/>
      </left>
      <right style="medium">
        <color auto="1"/>
      </right>
      <top style="medium">
        <color auto="1"/>
      </top>
      <bottom/>
      <diagonal/>
    </border>
    <border>
      <left/>
      <right style="dotted">
        <color auto="1"/>
      </right>
      <top style="medium">
        <color auto="1"/>
      </top>
      <bottom style="dotted">
        <color auto="1"/>
      </bottom>
      <diagonal/>
    </border>
    <border>
      <left style="dotted">
        <color auto="1"/>
      </left>
      <right style="medium">
        <color auto="1"/>
      </right>
      <top/>
      <bottom style="medium">
        <color auto="1"/>
      </bottom>
      <diagonal/>
    </border>
    <border>
      <left style="dotted">
        <color auto="1"/>
      </left>
      <right/>
      <top style="medium">
        <color auto="1"/>
      </top>
      <bottom style="dotted">
        <color auto="1"/>
      </bottom>
      <diagonal/>
    </border>
    <border>
      <left/>
      <right style="medium">
        <color auto="1"/>
      </right>
      <top style="medium">
        <color auto="1"/>
      </top>
      <bottom/>
      <diagonal/>
    </border>
    <border>
      <left style="dotted">
        <color auto="1"/>
      </left>
      <right style="dotted">
        <color auto="1"/>
      </right>
      <top/>
      <bottom style="medium">
        <color auto="1"/>
      </bottom>
      <diagonal/>
    </border>
    <border>
      <left style="medium">
        <color auto="1"/>
      </left>
      <right style="dotted">
        <color auto="1"/>
      </right>
      <top/>
      <bottom style="medium">
        <color auto="1"/>
      </bottom>
      <diagonal/>
    </border>
    <border>
      <left style="medium">
        <color auto="1"/>
      </left>
      <right style="dotted">
        <color auto="1"/>
      </right>
      <top/>
      <bottom/>
      <diagonal/>
    </border>
    <border>
      <left style="dotted">
        <color auto="1"/>
      </left>
      <right style="medium">
        <color auto="1"/>
      </right>
      <top/>
      <bottom/>
      <diagonal/>
    </border>
    <border>
      <left/>
      <right style="medium">
        <color auto="1"/>
      </right>
      <top/>
      <bottom/>
      <diagonal/>
    </border>
    <border>
      <left/>
      <right style="dotted">
        <color auto="1"/>
      </right>
      <top style="dotted">
        <color auto="1"/>
      </top>
      <bottom/>
      <diagonal/>
    </border>
    <border>
      <left style="dotted">
        <color auto="1"/>
      </left>
      <right/>
      <top style="dotted">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dotted">
        <color auto="1"/>
      </right>
      <top/>
      <bottom style="dotted">
        <color auto="1"/>
      </bottom>
      <diagonal/>
    </border>
    <border>
      <left/>
      <right style="dotted">
        <color auto="1"/>
      </right>
      <top style="dotted">
        <color auto="1"/>
      </top>
      <bottom style="dotted">
        <color auto="1"/>
      </bottom>
      <diagonal/>
    </border>
    <border>
      <left/>
      <right style="dotted">
        <color auto="1"/>
      </right>
      <top style="dotted">
        <color auto="1"/>
      </top>
      <bottom style="medium">
        <color auto="1"/>
      </bottom>
      <diagonal/>
    </border>
    <border>
      <left style="dotted">
        <color auto="1"/>
      </left>
      <right/>
      <top/>
      <bottom style="dotted">
        <color auto="1"/>
      </bottom>
      <diagonal/>
    </border>
    <border>
      <left style="dotted">
        <color auto="1"/>
      </left>
      <right/>
      <top style="dotted">
        <color auto="1"/>
      </top>
      <bottom style="medium">
        <color auto="1"/>
      </bottom>
      <diagonal/>
    </border>
    <border>
      <left style="medium">
        <color auto="1"/>
      </left>
      <right/>
      <top/>
      <bottom style="dotted">
        <color auto="1"/>
      </bottom>
      <diagonal/>
    </border>
    <border>
      <left style="medium">
        <color auto="1"/>
      </left>
      <right/>
      <top style="dotted">
        <color auto="1"/>
      </top>
      <bottom style="dotted">
        <color auto="1"/>
      </bottom>
      <diagonal/>
    </border>
    <border>
      <left style="medium">
        <color auto="1"/>
      </left>
      <right/>
      <top style="dotted">
        <color auto="1"/>
      </top>
      <bottom style="medium">
        <color auto="1"/>
      </bottom>
      <diagonal/>
    </border>
    <border>
      <left style="medium">
        <color auto="1"/>
      </left>
      <right style="medium">
        <color auto="1"/>
      </right>
      <top/>
      <bottom style="dotted">
        <color auto="1"/>
      </bottom>
      <diagonal/>
    </border>
    <border>
      <left style="medium">
        <color auto="1"/>
      </left>
      <right/>
      <top style="medium">
        <color auto="1"/>
      </top>
      <bottom style="dotted">
        <color auto="1"/>
      </bottom>
      <diagonal/>
    </border>
    <border>
      <left/>
      <right/>
      <top/>
      <bottom style="thin">
        <color auto="1"/>
      </bottom>
      <diagonal/>
    </border>
    <border>
      <left/>
      <right/>
      <top/>
      <bottom style="thin">
        <color theme="9" tint="0.79998168889431442"/>
      </bottom>
      <diagonal/>
    </border>
    <border>
      <left/>
      <right/>
      <top style="thin">
        <color theme="9" tint="0.79998168889431442"/>
      </top>
      <bottom style="thin">
        <color theme="9" tint="0.79998168889431442"/>
      </bottom>
      <diagonal/>
    </border>
  </borders>
  <cellStyleXfs count="190">
    <xf numFmtId="0" fontId="0" fillId="0" borderId="0"/>
    <xf numFmtId="0" fontId="14" fillId="0" borderId="0">
      <alignment vertical="center"/>
    </xf>
    <xf numFmtId="164" fontId="14" fillId="0" borderId="0" applyFont="0" applyFill="0" applyBorder="0" applyAlignment="0" applyProtection="0">
      <alignment vertical="center"/>
    </xf>
    <xf numFmtId="0" fontId="14" fillId="0" borderId="0">
      <alignment vertical="center"/>
    </xf>
    <xf numFmtId="43" fontId="13" fillId="0" borderId="0" applyFont="0" applyFill="0" applyBorder="0" applyAlignment="0" applyProtection="0"/>
    <xf numFmtId="9" fontId="12" fillId="0" borderId="0" applyFon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514">
    <xf numFmtId="0" fontId="0" fillId="0" borderId="0" xfId="0"/>
    <xf numFmtId="0" fontId="0" fillId="3" borderId="0" xfId="0" applyFill="1" applyAlignment="1">
      <alignment horizontal="center" vertical="center"/>
    </xf>
    <xf numFmtId="165" fontId="0" fillId="0" borderId="0" xfId="0" applyNumberFormat="1" applyAlignment="1">
      <alignment horizontal="left" vertical="center"/>
    </xf>
    <xf numFmtId="0" fontId="19" fillId="0" borderId="1" xfId="1" applyFont="1" applyFill="1" applyBorder="1" applyAlignment="1">
      <alignment horizontal="left" vertical="center"/>
    </xf>
    <xf numFmtId="165" fontId="19" fillId="0" borderId="1" xfId="1" applyNumberFormat="1" applyFont="1" applyFill="1" applyBorder="1" applyAlignment="1">
      <alignment horizontal="left" vertical="center"/>
    </xf>
    <xf numFmtId="0" fontId="19" fillId="0" borderId="1" xfId="1" applyFont="1" applyFill="1" applyBorder="1" applyAlignment="1">
      <alignment vertical="center"/>
    </xf>
    <xf numFmtId="0" fontId="20" fillId="0" borderId="0" xfId="0" applyFont="1"/>
    <xf numFmtId="0" fontId="20" fillId="4" borderId="0" xfId="0" applyFont="1" applyFill="1" applyAlignment="1">
      <alignment horizontal="center" vertical="center"/>
    </xf>
    <xf numFmtId="165" fontId="20" fillId="4" borderId="0" xfId="0" applyNumberFormat="1" applyFont="1" applyFill="1" applyAlignment="1">
      <alignment horizontal="center" vertical="center"/>
    </xf>
    <xf numFmtId="0" fontId="20" fillId="0" borderId="0" xfId="0" applyFont="1" applyAlignment="1">
      <alignment horizontal="center" vertical="center"/>
    </xf>
    <xf numFmtId="165" fontId="20" fillId="0" borderId="0" xfId="0" applyNumberFormat="1" applyFont="1" applyAlignment="1">
      <alignment horizontal="left" vertical="center"/>
    </xf>
    <xf numFmtId="43" fontId="20" fillId="0" borderId="0" xfId="4" applyFont="1"/>
    <xf numFmtId="167" fontId="20" fillId="0" borderId="0" xfId="5" applyNumberFormat="1" applyFont="1"/>
    <xf numFmtId="166" fontId="20" fillId="0" borderId="0" xfId="4" applyNumberFormat="1" applyFont="1"/>
    <xf numFmtId="165" fontId="20" fillId="5" borderId="0" xfId="0" applyNumberFormat="1" applyFont="1" applyFill="1" applyAlignment="1">
      <alignment horizontal="left" vertical="center"/>
    </xf>
    <xf numFmtId="0" fontId="20" fillId="2" borderId="0" xfId="0" applyFont="1" applyFill="1"/>
    <xf numFmtId="165" fontId="20" fillId="2" borderId="0" xfId="0" applyNumberFormat="1" applyFont="1" applyFill="1" applyAlignment="1">
      <alignment horizontal="left" vertical="center"/>
    </xf>
    <xf numFmtId="165" fontId="19" fillId="0" borderId="1" xfId="1" applyNumberFormat="1" applyFont="1" applyBorder="1" applyAlignment="1">
      <alignment horizontal="left" vertical="center"/>
    </xf>
    <xf numFmtId="165" fontId="19" fillId="6" borderId="1" xfId="1" applyNumberFormat="1" applyFont="1" applyFill="1" applyBorder="1" applyAlignment="1">
      <alignment horizontal="left" vertical="center"/>
    </xf>
    <xf numFmtId="0" fontId="19" fillId="0" borderId="1" xfId="1" applyNumberFormat="1" applyFont="1" applyFill="1" applyBorder="1" applyAlignment="1">
      <alignment horizontal="left" vertical="center"/>
    </xf>
    <xf numFmtId="165" fontId="20" fillId="0" borderId="0" xfId="0" applyNumberFormat="1" applyFont="1" applyFill="1" applyAlignment="1">
      <alignment horizontal="left" vertical="center"/>
    </xf>
    <xf numFmtId="0" fontId="19" fillId="0" borderId="1" xfId="1" applyNumberFormat="1" applyFont="1" applyBorder="1" applyAlignment="1">
      <alignment vertical="center"/>
    </xf>
    <xf numFmtId="0" fontId="19" fillId="6" borderId="1" xfId="1" applyNumberFormat="1" applyFont="1" applyFill="1" applyBorder="1" applyAlignment="1">
      <alignment vertical="center"/>
    </xf>
    <xf numFmtId="0" fontId="19" fillId="0" borderId="1" xfId="1" applyNumberFormat="1" applyFont="1" applyFill="1" applyBorder="1" applyAlignment="1">
      <alignment vertical="center"/>
    </xf>
    <xf numFmtId="0" fontId="28" fillId="0" borderId="1" xfId="1" applyFont="1" applyFill="1" applyBorder="1" applyAlignment="1">
      <alignment horizontal="center" vertical="center"/>
    </xf>
    <xf numFmtId="0" fontId="29" fillId="0" borderId="0" xfId="0" applyFont="1" applyFill="1"/>
    <xf numFmtId="0" fontId="19" fillId="0" borderId="1" xfId="1" applyNumberFormat="1" applyFont="1" applyFill="1" applyBorder="1" applyAlignment="1">
      <alignment horizontal="center" vertical="center"/>
    </xf>
    <xf numFmtId="0" fontId="19" fillId="0" borderId="1" xfId="1" applyNumberFormat="1" applyFont="1" applyFill="1" applyBorder="1" applyAlignment="1">
      <alignment horizontal="right" vertical="center"/>
    </xf>
    <xf numFmtId="167" fontId="19" fillId="0" borderId="1" xfId="1" applyNumberFormat="1" applyFont="1" applyFill="1" applyBorder="1" applyAlignment="1">
      <alignment horizontal="right" vertical="center"/>
    </xf>
    <xf numFmtId="166" fontId="19" fillId="0" borderId="1" xfId="4" applyNumberFormat="1" applyFont="1" applyFill="1" applyBorder="1" applyAlignment="1">
      <alignment horizontal="right" vertical="center"/>
    </xf>
    <xf numFmtId="0" fontId="23" fillId="0" borderId="1" xfId="0" applyFont="1" applyFill="1" applyBorder="1" applyAlignment="1">
      <alignment vertical="center"/>
    </xf>
    <xf numFmtId="0" fontId="20" fillId="0" borderId="1" xfId="0" applyFont="1" applyFill="1" applyBorder="1"/>
    <xf numFmtId="43" fontId="20" fillId="0" borderId="1" xfId="0" applyNumberFormat="1" applyFont="1" applyFill="1" applyBorder="1"/>
    <xf numFmtId="43" fontId="20" fillId="0" borderId="1" xfId="4" applyNumberFormat="1" applyFont="1" applyFill="1" applyBorder="1"/>
    <xf numFmtId="0" fontId="21" fillId="0" borderId="1" xfId="0" applyFont="1" applyFill="1" applyBorder="1" applyAlignment="1">
      <alignment vertical="center"/>
    </xf>
    <xf numFmtId="0" fontId="29" fillId="0" borderId="2" xfId="0" applyFont="1" applyFill="1" applyBorder="1"/>
    <xf numFmtId="166" fontId="20" fillId="0" borderId="1" xfId="4" applyNumberFormat="1" applyFont="1" applyFill="1" applyBorder="1" applyAlignment="1">
      <alignment horizontal="right" vertical="center"/>
    </xf>
    <xf numFmtId="0" fontId="21" fillId="0" borderId="1" xfId="0" applyFont="1" applyFill="1" applyBorder="1" applyAlignment="1">
      <alignment horizontal="left" vertical="center"/>
    </xf>
    <xf numFmtId="0" fontId="20" fillId="0" borderId="3" xfId="0" applyFont="1" applyFill="1" applyBorder="1"/>
    <xf numFmtId="165" fontId="19" fillId="0" borderId="3" xfId="1" applyNumberFormat="1" applyFont="1" applyFill="1" applyBorder="1" applyAlignment="1">
      <alignment horizontal="left" vertical="center"/>
    </xf>
    <xf numFmtId="0" fontId="31" fillId="0" borderId="1" xfId="0" applyNumberFormat="1" applyFont="1" applyFill="1" applyBorder="1" applyAlignment="1">
      <alignment vertical="center"/>
    </xf>
    <xf numFmtId="0" fontId="31" fillId="0" borderId="1" xfId="0" applyNumberFormat="1" applyFont="1" applyFill="1" applyBorder="1" applyAlignment="1">
      <alignment horizontal="center" vertical="center"/>
    </xf>
    <xf numFmtId="0" fontId="28" fillId="0" borderId="1" xfId="0" applyFont="1" applyFill="1" applyBorder="1" applyAlignment="1">
      <alignment horizontal="right" vertical="center"/>
    </xf>
    <xf numFmtId="165" fontId="31" fillId="0" borderId="1" xfId="0" applyNumberFormat="1" applyFont="1" applyFill="1" applyBorder="1" applyAlignment="1">
      <alignment horizontal="left" vertical="center"/>
    </xf>
    <xf numFmtId="43" fontId="28" fillId="0" borderId="1" xfId="0" applyNumberFormat="1" applyFont="1" applyFill="1" applyBorder="1"/>
    <xf numFmtId="0" fontId="28" fillId="0" borderId="1" xfId="0" applyFont="1" applyFill="1" applyBorder="1"/>
    <xf numFmtId="0" fontId="28" fillId="0" borderId="1" xfId="0" applyFont="1" applyFill="1" applyBorder="1" applyAlignment="1"/>
    <xf numFmtId="14" fontId="29" fillId="0" borderId="0" xfId="0" applyNumberFormat="1" applyFont="1" applyFill="1"/>
    <xf numFmtId="0" fontId="29" fillId="0" borderId="0" xfId="0" applyFont="1" applyFill="1" applyBorder="1"/>
    <xf numFmtId="0" fontId="20" fillId="0" borderId="4" xfId="0" applyFont="1" applyFill="1" applyBorder="1"/>
    <xf numFmtId="43" fontId="31" fillId="0" borderId="1" xfId="0" applyNumberFormat="1" applyFont="1" applyFill="1" applyBorder="1" applyAlignment="1">
      <alignment horizontal="center" vertical="center"/>
    </xf>
    <xf numFmtId="43" fontId="19" fillId="0" borderId="1" xfId="1" applyNumberFormat="1" applyFont="1" applyFill="1" applyBorder="1" applyAlignment="1">
      <alignment horizontal="right" vertical="center"/>
    </xf>
    <xf numFmtId="43" fontId="19" fillId="0" borderId="1" xfId="4" applyFont="1" applyFill="1" applyBorder="1" applyAlignment="1">
      <alignment horizontal="center" vertical="center"/>
    </xf>
    <xf numFmtId="0" fontId="33" fillId="0" borderId="0" xfId="0" applyFont="1"/>
    <xf numFmtId="168" fontId="33" fillId="0" borderId="0" xfId="4" applyNumberFormat="1" applyFont="1" applyAlignment="1"/>
    <xf numFmtId="0" fontId="33" fillId="0" borderId="0" xfId="0" applyFont="1" applyAlignment="1">
      <alignment horizontal="center" vertical="center"/>
    </xf>
    <xf numFmtId="0" fontId="28" fillId="7" borderId="1" xfId="1" applyFont="1" applyFill="1" applyBorder="1" applyAlignment="1">
      <alignment horizontal="center" vertical="center"/>
    </xf>
    <xf numFmtId="43" fontId="0" fillId="0" borderId="0" xfId="0" applyNumberFormat="1"/>
    <xf numFmtId="10" fontId="0" fillId="0" borderId="0" xfId="5" applyNumberFormat="1" applyFont="1"/>
    <xf numFmtId="43" fontId="0" fillId="0" borderId="0" xfId="0" applyNumberFormat="1" applyAlignment="1">
      <alignment horizontal="center"/>
    </xf>
    <xf numFmtId="43" fontId="0" fillId="0" borderId="0" xfId="4" applyFont="1"/>
    <xf numFmtId="10" fontId="0" fillId="0" borderId="0" xfId="0" applyNumberFormat="1"/>
    <xf numFmtId="164" fontId="22" fillId="8" borderId="1" xfId="2" applyNumberFormat="1" applyFont="1" applyFill="1" applyBorder="1" applyAlignment="1">
      <alignment horizontal="center"/>
    </xf>
    <xf numFmtId="164" fontId="19" fillId="8" borderId="1" xfId="2" applyNumberFormat="1" applyFont="1" applyFill="1" applyBorder="1" applyAlignment="1">
      <alignment horizontal="center" vertical="center"/>
    </xf>
    <xf numFmtId="167" fontId="29" fillId="0" borderId="0" xfId="5" applyNumberFormat="1" applyFont="1" applyFill="1"/>
    <xf numFmtId="0" fontId="0" fillId="0" borderId="0" xfId="0" applyAlignment="1">
      <alignment horizontal="center" vertical="center"/>
    </xf>
    <xf numFmtId="43" fontId="20" fillId="2" borderId="0" xfId="4" applyFont="1" applyFill="1"/>
    <xf numFmtId="0" fontId="34" fillId="0" borderId="0" xfId="0" applyFont="1"/>
    <xf numFmtId="43" fontId="34" fillId="0" borderId="1" xfId="0" applyNumberFormat="1" applyFont="1" applyBorder="1"/>
    <xf numFmtId="10" fontId="34" fillId="0" borderId="7" xfId="0" applyNumberFormat="1" applyFont="1" applyBorder="1"/>
    <xf numFmtId="0" fontId="34" fillId="0" borderId="0" xfId="0" applyFont="1" applyBorder="1" applyAlignment="1">
      <alignment horizontal="center"/>
    </xf>
    <xf numFmtId="43" fontId="34" fillId="0" borderId="0" xfId="0" applyNumberFormat="1" applyFont="1" applyBorder="1"/>
    <xf numFmtId="10" fontId="34" fillId="0" borderId="0" xfId="0" applyNumberFormat="1" applyFont="1" applyBorder="1"/>
    <xf numFmtId="0" fontId="34" fillId="0" borderId="0" xfId="0" applyNumberFormat="1" applyFont="1" applyBorder="1"/>
    <xf numFmtId="0" fontId="34" fillId="0" borderId="0" xfId="0" applyFont="1" applyAlignment="1">
      <alignment horizontal="center"/>
    </xf>
    <xf numFmtId="0" fontId="35" fillId="9" borderId="4" xfId="0" applyFont="1" applyFill="1" applyBorder="1" applyAlignment="1">
      <alignment horizontal="center"/>
    </xf>
    <xf numFmtId="0" fontId="34" fillId="0" borderId="0" xfId="0" applyFont="1" applyFill="1" applyBorder="1" applyAlignment="1">
      <alignment horizontal="center"/>
    </xf>
    <xf numFmtId="10" fontId="34" fillId="0" borderId="0" xfId="5" applyNumberFormat="1" applyFont="1"/>
    <xf numFmtId="14" fontId="34" fillId="0" borderId="0" xfId="0" applyNumberFormat="1" applyFont="1"/>
    <xf numFmtId="43" fontId="34" fillId="0" borderId="7" xfId="4" applyFont="1" applyBorder="1"/>
    <xf numFmtId="43" fontId="34" fillId="0" borderId="0" xfId="4" applyFont="1"/>
    <xf numFmtId="165" fontId="34" fillId="0" borderId="0" xfId="0" applyNumberFormat="1" applyFont="1"/>
    <xf numFmtId="43" fontId="34" fillId="0" borderId="0" xfId="0" applyNumberFormat="1" applyFont="1"/>
    <xf numFmtId="167" fontId="34" fillId="0" borderId="0" xfId="5" applyNumberFormat="1" applyFont="1"/>
    <xf numFmtId="43" fontId="34" fillId="0" borderId="5" xfId="4" applyFont="1" applyBorder="1"/>
    <xf numFmtId="43" fontId="34" fillId="0" borderId="1" xfId="4" applyFont="1" applyBorder="1"/>
    <xf numFmtId="10" fontId="34" fillId="0" borderId="10" xfId="0" applyNumberFormat="1" applyFont="1" applyBorder="1"/>
    <xf numFmtId="10" fontId="29" fillId="0" borderId="0" xfId="0" applyNumberFormat="1" applyFont="1" applyFill="1"/>
    <xf numFmtId="0" fontId="34" fillId="0" borderId="1" xfId="0" applyFont="1" applyBorder="1"/>
    <xf numFmtId="0" fontId="34" fillId="0" borderId="1" xfId="0" pivotButton="1" applyFont="1" applyBorder="1"/>
    <xf numFmtId="43" fontId="34" fillId="0" borderId="7" xfId="0" applyNumberFormat="1" applyFont="1" applyBorder="1"/>
    <xf numFmtId="0" fontId="11" fillId="0" borderId="0" xfId="0" applyFont="1" applyFill="1" applyBorder="1" applyAlignment="1">
      <alignment horizontal="center" vertical="center"/>
    </xf>
    <xf numFmtId="165" fontId="11" fillId="0" borderId="12" xfId="0" applyNumberFormat="1" applyFont="1" applyBorder="1" applyAlignment="1">
      <alignment horizontal="left"/>
    </xf>
    <xf numFmtId="0" fontId="11" fillId="0" borderId="0" xfId="0" applyFont="1"/>
    <xf numFmtId="165" fontId="11" fillId="0" borderId="6" xfId="0" applyNumberFormat="1" applyFont="1" applyBorder="1" applyAlignment="1">
      <alignment horizontal="left"/>
    </xf>
    <xf numFmtId="43" fontId="11" fillId="0" borderId="0" xfId="4" applyFont="1"/>
    <xf numFmtId="43" fontId="11" fillId="0" borderId="0" xfId="0" applyNumberFormat="1" applyFont="1"/>
    <xf numFmtId="165" fontId="11" fillId="0" borderId="0" xfId="0" applyNumberFormat="1" applyFont="1"/>
    <xf numFmtId="0" fontId="11" fillId="0" borderId="9" xfId="0" applyFont="1" applyBorder="1" applyAlignment="1">
      <alignment horizontal="center" vertical="center"/>
    </xf>
    <xf numFmtId="0" fontId="11" fillId="0" borderId="10" xfId="0" applyFont="1" applyBorder="1" applyAlignment="1">
      <alignment horizontal="center" vertical="center"/>
    </xf>
    <xf numFmtId="43" fontId="11" fillId="0" borderId="5" xfId="4" applyFont="1" applyBorder="1" applyAlignment="1">
      <alignment horizontal="left"/>
    </xf>
    <xf numFmtId="43" fontId="11" fillId="0" borderId="5" xfId="4" applyFont="1" applyBorder="1"/>
    <xf numFmtId="43" fontId="11" fillId="0" borderId="5" xfId="0" applyNumberFormat="1" applyFont="1" applyBorder="1"/>
    <xf numFmtId="43" fontId="11" fillId="0" borderId="13" xfId="0" applyNumberFormat="1" applyFont="1" applyFill="1" applyBorder="1"/>
    <xf numFmtId="43" fontId="11" fillId="0" borderId="1" xfId="4" applyFont="1" applyBorder="1" applyAlignment="1">
      <alignment horizontal="left"/>
    </xf>
    <xf numFmtId="43" fontId="11" fillId="0" borderId="1" xfId="4" applyFont="1" applyBorder="1"/>
    <xf numFmtId="43" fontId="11" fillId="0" borderId="1" xfId="0" applyNumberFormat="1" applyFont="1" applyBorder="1"/>
    <xf numFmtId="43" fontId="11" fillId="0" borderId="7" xfId="0" applyNumberFormat="1" applyFont="1" applyBorder="1"/>
    <xf numFmtId="43" fontId="11" fillId="0" borderId="9" xfId="0" applyNumberFormat="1" applyFont="1" applyBorder="1"/>
    <xf numFmtId="43" fontId="11" fillId="0" borderId="10" xfId="0" applyNumberFormat="1" applyFont="1" applyBorder="1"/>
    <xf numFmtId="0" fontId="11" fillId="0" borderId="8" xfId="0" applyFont="1" applyBorder="1" applyAlignment="1">
      <alignment horizontal="center"/>
    </xf>
    <xf numFmtId="0" fontId="34" fillId="0" borderId="20" xfId="0" applyFont="1" applyBorder="1" applyAlignment="1">
      <alignment horizontal="left"/>
    </xf>
    <xf numFmtId="10" fontId="34" fillId="0" borderId="19" xfId="0" applyNumberFormat="1" applyFont="1" applyBorder="1"/>
    <xf numFmtId="0" fontId="34" fillId="0" borderId="21" xfId="0" applyFont="1" applyBorder="1" applyAlignment="1">
      <alignment horizontal="left"/>
    </xf>
    <xf numFmtId="0" fontId="34" fillId="0" borderId="22" xfId="0" applyFont="1" applyBorder="1" applyAlignment="1">
      <alignment horizontal="left"/>
    </xf>
    <xf numFmtId="0" fontId="34" fillId="0" borderId="16" xfId="0" applyFont="1" applyBorder="1" applyAlignment="1">
      <alignment horizontal="center"/>
    </xf>
    <xf numFmtId="0" fontId="34" fillId="0" borderId="20" xfId="0" applyFont="1" applyBorder="1" applyAlignment="1">
      <alignment horizontal="center" vertical="center"/>
    </xf>
    <xf numFmtId="0" fontId="34" fillId="0" borderId="21" xfId="0" applyFont="1" applyBorder="1" applyAlignment="1">
      <alignment horizontal="center" vertical="center"/>
    </xf>
    <xf numFmtId="0" fontId="34" fillId="0" borderId="22" xfId="0" applyFont="1" applyBorder="1" applyAlignment="1">
      <alignment horizontal="center" vertical="center"/>
    </xf>
    <xf numFmtId="0" fontId="36" fillId="0" borderId="0" xfId="0" applyFont="1"/>
    <xf numFmtId="167" fontId="11" fillId="0" borderId="0" xfId="5" applyNumberFormat="1" applyFont="1"/>
    <xf numFmtId="43" fontId="29" fillId="0" borderId="0" xfId="0" applyNumberFormat="1" applyFont="1" applyFill="1" applyBorder="1"/>
    <xf numFmtId="0" fontId="0" fillId="0" borderId="0" xfId="0" applyFill="1" applyBorder="1"/>
    <xf numFmtId="167" fontId="29" fillId="0" borderId="0" xfId="0" applyNumberFormat="1" applyFont="1" applyFill="1"/>
    <xf numFmtId="0" fontId="34" fillId="0" borderId="16" xfId="0" applyFont="1" applyBorder="1" applyAlignment="1">
      <alignment horizontal="left"/>
    </xf>
    <xf numFmtId="0" fontId="34" fillId="0" borderId="16" xfId="0" applyFont="1" applyBorder="1" applyAlignment="1">
      <alignment horizontal="center" vertical="center"/>
    </xf>
    <xf numFmtId="165" fontId="10" fillId="0" borderId="12" xfId="0" applyNumberFormat="1" applyFont="1" applyBorder="1" applyAlignment="1">
      <alignment horizontal="left"/>
    </xf>
    <xf numFmtId="43" fontId="34" fillId="0" borderId="24" xfId="0" applyNumberFormat="1" applyFont="1" applyBorder="1"/>
    <xf numFmtId="43" fontId="34" fillId="0" borderId="25" xfId="0" applyNumberFormat="1" applyFont="1" applyBorder="1"/>
    <xf numFmtId="40" fontId="34" fillId="0" borderId="1" xfId="0" applyNumberFormat="1" applyFont="1" applyBorder="1"/>
    <xf numFmtId="40" fontId="34" fillId="0" borderId="7" xfId="0" applyNumberFormat="1" applyFont="1" applyBorder="1"/>
    <xf numFmtId="0" fontId="34" fillId="0" borderId="12" xfId="0" applyFont="1" applyBorder="1"/>
    <xf numFmtId="10" fontId="34" fillId="0" borderId="5" xfId="5" applyNumberFormat="1" applyFont="1" applyBorder="1"/>
    <xf numFmtId="167" fontId="34" fillId="0" borderId="5" xfId="0" applyNumberFormat="1" applyFont="1" applyBorder="1"/>
    <xf numFmtId="0" fontId="34" fillId="0" borderId="5" xfId="0" applyFont="1" applyBorder="1"/>
    <xf numFmtId="43" fontId="34" fillId="0" borderId="5" xfId="0" applyNumberFormat="1" applyFont="1" applyBorder="1"/>
    <xf numFmtId="43" fontId="34" fillId="0" borderId="13" xfId="0" applyNumberFormat="1" applyFont="1" applyBorder="1"/>
    <xf numFmtId="0" fontId="34" fillId="0" borderId="6" xfId="0" applyFont="1" applyBorder="1"/>
    <xf numFmtId="10" fontId="34" fillId="0" borderId="1" xfId="5" applyNumberFormat="1" applyFont="1" applyBorder="1"/>
    <xf numFmtId="167" fontId="34" fillId="0" borderId="1" xfId="0" applyNumberFormat="1" applyFont="1" applyBorder="1"/>
    <xf numFmtId="0" fontId="34" fillId="0" borderId="23" xfId="0" applyFont="1" applyBorder="1"/>
    <xf numFmtId="43" fontId="34" fillId="0" borderId="24" xfId="4" applyFont="1" applyBorder="1"/>
    <xf numFmtId="10" fontId="34" fillId="0" borderId="24" xfId="5" applyNumberFormat="1" applyFont="1" applyBorder="1"/>
    <xf numFmtId="167" fontId="34" fillId="0" borderId="24" xfId="5" applyNumberFormat="1" applyFont="1" applyBorder="1"/>
    <xf numFmtId="0" fontId="34" fillId="0" borderId="24" xfId="0" applyFont="1" applyBorder="1"/>
    <xf numFmtId="10" fontId="34" fillId="0" borderId="0" xfId="0" applyNumberFormat="1" applyFont="1"/>
    <xf numFmtId="165" fontId="34" fillId="0" borderId="12" xfId="0" applyNumberFormat="1" applyFont="1" applyBorder="1"/>
    <xf numFmtId="43" fontId="34" fillId="0" borderId="19" xfId="4" applyFont="1" applyBorder="1"/>
    <xf numFmtId="43" fontId="34" fillId="0" borderId="4" xfId="4" applyFont="1" applyBorder="1"/>
    <xf numFmtId="0" fontId="34" fillId="15" borderId="9" xfId="0" applyFont="1" applyFill="1" applyBorder="1"/>
    <xf numFmtId="43" fontId="34" fillId="15" borderId="9" xfId="0" applyNumberFormat="1" applyFont="1" applyFill="1" applyBorder="1"/>
    <xf numFmtId="43" fontId="34" fillId="15" borderId="9" xfId="4" applyFont="1" applyFill="1" applyBorder="1"/>
    <xf numFmtId="43" fontId="34" fillId="15" borderId="10" xfId="4" applyFont="1" applyFill="1" applyBorder="1"/>
    <xf numFmtId="43" fontId="29" fillId="0" borderId="0" xfId="0" applyNumberFormat="1" applyFont="1" applyFill="1"/>
    <xf numFmtId="167" fontId="19" fillId="0" borderId="0" xfId="1" applyNumberFormat="1" applyFont="1" applyFill="1" applyBorder="1" applyAlignment="1">
      <alignment horizontal="right" vertical="center"/>
    </xf>
    <xf numFmtId="0" fontId="0" fillId="0" borderId="1" xfId="0" applyBorder="1"/>
    <xf numFmtId="43" fontId="0" fillId="0" borderId="1" xfId="0" applyNumberFormat="1" applyBorder="1"/>
    <xf numFmtId="43" fontId="0" fillId="0" borderId="7" xfId="0" applyNumberFormat="1" applyBorder="1"/>
    <xf numFmtId="0" fontId="34" fillId="0" borderId="27" xfId="0" applyFont="1" applyBorder="1"/>
    <xf numFmtId="167" fontId="34" fillId="0" borderId="27" xfId="5" applyNumberFormat="1" applyFont="1" applyBorder="1"/>
    <xf numFmtId="43" fontId="34" fillId="0" borderId="27" xfId="4" applyFont="1" applyBorder="1"/>
    <xf numFmtId="0" fontId="38" fillId="0" borderId="27" xfId="0" applyFont="1" applyBorder="1"/>
    <xf numFmtId="167" fontId="34" fillId="0" borderId="27" xfId="4" applyNumberFormat="1" applyFont="1" applyBorder="1"/>
    <xf numFmtId="43" fontId="34" fillId="0" borderId="27" xfId="0" applyNumberFormat="1" applyFont="1" applyBorder="1"/>
    <xf numFmtId="167" fontId="34" fillId="0" borderId="27" xfId="0" applyNumberFormat="1" applyFont="1" applyBorder="1"/>
    <xf numFmtId="43" fontId="39" fillId="0" borderId="0" xfId="0" applyNumberFormat="1" applyFont="1"/>
    <xf numFmtId="10" fontId="0" fillId="0" borderId="1" xfId="5" applyNumberFormat="1" applyFont="1" applyBorder="1"/>
    <xf numFmtId="0" fontId="0" fillId="0" borderId="6" xfId="0" applyBorder="1"/>
    <xf numFmtId="0" fontId="0" fillId="0" borderId="23" xfId="0" applyBorder="1"/>
    <xf numFmtId="0" fontId="0" fillId="0" borderId="24" xfId="0" applyBorder="1"/>
    <xf numFmtId="43" fontId="0" fillId="0" borderId="0" xfId="0" applyNumberFormat="1" applyBorder="1"/>
    <xf numFmtId="0" fontId="0" fillId="0" borderId="0" xfId="0" applyBorder="1"/>
    <xf numFmtId="10" fontId="0" fillId="0" borderId="24" xfId="5" applyNumberFormat="1" applyFont="1" applyBorder="1"/>
    <xf numFmtId="10" fontId="0" fillId="0" borderId="18" xfId="5" applyNumberFormat="1" applyFont="1" applyBorder="1"/>
    <xf numFmtId="40" fontId="0" fillId="0" borderId="0" xfId="4" applyNumberFormat="1" applyFont="1"/>
    <xf numFmtId="10" fontId="0" fillId="0" borderId="0" xfId="5" applyNumberFormat="1" applyFont="1" applyBorder="1"/>
    <xf numFmtId="43" fontId="39" fillId="0" borderId="0" xfId="0" applyNumberFormat="1" applyFont="1" applyBorder="1"/>
    <xf numFmtId="43" fontId="40" fillId="0" borderId="0" xfId="0" applyNumberFormat="1" applyFont="1" applyBorder="1"/>
    <xf numFmtId="0" fontId="0" fillId="0" borderId="0" xfId="0" applyFill="1" applyBorder="1" applyAlignment="1">
      <alignment horizontal="center" vertical="center"/>
    </xf>
    <xf numFmtId="0" fontId="0" fillId="0" borderId="0" xfId="0" applyBorder="1" applyAlignment="1">
      <alignment horizontal="center" vertical="center"/>
    </xf>
    <xf numFmtId="43" fontId="0" fillId="0" borderId="0" xfId="0" applyNumberFormat="1" applyFont="1" applyBorder="1" applyAlignment="1">
      <alignment horizontal="center"/>
    </xf>
    <xf numFmtId="43" fontId="43" fillId="0" borderId="0" xfId="0" applyNumberFormat="1" applyFont="1" applyBorder="1"/>
    <xf numFmtId="40" fontId="0" fillId="0" borderId="0" xfId="0" applyNumberFormat="1"/>
    <xf numFmtId="165" fontId="0" fillId="0" borderId="0" xfId="0" applyNumberFormat="1"/>
    <xf numFmtId="165" fontId="0" fillId="0" borderId="1" xfId="0" applyNumberFormat="1" applyFont="1" applyBorder="1" applyAlignment="1">
      <alignment horizontal="left"/>
    </xf>
    <xf numFmtId="0" fontId="0" fillId="0" borderId="5" xfId="0" applyBorder="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9" fontId="0" fillId="0" borderId="0" xfId="5" applyFont="1" applyBorder="1"/>
    <xf numFmtId="10" fontId="0" fillId="2" borderId="0" xfId="5" applyNumberFormat="1" applyFont="1" applyFill="1" applyBorder="1"/>
    <xf numFmtId="43" fontId="0" fillId="0" borderId="1" xfId="4" applyFont="1" applyBorder="1"/>
    <xf numFmtId="10" fontId="0" fillId="0" borderId="1" xfId="0" applyNumberFormat="1" applyBorder="1"/>
    <xf numFmtId="43" fontId="0" fillId="0" borderId="17" xfId="4" applyFont="1" applyBorder="1"/>
    <xf numFmtId="10" fontId="0" fillId="0" borderId="18" xfId="0" applyNumberFormat="1" applyBorder="1"/>
    <xf numFmtId="43" fontId="0" fillId="0" borderId="6" xfId="4" applyFont="1" applyBorder="1"/>
    <xf numFmtId="43" fontId="0" fillId="0" borderId="23" xfId="4" applyFont="1" applyBorder="1"/>
    <xf numFmtId="0" fontId="41" fillId="16" borderId="28" xfId="0" applyFont="1" applyFill="1" applyBorder="1" applyAlignment="1">
      <alignment horizontal="center" vertical="center"/>
    </xf>
    <xf numFmtId="0" fontId="41" fillId="16" borderId="29" xfId="0" applyFont="1" applyFill="1" applyBorder="1" applyAlignment="1">
      <alignment horizontal="center" vertical="center"/>
    </xf>
    <xf numFmtId="0" fontId="41" fillId="16" borderId="30" xfId="0" applyFont="1" applyFill="1" applyBorder="1" applyAlignment="1">
      <alignment horizontal="center" vertical="center"/>
    </xf>
    <xf numFmtId="10" fontId="0" fillId="2" borderId="1" xfId="5" applyNumberFormat="1" applyFont="1" applyFill="1" applyBorder="1"/>
    <xf numFmtId="43" fontId="39" fillId="0" borderId="7" xfId="0" applyNumberFormat="1" applyFont="1" applyBorder="1"/>
    <xf numFmtId="0" fontId="41" fillId="16" borderId="8" xfId="0" applyFont="1" applyFill="1" applyBorder="1"/>
    <xf numFmtId="0" fontId="41" fillId="16" borderId="9" xfId="0" applyFont="1" applyFill="1" applyBorder="1" applyAlignment="1">
      <alignment horizontal="center"/>
    </xf>
    <xf numFmtId="0" fontId="41" fillId="16" borderId="10" xfId="0" applyFont="1" applyFill="1" applyBorder="1" applyAlignment="1">
      <alignment horizontal="center"/>
    </xf>
    <xf numFmtId="0" fontId="0" fillId="0" borderId="0" xfId="0" applyBorder="1" applyAlignment="1">
      <alignment horizontal="center"/>
    </xf>
    <xf numFmtId="10" fontId="0" fillId="0" borderId="24" xfId="0" applyNumberFormat="1" applyBorder="1"/>
    <xf numFmtId="43" fontId="0" fillId="0" borderId="37" xfId="4" applyFont="1" applyBorder="1"/>
    <xf numFmtId="10" fontId="0" fillId="0" borderId="14" xfId="5" applyNumberFormat="1" applyFont="1" applyBorder="1"/>
    <xf numFmtId="10" fontId="0" fillId="0" borderId="14" xfId="0" applyNumberFormat="1" applyBorder="1"/>
    <xf numFmtId="43" fontId="20" fillId="4" borderId="0" xfId="4" applyFont="1" applyFill="1" applyAlignment="1">
      <alignment horizontal="center" vertical="center"/>
    </xf>
    <xf numFmtId="40" fontId="20" fillId="0" borderId="0" xfId="4" applyNumberFormat="1" applyFont="1"/>
    <xf numFmtId="40" fontId="20" fillId="2" borderId="0" xfId="4" applyNumberFormat="1" applyFont="1" applyFill="1"/>
    <xf numFmtId="43" fontId="0" fillId="0" borderId="18" xfId="0" applyNumberFormat="1" applyBorder="1"/>
    <xf numFmtId="43" fontId="0" fillId="0" borderId="19" xfId="0" applyNumberFormat="1" applyBorder="1"/>
    <xf numFmtId="40" fontId="34" fillId="0" borderId="18" xfId="0" applyNumberFormat="1" applyFont="1" applyBorder="1"/>
    <xf numFmtId="40" fontId="34" fillId="0" borderId="19" xfId="0" applyNumberFormat="1" applyFont="1" applyBorder="1"/>
    <xf numFmtId="0" fontId="0" fillId="0" borderId="17" xfId="0" applyBorder="1"/>
    <xf numFmtId="165" fontId="0" fillId="0" borderId="18" xfId="0" applyNumberFormat="1" applyFont="1" applyBorder="1" applyAlignment="1">
      <alignment horizontal="left"/>
    </xf>
    <xf numFmtId="0" fontId="44" fillId="16" borderId="0" xfId="0" applyFont="1" applyFill="1" applyBorder="1" applyAlignment="1">
      <alignment horizontal="center" vertical="center"/>
    </xf>
    <xf numFmtId="169" fontId="34" fillId="0" borderId="0" xfId="0" applyNumberFormat="1" applyFont="1"/>
    <xf numFmtId="0" fontId="44" fillId="16" borderId="26" xfId="0" applyFont="1" applyFill="1" applyBorder="1" applyAlignment="1">
      <alignment horizontal="center" vertical="center"/>
    </xf>
    <xf numFmtId="0" fontId="44" fillId="16" borderId="11" xfId="0" applyFont="1" applyFill="1" applyBorder="1" applyAlignment="1">
      <alignment horizontal="center" vertical="center"/>
    </xf>
    <xf numFmtId="167" fontId="11" fillId="0" borderId="0" xfId="0" applyNumberFormat="1" applyFont="1"/>
    <xf numFmtId="0" fontId="9" fillId="0" borderId="0" xfId="0" applyFont="1"/>
    <xf numFmtId="10" fontId="11" fillId="0" borderId="0" xfId="0" applyNumberFormat="1" applyFont="1"/>
    <xf numFmtId="0" fontId="37" fillId="8" borderId="36" xfId="0" applyFont="1" applyFill="1" applyBorder="1"/>
    <xf numFmtId="40" fontId="37" fillId="8" borderId="35" xfId="0" applyNumberFormat="1" applyFont="1" applyFill="1" applyBorder="1"/>
    <xf numFmtId="0" fontId="37" fillId="8" borderId="32" xfId="0" applyFont="1" applyFill="1" applyBorder="1"/>
    <xf numFmtId="165" fontId="11" fillId="0" borderId="17" xfId="0" applyNumberFormat="1" applyFont="1" applyBorder="1" applyAlignment="1">
      <alignment horizontal="left"/>
    </xf>
    <xf numFmtId="165" fontId="11" fillId="0" borderId="23" xfId="0" applyNumberFormat="1" applyFont="1" applyBorder="1" applyAlignment="1">
      <alignment horizontal="left"/>
    </xf>
    <xf numFmtId="168" fontId="29" fillId="0" borderId="0" xfId="0" applyNumberFormat="1" applyFont="1" applyFill="1"/>
    <xf numFmtId="0" fontId="44" fillId="16" borderId="4" xfId="0" applyFont="1" applyFill="1" applyBorder="1" applyAlignment="1">
      <alignment horizontal="center" vertical="center"/>
    </xf>
    <xf numFmtId="0" fontId="44" fillId="16" borderId="40" xfId="0" applyFont="1" applyFill="1" applyBorder="1" applyAlignment="1">
      <alignment horizontal="center" vertical="center"/>
    </xf>
    <xf numFmtId="0" fontId="44" fillId="16" borderId="41" xfId="0" applyFont="1" applyFill="1" applyBorder="1" applyAlignment="1">
      <alignment horizontal="center" vertical="center"/>
    </xf>
    <xf numFmtId="43" fontId="0" fillId="0" borderId="18" xfId="4" applyFont="1" applyBorder="1"/>
    <xf numFmtId="43" fontId="0" fillId="0" borderId="24" xfId="4" applyFont="1" applyBorder="1"/>
    <xf numFmtId="43" fontId="0" fillId="0" borderId="24" xfId="0" applyNumberFormat="1" applyBorder="1"/>
    <xf numFmtId="43" fontId="0" fillId="0" borderId="25" xfId="0" applyNumberFormat="1" applyBorder="1"/>
    <xf numFmtId="43" fontId="0" fillId="0" borderId="14" xfId="4" applyFont="1" applyBorder="1"/>
    <xf numFmtId="43" fontId="0" fillId="0" borderId="14" xfId="0" applyNumberFormat="1" applyBorder="1"/>
    <xf numFmtId="43" fontId="0" fillId="0" borderId="38" xfId="0" applyNumberFormat="1" applyBorder="1"/>
    <xf numFmtId="165" fontId="11" fillId="0" borderId="27" xfId="0" applyNumberFormat="1" applyFont="1" applyBorder="1"/>
    <xf numFmtId="0" fontId="11" fillId="0" borderId="27" xfId="0" applyFont="1" applyBorder="1"/>
    <xf numFmtId="165" fontId="0" fillId="0" borderId="27" xfId="0" applyNumberFormat="1" applyBorder="1"/>
    <xf numFmtId="43" fontId="0" fillId="0" borderId="27" xfId="4" applyFont="1" applyBorder="1"/>
    <xf numFmtId="0" fontId="8" fillId="0" borderId="0" xfId="0" applyFont="1"/>
    <xf numFmtId="40" fontId="34" fillId="0" borderId="0" xfId="0" applyNumberFormat="1" applyFont="1"/>
    <xf numFmtId="0" fontId="8" fillId="2" borderId="42" xfId="0" applyFont="1" applyFill="1" applyBorder="1"/>
    <xf numFmtId="0" fontId="11" fillId="2" borderId="43" xfId="0" applyFont="1" applyFill="1" applyBorder="1"/>
    <xf numFmtId="167" fontId="34" fillId="2" borderId="0" xfId="4" applyNumberFormat="1" applyFont="1" applyFill="1"/>
    <xf numFmtId="167" fontId="34" fillId="2" borderId="0" xfId="0" applyNumberFormat="1" applyFont="1" applyFill="1"/>
    <xf numFmtId="43" fontId="40" fillId="0" borderId="0" xfId="0" applyNumberFormat="1" applyFont="1" applyAlignment="1">
      <alignment horizontal="right" vertical="center"/>
    </xf>
    <xf numFmtId="0" fontId="40" fillId="0" borderId="0" xfId="0" applyFont="1" applyAlignment="1">
      <alignment horizontal="right" vertical="center"/>
    </xf>
    <xf numFmtId="0" fontId="0" fillId="0" borderId="0" xfId="0" applyFont="1"/>
    <xf numFmtId="43" fontId="0" fillId="0" borderId="7" xfId="4" applyFont="1" applyBorder="1"/>
    <xf numFmtId="43" fontId="0" fillId="0" borderId="25" xfId="4" applyFont="1" applyBorder="1"/>
    <xf numFmtId="0" fontId="0" fillId="0" borderId="0" xfId="0" applyFill="1" applyBorder="1" applyAlignment="1">
      <alignment horizontal="center"/>
    </xf>
    <xf numFmtId="10" fontId="0" fillId="0" borderId="45" xfId="5" applyNumberFormat="1" applyFont="1" applyBorder="1"/>
    <xf numFmtId="10" fontId="0" fillId="2" borderId="45" xfId="5" applyNumberFormat="1" applyFont="1" applyFill="1" applyBorder="1"/>
    <xf numFmtId="10" fontId="0" fillId="0" borderId="46" xfId="5" applyNumberFormat="1" applyFont="1" applyBorder="1"/>
    <xf numFmtId="43" fontId="0" fillId="0" borderId="15" xfId="4" applyFont="1" applyBorder="1"/>
    <xf numFmtId="43" fontId="0" fillId="0" borderId="48" xfId="4" applyFont="1" applyBorder="1"/>
    <xf numFmtId="10" fontId="0" fillId="0" borderId="6" xfId="5" applyNumberFormat="1" applyFont="1" applyBorder="1"/>
    <xf numFmtId="10" fontId="0" fillId="2" borderId="6" xfId="5" applyNumberFormat="1" applyFont="1" applyFill="1" applyBorder="1"/>
    <xf numFmtId="10" fontId="0" fillId="0" borderId="23" xfId="5" applyNumberFormat="1" applyFont="1" applyBorder="1"/>
    <xf numFmtId="0" fontId="0" fillId="0" borderId="49" xfId="0" applyBorder="1"/>
    <xf numFmtId="0" fontId="0" fillId="0" borderId="50" xfId="0" applyBorder="1"/>
    <xf numFmtId="0" fontId="0" fillId="0" borderId="51" xfId="0" applyBorder="1"/>
    <xf numFmtId="43" fontId="0" fillId="0" borderId="21" xfId="0" applyNumberFormat="1" applyBorder="1"/>
    <xf numFmtId="0" fontId="0" fillId="0" borderId="21" xfId="0" applyBorder="1"/>
    <xf numFmtId="0" fontId="0" fillId="0" borderId="22" xfId="0" applyBorder="1"/>
    <xf numFmtId="43" fontId="0" fillId="0" borderId="52" xfId="0" applyNumberFormat="1" applyBorder="1"/>
    <xf numFmtId="10" fontId="0" fillId="0" borderId="44" xfId="5" applyNumberFormat="1" applyFont="1" applyBorder="1"/>
    <xf numFmtId="43" fontId="0" fillId="0" borderId="47" xfId="4" applyFont="1" applyBorder="1"/>
    <xf numFmtId="10" fontId="0" fillId="0" borderId="12" xfId="5" applyNumberFormat="1" applyFont="1" applyBorder="1"/>
    <xf numFmtId="43" fontId="0" fillId="0" borderId="13" xfId="4" applyFont="1" applyBorder="1"/>
    <xf numFmtId="0" fontId="0" fillId="0" borderId="25" xfId="0" applyBorder="1" applyAlignment="1">
      <alignment horizontal="center" vertical="center"/>
    </xf>
    <xf numFmtId="0" fontId="0" fillId="0" borderId="48" xfId="0" applyBorder="1" applyAlignment="1">
      <alignment horizontal="center" vertical="center"/>
    </xf>
    <xf numFmtId="0" fontId="0" fillId="0" borderId="46" xfId="0" applyBorder="1" applyAlignment="1">
      <alignment horizontal="center" vertical="center"/>
    </xf>
    <xf numFmtId="0" fontId="0" fillId="0" borderId="23" xfId="0" applyBorder="1" applyAlignment="1">
      <alignment horizontal="center" vertical="center"/>
    </xf>
    <xf numFmtId="0" fontId="0" fillId="0" borderId="53" xfId="0" applyBorder="1"/>
    <xf numFmtId="0" fontId="0" fillId="0" borderId="20" xfId="0" applyBorder="1"/>
    <xf numFmtId="0" fontId="0" fillId="0" borderId="22" xfId="0" applyBorder="1" applyAlignment="1">
      <alignment horizontal="center" vertical="center"/>
    </xf>
    <xf numFmtId="10" fontId="29" fillId="0" borderId="0" xfId="5" applyNumberFormat="1" applyFont="1" applyFill="1"/>
    <xf numFmtId="0" fontId="34" fillId="17" borderId="16" xfId="0" applyFont="1" applyFill="1" applyBorder="1" applyAlignment="1">
      <alignment horizontal="center" vertical="center"/>
    </xf>
    <xf numFmtId="0" fontId="34" fillId="17" borderId="8" xfId="0" applyFont="1" applyFill="1" applyBorder="1" applyAlignment="1">
      <alignment horizontal="center" vertical="center"/>
    </xf>
    <xf numFmtId="0" fontId="34" fillId="17" borderId="10" xfId="0" applyFont="1" applyFill="1" applyBorder="1" applyAlignment="1">
      <alignment horizontal="center" vertical="center"/>
    </xf>
    <xf numFmtId="0" fontId="34" fillId="17" borderId="16" xfId="0" applyFont="1" applyFill="1" applyBorder="1" applyAlignment="1">
      <alignment horizontal="center"/>
    </xf>
    <xf numFmtId="0" fontId="34" fillId="17" borderId="8" xfId="0" applyFont="1" applyFill="1" applyBorder="1" applyAlignment="1">
      <alignment horizontal="center"/>
    </xf>
    <xf numFmtId="0" fontId="34" fillId="17" borderId="10" xfId="0" applyFont="1" applyFill="1" applyBorder="1" applyAlignment="1">
      <alignment horizontal="center"/>
    </xf>
    <xf numFmtId="165" fontId="19" fillId="11" borderId="1" xfId="1" applyNumberFormat="1" applyFont="1" applyFill="1" applyBorder="1" applyAlignment="1">
      <alignment horizontal="left" vertical="center"/>
    </xf>
    <xf numFmtId="0" fontId="6" fillId="0" borderId="0" xfId="0" applyFont="1"/>
    <xf numFmtId="43" fontId="0" fillId="0" borderId="54" xfId="0" applyNumberFormat="1" applyBorder="1"/>
    <xf numFmtId="43" fontId="40" fillId="0" borderId="0" xfId="0" applyNumberFormat="1" applyFont="1"/>
    <xf numFmtId="43" fontId="0" fillId="0" borderId="19" xfId="4" applyFont="1" applyBorder="1"/>
    <xf numFmtId="0" fontId="0" fillId="0" borderId="33" xfId="0" applyBorder="1"/>
    <xf numFmtId="43" fontId="0" fillId="0" borderId="33" xfId="0" applyNumberFormat="1" applyBorder="1"/>
    <xf numFmtId="43" fontId="0" fillId="0" borderId="15" xfId="0" applyNumberFormat="1" applyBorder="1"/>
    <xf numFmtId="43" fontId="0" fillId="0" borderId="48" xfId="0" applyNumberFormat="1" applyBorder="1"/>
    <xf numFmtId="10" fontId="0" fillId="0" borderId="31" xfId="5" applyNumberFormat="1" applyFont="1" applyBorder="1"/>
    <xf numFmtId="10" fontId="0" fillId="0" borderId="17" xfId="5" applyNumberFormat="1" applyFont="1" applyBorder="1"/>
    <xf numFmtId="43" fontId="0" fillId="0" borderId="33" xfId="4" applyFont="1" applyBorder="1"/>
    <xf numFmtId="43" fontId="0" fillId="0" borderId="0" xfId="4" applyFont="1" applyBorder="1"/>
    <xf numFmtId="9" fontId="0" fillId="0" borderId="0" xfId="0" applyNumberFormat="1"/>
    <xf numFmtId="0" fontId="0" fillId="0" borderId="48" xfId="0" applyBorder="1" applyAlignment="1">
      <alignment horizontal="center"/>
    </xf>
    <xf numFmtId="0" fontId="45" fillId="0" borderId="8" xfId="0" applyFont="1" applyFill="1" applyBorder="1" applyAlignment="1">
      <alignment horizontal="center" vertical="center"/>
    </xf>
    <xf numFmtId="0" fontId="45" fillId="0" borderId="9" xfId="0" applyFont="1" applyFill="1" applyBorder="1" applyAlignment="1">
      <alignment horizontal="center" vertical="center"/>
    </xf>
    <xf numFmtId="0" fontId="45" fillId="0" borderId="10" xfId="0" applyFont="1" applyFill="1" applyBorder="1" applyAlignment="1">
      <alignment horizontal="center" vertical="center"/>
    </xf>
    <xf numFmtId="167" fontId="34" fillId="2" borderId="1" xfId="0" applyNumberFormat="1" applyFont="1" applyFill="1" applyBorder="1"/>
    <xf numFmtId="0" fontId="34" fillId="0" borderId="26" xfId="0" applyFont="1" applyBorder="1"/>
    <xf numFmtId="167" fontId="34" fillId="2" borderId="4" xfId="0" applyNumberFormat="1" applyFont="1" applyFill="1" applyBorder="1"/>
    <xf numFmtId="43" fontId="34" fillId="0" borderId="11" xfId="0" applyNumberFormat="1" applyFont="1" applyBorder="1"/>
    <xf numFmtId="0" fontId="46" fillId="0" borderId="0" xfId="0" applyFont="1" applyFill="1" applyBorder="1" applyAlignment="1">
      <alignment horizontal="center" vertical="center"/>
    </xf>
    <xf numFmtId="0" fontId="5" fillId="0" borderId="0" xfId="0" applyFont="1"/>
    <xf numFmtId="0" fontId="37" fillId="8" borderId="28" xfId="0" applyFont="1" applyFill="1" applyBorder="1" applyAlignment="1">
      <alignment horizontal="center" vertical="center"/>
    </xf>
    <xf numFmtId="0" fontId="37" fillId="8" borderId="29" xfId="0" applyFont="1" applyFill="1" applyBorder="1" applyAlignment="1">
      <alignment horizontal="center" vertical="center"/>
    </xf>
    <xf numFmtId="0" fontId="37" fillId="8" borderId="30" xfId="0" applyFont="1" applyFill="1" applyBorder="1" applyAlignment="1">
      <alignment horizontal="center" vertical="center"/>
    </xf>
    <xf numFmtId="0" fontId="48" fillId="13" borderId="8" xfId="0" applyFont="1" applyFill="1" applyBorder="1" applyAlignment="1">
      <alignment horizontal="center" vertical="center"/>
    </xf>
    <xf numFmtId="0" fontId="48" fillId="13" borderId="9" xfId="0" applyFont="1" applyFill="1" applyBorder="1" applyAlignment="1">
      <alignment horizontal="center" vertical="center"/>
    </xf>
    <xf numFmtId="0" fontId="48" fillId="13" borderId="10" xfId="0" applyFont="1" applyFill="1" applyBorder="1" applyAlignment="1">
      <alignment horizontal="center" vertical="center"/>
    </xf>
    <xf numFmtId="0" fontId="37" fillId="12" borderId="27" xfId="0" applyFont="1" applyFill="1" applyBorder="1" applyAlignment="1">
      <alignment horizontal="center"/>
    </xf>
    <xf numFmtId="0" fontId="49" fillId="12" borderId="27" xfId="0" applyFont="1" applyFill="1" applyBorder="1" applyAlignment="1">
      <alignment horizontal="center"/>
    </xf>
    <xf numFmtId="0" fontId="37" fillId="15" borderId="8" xfId="0" applyFont="1" applyFill="1" applyBorder="1" applyAlignment="1">
      <alignment horizontal="center" vertical="center"/>
    </xf>
    <xf numFmtId="0" fontId="37" fillId="15" borderId="9" xfId="0" applyFont="1" applyFill="1" applyBorder="1" applyAlignment="1">
      <alignment horizontal="center" vertical="center"/>
    </xf>
    <xf numFmtId="0" fontId="37" fillId="15" borderId="10" xfId="0" applyFont="1" applyFill="1" applyBorder="1" applyAlignment="1">
      <alignment horizontal="center" vertical="center"/>
    </xf>
    <xf numFmtId="43" fontId="50" fillId="0" borderId="0" xfId="0" applyNumberFormat="1" applyFont="1" applyBorder="1"/>
    <xf numFmtId="43" fontId="47" fillId="0" borderId="0" xfId="0" applyNumberFormat="1" applyFont="1" applyBorder="1"/>
    <xf numFmtId="0" fontId="0" fillId="0" borderId="17" xfId="0" applyBorder="1" applyAlignment="1">
      <alignment horizontal="center"/>
    </xf>
    <xf numFmtId="0" fontId="0" fillId="0" borderId="19" xfId="0" applyBorder="1" applyAlignment="1">
      <alignment horizont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46" fillId="0" borderId="29" xfId="0" applyFont="1" applyFill="1" applyBorder="1" applyAlignment="1">
      <alignment horizontal="center" vertical="center"/>
    </xf>
    <xf numFmtId="0" fontId="46" fillId="0" borderId="28" xfId="0" applyFont="1" applyFill="1" applyBorder="1" applyAlignment="1">
      <alignment horizontal="center" vertical="center"/>
    </xf>
    <xf numFmtId="0" fontId="46" fillId="0" borderId="30" xfId="0" applyFont="1" applyFill="1" applyBorder="1" applyAlignment="1">
      <alignment horizontal="center" vertical="center"/>
    </xf>
    <xf numFmtId="10" fontId="0" fillId="0" borderId="5" xfId="5" applyNumberFormat="1" applyFont="1" applyBorder="1"/>
    <xf numFmtId="43" fontId="0" fillId="0" borderId="5" xfId="4" applyFont="1" applyBorder="1"/>
    <xf numFmtId="0" fontId="0" fillId="0" borderId="12" xfId="0" applyBorder="1" applyAlignment="1">
      <alignment horizontal="center" vertical="center"/>
    </xf>
    <xf numFmtId="0" fontId="0" fillId="0" borderId="6" xfId="0" applyBorder="1" applyAlignment="1">
      <alignment horizontal="center" vertical="center"/>
    </xf>
    <xf numFmtId="167" fontId="0" fillId="0" borderId="25" xfId="5" applyNumberFormat="1" applyFont="1" applyBorder="1"/>
    <xf numFmtId="166" fontId="0" fillId="0" borderId="7" xfId="4" applyNumberFormat="1" applyFont="1" applyBorder="1"/>
    <xf numFmtId="0" fontId="0" fillId="0" borderId="0" xfId="0" applyAlignment="1">
      <alignment horizontal="right" vertical="center"/>
    </xf>
    <xf numFmtId="43" fontId="39" fillId="0" borderId="0" xfId="4" applyFont="1" applyBorder="1"/>
    <xf numFmtId="40" fontId="51" fillId="0" borderId="0" xfId="0" applyNumberFormat="1" applyFont="1"/>
    <xf numFmtId="10" fontId="51" fillId="0" borderId="0" xfId="5" applyNumberFormat="1" applyFont="1"/>
    <xf numFmtId="0" fontId="0" fillId="0" borderId="18" xfId="0" applyBorder="1" applyAlignment="1">
      <alignment horizontal="center"/>
    </xf>
    <xf numFmtId="165" fontId="0" fillId="0" borderId="6" xfId="0" applyNumberFormat="1" applyBorder="1"/>
    <xf numFmtId="165" fontId="0" fillId="0" borderId="23" xfId="0" applyNumberFormat="1" applyBorder="1"/>
    <xf numFmtId="40" fontId="0" fillId="0" borderId="7" xfId="0" applyNumberFormat="1" applyBorder="1"/>
    <xf numFmtId="40" fontId="0" fillId="0" borderId="25" xfId="0" applyNumberFormat="1" applyBorder="1"/>
    <xf numFmtId="165" fontId="0" fillId="0" borderId="12" xfId="0" applyNumberFormat="1" applyBorder="1"/>
    <xf numFmtId="40" fontId="0" fillId="0" borderId="5" xfId="4" applyNumberFormat="1" applyFont="1" applyBorder="1"/>
    <xf numFmtId="40" fontId="0" fillId="0" borderId="13" xfId="0" applyNumberFormat="1" applyBorder="1"/>
    <xf numFmtId="0" fontId="29" fillId="0" borderId="1" xfId="0" applyFont="1" applyFill="1" applyBorder="1"/>
    <xf numFmtId="0" fontId="20" fillId="0" borderId="1" xfId="0" applyFont="1" applyFill="1" applyBorder="1" applyAlignment="1">
      <alignment horizontal="center" vertical="center"/>
    </xf>
    <xf numFmtId="14" fontId="29" fillId="0" borderId="0" xfId="0" applyNumberFormat="1" applyFont="1" applyFill="1" applyBorder="1"/>
    <xf numFmtId="167" fontId="29" fillId="0" borderId="0" xfId="0" applyNumberFormat="1" applyFont="1" applyFill="1" applyBorder="1"/>
    <xf numFmtId="10" fontId="29" fillId="0" borderId="0" xfId="5" applyNumberFormat="1" applyFont="1" applyFill="1" applyBorder="1"/>
    <xf numFmtId="165" fontId="31" fillId="2" borderId="1" xfId="0" applyNumberFormat="1" applyFont="1" applyFill="1" applyBorder="1" applyAlignment="1">
      <alignment horizontal="left" vertical="center"/>
    </xf>
    <xf numFmtId="167" fontId="28" fillId="2" borderId="1" xfId="0" applyNumberFormat="1" applyFont="1" applyFill="1" applyBorder="1" applyAlignment="1">
      <alignment horizontal="right" vertical="center"/>
    </xf>
    <xf numFmtId="10" fontId="28" fillId="2" borderId="1" xfId="0" applyNumberFormat="1" applyFont="1" applyFill="1" applyBorder="1" applyAlignment="1">
      <alignment horizontal="right" vertical="center"/>
    </xf>
    <xf numFmtId="166" fontId="28" fillId="2" borderId="1" xfId="0" applyNumberFormat="1" applyFont="1" applyFill="1" applyBorder="1" applyAlignment="1">
      <alignment horizontal="right" vertical="center"/>
    </xf>
    <xf numFmtId="0" fontId="30" fillId="2" borderId="1" xfId="0" applyFont="1" applyFill="1" applyBorder="1" applyAlignment="1">
      <alignment vertical="center"/>
    </xf>
    <xf numFmtId="43" fontId="28" fillId="2" borderId="1" xfId="0" applyNumberFormat="1" applyFont="1" applyFill="1" applyBorder="1"/>
    <xf numFmtId="0" fontId="28" fillId="0" borderId="45" xfId="1" applyFont="1" applyFill="1" applyBorder="1" applyAlignment="1">
      <alignment horizontal="center" vertical="center"/>
    </xf>
    <xf numFmtId="0" fontId="20" fillId="0" borderId="45" xfId="0" applyFont="1" applyFill="1" applyBorder="1"/>
    <xf numFmtId="0" fontId="20" fillId="0" borderId="40" xfId="0" applyFont="1" applyFill="1" applyBorder="1"/>
    <xf numFmtId="0" fontId="28" fillId="0" borderId="45" xfId="0" applyFont="1" applyFill="1" applyBorder="1"/>
    <xf numFmtId="0" fontId="4" fillId="0" borderId="0" xfId="0" applyFont="1"/>
    <xf numFmtId="43" fontId="50" fillId="2" borderId="0" xfId="0" applyNumberFormat="1" applyFont="1" applyFill="1"/>
    <xf numFmtId="43" fontId="47" fillId="2" borderId="0" xfId="0" applyNumberFormat="1" applyFont="1" applyFill="1"/>
    <xf numFmtId="43" fontId="50" fillId="2" borderId="0" xfId="0" applyNumberFormat="1" applyFont="1" applyFill="1" applyBorder="1"/>
    <xf numFmtId="165" fontId="0" fillId="0" borderId="0" xfId="0" applyNumberFormat="1" applyAlignment="1">
      <alignment horizontal="left"/>
    </xf>
    <xf numFmtId="43" fontId="34" fillId="0" borderId="25" xfId="4" applyFont="1" applyBorder="1"/>
    <xf numFmtId="43" fontId="34" fillId="2" borderId="0" xfId="4" applyFont="1" applyFill="1"/>
    <xf numFmtId="40" fontId="11" fillId="0" borderId="0" xfId="0" applyNumberFormat="1" applyFont="1"/>
    <xf numFmtId="0" fontId="0" fillId="17" borderId="0" xfId="0" applyFill="1" applyAlignment="1">
      <alignment horizontal="center"/>
    </xf>
    <xf numFmtId="165" fontId="4" fillId="0" borderId="56" xfId="0" applyNumberFormat="1" applyFont="1" applyBorder="1" applyAlignment="1">
      <alignment horizontal="left"/>
    </xf>
    <xf numFmtId="43" fontId="4" fillId="0" borderId="56" xfId="4" applyFont="1" applyBorder="1"/>
    <xf numFmtId="43" fontId="4" fillId="0" borderId="0" xfId="4" applyFont="1"/>
    <xf numFmtId="43" fontId="4" fillId="0" borderId="1" xfId="4" applyFont="1" applyBorder="1"/>
    <xf numFmtId="43" fontId="4" fillId="0" borderId="1" xfId="4" applyFont="1" applyBorder="1" applyAlignment="1">
      <alignment horizontal="left"/>
    </xf>
    <xf numFmtId="165" fontId="4" fillId="0" borderId="55" xfId="0" applyNumberFormat="1" applyFont="1" applyBorder="1" applyAlignment="1">
      <alignment horizontal="left"/>
    </xf>
    <xf numFmtId="43" fontId="4" fillId="0" borderId="55" xfId="4" applyFont="1" applyBorder="1"/>
    <xf numFmtId="165" fontId="4" fillId="0" borderId="1" xfId="0" applyNumberFormat="1" applyFont="1" applyBorder="1" applyAlignment="1">
      <alignment horizontal="left"/>
    </xf>
    <xf numFmtId="0" fontId="3" fillId="0" borderId="0" xfId="0" applyFont="1"/>
    <xf numFmtId="10" fontId="4" fillId="0" borderId="0" xfId="5" applyNumberFormat="1" applyFont="1"/>
    <xf numFmtId="2" fontId="4" fillId="0" borderId="0" xfId="0" applyNumberFormat="1" applyFont="1"/>
    <xf numFmtId="0" fontId="2" fillId="0" borderId="0" xfId="0" applyFont="1"/>
    <xf numFmtId="2" fontId="11" fillId="0" borderId="0" xfId="0" applyNumberFormat="1" applyFont="1"/>
    <xf numFmtId="170" fontId="0" fillId="0" borderId="0" xfId="0" applyNumberFormat="1"/>
    <xf numFmtId="43" fontId="5" fillId="0" borderId="0" xfId="0" applyNumberFormat="1" applyFont="1"/>
    <xf numFmtId="171" fontId="0" fillId="0" borderId="0" xfId="5" applyNumberFormat="1" applyFont="1"/>
    <xf numFmtId="167" fontId="20" fillId="2" borderId="0" xfId="5" applyNumberFormat="1" applyFont="1" applyFill="1"/>
    <xf numFmtId="166" fontId="20" fillId="2" borderId="0" xfId="4" applyNumberFormat="1" applyFont="1" applyFill="1"/>
    <xf numFmtId="165" fontId="0" fillId="0" borderId="1" xfId="0" applyNumberFormat="1" applyBorder="1"/>
    <xf numFmtId="167" fontId="0" fillId="0" borderId="0" xfId="5" applyNumberFormat="1" applyFont="1"/>
    <xf numFmtId="43" fontId="34" fillId="2" borderId="0" xfId="0" applyNumberFormat="1" applyFont="1" applyFill="1"/>
    <xf numFmtId="164" fontId="20" fillId="8" borderId="3" xfId="0" applyNumberFormat="1" applyFont="1" applyFill="1" applyBorder="1"/>
    <xf numFmtId="0" fontId="0" fillId="0" borderId="19" xfId="0" applyBorder="1" applyAlignment="1">
      <alignment horizontal="center" vertical="center"/>
    </xf>
    <xf numFmtId="166" fontId="0" fillId="0" borderId="0" xfId="4" applyNumberFormat="1" applyFont="1"/>
    <xf numFmtId="40" fontId="0" fillId="0" borderId="1" xfId="0" applyNumberFormat="1" applyBorder="1"/>
    <xf numFmtId="0" fontId="0" fillId="0" borderId="18" xfId="0" applyBorder="1" applyAlignment="1">
      <alignment horizontal="center" vertical="center"/>
    </xf>
    <xf numFmtId="0" fontId="0" fillId="0" borderId="7" xfId="0" applyBorder="1"/>
    <xf numFmtId="40" fontId="0" fillId="0" borderId="24" xfId="0" applyNumberFormat="1" applyBorder="1"/>
    <xf numFmtId="43" fontId="19" fillId="0" borderId="1" xfId="4" applyFont="1" applyFill="1" applyBorder="1" applyAlignment="1">
      <alignment horizontal="right" vertical="center"/>
    </xf>
    <xf numFmtId="43" fontId="28" fillId="2" borderId="1" xfId="0" applyNumberFormat="1" applyFont="1" applyFill="1" applyBorder="1" applyAlignment="1">
      <alignment horizontal="right" vertical="center"/>
    </xf>
    <xf numFmtId="9" fontId="29" fillId="0" borderId="0" xfId="5" applyFont="1" applyFill="1"/>
    <xf numFmtId="43" fontId="28" fillId="2" borderId="1" xfId="4" applyFont="1" applyFill="1" applyBorder="1" applyAlignment="1">
      <alignment horizontal="right" vertical="center"/>
    </xf>
    <xf numFmtId="167" fontId="28" fillId="2" borderId="1" xfId="5" applyNumberFormat="1" applyFont="1" applyFill="1" applyBorder="1" applyAlignment="1">
      <alignment horizontal="right" vertical="center"/>
    </xf>
    <xf numFmtId="165" fontId="34" fillId="15" borderId="8" xfId="0" applyNumberFormat="1" applyFont="1" applyFill="1" applyBorder="1" applyAlignment="1">
      <alignment horizontal="center"/>
    </xf>
    <xf numFmtId="165" fontId="34" fillId="0" borderId="1" xfId="0" applyNumberFormat="1" applyFont="1" applyBorder="1" applyAlignment="1">
      <alignment horizontal="left"/>
    </xf>
    <xf numFmtId="165" fontId="34" fillId="0" borderId="1" xfId="0" applyNumberFormat="1" applyFont="1" applyBorder="1" applyAlignment="1">
      <alignment horizontal="center" vertical="center"/>
    </xf>
    <xf numFmtId="0" fontId="34" fillId="17" borderId="1" xfId="0" applyFont="1" applyFill="1" applyBorder="1" applyAlignment="1">
      <alignment horizontal="center" vertical="center"/>
    </xf>
    <xf numFmtId="0" fontId="34" fillId="0" borderId="17" xfId="0" applyNumberFormat="1" applyFont="1" applyBorder="1"/>
    <xf numFmtId="0" fontId="34" fillId="0" borderId="6" xfId="0" applyNumberFormat="1" applyFont="1" applyBorder="1"/>
    <xf numFmtId="0" fontId="34" fillId="0" borderId="8" xfId="0" applyNumberFormat="1" applyFont="1" applyBorder="1"/>
    <xf numFmtId="0" fontId="35" fillId="18" borderId="1" xfId="0" applyFont="1" applyFill="1" applyBorder="1" applyAlignment="1">
      <alignment horizontal="center" vertical="center"/>
    </xf>
    <xf numFmtId="0" fontId="0" fillId="0" borderId="1" xfId="0" applyBorder="1" applyAlignment="1">
      <alignment horizontal="center" vertical="center"/>
    </xf>
    <xf numFmtId="172" fontId="34" fillId="0" borderId="0" xfId="0" applyNumberFormat="1" applyFont="1"/>
    <xf numFmtId="0" fontId="34" fillId="0" borderId="15" xfId="0" applyFont="1" applyBorder="1"/>
    <xf numFmtId="0" fontId="34" fillId="0" borderId="17" xfId="0" applyFont="1" applyBorder="1"/>
    <xf numFmtId="0" fontId="34" fillId="0" borderId="18" xfId="0" applyFont="1" applyBorder="1"/>
    <xf numFmtId="0" fontId="34" fillId="0" borderId="19" xfId="0" applyFont="1" applyBorder="1"/>
    <xf numFmtId="0" fontId="34" fillId="0" borderId="7" xfId="0" applyFont="1" applyBorder="1"/>
    <xf numFmtId="0" fontId="34" fillId="0" borderId="25" xfId="0" applyFont="1" applyBorder="1"/>
    <xf numFmtId="43" fontId="30" fillId="2" borderId="1" xfId="0" applyNumberFormat="1" applyFont="1" applyFill="1" applyBorder="1" applyAlignment="1">
      <alignment vertical="center"/>
    </xf>
    <xf numFmtId="0" fontId="1" fillId="0" borderId="6" xfId="0" applyFont="1" applyBorder="1"/>
    <xf numFmtId="0" fontId="1" fillId="0" borderId="0" xfId="0" applyFont="1"/>
    <xf numFmtId="0" fontId="1" fillId="0" borderId="0" xfId="0" applyFont="1" applyAlignment="1">
      <alignment horizontal="right" vertical="center"/>
    </xf>
    <xf numFmtId="0" fontId="1" fillId="0" borderId="0" xfId="0" applyFont="1" applyAlignment="1">
      <alignment horizontal="center" vertical="center"/>
    </xf>
    <xf numFmtId="0" fontId="1" fillId="0" borderId="0" xfId="0" applyFont="1" applyAlignment="1">
      <alignment horizontal="center"/>
    </xf>
    <xf numFmtId="0" fontId="1" fillId="0" borderId="17" xfId="0" applyFont="1" applyBorder="1"/>
    <xf numFmtId="43" fontId="1" fillId="0" borderId="18" xfId="4" applyFont="1" applyBorder="1"/>
    <xf numFmtId="167" fontId="1" fillId="0" borderId="18" xfId="0" applyNumberFormat="1" applyFont="1" applyBorder="1"/>
    <xf numFmtId="43" fontId="1" fillId="0" borderId="19" xfId="0" applyNumberFormat="1" applyFont="1" applyBorder="1"/>
    <xf numFmtId="43" fontId="1" fillId="0" borderId="1" xfId="4" applyFont="1" applyBorder="1"/>
    <xf numFmtId="167" fontId="1" fillId="0" borderId="1" xfId="0" applyNumberFormat="1" applyFont="1" applyBorder="1"/>
    <xf numFmtId="43" fontId="1" fillId="0" borderId="7" xfId="0" applyNumberFormat="1" applyFont="1" applyBorder="1"/>
    <xf numFmtId="0" fontId="1" fillId="0" borderId="23" xfId="0" applyFont="1" applyBorder="1"/>
    <xf numFmtId="43" fontId="1" fillId="0" borderId="24" xfId="4" applyFont="1" applyBorder="1"/>
    <xf numFmtId="167" fontId="1" fillId="0" borderId="24" xfId="0" applyNumberFormat="1" applyFont="1" applyBorder="1"/>
    <xf numFmtId="43" fontId="1" fillId="0" borderId="25" xfId="0" applyNumberFormat="1" applyFont="1" applyBorder="1"/>
    <xf numFmtId="0" fontId="1" fillId="0" borderId="18" xfId="0" applyFont="1" applyBorder="1"/>
    <xf numFmtId="43" fontId="1" fillId="0" borderId="19" xfId="4" applyFont="1" applyBorder="1"/>
    <xf numFmtId="0" fontId="1" fillId="0" borderId="1" xfId="0" applyFont="1" applyBorder="1"/>
    <xf numFmtId="43" fontId="1" fillId="0" borderId="7" xfId="4" applyFont="1" applyBorder="1"/>
    <xf numFmtId="167" fontId="1" fillId="0" borderId="1" xfId="5" applyNumberFormat="1" applyFont="1" applyBorder="1"/>
    <xf numFmtId="167" fontId="1" fillId="0" borderId="24" xfId="5" applyNumberFormat="1" applyFont="1" applyBorder="1"/>
    <xf numFmtId="43" fontId="1" fillId="0" borderId="25" xfId="4" applyFont="1" applyBorder="1"/>
    <xf numFmtId="0" fontId="1" fillId="0" borderId="0" xfId="0" applyFont="1" applyAlignment="1">
      <alignment horizontal="right"/>
    </xf>
    <xf numFmtId="0" fontId="1" fillId="0" borderId="8" xfId="0" applyFont="1" applyBorder="1" applyAlignment="1">
      <alignment horizontal="center"/>
    </xf>
    <xf numFmtId="0" fontId="1" fillId="0" borderId="9" xfId="0" applyFont="1" applyBorder="1" applyAlignment="1">
      <alignment horizontal="center"/>
    </xf>
    <xf numFmtId="43" fontId="1" fillId="0" borderId="10" xfId="0" applyNumberFormat="1" applyFont="1" applyBorder="1" applyAlignment="1">
      <alignment horizontal="center"/>
    </xf>
    <xf numFmtId="0" fontId="1" fillId="0" borderId="12" xfId="0" applyFont="1" applyBorder="1"/>
    <xf numFmtId="43" fontId="1" fillId="0" borderId="5" xfId="0" applyNumberFormat="1" applyFont="1" applyBorder="1"/>
    <xf numFmtId="43" fontId="1" fillId="0" borderId="13" xfId="0" applyNumberFormat="1" applyFont="1" applyBorder="1"/>
    <xf numFmtId="0" fontId="1" fillId="0" borderId="24" xfId="0" applyFont="1" applyBorder="1"/>
    <xf numFmtId="10" fontId="1" fillId="0" borderId="0" xfId="5" applyNumberFormat="1" applyFont="1"/>
    <xf numFmtId="10" fontId="1" fillId="0" borderId="0" xfId="0" applyNumberFormat="1" applyFont="1"/>
    <xf numFmtId="165" fontId="1" fillId="0" borderId="0" xfId="0" applyNumberFormat="1" applyFont="1" applyAlignment="1">
      <alignment horizontal="left" vertical="center"/>
    </xf>
    <xf numFmtId="43" fontId="47" fillId="0" borderId="0" xfId="0" applyNumberFormat="1" applyFont="1" applyFill="1" applyBorder="1"/>
    <xf numFmtId="167" fontId="1" fillId="0" borderId="5" xfId="5" applyNumberFormat="1" applyFont="1" applyBorder="1"/>
    <xf numFmtId="14" fontId="0" fillId="0" borderId="0" xfId="0" applyNumberFormat="1"/>
    <xf numFmtId="0" fontId="0" fillId="0" borderId="0" xfId="0" applyAlignment="1">
      <alignment wrapText="1"/>
    </xf>
    <xf numFmtId="168" fontId="29" fillId="0" borderId="0" xfId="4" applyNumberFormat="1" applyFont="1" applyFill="1"/>
    <xf numFmtId="10" fontId="34" fillId="0" borderId="18" xfId="0" applyNumberFormat="1" applyFont="1" applyBorder="1"/>
    <xf numFmtId="10" fontId="34" fillId="0" borderId="1" xfId="0" applyNumberFormat="1" applyFont="1" applyBorder="1"/>
    <xf numFmtId="10" fontId="34" fillId="0" borderId="9" xfId="0" applyNumberFormat="1" applyFont="1" applyBorder="1"/>
    <xf numFmtId="43" fontId="34" fillId="0" borderId="19" xfId="0" applyNumberFormat="1" applyFont="1" applyBorder="1"/>
    <xf numFmtId="43" fontId="34" fillId="0" borderId="10" xfId="0" applyNumberFormat="1" applyFont="1" applyBorder="1"/>
    <xf numFmtId="0" fontId="20" fillId="0" borderId="2" xfId="0" applyFont="1" applyFill="1" applyBorder="1"/>
    <xf numFmtId="10" fontId="19" fillId="0" borderId="15" xfId="1" applyNumberFormat="1" applyFont="1" applyFill="1" applyBorder="1" applyAlignment="1">
      <alignment horizontal="right" vertical="center"/>
    </xf>
    <xf numFmtId="10" fontId="20" fillId="0" borderId="15" xfId="0" applyNumberFormat="1" applyFont="1" applyFill="1" applyBorder="1" applyAlignment="1">
      <alignment horizontal="right" vertical="center"/>
    </xf>
    <xf numFmtId="166" fontId="20" fillId="0" borderId="15" xfId="4" applyNumberFormat="1" applyFont="1" applyFill="1" applyBorder="1" applyAlignment="1">
      <alignment horizontal="right" vertical="center"/>
    </xf>
    <xf numFmtId="43" fontId="23" fillId="0" borderId="45" xfId="4" applyFont="1" applyFill="1" applyBorder="1" applyAlignment="1">
      <alignment vertical="center"/>
    </xf>
    <xf numFmtId="43" fontId="21" fillId="0" borderId="45" xfId="4" applyFont="1" applyFill="1" applyBorder="1" applyAlignment="1">
      <alignment vertical="center"/>
    </xf>
    <xf numFmtId="43" fontId="20" fillId="0" borderId="45" xfId="4" applyFont="1" applyFill="1" applyBorder="1"/>
    <xf numFmtId="0" fontId="28" fillId="0" borderId="4" xfId="1" applyFont="1" applyFill="1" applyBorder="1" applyAlignment="1">
      <alignment horizontal="center" vertical="center"/>
    </xf>
    <xf numFmtId="0" fontId="30" fillId="2" borderId="5" xfId="0" applyFont="1" applyFill="1" applyBorder="1" applyAlignment="1">
      <alignment vertical="center"/>
    </xf>
    <xf numFmtId="0" fontId="52" fillId="0" borderId="1" xfId="0" applyFont="1" applyBorder="1" applyAlignment="1">
      <alignment horizontal="center" vertical="center" wrapText="1"/>
    </xf>
    <xf numFmtId="0" fontId="21" fillId="0" borderId="1" xfId="0" applyFont="1" applyBorder="1" applyAlignment="1">
      <alignment horizontal="center" vertical="center"/>
    </xf>
    <xf numFmtId="0" fontId="21" fillId="0" borderId="1" xfId="0" applyFont="1" applyBorder="1" applyAlignment="1">
      <alignment horizontal="center" vertical="center" wrapText="1"/>
    </xf>
    <xf numFmtId="0" fontId="53" fillId="0" borderId="1" xfId="0" applyFont="1" applyBorder="1" applyAlignment="1">
      <alignment horizontal="center" vertical="center"/>
    </xf>
    <xf numFmtId="0" fontId="53" fillId="0" borderId="1" xfId="0" applyFont="1" applyBorder="1" applyAlignment="1">
      <alignment horizontal="center" vertical="center" wrapText="1"/>
    </xf>
    <xf numFmtId="0" fontId="52" fillId="0" borderId="1" xfId="0" applyFont="1" applyBorder="1" applyAlignment="1">
      <alignment horizontal="center" vertical="center"/>
    </xf>
    <xf numFmtId="164" fontId="20" fillId="8" borderId="1" xfId="0" applyNumberFormat="1" applyFont="1" applyFill="1" applyBorder="1"/>
    <xf numFmtId="164" fontId="22" fillId="8" borderId="4" xfId="2" applyNumberFormat="1" applyFont="1" applyFill="1" applyBorder="1" applyAlignment="1">
      <alignment horizontal="center"/>
    </xf>
    <xf numFmtId="0" fontId="44" fillId="16" borderId="34" xfId="0" applyFont="1" applyFill="1" applyBorder="1" applyAlignment="1">
      <alignment horizontal="center" vertical="center"/>
    </xf>
    <xf numFmtId="0" fontId="44" fillId="16" borderId="39" xfId="0" applyFont="1" applyFill="1"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17" xfId="0" applyBorder="1" applyAlignment="1">
      <alignment horizontal="center"/>
    </xf>
    <xf numFmtId="0" fontId="0" fillId="0" borderId="19" xfId="0" applyBorder="1" applyAlignment="1">
      <alignment horizontal="center"/>
    </xf>
    <xf numFmtId="0" fontId="0" fillId="0" borderId="31" xfId="0" applyBorder="1" applyAlignment="1">
      <alignment horizontal="center"/>
    </xf>
    <xf numFmtId="0" fontId="0" fillId="0" borderId="17" xfId="0" applyBorder="1" applyAlignment="1">
      <alignment horizontal="center" vertical="center"/>
    </xf>
    <xf numFmtId="0" fontId="0" fillId="0" borderId="19" xfId="0" applyBorder="1" applyAlignment="1">
      <alignment horizontal="center" vertical="center"/>
    </xf>
    <xf numFmtId="0" fontId="0" fillId="0" borderId="33" xfId="0" applyBorder="1" applyAlignment="1">
      <alignment horizontal="center"/>
    </xf>
    <xf numFmtId="0" fontId="44" fillId="16" borderId="17" xfId="0" applyFont="1" applyFill="1" applyBorder="1" applyAlignment="1">
      <alignment horizontal="center"/>
    </xf>
    <xf numFmtId="0" fontId="44" fillId="16" borderId="18" xfId="0" applyFont="1" applyFill="1" applyBorder="1" applyAlignment="1">
      <alignment horizontal="center"/>
    </xf>
    <xf numFmtId="0" fontId="44" fillId="16" borderId="19" xfId="0" applyFont="1" applyFill="1" applyBorder="1" applyAlignment="1">
      <alignment horizontal="center"/>
    </xf>
    <xf numFmtId="0" fontId="44" fillId="16" borderId="31" xfId="0" applyFont="1" applyFill="1" applyBorder="1" applyAlignment="1">
      <alignment horizontal="center"/>
    </xf>
    <xf numFmtId="0" fontId="44" fillId="16" borderId="33" xfId="0" applyFont="1" applyFill="1" applyBorder="1" applyAlignment="1">
      <alignment horizontal="center"/>
    </xf>
    <xf numFmtId="0" fontId="1" fillId="0" borderId="0" xfId="0" applyFont="1" applyAlignment="1">
      <alignment horizontal="center"/>
    </xf>
    <xf numFmtId="0" fontId="0" fillId="0" borderId="0" xfId="0" applyAlignment="1">
      <alignment horizontal="center"/>
    </xf>
    <xf numFmtId="0" fontId="34" fillId="15" borderId="0" xfId="0" applyFont="1" applyFill="1" applyAlignment="1">
      <alignment horizontal="center" vertical="center"/>
    </xf>
    <xf numFmtId="0" fontId="7" fillId="14" borderId="0" xfId="0" applyFont="1" applyFill="1" applyAlignment="1">
      <alignment horizontal="center" vertical="center"/>
    </xf>
    <xf numFmtId="0" fontId="11" fillId="14" borderId="0" xfId="0" applyFont="1" applyFill="1" applyAlignment="1">
      <alignment horizontal="center" vertical="center"/>
    </xf>
    <xf numFmtId="0" fontId="11" fillId="0" borderId="8" xfId="0" applyFont="1" applyBorder="1" applyAlignment="1">
      <alignment horizontal="center"/>
    </xf>
    <xf numFmtId="0" fontId="11" fillId="0" borderId="9" xfId="0" applyFont="1" applyBorder="1" applyAlignment="1">
      <alignment horizontal="center"/>
    </xf>
    <xf numFmtId="0" fontId="11" fillId="7" borderId="0" xfId="0" applyFont="1" applyFill="1" applyAlignment="1">
      <alignment horizontal="center" vertical="center"/>
    </xf>
    <xf numFmtId="0" fontId="11" fillId="10" borderId="0" xfId="0" applyFont="1" applyFill="1" applyAlignment="1">
      <alignment horizontal="center" vertical="center"/>
    </xf>
    <xf numFmtId="0" fontId="11" fillId="11" borderId="0" xfId="0" applyFont="1" applyFill="1" applyAlignment="1">
      <alignment horizontal="center" vertical="center"/>
    </xf>
  </cellXfs>
  <cellStyles count="190">
    <cellStyle name="Comma" xfId="4" builtinId="3"/>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Normal" xfId="0" builtinId="0"/>
    <cellStyle name="Percent" xfId="5" builtinId="5"/>
    <cellStyle name="千位分隔 2" xfId="2"/>
    <cellStyle name="常规 2" xfId="1"/>
    <cellStyle name="常规 4" xfId="3"/>
  </cellStyles>
  <dxfs count="170">
    <dxf>
      <font>
        <color rgb="FF9C0006"/>
      </font>
      <fill>
        <patternFill>
          <bgColor rgb="FFFFC7CE"/>
        </patternFill>
      </fill>
    </dxf>
    <dxf>
      <fill>
        <patternFill patternType="solid">
          <bgColor rgb="FFFFC000"/>
        </patternFill>
      </fill>
    </dxf>
    <dxf>
      <fill>
        <patternFill patternType="solid">
          <bgColor rgb="FFFFC000"/>
        </patternFill>
      </fill>
    </dxf>
    <dxf>
      <border>
        <bottom style="medium">
          <color indexed="64"/>
        </bottom>
      </border>
    </dxf>
    <dxf>
      <border>
        <bottom style="medium">
          <color indexed="64"/>
        </bottom>
      </border>
    </dxf>
    <dxf>
      <border>
        <top style="medium">
          <color indexed="64"/>
        </top>
      </border>
    </dxf>
    <dxf>
      <border>
        <top style="medium">
          <color indexed="64"/>
        </top>
      </border>
    </dxf>
    <dxf>
      <font>
        <sz val="9"/>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alignment horizontal="center"/>
    </dxf>
    <dxf>
      <alignment horizontal="center"/>
    </dxf>
    <dxf>
      <border>
        <top style="medium">
          <color indexed="64"/>
        </top>
      </border>
    </dxf>
    <dxf>
      <border>
        <top style="medium">
          <color indexed="64"/>
        </top>
      </border>
    </dxf>
    <dxf>
      <font>
        <sz val="9"/>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alignment horizontal="center" readingOrder="0"/>
    </dxf>
    <dxf>
      <fill>
        <patternFill patternType="solid">
          <bgColor rgb="FFFFC000"/>
        </patternFill>
      </fill>
    </dxf>
    <dxf>
      <fill>
        <patternFill patternType="solid">
          <bgColor rgb="FFFFC000"/>
        </patternFill>
      </fill>
    </dxf>
    <dxf>
      <border>
        <bottom style="medium">
          <color indexed="64"/>
        </bottom>
      </border>
    </dxf>
    <dxf>
      <border>
        <bottom style="medium">
          <color indexed="64"/>
        </bottom>
      </border>
    </dxf>
    <dxf>
      <border>
        <top style="medium">
          <color indexed="64"/>
        </top>
      </border>
    </dxf>
    <dxf>
      <border>
        <top style="medium">
          <color indexed="64"/>
        </top>
      </border>
    </dxf>
    <dxf>
      <font>
        <sz val="9"/>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alignment horizontal="center"/>
    </dxf>
    <dxf>
      <alignment horizontal="center"/>
    </dxf>
    <dxf>
      <numFmt numFmtId="35" formatCode="_(* #,##0.00_);_(* \(#,##0.00\);_(* &quot;-&quot;??_);_(@_)"/>
    </dxf>
    <dxf>
      <fill>
        <patternFill patternType="solid">
          <bgColor rgb="FFFFC000"/>
        </patternFill>
      </fill>
    </dxf>
    <dxf>
      <fill>
        <patternFill patternType="solid">
          <bgColor rgb="FFFFC000"/>
        </patternFill>
      </fill>
    </dxf>
    <dxf>
      <border>
        <bottom style="medium">
          <color indexed="64"/>
        </bottom>
      </border>
    </dxf>
    <dxf>
      <border>
        <bottom style="medium">
          <color indexed="64"/>
        </bottom>
      </border>
    </dxf>
    <dxf>
      <border>
        <top style="medium">
          <color indexed="64"/>
        </top>
      </border>
    </dxf>
    <dxf>
      <border>
        <top style="medium">
          <color indexed="64"/>
        </top>
      </border>
    </dxf>
    <dxf>
      <font>
        <sz val="9"/>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readingOrder="0"/>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alignment horizontal="center"/>
    </dxf>
    <dxf>
      <alignment horizontal="center"/>
    </dxf>
    <dxf>
      <alignment vertical="center"/>
    </dxf>
    <dxf>
      <alignment vertical="center"/>
    </dxf>
    <dxf>
      <fill>
        <patternFill>
          <bgColor rgb="FFFFC000"/>
        </patternFill>
      </fill>
    </dxf>
    <dxf>
      <fill>
        <patternFill>
          <bgColor rgb="FFFFC000"/>
        </patternFill>
      </fill>
    </dxf>
    <dxf>
      <fill>
        <patternFill patternType="solid">
          <bgColor theme="7" tint="0.39997558519241921"/>
        </patternFill>
      </fill>
    </dxf>
    <dxf>
      <fill>
        <patternFill patternType="solid">
          <bgColor theme="7" tint="0.39997558519241921"/>
        </patternFill>
      </fill>
    </dxf>
    <dxf>
      <border>
        <bottom style="medium">
          <color indexed="64"/>
        </bottom>
      </border>
    </dxf>
    <dxf>
      <border>
        <bottom style="medium">
          <color indexed="64"/>
        </bottom>
      </border>
    </dxf>
    <dxf>
      <border>
        <top style="medium">
          <color indexed="64"/>
        </top>
      </border>
    </dxf>
    <dxf>
      <border>
        <top style="medium">
          <color indexed="64"/>
        </top>
      </border>
    </dxf>
    <dxf>
      <font>
        <sz val="9"/>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alignment horizontal="center" readingOrder="0"/>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alignment horizontal="center"/>
    </dxf>
    <dxf>
      <alignment horizontal="center"/>
    </dxf>
    <dxf>
      <alignment vertical="center"/>
    </dxf>
    <dxf>
      <alignment vertical="center"/>
    </dxf>
    <dxf>
      <numFmt numFmtId="14" formatCode="0.00%"/>
    </dxf>
    <dxf>
      <fill>
        <patternFill patternType="solid">
          <bgColor rgb="FFFFC000"/>
        </patternFill>
      </fill>
    </dxf>
    <dxf>
      <fill>
        <patternFill patternType="solid">
          <bgColor rgb="FFFFC000"/>
        </patternFill>
      </fill>
    </dxf>
    <dxf>
      <border>
        <bottom style="medium">
          <color indexed="64"/>
        </bottom>
      </border>
    </dxf>
    <dxf>
      <border>
        <bottom style="medium">
          <color indexed="64"/>
        </bottom>
      </border>
    </dxf>
    <dxf>
      <border>
        <top style="medium">
          <color indexed="64"/>
        </top>
      </border>
    </dxf>
    <dxf>
      <border>
        <top style="medium">
          <color indexed="64"/>
        </top>
      </border>
    </dxf>
    <dxf>
      <font>
        <sz val="9"/>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alignment horizontal="center"/>
    </dxf>
    <dxf>
      <alignment vertical="center"/>
    </dxf>
    <dxf>
      <numFmt numFmtId="14" formatCode="0.00%"/>
    </dxf>
    <dxf>
      <fill>
        <patternFill patternType="solid">
          <bgColor rgb="FFFFC000"/>
        </patternFill>
      </fill>
    </dxf>
    <dxf>
      <fill>
        <patternFill patternType="solid">
          <bgColor rgb="FFFFC000"/>
        </patternFill>
      </fill>
    </dxf>
    <dxf>
      <border>
        <bottom style="medium">
          <color indexed="64"/>
        </bottom>
      </border>
    </dxf>
    <dxf>
      <border>
        <bottom style="medium">
          <color indexed="64"/>
        </bottom>
      </border>
    </dxf>
    <dxf>
      <border>
        <top style="medium">
          <color indexed="64"/>
        </top>
      </border>
    </dxf>
    <dxf>
      <border>
        <top style="medium">
          <color indexed="64"/>
        </top>
      </border>
    </dxf>
    <dxf>
      <font>
        <sz val="9"/>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alignment horizontal="center"/>
    </dxf>
    <dxf>
      <alignment horizontal="center"/>
    </dxf>
    <dxf>
      <fill>
        <patternFill patternType="solid">
          <bgColor rgb="FFFFC000"/>
        </patternFill>
      </fill>
    </dxf>
    <dxf>
      <fill>
        <patternFill patternType="solid">
          <bgColor rgb="FFFFC000"/>
        </patternFill>
      </fill>
    </dxf>
    <dxf>
      <alignment horizontal="center" readingOrder="0"/>
    </dxf>
    <dxf>
      <alignment horizontal="center" readingOrder="0"/>
    </dxf>
    <dxf>
      <border>
        <right style="dotted">
          <color indexed="64"/>
        </right>
        <top style="dotted">
          <color indexed="64"/>
        </top>
      </border>
    </dxf>
    <dxf>
      <border>
        <right style="dotted">
          <color indexed="64"/>
        </right>
        <top style="dotted">
          <color indexed="64"/>
        </top>
      </border>
    </dxf>
    <dxf>
      <border>
        <right style="dotted">
          <color indexed="64"/>
        </right>
        <top style="dotted">
          <color indexed="64"/>
        </top>
      </border>
    </dxf>
    <dxf>
      <border>
        <right style="dotted">
          <color indexed="64"/>
        </right>
        <top style="dotted">
          <color indexed="64"/>
        </top>
      </border>
    </dxf>
    <dxf>
      <border>
        <right style="dotted">
          <color indexed="64"/>
        </right>
        <top style="dotted">
          <color indexed="64"/>
        </top>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dotted">
          <color indexed="64"/>
        </left>
        <right style="dotted">
          <color indexed="64"/>
        </right>
        <top style="dotted">
          <color indexed="64"/>
        </top>
        <bottom style="dotted">
          <color indexed="64"/>
        </bottom>
        <vertical style="dotted">
          <color indexed="64"/>
        </vertical>
      </border>
    </dxf>
    <dxf>
      <border>
        <left style="dotted">
          <color indexed="64"/>
        </left>
        <right style="dotted">
          <color indexed="64"/>
        </right>
        <top style="dotted">
          <color indexed="64"/>
        </top>
        <bottom style="dotted">
          <color indexed="64"/>
        </bottom>
        <vertical style="dotted">
          <color indexed="64"/>
        </vertical>
      </border>
    </dxf>
    <dxf>
      <border>
        <top style="medium">
          <color indexed="64"/>
        </top>
      </border>
    </dxf>
    <dxf>
      <border>
        <left style="medium">
          <color indexed="64"/>
        </left>
        <right style="medium">
          <color indexed="64"/>
        </right>
        <bottom style="medium">
          <color indexed="64"/>
        </bottom>
      </border>
    </dxf>
    <dxf>
      <border>
        <left style="dotted">
          <color indexed="64"/>
        </left>
        <top style="dotted">
          <color indexed="64"/>
        </top>
        <bottom style="dotted">
          <color indexed="64"/>
        </bottom>
      </border>
    </dxf>
    <dxf>
      <fill>
        <patternFill>
          <bgColor rgb="FFFFC000"/>
        </patternFill>
      </fill>
    </dxf>
    <dxf>
      <fill>
        <patternFill>
          <bgColor rgb="FFFFC000"/>
        </patternFill>
      </fill>
    </dxf>
    <dxf>
      <border>
        <right style="dotted">
          <color indexed="64"/>
        </right>
        <top style="dotted">
          <color indexed="64"/>
        </top>
        <bottom style="dotted">
          <color indexed="64"/>
        </bottom>
      </border>
    </dxf>
    <dxf>
      <border>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left style="dotted">
          <color indexed="64"/>
        </left>
        <right style="dotted">
          <color indexed="64"/>
        </right>
        <top style="dotted">
          <color indexed="64"/>
        </top>
        <bottom style="dotted">
          <color indexed="64"/>
        </bottom>
      </border>
    </dxf>
    <dxf>
      <border>
        <bottom style="medium">
          <color indexed="64"/>
        </bottom>
      </border>
    </dxf>
    <dxf>
      <border>
        <bottom style="medium">
          <color indexed="64"/>
        </bottom>
      </border>
    </dxf>
    <dxf>
      <font>
        <sz val="9"/>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vertical="center" readingOrder="0"/>
    </dxf>
    <dxf>
      <alignment horizontal="center"/>
    </dxf>
    <dxf>
      <alignment horizontal="center"/>
    </dxf>
    <dxf>
      <alignment vertical="center"/>
    </dxf>
    <dxf>
      <alignment vertical="center"/>
    </dxf>
    <dxf>
      <border>
        <left style="dotted">
          <color indexed="64"/>
        </left>
        <top style="dotted">
          <color indexed="64"/>
        </top>
        <bottom style="dotted">
          <color indexed="64"/>
        </bottom>
        <vertical style="dotted">
          <color indexed="64"/>
        </vertical>
        <horizontal style="dotted">
          <color indexed="64"/>
        </horizontal>
      </border>
    </dxf>
    <dxf>
      <numFmt numFmtId="35" formatCode="_(* #,##0.00_);_(* \(#,##0.00\);_(* &quot;-&quot;??_);_(@_)"/>
    </dxf>
    <dxf>
      <numFmt numFmtId="35" formatCode="_(* #,##0.00_);_(* \(#,##0.00\);_(* &quot;-&quot;??_);_(@_)"/>
    </dxf>
    <dxf>
      <alignment horizontal="general" vertical="bottom" textRotation="0" wrapText="1" indent="0" justifyLastLine="0" shrinkToFit="0" readingOrder="0"/>
    </dxf>
    <dxf>
      <numFmt numFmtId="19" formatCode="m/d/yy"/>
    </dxf>
    <dxf>
      <numFmt numFmtId="19" formatCode="m/d/yy"/>
    </dxf>
    <dxf>
      <numFmt numFmtId="19" formatCode="m/d/yy"/>
    </dxf>
    <dxf>
      <numFmt numFmtId="19" formatCode="m/d/yy"/>
    </dxf>
  </dxfs>
  <tableStyles count="1" defaultTableStyle="TableStyleMedium9" defaultPivotStyle="PivotStyleMedium7">
    <tableStyle name="Table Style 1" pivot="0" count="0"/>
  </tableStyles>
  <colors>
    <mruColors>
      <color rgb="FFFF9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3" Type="http://schemas.openxmlformats.org/officeDocument/2006/relationships/pivotCacheDefinition" Target="pivotCache/pivotCacheDefinition3.xml"/><Relationship Id="rId14" Type="http://schemas.openxmlformats.org/officeDocument/2006/relationships/pivotCacheDefinition" Target="pivotCache/pivotCacheDefinition4.xml"/><Relationship Id="rId15" Type="http://schemas.openxmlformats.org/officeDocument/2006/relationships/pivotCacheDefinition" Target="pivotCache/pivotCacheDefinition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Haifeng Xu" refreshedDate="42569.526495486112" createdVersion="3" refreshedVersion="4" minRefreshableVersion="3" recordCount="22">
  <cacheSource type="worksheet">
    <worksheetSource ref="A1:AO23" sheet="统计"/>
  </cacheSource>
  <cacheFields count="43">
    <cacheField name="产品名称" numFmtId="0">
      <sharedItems/>
    </cacheField>
    <cacheField name="资产是否入池" numFmtId="0">
      <sharedItems containsSemiMixedTypes="0" containsString="0" containsNumber="1" containsInteger="1" minValue="1" maxValue="1"/>
    </cacheField>
    <cacheField name="总期限（月）*本资产存续金额" numFmtId="43">
      <sharedItems containsSemiMixedTypes="0" containsString="0" containsNumber="1" containsInteger="1" minValue="127200000" maxValue="1200000000"/>
    </cacheField>
    <cacheField name="期限（月）" numFmtId="0">
      <sharedItems containsSemiMixedTypes="0" containsString="0" containsNumber="1" containsInteger="1" minValue="18" maxValue="24"/>
    </cacheField>
    <cacheField name="剩余月份*本资产存续金额" numFmtId="43">
      <sharedItems containsSemiMixedTypes="0" containsString="0" containsNumber="1" containsInteger="1" minValue="20100000" maxValue="850000000"/>
    </cacheField>
    <cacheField name="资产到期日与封包日（月）" numFmtId="0">
      <sharedItems containsSemiMixedTypes="0" containsString="0" containsNumber="1" containsInteger="1" minValue="2" maxValue="17"/>
    </cacheField>
    <cacheField name="资产起息日" numFmtId="165">
      <sharedItems containsSemiMixedTypes="0" containsNonDate="0" containsDate="1" containsString="0" minDate="2014-10-31T00:00:00" maxDate="2016-02-03T00:00:00"/>
    </cacheField>
    <cacheField name="资产到期日" numFmtId="165">
      <sharedItems containsSemiMixedTypes="0" containsNonDate="0" containsDate="1" containsString="0" minDate="2016-10-31T00:00:00" maxDate="2018-02-03T00:00:00"/>
    </cacheField>
    <cacheField name="预期年化收益率" numFmtId="167">
      <sharedItems containsSemiMixedTypes="0" containsString="0" containsNumber="1" minValue="7.1999999999999995E-2" maxValue="0.108"/>
    </cacheField>
    <cacheField name="按新收益率核算(7%)" numFmtId="167">
      <sharedItems containsSemiMixedTypes="0" containsString="0" containsNumber="1" minValue="7.0000000000000007E-2" maxValue="7.0000000000000007E-2"/>
    </cacheField>
    <cacheField name="核算利差(7%)" numFmtId="43">
      <sharedItems containsSemiMixedTypes="0" containsString="0" containsNumber="1" minValue="17095.89" maxValue="612190.68000000005"/>
    </cacheField>
    <cacheField name="按新收益率核算(7.5%)" numFmtId="167">
      <sharedItems containsSemiMixedTypes="0" containsString="0" containsNumber="1" minValue="7.4999999999999997E-2" maxValue="7.4999999999999997E-2"/>
    </cacheField>
    <cacheField name="核算利差(7.5%)" numFmtId="43">
      <sharedItems containsSemiMixedTypes="0" containsString="0" containsNumber="1" minValue="0" maxValue="402328.77"/>
    </cacheField>
    <cacheField name="年化基数（365/360）" numFmtId="166">
      <sharedItems containsSemiMixedTypes="0" containsString="0" containsNumber="1" containsInteger="1" minValue="365" maxValue="365"/>
    </cacheField>
    <cacheField name="底层基础资产信托合同编号" numFmtId="0">
      <sharedItems containsNonDate="0" containsString="0" containsBlank="1"/>
    </cacheField>
    <cacheField name="合同编号" numFmtId="0">
      <sharedItems/>
    </cacheField>
    <cacheField name="底层资产授信规模（元）" numFmtId="0">
      <sharedItems containsNonDate="0" containsString="0" containsBlank="1"/>
    </cacheField>
    <cacheField name="底层资产实际成立规模（元）" numFmtId="0">
      <sharedItems containsNonDate="0" containsString="0" containsBlank="1"/>
    </cacheField>
    <cacheField name="封包日" numFmtId="165">
      <sharedItems containsSemiMixedTypes="0" containsNonDate="0" containsDate="1" containsString="0" minDate="2016-08-10T00:00:00" maxDate="2016-08-11T00:00:00"/>
    </cacheField>
    <cacheField name="本资产打包金额（元）" numFmtId="164">
      <sharedItems containsSemiMixedTypes="0" containsString="0" containsNumber="1" containsInteger="1" minValue="5300000" maxValue="50000000"/>
    </cacheField>
    <cacheField name="基础资产的全部利息（元）" numFmtId="43">
      <sharedItems containsSemiMixedTypes="0" containsString="0" containsNumber="1" minValue="1067917.81" maxValue="10814794.52"/>
    </cacheField>
    <cacheField name="封包后产生的利息（元）" numFmtId="43">
      <sharedItems containsSemiMixedTypes="0" containsString="0" containsNumber="1" minValue="231948.49" maxValue="5569863.0099999998"/>
    </cacheField>
    <cacheField name="根据（基础资产现金流）测算" numFmtId="43">
      <sharedItems containsSemiMixedTypes="0" containsString="0" containsNumber="1" minValue="1067917.8099999998" maxValue="10814794.52"/>
    </cacheField>
    <cacheField name="是否相等" numFmtId="43">
      <sharedItems containsSemiMixedTypes="0" containsString="0" containsNumber="1" minValue="-9.9999997764825821E-3" maxValue="1.0000000707805157E-2"/>
    </cacheField>
    <cacheField name="调整后产生的利息（元）" numFmtId="43">
      <sharedItems containsSemiMixedTypes="0" containsString="0" containsNumber="1" minValue="161075.34" maxValue="5496575.3399999999"/>
    </cacheField>
    <cacheField name="本年终止日" numFmtId="165">
      <sharedItems containsSemiMixedTypes="0" containsNonDate="0" containsDate="1" containsString="0" minDate="2016-10-31T00:00:00" maxDate="2017-01-01T00:00:00"/>
    </cacheField>
    <cacheField name="资产本年度总利息" numFmtId="43">
      <sharedItems containsSemiMixedTypes="0" containsString="0" containsNumber="1" minValue="211561.64" maxValue="1488767.12"/>
    </cacheField>
    <cacheField name="分配周期" numFmtId="0">
      <sharedItems/>
    </cacheField>
    <cacheField name="分配周期（月）" numFmtId="0">
      <sharedItems containsString="0" containsBlank="1" containsNumber="1" containsInteger="1" minValue="3" maxValue="12"/>
    </cacheField>
    <cacheField name="实际借款人" numFmtId="0">
      <sharedItems/>
    </cacheField>
    <cacheField name="底层资产受托人" numFmtId="0">
      <sharedItems/>
    </cacheField>
    <cacheField name="主体评级" numFmtId="0">
      <sharedItems containsNonDate="0" containsString="0" containsBlank="1"/>
    </cacheField>
    <cacheField name="借款人行业（基建、房地产、工商）" numFmtId="0">
      <sharedItems/>
    </cacheField>
    <cacheField name="借款人所在省" numFmtId="0">
      <sharedItems count="10">
        <s v="四川"/>
        <s v="浙江"/>
        <s v="江苏"/>
        <s v="贵州"/>
        <s v="重庆"/>
        <s v="广西"/>
        <s v="湖南"/>
        <s v="山东"/>
        <s v="云南"/>
        <s v="陕西"/>
      </sharedItems>
    </cacheField>
    <cacheField name="借款人所在市/县" numFmtId="0">
      <sharedItems/>
    </cacheField>
    <cacheField name="保证人" numFmtId="0">
      <sharedItems containsBlank="1"/>
    </cacheField>
    <cacheField name="贷款担保方式（抵押、质押、保证）" numFmtId="0">
      <sharedItems/>
    </cacheField>
    <cacheField name="NOTE" numFmtId="0">
      <sharedItems longText="1"/>
    </cacheField>
    <cacheField name="剩余期限(天）" numFmtId="0">
      <sharedItems containsSemiMixedTypes="0" containsString="0" containsNumber="1" containsInteger="1" minValue="82" maxValue="541"/>
    </cacheField>
    <cacheField name="剩余期限(年）" numFmtId="0">
      <sharedItems containsSemiMixedTypes="0" containsString="0" containsNumber="1" containsInteger="1" minValue="0" maxValue="1"/>
    </cacheField>
    <cacheField name="信托合同剩余期限" numFmtId="0">
      <sharedItems/>
    </cacheField>
    <cacheField name="信托合同期限" numFmtId="0">
      <sharedItems/>
    </cacheField>
    <cacheField name="信托受益权总额" numFmtId="0">
      <sharedItems count="4">
        <s v="1000万（含）以下"/>
        <s v="1000万（不含）至3000万（含）"/>
        <s v="3000万（不含）到5000万（含）"/>
        <s v="1000万（不含）至5000万（含）"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aifeng Xu" refreshedDate="42569.52652013889" createdVersion="4" refreshedVersion="4" minRefreshableVersion="3" recordCount="11">
  <cacheSource type="worksheet">
    <worksheetSource ref="L27:M38" sheet="投资者收益测算表"/>
  </cacheSource>
  <cacheFields count="2">
    <cacheField name="日期" numFmtId="165">
      <sharedItems containsSemiMixedTypes="0" containsNonDate="0" containsDate="1" containsString="0" minDate="2016-05-25T00:00:00" maxDate="2018-02-06T00:00:00" count="13">
        <d v="2016-08-10T00:00:00"/>
        <d v="2016-11-03T00:00:00"/>
        <d v="2016-11-10T00:00:00"/>
        <d v="2016-12-28T00:00:00"/>
        <d v="2017-02-09T00:00:00"/>
        <d v="2017-03-16T00:00:00"/>
        <d v="2017-06-26T00:00:00"/>
        <d v="2017-12-06T00:00:00"/>
        <d v="2017-12-21T00:00:00"/>
        <d v="2018-02-05T00:00:00"/>
        <d v="2016-05-25T00:00:00" u="1"/>
        <d v="2016-07-28T00:00:00" u="1"/>
        <d v="2018-01-15T00:00:00" u="1"/>
      </sharedItems>
    </cacheField>
    <cacheField name="支付合计" numFmtId="40">
      <sharedItems containsSemiMixedTypes="0" containsString="0" containsNumber="1" minValue="0" maxValue="181322440.1299999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Haifeng Xu" refreshedDate="42569.526522337961" createdVersion="4" refreshedVersion="4" minRefreshableVersion="3" recordCount="137">
  <cacheSource type="worksheet">
    <worksheetSource ref="A1:H138" sheet="基础资产现金流"/>
  </cacheSource>
  <cacheFields count="8">
    <cacheField name="项目名称" numFmtId="0">
      <sharedItems/>
    </cacheField>
    <cacheField name="还款日期" numFmtId="165">
      <sharedItems containsSemiMixedTypes="0" containsNonDate="0" containsDate="1" containsString="0" minDate="2014-10-31T00:00:00" maxDate="2018-02-03T00:00:00" count="146">
        <d v="2015-11-27T00:00:00"/>
        <d v="2016-08-10T00:00:00"/>
        <d v="2016-11-27T00:00:00"/>
        <d v="2017-11-27T00:00:00"/>
        <d v="2015-12-03T00:00:00"/>
        <d v="2016-12-03T00:00:00"/>
        <d v="2017-12-03T00:00:00"/>
        <d v="2015-12-04T00:00:00"/>
        <d v="2016-12-04T00:00:00"/>
        <d v="2017-12-04T00:00:00"/>
        <d v="2015-12-18T00:00:00"/>
        <d v="2016-06-20T00:00:00"/>
        <d v="2017-06-20T00:00:00"/>
        <d v="2017-12-18T00:00:00"/>
        <d v="2015-12-11T00:00:00"/>
        <d v="2015-12-21T00:00:00"/>
        <d v="2016-12-11T00:00:00"/>
        <d v="2017-12-11T00:00:00"/>
        <d v="2016-09-20T00:00:00"/>
        <d v="2017-06-18T00:00:00"/>
        <d v="2015-12-23T00:00:00"/>
        <d v="2016-12-20T00:00:00"/>
        <d v="2017-06-23T00:00:00"/>
        <d v="2016-01-05T00:00:00"/>
        <d v="2017-01-05T00:00:00"/>
        <d v="2018-01-05T00:00:00"/>
        <d v="2016-01-12T00:00:00"/>
        <d v="2018-01-12T00:00:00"/>
        <d v="2016-01-21T00:00:00"/>
        <d v="2017-01-21T00:00:00"/>
        <d v="2018-01-21T00:00:00"/>
        <d v="2016-02-02T00:00:00"/>
        <d v="2017-02-02T00:00:00"/>
        <d v="2018-02-02T00:00:00"/>
        <d v="2016-01-27T00:00:00"/>
        <d v="2017-01-27T00:00:00"/>
        <d v="2018-01-27T00:00:00"/>
        <d v="2015-03-13T00:00:00"/>
        <d v="2015-04-16T00:00:00"/>
        <d v="2015-07-16T00:00:00"/>
        <d v="2015-10-16T00:00:00"/>
        <d v="2016-01-16T00:00:00"/>
        <d v="2016-04-16T00:00:00"/>
        <d v="2016-07-16T00:00:00"/>
        <d v="2016-10-16T00:00:00"/>
        <d v="2017-01-16T00:00:00"/>
        <d v="2017-03-13T00:00:00"/>
        <d v="2015-03-25T00:00:00"/>
        <d v="2015-06-25T00:00:00"/>
        <d v="2015-09-25T00:00:00"/>
        <d v="2015-12-25T00:00:00"/>
        <d v="2016-03-25T00:00:00"/>
        <d v="2016-06-25T00:00:00"/>
        <d v="2016-09-25T00:00:00"/>
        <d v="2016-12-25T00:00:00"/>
        <d v="2014-12-05T00:00:00"/>
        <d v="2015-02-28T00:00:00"/>
        <d v="2015-05-28T00:00:00"/>
        <d v="2015-08-28T00:00:00"/>
        <d v="2015-11-28T00:00:00"/>
        <d v="2016-02-28T00:00:00"/>
        <d v="2016-05-28T00:00:00"/>
        <d v="2016-08-28T00:00:00"/>
        <d v="2016-11-28T00:00:00"/>
        <d v="2016-12-05T00:00:00"/>
        <d v="2014-12-12T00:00:00"/>
        <d v="2016-12-12T00:00:00"/>
        <d v="2015-02-06T00:00:00"/>
        <d v="2015-03-21T00:00:00"/>
        <d v="2015-06-21T00:00:00"/>
        <d v="2015-09-21T00:00:00"/>
        <d v="2016-03-21T00:00:00"/>
        <d v="2016-06-21T00:00:00"/>
        <d v="2016-09-21T00:00:00"/>
        <d v="2016-12-21T00:00:00"/>
        <d v="2017-02-06T00:00:00"/>
        <d v="2015-07-29T00:00:00"/>
        <d v="2015-10-29T00:00:00"/>
        <d v="2016-01-29T00:00:00"/>
        <d v="2016-04-29T00:00:00"/>
        <d v="2016-07-29T00:00:00"/>
        <d v="2016-10-29T00:00:00"/>
        <d v="2014-10-31T00:00:00"/>
        <d v="2015-04-30T00:00:00"/>
        <d v="2015-10-31T00:00:00"/>
        <d v="2016-04-30T00:00:00"/>
        <d v="2016-10-31T00:00:00"/>
        <d v="2014-11-07T00:00:00"/>
        <d v="2015-05-07T00:00:00"/>
        <d v="2015-11-07T00:00:00"/>
        <d v="2016-05-07T00:00:00"/>
        <d v="2016-11-07T00:00:00"/>
        <d v="2015-06-05T00:00:00"/>
        <d v="2015-12-05T00:00:00"/>
        <d v="2016-06-05T00:00:00"/>
        <d v="2016-09-13T00:00:00" u="1"/>
        <d v="2017-11-30T00:00:00" u="1"/>
        <d v="2017-02-28T00:00:00" u="1"/>
        <d v="2015-10-30T00:00:00" u="1"/>
        <d v="2016-03-26T00:00:00" u="1"/>
        <d v="2016-10-30T00:00:00" u="1"/>
        <d v="2016-01-28T00:00:00" u="1"/>
        <d v="2017-01-28T00:00:00" u="1"/>
        <d v="2015-03-12T00:00:00" u="1"/>
        <d v="2018-01-28T00:00:00" u="1"/>
        <d v="2016-03-12T00:00:00" u="1"/>
        <d v="2015-12-26T00:00:00" u="1"/>
        <d v="2015-03-05T00:00:00" u="1"/>
        <d v="2016-12-26T00:00:00" u="1"/>
        <d v="2016-03-05T00:00:00" u="1"/>
        <d v="2015-12-12T00:00:00" u="1"/>
        <d v="2015-06-13T00:00:00" u="1"/>
        <d v="2016-06-13T00:00:00" u="1"/>
        <d v="2016-03-29T00:00:00" u="1"/>
        <d v="2015-12-17T00:00:00" u="1"/>
        <d v="2017-12-17T00:00:00" u="1"/>
        <d v="2015-05-06T00:00:00" u="1"/>
        <d v="2016-05-06T00:00:00" u="1"/>
        <d v="2016-05-25T00:00:00" u="1"/>
        <d v="2015-09-26T00:00:00" u="1"/>
        <d v="2016-09-26T00:00:00" u="1"/>
        <d v="2015-12-15T00:00:00" u="1"/>
        <d v="2016-07-28T00:00:00" u="1"/>
        <d v="2016-12-15T00:00:00" u="1"/>
        <d v="2015-09-12T00:00:00" u="1"/>
        <d v="2016-09-12T00:00:00" u="1"/>
        <d v="2016-03-13T00:00:00" u="1"/>
        <d v="2015-09-05T00:00:00" u="1"/>
        <d v="2016-09-05T00:00:00" u="1"/>
        <d v="2015-12-13T00:00:00" u="1"/>
        <d v="2016-12-13T00:00:00" u="1"/>
        <d v="2015-05-21T00:00:00" u="1"/>
        <d v="2015-06-26T00:00:00" u="1"/>
        <d v="2016-06-26T00:00:00" u="1"/>
        <d v="2014-11-06T00:00:00" u="1"/>
        <d v="2016-12-18T00:00:00" u="1"/>
        <d v="2015-11-06T00:00:00" u="1"/>
        <d v="2016-11-06T00:00:00" u="1"/>
        <d v="2015-06-12T00:00:00" u="1"/>
        <d v="2016-03-16T00:00:00" u="1"/>
        <d v="2016-06-12T00:00:00" u="1"/>
        <d v="2016-03-09T00:00:00" u="1"/>
        <d v="2015-11-30T00:00:00" u="1"/>
        <d v="2016-05-12T00:00:00" u="1"/>
        <d v="2015-09-13T00:00:00" u="1"/>
        <d v="2016-11-30T00:00:00" u="1"/>
      </sharedItems>
    </cacheField>
    <cacheField name="未偿本金（元）" numFmtId="43">
      <sharedItems containsSemiMixedTypes="0" containsString="0" containsNumber="1" containsInteger="1" minValue="5300000" maxValue="50000000"/>
    </cacheField>
    <cacheField name="年华利率" numFmtId="167">
      <sharedItems containsSemiMixedTypes="0" containsString="0" containsNumber="1" minValue="7.1999999999999995E-2" maxValue="0.108"/>
    </cacheField>
    <cacheField name="年化天数" numFmtId="166">
      <sharedItems containsSemiMixedTypes="0" containsString="0" containsNumber="1" containsInteger="1" minValue="365" maxValue="365"/>
    </cacheField>
    <cacheField name="收取本金（元）" numFmtId="40">
      <sharedItems containsSemiMixedTypes="0" containsString="0" containsNumber="1" containsInteger="1" minValue="0" maxValue="50000000"/>
    </cacheField>
    <cacheField name="收取利息（元）" numFmtId="40">
      <sharedItems containsSemiMixedTypes="0" containsString="0" containsNumber="1" minValue="0" maxValue="3800000"/>
    </cacheField>
    <cacheField name="本息和" numFmtId="40">
      <sharedItems containsSemiMixedTypes="0" containsString="0" containsNumber="1" minValue="0" maxValue="538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Haifeng Xu" refreshedDate="42569.526528125003" createdVersion="3" refreshedVersion="4" minRefreshableVersion="3" recordCount="22">
  <cacheSource type="worksheet">
    <worksheetSource ref="A1:AN23" sheet="统计"/>
  </cacheSource>
  <cacheFields count="42">
    <cacheField name="产品名称" numFmtId="0">
      <sharedItems/>
    </cacheField>
    <cacheField name="资产是否入池" numFmtId="0">
      <sharedItems containsSemiMixedTypes="0" containsString="0" containsNumber="1" containsInteger="1" minValue="1" maxValue="1"/>
    </cacheField>
    <cacheField name="总期限（月）*本资产存续金额" numFmtId="43">
      <sharedItems containsSemiMixedTypes="0" containsString="0" containsNumber="1" containsInteger="1" minValue="127200000" maxValue="1200000000"/>
    </cacheField>
    <cacheField name="期限（月）" numFmtId="0">
      <sharedItems containsSemiMixedTypes="0" containsString="0" containsNumber="1" containsInteger="1" minValue="18" maxValue="24"/>
    </cacheField>
    <cacheField name="剩余月份*本资产存续金额" numFmtId="43">
      <sharedItems containsSemiMixedTypes="0" containsString="0" containsNumber="1" containsInteger="1" minValue="20100000" maxValue="850000000"/>
    </cacheField>
    <cacheField name="资产到期日与封包日（月）" numFmtId="0">
      <sharedItems containsSemiMixedTypes="0" containsString="0" containsNumber="1" containsInteger="1" minValue="2" maxValue="17"/>
    </cacheField>
    <cacheField name="资产起息日" numFmtId="165">
      <sharedItems containsSemiMixedTypes="0" containsNonDate="0" containsDate="1" containsString="0" minDate="2014-10-31T00:00:00" maxDate="2016-02-03T00:00:00"/>
    </cacheField>
    <cacheField name="资产到期日" numFmtId="165">
      <sharedItems containsSemiMixedTypes="0" containsNonDate="0" containsDate="1" containsString="0" minDate="2016-10-31T00:00:00" maxDate="2018-02-03T00:00:00"/>
    </cacheField>
    <cacheField name="预期年化收益率" numFmtId="167">
      <sharedItems containsSemiMixedTypes="0" containsString="0" containsNumber="1" minValue="7.1999999999999995E-2" maxValue="0.108"/>
    </cacheField>
    <cacheField name="按新收益率核算(7%)" numFmtId="167">
      <sharedItems containsSemiMixedTypes="0" containsString="0" containsNumber="1" minValue="7.0000000000000007E-2" maxValue="7.0000000000000007E-2"/>
    </cacheField>
    <cacheField name="核算利差(7%)" numFmtId="43">
      <sharedItems containsSemiMixedTypes="0" containsString="0" containsNumber="1" minValue="17095.89" maxValue="612190.68000000005"/>
    </cacheField>
    <cacheField name="按新收益率核算(7.5%)" numFmtId="167">
      <sharedItems containsSemiMixedTypes="0" containsString="0" containsNumber="1" minValue="7.4999999999999997E-2" maxValue="7.4999999999999997E-2"/>
    </cacheField>
    <cacheField name="核算利差(7.5%)" numFmtId="43">
      <sharedItems containsSemiMixedTypes="0" containsString="0" containsNumber="1" minValue="0" maxValue="402328.77"/>
    </cacheField>
    <cacheField name="年化基数（365/360）" numFmtId="166">
      <sharedItems containsSemiMixedTypes="0" containsString="0" containsNumber="1" containsInteger="1" minValue="365" maxValue="365"/>
    </cacheField>
    <cacheField name="底层基础资产信托合同编号" numFmtId="0">
      <sharedItems containsNonDate="0" containsString="0" containsBlank="1"/>
    </cacheField>
    <cacheField name="合同编号" numFmtId="0">
      <sharedItems/>
    </cacheField>
    <cacheField name="底层资产授信规模（元）" numFmtId="0">
      <sharedItems containsNonDate="0" containsString="0" containsBlank="1"/>
    </cacheField>
    <cacheField name="底层资产实际成立规模（元）" numFmtId="0">
      <sharedItems containsNonDate="0" containsString="0" containsBlank="1"/>
    </cacheField>
    <cacheField name="封包日" numFmtId="165">
      <sharedItems containsSemiMixedTypes="0" containsNonDate="0" containsDate="1" containsString="0" minDate="2016-08-10T00:00:00" maxDate="2016-08-11T00:00:00"/>
    </cacheField>
    <cacheField name="本资产打包金额（元）" numFmtId="164">
      <sharedItems containsSemiMixedTypes="0" containsString="0" containsNumber="1" containsInteger="1" minValue="5300000" maxValue="50000000"/>
    </cacheField>
    <cacheField name="基础资产的全部利息（元）" numFmtId="43">
      <sharedItems containsSemiMixedTypes="0" containsString="0" containsNumber="1" minValue="1067917.81" maxValue="10814794.52"/>
    </cacheField>
    <cacheField name="封包后产生的利息（元）" numFmtId="43">
      <sharedItems containsSemiMixedTypes="0" containsString="0" containsNumber="1" minValue="231948.49" maxValue="5569863.0099999998"/>
    </cacheField>
    <cacheField name="根据（基础资产现金流）测算" numFmtId="43">
      <sharedItems containsSemiMixedTypes="0" containsString="0" containsNumber="1" minValue="1067917.8099999998" maxValue="10814794.52"/>
    </cacheField>
    <cacheField name="是否相等" numFmtId="43">
      <sharedItems containsSemiMixedTypes="0" containsString="0" containsNumber="1" minValue="-9.9999997764825821E-3" maxValue="1.0000000707805157E-2"/>
    </cacheField>
    <cacheField name="调整后产生的利息（元）" numFmtId="43">
      <sharedItems containsSemiMixedTypes="0" containsString="0" containsNumber="1" minValue="161075.34" maxValue="5496575.3399999999"/>
    </cacheField>
    <cacheField name="本年终止日" numFmtId="165">
      <sharedItems containsSemiMixedTypes="0" containsNonDate="0" containsDate="1" containsString="0" minDate="2016-10-31T00:00:00" maxDate="2017-01-01T00:00:00"/>
    </cacheField>
    <cacheField name="资产本年度总利息" numFmtId="43">
      <sharedItems containsSemiMixedTypes="0" containsString="0" containsNumber="1" minValue="211561.64" maxValue="1488767.12"/>
    </cacheField>
    <cacheField name="分配周期" numFmtId="0">
      <sharedItems/>
    </cacheField>
    <cacheField name="分配周期（月）" numFmtId="0">
      <sharedItems containsString="0" containsBlank="1" containsNumber="1" containsInteger="1" minValue="3" maxValue="12"/>
    </cacheField>
    <cacheField name="实际借款人" numFmtId="0">
      <sharedItems/>
    </cacheField>
    <cacheField name="底层资产受托人" numFmtId="0">
      <sharedItems/>
    </cacheField>
    <cacheField name="主体评级" numFmtId="0">
      <sharedItems containsNonDate="0" containsString="0" containsBlank="1"/>
    </cacheField>
    <cacheField name="借款人行业（基建、房地产、工商）" numFmtId="0">
      <sharedItems/>
    </cacheField>
    <cacheField name="借款人所在省" numFmtId="0">
      <sharedItems/>
    </cacheField>
    <cacheField name="借款人所在市/县" numFmtId="0">
      <sharedItems/>
    </cacheField>
    <cacheField name="保证人" numFmtId="0">
      <sharedItems containsBlank="1"/>
    </cacheField>
    <cacheField name="贷款担保方式（抵押、质押、保证）" numFmtId="0">
      <sharedItems/>
    </cacheField>
    <cacheField name="NOTE" numFmtId="0">
      <sharedItems longText="1"/>
    </cacheField>
    <cacheField name="剩余期限(天）" numFmtId="0">
      <sharedItems containsSemiMixedTypes="0" containsString="0" containsNumber="1" containsInteger="1" minValue="82" maxValue="541"/>
    </cacheField>
    <cacheField name="剩余期限(年）" numFmtId="0">
      <sharedItems containsSemiMixedTypes="0" containsString="0" containsNumber="1" containsInteger="1" minValue="0" maxValue="1"/>
    </cacheField>
    <cacheField name="信托合同剩余期限" numFmtId="0">
      <sharedItems count="2">
        <s v="一年以内"/>
        <s v="一到二年以内"/>
      </sharedItems>
    </cacheField>
    <cacheField name="信托合同期限" numFmtId="0">
      <sharedItems count="2">
        <s v="一到二年以内"/>
        <s v="一年以内" u="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Haifeng Xu" refreshedDate="42591.600371990738" createdVersion="3" refreshedVersion="4" minRefreshableVersion="3" recordCount="22">
  <cacheSource type="worksheet">
    <worksheetSource ref="A1:AL23" sheet="统计"/>
  </cacheSource>
  <cacheFields count="40">
    <cacheField name="产品名称" numFmtId="0">
      <sharedItems/>
    </cacheField>
    <cacheField name="资产是否入池" numFmtId="0">
      <sharedItems containsSemiMixedTypes="0" containsString="0" containsNumber="1" containsInteger="1" minValue="1" maxValue="1"/>
    </cacheField>
    <cacheField name="总期限（月）*本资产存续金额" numFmtId="43">
      <sharedItems containsSemiMixedTypes="0" containsString="0" containsNumber="1" containsInteger="1" minValue="127200000" maxValue="1200000000"/>
    </cacheField>
    <cacheField name="期限（月）" numFmtId="0">
      <sharedItems containsSemiMixedTypes="0" containsString="0" containsNumber="1" containsInteger="1" minValue="18" maxValue="24"/>
    </cacheField>
    <cacheField name="剩余月份*本资产存续金额" numFmtId="43">
      <sharedItems containsSemiMixedTypes="0" containsString="0" containsNumber="1" containsInteger="1" minValue="20100000" maxValue="800000000"/>
    </cacheField>
    <cacheField name="资产到期日与封包日（月）" numFmtId="0">
      <sharedItems containsSemiMixedTypes="0" containsString="0" containsNumber="1" containsInteger="1" minValue="2" maxValue="17"/>
    </cacheField>
    <cacheField name="资产起息日" numFmtId="165">
      <sharedItems containsSemiMixedTypes="0" containsNonDate="0" containsDate="1" containsString="0" minDate="2014-10-31T00:00:00" maxDate="2016-02-03T00:00:00"/>
    </cacheField>
    <cacheField name="资产到期日" numFmtId="165">
      <sharedItems containsSemiMixedTypes="0" containsNonDate="0" containsDate="1" containsString="0" minDate="2016-10-31T00:00:00" maxDate="2018-02-03T00:00:00"/>
    </cacheField>
    <cacheField name="预期年化收益率" numFmtId="167">
      <sharedItems containsSemiMixedTypes="0" containsString="0" containsNumber="1" minValue="7.1999999999999995E-2" maxValue="0.108"/>
    </cacheField>
    <cacheField name="按新收益率核算(7%)" numFmtId="167">
      <sharedItems containsSemiMixedTypes="0" containsString="0" containsNumber="1" minValue="7.0000000000000007E-2" maxValue="7.0000000000000007E-2"/>
    </cacheField>
    <cacheField name="核算利差(7%)" numFmtId="43">
      <sharedItems containsSemiMixedTypes="0" containsString="0" containsNumber="1" minValue="16000" maxValue="589045.48"/>
    </cacheField>
    <cacheField name="按新收益率核算(7.5%)" numFmtId="167">
      <sharedItems containsSemiMixedTypes="0" containsString="0" containsNumber="1" minValue="7.4999999999999997E-2" maxValue="7.4999999999999997E-2"/>
    </cacheField>
    <cacheField name="核算利差(7.5%)" numFmtId="43">
      <sharedItems containsSemiMixedTypes="0" containsString="0" containsNumber="1" minValue="0" maxValue="343609.86"/>
    </cacheField>
    <cacheField name="年化基数（365/360）" numFmtId="166">
      <sharedItems containsSemiMixedTypes="0" containsString="0" containsNumber="1" containsInteger="1" minValue="365" maxValue="365"/>
    </cacheField>
    <cacheField name="底层基础资产信托合同编号" numFmtId="0">
      <sharedItems containsNonDate="0" containsString="0" containsBlank="1"/>
    </cacheField>
    <cacheField name="合同编号" numFmtId="0">
      <sharedItems/>
    </cacheField>
    <cacheField name="底层资产授信规模（元）" numFmtId="43">
      <sharedItems containsSemiMixedTypes="0" containsString="0" containsNumber="1" containsInteger="1" minValue="0" maxValue="685000000"/>
    </cacheField>
    <cacheField name="底层资产实际成立规模（元）" numFmtId="0">
      <sharedItems containsNonDate="0" containsString="0" containsBlank="1"/>
    </cacheField>
    <cacheField name="封包日" numFmtId="165">
      <sharedItems containsSemiMixedTypes="0" containsNonDate="0" containsDate="1" containsString="0" minDate="2016-08-30T00:00:00" maxDate="2016-08-31T00:00:00"/>
    </cacheField>
    <cacheField name="本资产打包金额（元）" numFmtId="164">
      <sharedItems containsSemiMixedTypes="0" containsString="0" containsNumber="1" containsInteger="1" minValue="5300000" maxValue="50000000"/>
    </cacheField>
    <cacheField name="基础资产的全部利息（元）" numFmtId="43">
      <sharedItems containsSemiMixedTypes="0" containsString="0" containsNumber="1" minValue="1067917.81" maxValue="10814794.52"/>
    </cacheField>
    <cacheField name="封包后产生的利息（元）" numFmtId="43">
      <sharedItems containsSemiMixedTypes="0" containsString="0" containsNumber="1" minValue="192299.18" maxValue="5361643.84"/>
    </cacheField>
    <cacheField name="根据（基础资产现金流）测算" numFmtId="43">
      <sharedItems containsSemiMixedTypes="0" containsString="0" containsNumber="1" minValue="1067917.8099999998" maxValue="10814794.52"/>
    </cacheField>
    <cacheField name="是否相等" numFmtId="43">
      <sharedItems containsSemiMixedTypes="0" containsString="0" containsNumber="1" minValue="-1.0000000242143869E-2" maxValue="2.0000000018626451E-2"/>
    </cacheField>
    <cacheField name="调整后产生的利息（元）" numFmtId="43">
      <sharedItems containsSemiMixedTypes="0" containsString="0" containsNumber="1" minValue="133541.1" maxValue="5291095.8899999997"/>
    </cacheField>
    <cacheField name="本年终止日" numFmtId="165">
      <sharedItems containsSemiMixedTypes="0" containsNonDate="0" containsDate="1" containsString="0" minDate="2016-10-31T00:00:00" maxDate="2017-01-01T00:00:00"/>
    </cacheField>
    <cacheField name="资产本年度总利息" numFmtId="43">
      <sharedItems containsSemiMixedTypes="0" containsString="0" containsNumber="1" minValue="181972.6" maxValue="1280547.95"/>
    </cacheField>
    <cacheField name="分配周期" numFmtId="0">
      <sharedItems/>
    </cacheField>
    <cacheField name="分配周期（月）" numFmtId="0">
      <sharedItems containsString="0" containsBlank="1" containsNumber="1" containsInteger="1" minValue="3" maxValue="12"/>
    </cacheField>
    <cacheField name="实际借款人" numFmtId="0">
      <sharedItems/>
    </cacheField>
    <cacheField name="底层资产受托人" numFmtId="0">
      <sharedItems/>
    </cacheField>
    <cacheField name="主体评级" numFmtId="0">
      <sharedItems containsNonDate="0" containsString="0" containsBlank="1"/>
    </cacheField>
    <cacheField name="借款人行业（基建、房地产、工商）" numFmtId="0">
      <sharedItems count="2">
        <s v="基建"/>
        <s v="工商"/>
      </sharedItems>
    </cacheField>
    <cacheField name="借款人所在省" numFmtId="0">
      <sharedItems/>
    </cacheField>
    <cacheField name="借款人所在市/县" numFmtId="0">
      <sharedItems count="16">
        <s v="成都"/>
        <s v="德清"/>
        <s v="镇江"/>
        <s v="遵义"/>
        <s v="重庆"/>
        <s v="扬州"/>
        <s v="来宾"/>
        <s v="湘潭"/>
        <s v="常州"/>
        <s v="大丰"/>
        <s v="六盘水"/>
        <s v="遂宁"/>
        <s v="青州"/>
        <s v="兴义"/>
        <s v="安宁"/>
        <s v="西安"/>
      </sharedItems>
    </cacheField>
    <cacheField name="保证人" numFmtId="0">
      <sharedItems containsBlank="1"/>
    </cacheField>
    <cacheField name="贷款担保方式（抵押、质押、保证）" numFmtId="0">
      <sharedItems/>
    </cacheField>
    <cacheField name="NOTE" numFmtId="0">
      <sharedItems longText="1"/>
    </cacheField>
    <cacheField name="剩余期限(天）" numFmtId="0">
      <sharedItems containsSemiMixedTypes="0" containsString="0" containsNumber="1" containsInteger="1" minValue="62" maxValue="521"/>
    </cacheField>
    <cacheField name="剩余期限(年）"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
  <r>
    <s v="万信-基础设施建设信托基金019号001"/>
    <n v="1"/>
    <n v="127200000"/>
    <n v="24"/>
    <n v="37100000"/>
    <n v="7"/>
    <d v="2015-03-13T00:00:00"/>
    <d v="2017-03-13T00:00:00"/>
    <n v="0.10199999999999999"/>
    <n v="7.0000000000000007E-2"/>
    <n v="99901.37"/>
    <n v="7.4999999999999997E-2"/>
    <n v="84291.78"/>
    <n v="365"/>
    <m/>
    <s v="WX-XT-201402004-0068"/>
    <m/>
    <m/>
    <d v="2016-08-10T00:00:00"/>
    <n v="5300000"/>
    <n v="1082681.1000000001"/>
    <n v="318435.62"/>
    <n v="1082681.1000000001"/>
    <n v="0"/>
    <n v="234143.84"/>
    <d v="2016-12-31T00:00:00"/>
    <n v="211796.71"/>
    <s v="信托半年度"/>
    <n v="6"/>
    <s v="成都市新益州城市建设发展有限公司（AA-）"/>
    <s v="万向信托"/>
    <m/>
    <s v="基建"/>
    <x v="0"/>
    <s v="成都"/>
    <s v="成都市润弘投资有限公司"/>
    <s v="抵押、保证"/>
    <s v="1、润弘投资对本信托计划的本金和预期收益提供连带责任保证担保;_x000d_2、由新益州城建提供土地抵押;_x000d_3、还款纳入财政预算；_x000d_4、信托资金监管。"/>
    <n v="215"/>
    <n v="0"/>
    <s v="一年以内"/>
    <s v="一到二年以内"/>
    <x v="0"/>
  </r>
  <r>
    <s v="万信-基础设施建设信托基金020号001"/>
    <n v="1"/>
    <n v="393600000"/>
    <n v="24"/>
    <n v="114800000"/>
    <n v="7"/>
    <d v="2015-03-13T00:00:00"/>
    <d v="2017-03-13T00:00:00"/>
    <n v="0.10299999999999999"/>
    <n v="7.0000000000000007E-2"/>
    <n v="318789.03999999998"/>
    <n v="7.4999999999999997E-2"/>
    <n v="270487.67"/>
    <n v="365"/>
    <m/>
    <s v="WX-XT-201402004-0070"/>
    <m/>
    <m/>
    <d v="2016-08-10T00:00:00"/>
    <n v="16400000"/>
    <n v="3383027.95"/>
    <n v="995008.22"/>
    <n v="3383027.94"/>
    <n v="1.0000000242143869E-2"/>
    <n v="724520.55"/>
    <d v="2016-12-31T00:00:00"/>
    <n v="661796.16"/>
    <s v="信托半年度"/>
    <n v="6"/>
    <s v="成都市新益州城市建设发展有限公司（AA-）"/>
    <s v="万向信托"/>
    <m/>
    <s v="基建"/>
    <x v="0"/>
    <s v="成都"/>
    <s v="成都市润弘投资有限公司"/>
    <s v="抵押、保证"/>
    <s v="1、润弘投资对本信托计划的本金和预期收益提供连带责任保证担保;_x000d_2、由新益州城建提供土地抵押;_x000d_3、还款纳入财政预算；_x000d_4、信托资金监管。"/>
    <n v="215"/>
    <n v="0"/>
    <s v="一年以内"/>
    <s v="一到二年以内"/>
    <x v="1"/>
  </r>
  <r>
    <s v="万信-基础设施建设信托基金023号001"/>
    <n v="1"/>
    <n v="480000000"/>
    <n v="24"/>
    <n v="60000000"/>
    <n v="3"/>
    <d v="2014-12-05T00:00:00"/>
    <d v="2016-12-05T00:00:00"/>
    <n v="0.1"/>
    <n v="7.0000000000000007E-2"/>
    <n v="192328.77"/>
    <n v="7.4999999999999997E-2"/>
    <n v="160273.97"/>
    <n v="365"/>
    <m/>
    <s v="WX-XT-201402009-0042"/>
    <m/>
    <m/>
    <d v="2016-08-10T00:00:00"/>
    <n v="20000000"/>
    <n v="4005479.45"/>
    <n v="641095.89"/>
    <n v="4005479.4400000004"/>
    <n v="9.9999997764825821E-3"/>
    <n v="480821.92"/>
    <d v="2016-12-05T00:00:00"/>
    <n v="641095.89"/>
    <s v="信托季"/>
    <n v="3"/>
    <s v="德清县临杭新农村建设投资有限公司"/>
    <s v="万向信托"/>
    <m/>
    <s v="基建"/>
    <x v="1"/>
    <s v="德清"/>
    <s v="浙江省德清县交通投资集团有限公司（AA）"/>
    <s v="保证"/>
    <s v="（1）浙江省德清县交通投资集团有限公司(以下简称“德清交投”)为本次信托承担无限连带担保责任。_x000d_（2）德清县临杭工业区管委会针对该项目的专项款。_x000d_（3）项目剩余房源的出让 收入。"/>
    <n v="117"/>
    <n v="0"/>
    <s v="一年以内"/>
    <s v="一到二年以内"/>
    <x v="1"/>
  </r>
  <r>
    <s v="万信-基础设施建设信托基金023号002"/>
    <n v="1"/>
    <n v="720000000"/>
    <n v="24"/>
    <n v="120000000"/>
    <n v="4"/>
    <d v="2014-12-12T00:00:00"/>
    <d v="2016-12-12T00:00:00"/>
    <n v="0.1"/>
    <n v="7.0000000000000007E-2"/>
    <n v="305753.42"/>
    <n v="7.4999999999999997E-2"/>
    <n v="254794.52"/>
    <n v="365"/>
    <m/>
    <s v="WX-XT-201402004-0121"/>
    <m/>
    <m/>
    <d v="2016-08-10T00:00:00"/>
    <n v="30000000"/>
    <n v="6008219.1799999997"/>
    <n v="1019178.08"/>
    <n v="6008219.1699999999"/>
    <n v="9.9999997764825821E-3"/>
    <n v="764383.56"/>
    <d v="2016-12-12T00:00:00"/>
    <n v="1019178.08"/>
    <s v="信托半年度"/>
    <n v="6"/>
    <s v="德清县临杭新农村建设投资有限公司"/>
    <s v="万向信托"/>
    <m/>
    <s v="基建"/>
    <x v="0"/>
    <s v="成都"/>
    <s v="成都市润弘投资有限公司"/>
    <s v="抵押、保证"/>
    <s v="1、润弘投资对本信托计划的本金和预期收益提供连带责任保证担保;_x000d_2、由新益州城建提供土地抵押;_x000d_3、还款纳入财政预算；_x000d_4、信托资金监管。"/>
    <n v="124"/>
    <n v="0"/>
    <s v="一年以内"/>
    <s v="一到二年以内"/>
    <x v="1"/>
  </r>
  <r>
    <s v="万信-基础设施建设信托基金031号001"/>
    <n v="1"/>
    <n v="360000000"/>
    <n v="24"/>
    <n v="75000000"/>
    <n v="5"/>
    <d v="2015-02-06T00:00:00"/>
    <d v="2017-02-06T00:00:00"/>
    <n v="0.105"/>
    <n v="7.0000000000000007E-2"/>
    <n v="258904.11"/>
    <n v="7.4999999999999997E-2"/>
    <n v="221917.81"/>
    <n v="365"/>
    <m/>
    <s v="WX-XT-201402009-0045"/>
    <m/>
    <m/>
    <d v="2016-08-10T00:00:00"/>
    <n v="15000000"/>
    <n v="3154315.07"/>
    <n v="776712.33"/>
    <n v="3154315.06"/>
    <n v="9.9999997764825821E-3"/>
    <n v="554794.52"/>
    <d v="2016-12-31T00:00:00"/>
    <n v="617054.79"/>
    <s v="信托季"/>
    <n v="3"/>
    <s v="镇江新区城市建设投资有限公司（AA-)"/>
    <s v="万向信托"/>
    <m/>
    <s v="基建"/>
    <x v="1"/>
    <s v="德清"/>
    <s v="浙江省德清县交通投资集团有限公司（AA）"/>
    <s v="保证"/>
    <s v="（1）浙江省德清县交通投资集团有限公司(以下简称“德清交投”)为本次信托承担无限连带担保责任。_x000d_（2）德清县临杭工业区管委会针对该项目的专项款。_x000d_（3）项目剩余房源的出让 收入。"/>
    <n v="180"/>
    <n v="0"/>
    <s v="一年以内"/>
    <s v="一到二年以内"/>
    <x v="1"/>
  </r>
  <r>
    <s v="万信-基础设施建设信托基金046号001"/>
    <n v="1"/>
    <n v="127800000"/>
    <n v="18"/>
    <n v="28400000"/>
    <n v="4"/>
    <d v="2015-06-25T00:00:00"/>
    <d v="2016-12-25T00:00:00"/>
    <n v="0.1"/>
    <n v="7.0000000000000007E-2"/>
    <n v="79947.95"/>
    <n v="7.4999999999999997E-2"/>
    <n v="66623.289999999994"/>
    <n v="365"/>
    <m/>
    <s v="WX-XT-201405025-0013"/>
    <m/>
    <m/>
    <d v="2016-08-10T00:00:00"/>
    <n v="7100000"/>
    <n v="1067917.81"/>
    <n v="266493.15000000002"/>
    <n v="1067917.8099999998"/>
    <n v="0"/>
    <n v="199869.86"/>
    <d v="2016-12-25T00:00:00"/>
    <n v="266493.15000000002"/>
    <s v="信托季"/>
    <n v="3"/>
    <s v="成都新城西城市投资经营中心（AA）"/>
    <s v="万向信托"/>
    <m/>
    <s v="基建"/>
    <x v="0"/>
    <s v="成都"/>
    <s v="成都光华资产管理有限公司（AA）"/>
    <s v="质押、保证"/>
    <s v="(1)信托存续期间,成都新城西将成都市温江区财政局的应收账款进行转让,成_x000d_都新城西、成都市温江区人民政府签订《应收债权买入返售协议》。 (2)成都光华资产管理有限公司(AA 评级)提供无限连带责任担保。"/>
    <n v="137"/>
    <n v="0"/>
    <s v="一年以内"/>
    <s v="一到二年以内"/>
    <x v="0"/>
  </r>
  <r>
    <s v="万信-磐石024号001"/>
    <n v="1"/>
    <n v="172800000"/>
    <n v="24"/>
    <n v="108000000"/>
    <n v="15"/>
    <d v="2015-11-27T00:00:00"/>
    <d v="2017-11-27T00:00:00"/>
    <n v="7.4999999999999997E-2"/>
    <n v="7.0000000000000007E-2"/>
    <n v="46750.68"/>
    <n v="7.4999999999999997E-2"/>
    <n v="0"/>
    <n v="365"/>
    <m/>
    <s v="WX-XT-201401008-0018"/>
    <m/>
    <m/>
    <d v="2016-08-10T00:00:00"/>
    <n v="7200000"/>
    <n v="1081479.45"/>
    <n v="701260.27"/>
    <n v="1081479.45"/>
    <n v="0"/>
    <n v="701260.27"/>
    <d v="2016-12-31T00:00:00"/>
    <n v="211561.64"/>
    <s v="自然季"/>
    <n v="3"/>
    <s v="镇江新区城市建设投资有限公司（AA-)"/>
    <s v="万向信托"/>
    <m/>
    <s v="基建"/>
    <x v="2"/>
    <s v="镇江"/>
    <s v="镇江市交通投资建设发展公司（AA）、镇江新区经济开发总公司（AA）"/>
    <s v="保证"/>
    <s v="1) 镇江交投(主体评级 AA)和新区经发(主体评级 AA)为本信托计划提供连带责任保证担保;_x000d_2) 人大决议:镇江新区人大工委出具人大决议,同意将本信托计划还款资金纳入财政预算,以确保该信托融资款项的顺利偿付。_x000d_3) 财政承诺:镇江新区财政局出具为本信托计划承担差额补足还款责任的财政承诺函。_x000d_4) 开立资金监管专户,专项用于信托资金的收付,委托监管银行对信托资使用情况进行实时监控,确保专款专用和回款。"/>
    <n v="474"/>
    <n v="1"/>
    <s v="一到二年以内"/>
    <s v="一到二年以内"/>
    <x v="0"/>
  </r>
  <r>
    <s v="万信-磐石025号001"/>
    <n v="1"/>
    <n v="940800000"/>
    <n v="24"/>
    <n v="588000000"/>
    <n v="15"/>
    <d v="2015-12-03T00:00:00"/>
    <d v="2017-12-03T00:00:00"/>
    <n v="7.4999999999999997E-2"/>
    <n v="7.0000000000000007E-2"/>
    <n v="257753.42"/>
    <n v="7.4999999999999997E-2"/>
    <n v="0"/>
    <n v="365"/>
    <m/>
    <s v="WX-XT-201405007-0012"/>
    <m/>
    <m/>
    <d v="2016-08-10T00:00:00"/>
    <n v="39200000"/>
    <n v="5888054.79"/>
    <n v="3866301.37"/>
    <n v="5888054.79"/>
    <n v="0"/>
    <n v="3866301.37"/>
    <d v="2016-12-31T00:00:00"/>
    <n v="1151835.6200000001"/>
    <s v="信托季"/>
    <n v="3"/>
    <s v="成都市龙泉驿区国有资产投资经营有限公司（AA）"/>
    <s v="万向信托"/>
    <m/>
    <s v="基建"/>
    <x v="0"/>
    <s v="成都"/>
    <s v="成都经济技术开发区建设发展有限公司（AA）"/>
    <s v="质押、保证"/>
    <s v="1、应收账款债务人成都市龙泉驿区财政局按照约定到期归还应收账款债务; 2、融资人成都市龙泉驿区国有资产投资经营有限公司到期回购债权; 3、担保人成都经济技术开发区建设发展有限公司到期代替融资人回购债权。"/>
    <n v="480"/>
    <n v="1"/>
    <s v="一到二年以内"/>
    <s v="一到二年以内"/>
    <x v="2"/>
  </r>
  <r>
    <s v="万信-磐石026号001"/>
    <n v="1"/>
    <n v="612000000"/>
    <n v="24"/>
    <n v="382500000"/>
    <n v="15"/>
    <d v="2015-12-03T00:00:00"/>
    <d v="2017-12-03T00:00:00"/>
    <n v="7.4999999999999997E-2"/>
    <n v="7.0000000000000007E-2"/>
    <n v="167671.23000000001"/>
    <n v="7.4999999999999997E-2"/>
    <n v="0"/>
    <n v="365"/>
    <m/>
    <s v="WX-XT-201405008-0070"/>
    <m/>
    <m/>
    <d v="2016-08-10T00:00:00"/>
    <n v="25500000"/>
    <n v="3830239.73"/>
    <n v="2515068.4900000002"/>
    <n v="3830239.7199999997"/>
    <n v="1.0000000242143869E-2"/>
    <n v="2515068.4900000002"/>
    <d v="2016-12-31T00:00:00"/>
    <n v="749280.82"/>
    <s v="信托季"/>
    <n v="3"/>
    <s v="成都市龙泉驿区国有资产投资经营有限公司（AA）"/>
    <s v="万向信托"/>
    <m/>
    <s v="基建"/>
    <x v="0"/>
    <s v="成都"/>
    <s v="成都经济技术开发区建设发展有限公司（AA）"/>
    <s v="质押、保证"/>
    <s v="1、应收账款债务人成都市龙泉驿区财政局按照约定到期归还应收账款债务; 2、融资人成都市龙泉驿区国有资产投资经营有限公司到期回购债权; 3、担保人成都经济技术开发区建设发展有限公司到期代替融资人回购债权。"/>
    <n v="480"/>
    <n v="1"/>
    <s v="一到二年以内"/>
    <s v="一到二年以内"/>
    <x v="1"/>
  </r>
  <r>
    <s v="万信-磐石027号001"/>
    <n v="1"/>
    <n v="720000000"/>
    <n v="24"/>
    <n v="450000000"/>
    <n v="15"/>
    <d v="2015-12-04T00:00:00"/>
    <d v="2017-12-04T00:00:00"/>
    <n v="7.4999999999999997E-2"/>
    <n v="7.0000000000000007E-2"/>
    <n v="197671.23"/>
    <n v="7.4999999999999997E-2"/>
    <n v="0"/>
    <n v="365"/>
    <m/>
    <s v="WX-XT-201502049-0002"/>
    <m/>
    <m/>
    <d v="2016-08-10T00:00:00"/>
    <n v="30000000"/>
    <n v="4506164.38"/>
    <n v="2965068.49"/>
    <n v="4506164.38"/>
    <n v="0"/>
    <n v="2965068.49"/>
    <d v="2016-12-31T00:00:00"/>
    <n v="881506.85"/>
    <s v="特殊"/>
    <m/>
    <s v="遵义县水务投资有限公司"/>
    <s v="大业信托"/>
    <m/>
    <s v="基建"/>
    <x v="3"/>
    <s v="遵义"/>
    <s v="遵义县国有资产投资经营（集团）有限责任公司、遵义县城市建设投资经营有限公司"/>
    <s v="抵押、保证"/>
    <s v="1、遵义建投将提供评估价值不低于10亿的土地作为抵押，第一期提供的抵押土地评估价值约6亿元，本金抵押率约不超过50%。_x000d_2、为保障融资方按时、足额偿还信托贷款本息，遵义县国有资产投资经营有限责任公司和遵义县城市建设投资经营有限公司为信托计划提供不可撤销的连带责任保证担保。_x000d_3、遵义市财政局出具同意支持遵义水投还款的财政承诺函。遵义市人大出具决议文件，将该笔信托融资的还款资金列入年度财政预算。"/>
    <n v="481"/>
    <n v="1"/>
    <s v="一到二年以内"/>
    <s v="一到二年以内"/>
    <x v="1"/>
  </r>
  <r>
    <s v="万信-磐石028号001"/>
    <n v="1"/>
    <n v="751200000"/>
    <n v="24"/>
    <n v="500800000"/>
    <n v="16"/>
    <d v="2015-12-18T00:00:00"/>
    <d v="2017-12-18T00:00:00"/>
    <n v="7.4999999999999997E-2"/>
    <n v="7.0000000000000007E-2"/>
    <n v="212239.73"/>
    <n v="7.4999999999999997E-2"/>
    <n v="0"/>
    <n v="365"/>
    <m/>
    <s v="WX-XT-201502050-0001"/>
    <m/>
    <m/>
    <d v="2016-08-10T00:00:00"/>
    <n v="31300000"/>
    <n v="4701431.51"/>
    <n v="3183595.89"/>
    <n v="4701431.51"/>
    <n v="0"/>
    <n v="3183595.89"/>
    <d v="2016-12-31T00:00:00"/>
    <n v="919705.48"/>
    <s v="自然年"/>
    <n v="12"/>
    <s v="重庆东银控股集团有限公司（旗下三家上市公司：迪马股份（SH.600565）、智慧农业（SZ.000816）、东原地产（HK.00668））"/>
    <s v="华澳信托"/>
    <m/>
    <s v="工商"/>
    <x v="4"/>
    <s v="重庆"/>
    <s v="江苏江动集团有限公司 （上市公司“智慧农业”（000816）控股股东）、新疆新世纪矿业有限责任公司、创源投资发展有限公司"/>
    <s v="质押、保证"/>
    <s v="（1）江动集团对本信托计划的溢价回购款做保证担保；新疆新世纪对本信托计划溢价回购款做保证担保._x000d_（2）创源投资发展有限公司以其持有的新疆新世纪100%股权做质押担保._x000d_（3）江动集团对应收债权做债务确认."/>
    <n v="495"/>
    <n v="1"/>
    <s v="一到二年以内"/>
    <s v="一到二年以内"/>
    <x v="2"/>
  </r>
  <r>
    <s v="万信-磐石030号001"/>
    <n v="1"/>
    <n v="652800000"/>
    <n v="24"/>
    <n v="435200000"/>
    <n v="16"/>
    <d v="2015-12-11T00:00:00"/>
    <d v="2017-12-11T00:00:00"/>
    <n v="7.4999999999999997E-2"/>
    <n v="7.0000000000000007E-2"/>
    <n v="181830.14"/>
    <n v="7.4999999999999997E-2"/>
    <n v="0"/>
    <n v="365"/>
    <m/>
    <s v="WX-XT-201502036-0001"/>
    <m/>
    <m/>
    <d v="2016-08-10T00:00:00"/>
    <n v="27200000"/>
    <n v="4085589.04"/>
    <n v="2727452.05"/>
    <n v="4085589.04"/>
    <n v="0"/>
    <n v="2727452.05"/>
    <d v="2016-12-31T00:00:00"/>
    <n v="799232.88"/>
    <s v="信托年"/>
    <n v="12"/>
    <s v="扬州广贸物流开发建设有限公司"/>
    <s v="华鑫信托"/>
    <m/>
    <s v="基建"/>
    <x v="2"/>
    <s v="扬州"/>
    <s v="扬州鼎盛开发建设有限公司（AA）、扬州广陵经济开发区开发建设有限公司"/>
    <s v="保证"/>
    <s v="1、保证人扬州鼎盛（AA）及广陵经开对扬州广贸的回购义务承担连带责任保证担保。_x000d_2、华鑫信托与扬州市商贸物流园管委会、扬州广贸三方签署《债权债务确认协议》。_x000d_3、广陵区人大常委会及广陵区财政局出具相关批复和文件，将该笔融资纳入财政预算，优先安排资金支付信托本息。_x000d_4、标的应收账款在中国人民银行征信中心办理转让登记。_x000d_"/>
    <n v="488"/>
    <n v="1"/>
    <s v="一到二年以内"/>
    <s v="一到二年以内"/>
    <x v="1"/>
  </r>
  <r>
    <s v="万信-磐石035号002"/>
    <n v="1"/>
    <n v="180000000"/>
    <n v="18"/>
    <n v="100000000"/>
    <n v="10"/>
    <d v="2015-12-18T00:00:00"/>
    <d v="2017-06-18T00:00:00"/>
    <n v="7.1999999999999995E-2"/>
    <n v="7.0000000000000007E-2"/>
    <n v="17095.89"/>
    <n v="7.4999999999999997E-2"/>
    <n v="0"/>
    <n v="365"/>
    <m/>
    <s v="WX-XT-201502037-0001"/>
    <m/>
    <m/>
    <d v="2016-08-10T00:00:00"/>
    <n v="10000000"/>
    <n v="1080986.3"/>
    <n v="615452.05000000005"/>
    <n v="1080986.2999999998"/>
    <n v="0"/>
    <n v="641095.89"/>
    <d v="2016-12-31T00:00:00"/>
    <n v="282082.19"/>
    <s v="信托年"/>
    <n v="12"/>
    <s v="广西来宾城建投资集团有限公司（AA）"/>
    <s v="光大信托"/>
    <m/>
    <s v="基建"/>
    <x v="5"/>
    <s v="来宾"/>
    <s v="广西来宾工业投资集团有限公司（AA）"/>
    <s v="保证"/>
    <s v="1、由债务人来宾市财政局、来宾城投与我司签订三方的债权债务确认协议，明确债务人的还款义务；2、来宾城投对来宾市财政局的还款责任承担差额补足义务；3、来宾工投对来宾市财政局的还款义务以及来宾城投的差额补足义务向我司提供连带责任担保。"/>
    <n v="312"/>
    <n v="0"/>
    <s v="一年以内"/>
    <s v="一到二年以内"/>
    <x v="0"/>
  </r>
  <r>
    <s v="万信-磐石036号001"/>
    <n v="1"/>
    <n v="428400000"/>
    <n v="18"/>
    <n v="238000000"/>
    <n v="10"/>
    <d v="2015-12-23T00:00:00"/>
    <d v="2017-06-23T00:00:00"/>
    <n v="0.08"/>
    <n v="7.0000000000000007E-2"/>
    <n v="206701.37"/>
    <n v="7.4999999999999997E-2"/>
    <n v="103350.68"/>
    <n v="365"/>
    <m/>
    <s v="WX-XT-201502040-0001"/>
    <m/>
    <m/>
    <d v="2016-08-10T00:00:00"/>
    <n v="23800000"/>
    <n v="2858608.22"/>
    <n v="1653610.96"/>
    <n v="2858608.22"/>
    <n v="0"/>
    <n v="1550260.27"/>
    <d v="2016-12-31T00:00:00"/>
    <n v="745950.68"/>
    <s v="信托年"/>
    <n v="12"/>
    <s v="湘潭九华经济建设投资有限公司（AA）"/>
    <s v="华鑫信托"/>
    <m/>
    <s v="基建"/>
    <x v="6"/>
    <s v="湘潭"/>
    <s v="湘潭九华经济建设投资有限公司（AA）"/>
    <s v="抵押、保证"/>
    <s v="（1）九华区财政局出具承诺函，将信托资金偿付纳入当期财政预算，安排财政资金届时偿还。（2）九华建投提供评估值不低于8.09亿元的出让用地抵押担 保。(3）九华管委会保证按期足额兑付标的债权或由九华建投无条件回购标的债权。"/>
    <n v="317"/>
    <n v="0"/>
    <s v="一年以内"/>
    <s v="一到二年以内"/>
    <x v="1"/>
  </r>
  <r>
    <s v="万信-磐石037号001"/>
    <n v="1"/>
    <n v="566400000"/>
    <n v="24"/>
    <n v="377600000"/>
    <n v="16"/>
    <d v="2016-01-05T00:00:00"/>
    <d v="2018-01-05T00:00:00"/>
    <n v="7.5999999999999998E-2"/>
    <n v="7.0000000000000007E-2"/>
    <n v="199015.89"/>
    <n v="7.4999999999999997E-2"/>
    <n v="33169.32"/>
    <n v="365"/>
    <m/>
    <s v="WX-XT-201502041-0001"/>
    <m/>
    <m/>
    <d v="2016-08-10T00:00:00"/>
    <n v="23600000"/>
    <n v="3592113.97"/>
    <n v="2520867.9500000002"/>
    <n v="3592113.98"/>
    <n v="-9.9999997764825821E-3"/>
    <n v="2487698.63"/>
    <d v="2016-12-31T00:00:00"/>
    <n v="702698.08"/>
    <s v="信托年"/>
    <n v="12"/>
    <s v="常州市武进湖塘科技产业园投资管理有限公司"/>
    <s v="光大信托"/>
    <m/>
    <s v="基建"/>
    <x v="2"/>
    <s v="常州"/>
    <s v="武进经济发展集团有限公司（AA＋）"/>
    <s v="保证"/>
    <s v="（1）连带担保：武进经济发展集团有限公司（主体评级AA+）为武进湖塘科投的差额补足义务或到期回购义务提供连带责任担保。_x000d_（2）债权债务确认：湖塘镇人民政府以及武进区人民政府针对湖塘镇工业坊一期项目的应收账款与光大信托签署债权债务确认协议，明确应收账款金额不低于6.8亿元，并直接由两级政府向本信托偿付。_x000d_"/>
    <n v="513"/>
    <n v="1"/>
    <s v="一到二年以内"/>
    <s v="一到二年以内"/>
    <x v="1"/>
  </r>
  <r>
    <s v="万信-磐石040号001"/>
    <n v="1"/>
    <n v="360000000"/>
    <n v="24"/>
    <n v="255000000"/>
    <n v="17"/>
    <d v="2016-01-12T00:00:00"/>
    <d v="2018-01-12T00:00:00"/>
    <n v="7.4999999999999997E-2"/>
    <n v="7.0000000000000007E-2"/>
    <n v="106849.32"/>
    <n v="7.4999999999999997E-2"/>
    <n v="0"/>
    <n v="365"/>
    <m/>
    <s v="WX-XT-201502044-0001"/>
    <m/>
    <m/>
    <d v="2016-08-10T00:00:00"/>
    <n v="15000000"/>
    <n v="2253082.19"/>
    <n v="1602739.73"/>
    <n v="2253082.19"/>
    <n v="0"/>
    <n v="1602739.73"/>
    <d v="2016-12-31T00:00:00"/>
    <n v="440753.42"/>
    <s v="信托年"/>
    <n v="12"/>
    <s v="大丰市华丰投资发展有限公司"/>
    <s v="国民信托"/>
    <m/>
    <s v="基建"/>
    <x v="2"/>
    <s v="大丰"/>
    <s v="大丰市城建国有资产经营有限公司（AA）"/>
    <s v="抵押、保证"/>
    <s v="（1）融资方提供土地抵押，根据评估机构世联评估于2015年4月29日出具的预评估报告，价值9.759亿元，本金抵押率约51%。_x000d_（2）融资人将持有的对大丰市专业市场现代服务业集聚区管理委员会的应收账款转让给我司，并在人行征信系统办理转让登记； _x000d_（3）担保人大丰城建（2A发债主体）为融资人按期回购应收账款提供连带责任保证担保； 总资产为191.89亿_x000d_（4）大丰市财政局出具财政承诺函，安排专项资金用于偿付信托资金。_x000d__x000d_"/>
    <n v="520"/>
    <n v="1"/>
    <s v="一到二年以内"/>
    <s v="一到二年以内"/>
    <x v="1"/>
  </r>
  <r>
    <s v="万信-磐石041号001"/>
    <n v="1"/>
    <n v="844800000"/>
    <n v="24"/>
    <n v="598400000"/>
    <n v="17"/>
    <d v="2016-01-21T00:00:00"/>
    <d v="2018-01-21T00:00:00"/>
    <n v="8.2000000000000003E-2"/>
    <n v="7.0000000000000007E-2"/>
    <n v="612190.68000000005"/>
    <n v="7.4999999999999997E-2"/>
    <n v="357111.23"/>
    <n v="365"/>
    <m/>
    <s v="WX-XT-201502042-0001"/>
    <m/>
    <m/>
    <d v="2016-08-10T00:00:00"/>
    <n v="35200000"/>
    <n v="5780707.9500000002"/>
    <n v="4183303.01"/>
    <n v="5780707.9399999995"/>
    <n v="1.0000000707805157E-2"/>
    <n v="3826191.78"/>
    <d v="2016-12-31T00:00:00"/>
    <n v="1130836.1599999999"/>
    <s v="自然年"/>
    <n v="12"/>
    <s v="六盘水市交通投资开发有限责任公司（AA）"/>
    <s v="中泰信托"/>
    <m/>
    <s v="基建"/>
    <x v="3"/>
    <s v="六盘水"/>
    <s v="六盘水市民生发展有限责任公司"/>
    <s v="抵押、保证"/>
    <s v="1.应收账款转让登记_x000d_（1）应收账款确权，签订《债权债务确认书》_x000d_（2）应收账款转让_x000d_签订《应收账款转让及回购合同》，交投公司将其因建设建设德宏路项目而持有的对六盘水市政府的应收账款81650万元转让给中泰信托，并在中国人民银行征信中心应收账款登记公示系统办理转让登记手续。_x000d_2.六盘水市交通投资开发有限责任公司提供土地抵押，抵押率约51%；_x000d_3.民生发展对交投公司的还款义务提供无限连带责任担保；_x000d_4.贵州省六盘水市财政局就本信托计划还款事项出具承诺函；六盘水市人大出具就本信托计划还款纳入财政预算的决议。_x000d_5.信托到期前的10个工作日，融资方需向信托专户偿还信托本金的100%；_x000d_6.用款及应收账款回款监管。"/>
    <n v="529"/>
    <n v="1"/>
    <s v="一到二年以内"/>
    <s v="一到二年以内"/>
    <x v="2"/>
  </r>
  <r>
    <s v="万信-磐石042号001"/>
    <n v="1"/>
    <n v="960000000"/>
    <n v="24"/>
    <n v="680000000"/>
    <n v="17"/>
    <d v="2016-02-02T00:00:00"/>
    <d v="2018-02-02T00:00:00"/>
    <n v="7.5999999999999998E-2"/>
    <n v="7.0000000000000007E-2"/>
    <n v="355726.03"/>
    <n v="7.4999999999999997E-2"/>
    <n v="59287.67"/>
    <n v="365"/>
    <m/>
    <s v="WX-PS-201608001-0001"/>
    <m/>
    <m/>
    <d v="2016-08-10T00:00:00"/>
    <n v="40000000"/>
    <n v="6088328.7699999996"/>
    <n v="4505863.01"/>
    <n v="6088328.7599999998"/>
    <n v="9.9999997764825821E-3"/>
    <n v="4446575.34"/>
    <d v="2016-12-31T00:00:00"/>
    <n v="1191013.7"/>
    <s v="信托年"/>
    <n v="12"/>
    <s v="四川盈嘉资产经营管理有限责任公司"/>
    <s v="中江信托"/>
    <m/>
    <s v="基建"/>
    <x v="0"/>
    <s v="遂宁"/>
    <s v=" 四川天盈实业有限责任公司（AA）"/>
    <s v="保证"/>
    <s v="1、保证担保：总资产69亿的AA级发债主体国企四川天盈实业承担连带担保责任；_x000d_2、财政承诺：遂宁市财政局承担差额补足义务；_x000d_3、资金监管。_x000d_"/>
    <n v="541"/>
    <n v="1"/>
    <s v="一到二年以内"/>
    <s v="一到二年以内"/>
    <x v="2"/>
  </r>
  <r>
    <s v="万信-磐石043号001"/>
    <n v="1"/>
    <n v="1200000000"/>
    <n v="24"/>
    <n v="850000000"/>
    <n v="17"/>
    <d v="2016-01-27T00:00:00"/>
    <d v="2018-01-27T00:00:00"/>
    <n v="7.5999999999999998E-2"/>
    <n v="7.0000000000000007E-2"/>
    <n v="439726.03"/>
    <n v="7.4999999999999997E-2"/>
    <n v="73287.67"/>
    <n v="365"/>
    <m/>
    <s v="WX-PS-201608003-0001"/>
    <m/>
    <m/>
    <d v="2016-08-10T00:00:00"/>
    <n v="50000000"/>
    <n v="7610410.96"/>
    <n v="5569863.0099999998"/>
    <n v="7610410.96"/>
    <n v="0"/>
    <n v="5496575.3399999999"/>
    <d v="2016-12-31T00:00:00"/>
    <n v="1488767.12"/>
    <s v="期间固定为6月20日。"/>
    <n v="12"/>
    <s v="青州市宏源公有资产经营有限公司（AA）"/>
    <s v="中泰信托"/>
    <m/>
    <s v="基建"/>
    <x v="7"/>
    <s v="青州"/>
    <s v="青州市城市建设投资开发有限公司（AA）"/>
    <s v="保证"/>
    <s v="1、保证担保。2、对政府应收账款转让"/>
    <n v="535"/>
    <n v="1"/>
    <s v="一到二年以内"/>
    <s v="一到二年以内"/>
    <x v="2"/>
  </r>
  <r>
    <s v="万信-资产流动类信托基金002号001"/>
    <n v="1"/>
    <n v="720000000"/>
    <n v="24"/>
    <n v="60000000"/>
    <n v="2"/>
    <d v="2014-10-31T00:00:00"/>
    <d v="2016-10-31T00:00:00"/>
    <n v="0.108"/>
    <n v="7.0000000000000007E-2"/>
    <n v="256109.59"/>
    <n v="7.4999999999999997E-2"/>
    <n v="222410.96"/>
    <n v="365"/>
    <m/>
    <s v="WX-PS-201608004-0001"/>
    <m/>
    <m/>
    <d v="2016-08-10T00:00:00"/>
    <n v="30000000"/>
    <n v="6488876.71"/>
    <n v="727890.41"/>
    <n v="6488876.71"/>
    <n v="0"/>
    <n v="505479.45"/>
    <d v="2016-10-31T00:00:00"/>
    <n v="727890.41"/>
    <s v="信托年"/>
    <n v="12"/>
    <s v="兴义市龙达交通建设投资有限公司"/>
    <s v="中江信托"/>
    <m/>
    <s v="基建"/>
    <x v="3"/>
    <s v="兴义"/>
    <s v="兴义市信恒城市建设投资有限公司（AA）"/>
    <s v="质押、保证"/>
    <s v="1、兴义市政府出具“贵公司受让兴义市龙达交通建设投资有限公司的对我市财政局的应收账款债权系我市政府直接债务，我市保证将贵公司对我市财政局享有的前述应收账款债权由我市统筹安排财政资金按时、足额偿还贵公司全部债权（或安排兴义市龙大交通建设投资有限公司代为偿还），确保信托计划受益人及相关方利益不受损失”的承诺函。_x000d_2、兴义市财政局出具“保证根据与贵公司签署的合同约定，统筹安排财政资金按时、足额偿还贵公司对我局享有的应收账款债权（或委托兴义市龙达交通建设投资有限公司代为偿还）。如因贵公司债权未能按时、足额清偿，所产生的一切责任由我局承担”的承诺函。_x000d_3、兴义市信恒城市建设投资有限公司（2A）提供连带责任保证担保。_x000d_"/>
    <n v="82"/>
    <n v="0"/>
    <s v="一年以内"/>
    <s v="一到二年以内"/>
    <x v="1"/>
  </r>
  <r>
    <s v="万信-资产流动类信托基金002号002"/>
    <n v="1"/>
    <n v="1200000000"/>
    <n v="24"/>
    <n v="100000000"/>
    <n v="2"/>
    <d v="2014-11-07T00:00:00"/>
    <d v="2016-11-07T00:00:00"/>
    <n v="0.108"/>
    <n v="7.0000000000000007E-2"/>
    <n v="463287.67"/>
    <n v="7.4999999999999997E-2"/>
    <n v="402328.77"/>
    <n v="365"/>
    <m/>
    <s v="WX-PS-201608006-0001"/>
    <m/>
    <m/>
    <d v="2016-08-10T00:00:00"/>
    <n v="50000000"/>
    <n v="10814794.52"/>
    <n v="1316712.33"/>
    <n v="10814794.52"/>
    <n v="0"/>
    <n v="914383.56"/>
    <d v="2016-11-07T00:00:00"/>
    <n v="1316712.33"/>
    <s v="信托年"/>
    <n v="12"/>
    <s v="安宁发展投资集团有限公司（AA）"/>
    <s v="国民信托"/>
    <m/>
    <s v="基建"/>
    <x v="8"/>
    <s v="安宁"/>
    <m/>
    <s v="质押"/>
    <s v="（1）融资人将其持有的对安宁市政府的应收账款转让给我司，并在人行系统中进行转让登记；_x000d_（2）安宁市财政局出具财政承诺函，同时提供证明该应收帐款能够纳入当地政府债务预算的完整版政府会议纪要。_x000d_（3）资金监管：我司与融资人、监管银行三方签订资金监管协议，用于监管信托资金用款情况。_x000d_（4）提前归集资金：信托到期前3个月、前2个月、前1个月以及到期日，依次按照到期应付款项的5%、10%、20%比例归集资金。_x000d_"/>
    <n v="89"/>
    <n v="0"/>
    <s v="一年以内"/>
    <s v="一到二年以内"/>
    <x v="2"/>
  </r>
  <r>
    <s v="万信-资产流动类信托基金002号003"/>
    <n v="1"/>
    <n v="160800000"/>
    <n v="24"/>
    <n v="20100000"/>
    <n v="3"/>
    <d v="2014-12-05T00:00:00"/>
    <d v="2016-12-05T00:00:00"/>
    <n v="0.108"/>
    <n v="7.0000000000000007E-2"/>
    <n v="81611.509999999995"/>
    <n v="7.4999999999999997E-2"/>
    <n v="70873.149999999994"/>
    <n v="365"/>
    <m/>
    <s v="WX-PS-201608005-0001"/>
    <m/>
    <m/>
    <d v="2016-08-10T00:00:00"/>
    <n v="6700000"/>
    <n v="1449182.47"/>
    <n v="231948.49"/>
    <n v="1449182.46"/>
    <n v="1.0000000009313226E-2"/>
    <n v="161075.34"/>
    <d v="2016-12-05T00:00:00"/>
    <n v="231948.49"/>
    <s v="信托年"/>
    <n v="12"/>
    <s v="绿源农产品贸易股份公司"/>
    <s v="中江信托"/>
    <m/>
    <s v="基建"/>
    <x v="9"/>
    <s v="西安"/>
    <s v="西安市灞桥区基础设施建设投资有限公司(AA-)"/>
    <s v="抵押、保证"/>
    <s v="1、 西安市灞桥区政府、财政局和人大出具相关还款的政府承诺、财政承诺及人大决议。_x000d_2、 抵押：西安浐河半坡湖旅游度假有限责任公司以其名下正常经营的五星级酒店为本笔融资作抵押，抵押率不超过50%。_x000d_3、 保证担保：担保人西安市灞桥区基础设施建设投资有限公司(2A-)提供连带责任担保。_x000d_"/>
    <n v="117"/>
    <n v="0"/>
    <s v="一年以内"/>
    <s v="一到二年以内"/>
    <x v="0"/>
  </r>
</pivotCacheRecords>
</file>

<file path=xl/pivotCache/pivotCacheRecords2.xml><?xml version="1.0" encoding="utf-8"?>
<pivotCacheRecords xmlns="http://schemas.openxmlformats.org/spreadsheetml/2006/main" xmlns:r="http://schemas.openxmlformats.org/officeDocument/2006/relationships" count="11">
  <r>
    <x v="0"/>
    <n v="0"/>
  </r>
  <r>
    <x v="1"/>
    <n v="31252224.66"/>
  </r>
  <r>
    <x v="2"/>
    <n v="50700351.780000001"/>
  </r>
  <r>
    <x v="3"/>
    <n v="66787144.099999994"/>
  </r>
  <r>
    <x v="4"/>
    <n v="15710819.51"/>
  </r>
  <r>
    <x v="5"/>
    <n v="30108420.829999998"/>
  </r>
  <r>
    <x v="6"/>
    <n v="37158397.82"/>
  </r>
  <r>
    <x v="7"/>
    <n v="109684564.71000001"/>
  </r>
  <r>
    <x v="8"/>
    <n v="58679557.25"/>
  </r>
  <r>
    <x v="8"/>
    <n v="0"/>
  </r>
  <r>
    <x v="9"/>
    <n v="181322440.12999997"/>
  </r>
</pivotCacheRecords>
</file>

<file path=xl/pivotCache/pivotCacheRecords3.xml><?xml version="1.0" encoding="utf-8"?>
<pivotCacheRecords xmlns="http://schemas.openxmlformats.org/spreadsheetml/2006/main" xmlns:r="http://schemas.openxmlformats.org/officeDocument/2006/relationships" count="137">
  <r>
    <s v="万信-磐石024号001"/>
    <x v="0"/>
    <n v="7200000"/>
    <n v="7.4999999999999997E-2"/>
    <n v="365"/>
    <n v="0"/>
    <n v="0"/>
    <n v="0"/>
  </r>
  <r>
    <s v="万信-磐石024号001"/>
    <x v="1"/>
    <n v="7200000"/>
    <n v="7.4999999999999997E-2"/>
    <n v="365"/>
    <n v="0"/>
    <n v="380219.18"/>
    <n v="380219.18"/>
  </r>
  <r>
    <s v="万信-磐石024号001"/>
    <x v="2"/>
    <n v="7200000"/>
    <n v="7.4999999999999997E-2"/>
    <n v="365"/>
    <n v="0"/>
    <n v="161260.26999999999"/>
    <n v="161260.26999999999"/>
  </r>
  <r>
    <s v="万信-磐石024号001"/>
    <x v="3"/>
    <n v="7200000"/>
    <n v="7.4999999999999997E-2"/>
    <n v="365"/>
    <n v="7200000"/>
    <n v="540000"/>
    <n v="7740000"/>
  </r>
  <r>
    <s v="万信-磐石025号001"/>
    <x v="4"/>
    <n v="39200000"/>
    <n v="7.4999999999999997E-2"/>
    <n v="365"/>
    <n v="0"/>
    <n v="0"/>
    <n v="0"/>
  </r>
  <r>
    <s v="万信-磐石025号001"/>
    <x v="1"/>
    <n v="39200000"/>
    <n v="7.4999999999999997E-2"/>
    <n v="365"/>
    <n v="0"/>
    <n v="2021753.42"/>
    <n v="2021753.42"/>
  </r>
  <r>
    <s v="万信-磐石025号001"/>
    <x v="5"/>
    <n v="39200000"/>
    <n v="7.4999999999999997E-2"/>
    <n v="365"/>
    <n v="0"/>
    <n v="926301.37"/>
    <n v="926301.37"/>
  </r>
  <r>
    <s v="万信-磐石025号001"/>
    <x v="6"/>
    <n v="39200000"/>
    <n v="7.4999999999999997E-2"/>
    <n v="365"/>
    <n v="39200000"/>
    <n v="2940000"/>
    <n v="42140000"/>
  </r>
  <r>
    <s v="万信-磐石026号001"/>
    <x v="4"/>
    <n v="25500000"/>
    <n v="7.4999999999999997E-2"/>
    <n v="365"/>
    <n v="0"/>
    <n v="0"/>
    <n v="0"/>
  </r>
  <r>
    <s v="万信-磐石026号001"/>
    <x v="1"/>
    <n v="25500000"/>
    <n v="7.4999999999999997E-2"/>
    <n v="365"/>
    <n v="0"/>
    <n v="1315171.23"/>
    <n v="1315171.23"/>
  </r>
  <r>
    <s v="万信-磐石026号001"/>
    <x v="5"/>
    <n v="25500000"/>
    <n v="7.4999999999999997E-2"/>
    <n v="365"/>
    <n v="0"/>
    <n v="602568.49"/>
    <n v="602568.49"/>
  </r>
  <r>
    <s v="万信-磐石026号001"/>
    <x v="6"/>
    <n v="25500000"/>
    <n v="7.4999999999999997E-2"/>
    <n v="365"/>
    <n v="25500000"/>
    <n v="1912500"/>
    <n v="27412500"/>
  </r>
  <r>
    <s v="万信-磐石027号001"/>
    <x v="7"/>
    <n v="30000000"/>
    <n v="7.4999999999999997E-2"/>
    <n v="365"/>
    <n v="0"/>
    <n v="0"/>
    <n v="0"/>
  </r>
  <r>
    <s v="万信-磐石027号001"/>
    <x v="1"/>
    <n v="30000000"/>
    <n v="7.4999999999999997E-2"/>
    <n v="365"/>
    <n v="0"/>
    <n v="1541095.89"/>
    <n v="1541095.89"/>
  </r>
  <r>
    <s v="万信-磐石027号001"/>
    <x v="8"/>
    <n v="30000000"/>
    <n v="7.4999999999999997E-2"/>
    <n v="365"/>
    <n v="0"/>
    <n v="715068.49"/>
    <n v="715068.49"/>
  </r>
  <r>
    <s v="万信-磐石027号001"/>
    <x v="9"/>
    <n v="30000000"/>
    <n v="7.4999999999999997E-2"/>
    <n v="365"/>
    <n v="30000000"/>
    <n v="2250000"/>
    <n v="32250000"/>
  </r>
  <r>
    <s v="万信-磐石028号001"/>
    <x v="10"/>
    <n v="31300000"/>
    <n v="7.4999999999999997E-2"/>
    <n v="365"/>
    <n v="0"/>
    <n v="0"/>
    <n v="0"/>
  </r>
  <r>
    <s v="万信-磐石028号001"/>
    <x v="11"/>
    <n v="31300000"/>
    <n v="7.4999999999999997E-2"/>
    <n v="365"/>
    <n v="0"/>
    <n v="1189828.77"/>
    <n v="1189828.77"/>
  </r>
  <r>
    <s v="万信-磐石028号001"/>
    <x v="1"/>
    <n v="31300000"/>
    <n v="7.4999999999999997E-2"/>
    <n v="365"/>
    <n v="0"/>
    <n v="328006.84999999998"/>
    <n v="328006.84999999998"/>
  </r>
  <r>
    <s v="万信-磐石028号001"/>
    <x v="12"/>
    <n v="31300000"/>
    <n v="7.4999999999999997E-2"/>
    <n v="365"/>
    <n v="0"/>
    <n v="2019493.15"/>
    <n v="2019493.15"/>
  </r>
  <r>
    <s v="万信-磐石028号001"/>
    <x v="13"/>
    <n v="31300000"/>
    <n v="7.4999999999999997E-2"/>
    <n v="365"/>
    <n v="31300000"/>
    <n v="1164102.74"/>
    <n v="32464102.739999998"/>
  </r>
  <r>
    <s v="万信-磐石030号001"/>
    <x v="14"/>
    <n v="27200000"/>
    <n v="7.4999999999999997E-2"/>
    <n v="365"/>
    <n v="0"/>
    <n v="0"/>
    <n v="0"/>
  </r>
  <r>
    <s v="万信-磐石030号001"/>
    <x v="15"/>
    <n v="27200000"/>
    <n v="7.4999999999999997E-2"/>
    <n v="365"/>
    <n v="0"/>
    <n v="55890.41"/>
    <n v="55890.41"/>
  </r>
  <r>
    <s v="万信-磐石030号001"/>
    <x v="1"/>
    <n v="27200000"/>
    <n v="7.4999999999999997E-2"/>
    <n v="365"/>
    <n v="0"/>
    <n v="1302246.58"/>
    <n v="1302246.58"/>
  </r>
  <r>
    <s v="万信-磐石030号001"/>
    <x v="16"/>
    <n v="27200000"/>
    <n v="7.4999999999999997E-2"/>
    <n v="365"/>
    <n v="0"/>
    <n v="687452.05"/>
    <n v="687452.05"/>
  </r>
  <r>
    <s v="万信-磐石030号001"/>
    <x v="17"/>
    <n v="27200000"/>
    <n v="7.4999999999999997E-2"/>
    <n v="365"/>
    <n v="27200000"/>
    <n v="2040000"/>
    <n v="29240000"/>
  </r>
  <r>
    <s v="万信-磐石035号002"/>
    <x v="10"/>
    <n v="10000000"/>
    <n v="7.1999999999999995E-2"/>
    <n v="365"/>
    <n v="0"/>
    <n v="0"/>
    <n v="0"/>
  </r>
  <r>
    <s v="万信-磐石035号002"/>
    <x v="1"/>
    <n v="10000000"/>
    <n v="7.1999999999999995E-2"/>
    <n v="365"/>
    <n v="0"/>
    <n v="465534.25"/>
    <n v="465534.25"/>
  </r>
  <r>
    <s v="万信-磐石035号002"/>
    <x v="18"/>
    <n v="10000000"/>
    <n v="7.1999999999999995E-2"/>
    <n v="365"/>
    <n v="0"/>
    <n v="80876.710000000006"/>
    <n v="80876.710000000006"/>
  </r>
  <r>
    <s v="万信-磐石035号002"/>
    <x v="19"/>
    <n v="10000000"/>
    <n v="7.1999999999999995E-2"/>
    <n v="365"/>
    <n v="10000000"/>
    <n v="534575.34"/>
    <n v="10534575.34"/>
  </r>
  <r>
    <s v="万信-磐石036号001"/>
    <x v="20"/>
    <n v="23800000"/>
    <n v="0.08"/>
    <n v="365"/>
    <n v="0"/>
    <n v="0"/>
    <n v="0"/>
  </r>
  <r>
    <s v="万信-磐石036号001"/>
    <x v="1"/>
    <n v="23800000"/>
    <n v="0.08"/>
    <n v="365"/>
    <n v="0"/>
    <n v="1204997.26"/>
    <n v="1204997.26"/>
  </r>
  <r>
    <s v="万信-磐石036号001"/>
    <x v="21"/>
    <n v="23800000"/>
    <n v="0.08"/>
    <n v="365"/>
    <n v="0"/>
    <n v="688569.86"/>
    <n v="688569.86"/>
  </r>
  <r>
    <s v="万信-磐石036号001"/>
    <x v="22"/>
    <n v="23800000"/>
    <n v="0.08"/>
    <n v="365"/>
    <n v="23800000"/>
    <n v="965041.1"/>
    <n v="24765041.100000001"/>
  </r>
  <r>
    <s v="万信-磐石037号001"/>
    <x v="23"/>
    <n v="23600000"/>
    <n v="7.5999999999999998E-2"/>
    <n v="365"/>
    <n v="0"/>
    <n v="0"/>
    <n v="0"/>
  </r>
  <r>
    <s v="万信-磐石037号001"/>
    <x v="1"/>
    <n v="23600000"/>
    <n v="7.5999999999999998E-2"/>
    <n v="365"/>
    <n v="0"/>
    <n v="1071246.03"/>
    <n v="1071246.03"/>
  </r>
  <r>
    <s v="万信-磐石037号001"/>
    <x v="24"/>
    <n v="23600000"/>
    <n v="7.5999999999999998E-2"/>
    <n v="365"/>
    <n v="0"/>
    <n v="727267.95"/>
    <n v="727267.95"/>
  </r>
  <r>
    <s v="万信-磐石037号001"/>
    <x v="25"/>
    <n v="23600000"/>
    <n v="7.5999999999999998E-2"/>
    <n v="365"/>
    <n v="23600000"/>
    <n v="1793600"/>
    <n v="25393600"/>
  </r>
  <r>
    <s v="万信-磐石040号001"/>
    <x v="26"/>
    <n v="15000000"/>
    <n v="7.4999999999999997E-2"/>
    <n v="365"/>
    <n v="0"/>
    <n v="0"/>
    <n v="0"/>
  </r>
  <r>
    <s v="万信-磐石040号001"/>
    <x v="11"/>
    <n v="15000000"/>
    <n v="7.4999999999999997E-2"/>
    <n v="365"/>
    <n v="0"/>
    <n v="493150.68"/>
    <n v="493150.68"/>
  </r>
  <r>
    <s v="万信-磐石040号001"/>
    <x v="1"/>
    <n v="15000000"/>
    <n v="7.4999999999999997E-2"/>
    <n v="365"/>
    <n v="0"/>
    <n v="157191.78"/>
    <n v="157191.78"/>
  </r>
  <r>
    <s v="万信-磐石040号001"/>
    <x v="12"/>
    <n v="15000000"/>
    <n v="7.4999999999999997E-2"/>
    <n v="365"/>
    <n v="0"/>
    <n v="967808.22"/>
    <n v="967808.22"/>
  </r>
  <r>
    <s v="万信-磐石040号001"/>
    <x v="27"/>
    <n v="15000000"/>
    <n v="7.4999999999999997E-2"/>
    <n v="365"/>
    <n v="15000000"/>
    <n v="634931.51"/>
    <n v="15634931.51"/>
  </r>
  <r>
    <s v="万信-磐石041号001"/>
    <x v="28"/>
    <n v="35200000"/>
    <n v="8.2000000000000003E-2"/>
    <n v="365"/>
    <n v="0"/>
    <n v="0"/>
    <n v="0"/>
  </r>
  <r>
    <s v="万信-磐石041号001"/>
    <x v="1"/>
    <n v="35200000"/>
    <n v="8.2000000000000003E-2"/>
    <n v="365"/>
    <n v="0"/>
    <n v="1597404.93"/>
    <n v="1597404.93"/>
  </r>
  <r>
    <s v="万信-磐石041号001"/>
    <x v="29"/>
    <n v="35200000"/>
    <n v="8.2000000000000003E-2"/>
    <n v="365"/>
    <n v="0"/>
    <n v="1296903.01"/>
    <n v="1296903.01"/>
  </r>
  <r>
    <s v="万信-磐石041号001"/>
    <x v="30"/>
    <n v="35200000"/>
    <n v="8.2000000000000003E-2"/>
    <n v="365"/>
    <n v="35200000"/>
    <n v="2886400"/>
    <n v="38086400"/>
  </r>
  <r>
    <s v="万信-磐石042号001"/>
    <x v="31"/>
    <n v="40000000"/>
    <n v="7.5999999999999998E-2"/>
    <n v="365"/>
    <n v="0"/>
    <n v="0"/>
    <n v="0"/>
  </r>
  <r>
    <s v="万信-磐石042号001"/>
    <x v="1"/>
    <n v="40000000"/>
    <n v="7.5999999999999998E-2"/>
    <n v="365"/>
    <n v="0"/>
    <n v="1582465.75"/>
    <n v="1582465.75"/>
  </r>
  <r>
    <s v="万信-磐石042号001"/>
    <x v="32"/>
    <n v="40000000"/>
    <n v="7.5999999999999998E-2"/>
    <n v="365"/>
    <n v="0"/>
    <n v="1465863.01"/>
    <n v="1465863.01"/>
  </r>
  <r>
    <s v="万信-磐石042号001"/>
    <x v="33"/>
    <n v="40000000"/>
    <n v="7.5999999999999998E-2"/>
    <n v="365"/>
    <n v="40000000"/>
    <n v="3040000"/>
    <n v="43040000"/>
  </r>
  <r>
    <s v="万信-磐石043号001"/>
    <x v="34"/>
    <n v="50000000"/>
    <n v="7.5999999999999998E-2"/>
    <n v="365"/>
    <n v="0"/>
    <n v="0"/>
    <n v="0"/>
  </r>
  <r>
    <s v="万信-磐石043号001"/>
    <x v="1"/>
    <n v="50000000"/>
    <n v="7.5999999999999998E-2"/>
    <n v="365"/>
    <n v="0"/>
    <n v="2040547.95"/>
    <n v="2040547.95"/>
  </r>
  <r>
    <s v="万信-磐石043号001"/>
    <x v="35"/>
    <n v="50000000"/>
    <n v="7.5999999999999998E-2"/>
    <n v="365"/>
    <n v="0"/>
    <n v="1769863.01"/>
    <n v="1769863.01"/>
  </r>
  <r>
    <s v="万信-磐石043号001"/>
    <x v="36"/>
    <n v="50000000"/>
    <n v="7.5999999999999998E-2"/>
    <n v="365"/>
    <n v="50000000"/>
    <n v="3800000"/>
    <n v="53800000"/>
  </r>
  <r>
    <s v="万信-基础设施建设信托基金019号001"/>
    <x v="37"/>
    <n v="5300000"/>
    <n v="0.10199999999999999"/>
    <n v="365"/>
    <n v="0"/>
    <n v="0"/>
    <n v="0"/>
  </r>
  <r>
    <s v="万信-基础设施建设信托基金019号001"/>
    <x v="38"/>
    <n v="5300000"/>
    <n v="0.10199999999999999"/>
    <n v="365"/>
    <n v="0"/>
    <n v="50357.26"/>
    <n v="50357.26"/>
  </r>
  <r>
    <s v="万信-基础设施建设信托基金019号001"/>
    <x v="39"/>
    <n v="5300000"/>
    <n v="0.10199999999999999"/>
    <n v="365"/>
    <n v="0"/>
    <n v="134779.73000000001"/>
    <n v="134779.73000000001"/>
  </r>
  <r>
    <s v="万信-基础设施建设信托基金019号001"/>
    <x v="40"/>
    <n v="5300000"/>
    <n v="0.10199999999999999"/>
    <n v="365"/>
    <n v="0"/>
    <n v="136260.82"/>
    <n v="136260.82"/>
  </r>
  <r>
    <s v="万信-基础设施建设信托基金019号001"/>
    <x v="41"/>
    <n v="5300000"/>
    <n v="0.10199999999999999"/>
    <n v="365"/>
    <n v="0"/>
    <n v="136260.82"/>
    <n v="136260.82"/>
  </r>
  <r>
    <s v="万信-基础设施建设信托基金019号001"/>
    <x v="42"/>
    <n v="5300000"/>
    <n v="0.10199999999999999"/>
    <n v="365"/>
    <n v="0"/>
    <n v="134779.73000000001"/>
    <n v="134779.73000000001"/>
  </r>
  <r>
    <s v="万信-基础设施建设信托基金019号001"/>
    <x v="43"/>
    <n v="5300000"/>
    <n v="0.10199999999999999"/>
    <n v="365"/>
    <n v="0"/>
    <n v="134779.73000000001"/>
    <n v="134779.73000000001"/>
  </r>
  <r>
    <s v="万信-基础设施建设信托基金019号001"/>
    <x v="1"/>
    <n v="5300000"/>
    <n v="0.10199999999999999"/>
    <n v="365"/>
    <n v="0"/>
    <n v="37027.4"/>
    <n v="37027.4"/>
  </r>
  <r>
    <s v="万信-基础设施建设信托基金019号001"/>
    <x v="44"/>
    <n v="5300000"/>
    <n v="0.10199999999999999"/>
    <n v="365"/>
    <n v="0"/>
    <n v="99233.42"/>
    <n v="99233.42"/>
  </r>
  <r>
    <s v="万信-基础设施建设信托基金019号001"/>
    <x v="45"/>
    <n v="5300000"/>
    <n v="0.10199999999999999"/>
    <n v="365"/>
    <n v="0"/>
    <n v="136260.82"/>
    <n v="136260.82"/>
  </r>
  <r>
    <s v="万信-基础设施建设信托基金019号001"/>
    <x v="46"/>
    <n v="5300000"/>
    <n v="0.10199999999999999"/>
    <n v="365"/>
    <n v="5300000"/>
    <n v="82941.37"/>
    <n v="5382941.3700000001"/>
  </r>
  <r>
    <s v="万信-基础设施建设信托基金020号001"/>
    <x v="37"/>
    <n v="16400000"/>
    <n v="0.10299999999999999"/>
    <n v="365"/>
    <n v="0"/>
    <n v="0"/>
    <n v="0"/>
  </r>
  <r>
    <s v="万信-基础设施建设信托基金020号001"/>
    <x v="47"/>
    <n v="16400000"/>
    <n v="0.10299999999999999"/>
    <n v="365"/>
    <n v="0"/>
    <n v="55535.34"/>
    <n v="55535.34"/>
  </r>
  <r>
    <s v="万信-基础设施建设信托基金020号001"/>
    <x v="48"/>
    <n v="16400000"/>
    <n v="0.10299999999999999"/>
    <n v="365"/>
    <n v="0"/>
    <n v="425770.96"/>
    <n v="425770.96"/>
  </r>
  <r>
    <s v="万信-基础设施建设信托基金020号001"/>
    <x v="49"/>
    <n v="16400000"/>
    <n v="0.10299999999999999"/>
    <n v="365"/>
    <n v="0"/>
    <n v="425770.96"/>
    <n v="425770.96"/>
  </r>
  <r>
    <s v="万信-基础设施建设信托基金020号001"/>
    <x v="50"/>
    <n v="16400000"/>
    <n v="0.10299999999999999"/>
    <n v="365"/>
    <n v="0"/>
    <n v="421143.01"/>
    <n v="421143.01"/>
  </r>
  <r>
    <s v="万信-基础设施建设信托基金020号001"/>
    <x v="51"/>
    <n v="16400000"/>
    <n v="0.10299999999999999"/>
    <n v="365"/>
    <n v="0"/>
    <n v="421143.01"/>
    <n v="421143.01"/>
  </r>
  <r>
    <s v="万信-基础设施建设信托基金020号001"/>
    <x v="52"/>
    <n v="16400000"/>
    <n v="0.10299999999999999"/>
    <n v="365"/>
    <n v="0"/>
    <n v="425770.96"/>
    <n v="425770.96"/>
  </r>
  <r>
    <s v="万信-基础设施建设信托基金020号001"/>
    <x v="1"/>
    <n v="16400000"/>
    <n v="0.10299999999999999"/>
    <n v="365"/>
    <n v="0"/>
    <n v="212885.48"/>
    <n v="212885.48"/>
  </r>
  <r>
    <s v="万信-基础设施建设信托基金020号001"/>
    <x v="53"/>
    <n v="16400000"/>
    <n v="0.10299999999999999"/>
    <n v="365"/>
    <n v="0"/>
    <n v="212885.48"/>
    <n v="212885.48"/>
  </r>
  <r>
    <s v="万信-基础设施建设信托基金020号001"/>
    <x v="54"/>
    <n v="16400000"/>
    <n v="0.10299999999999999"/>
    <n v="365"/>
    <n v="0"/>
    <n v="421143.01"/>
    <n v="421143.01"/>
  </r>
  <r>
    <s v="万信-基础设施建设信托基金020号001"/>
    <x v="46"/>
    <n v="16400000"/>
    <n v="0.10299999999999999"/>
    <n v="365"/>
    <n v="16400000"/>
    <n v="360979.73"/>
    <n v="16760979.73"/>
  </r>
  <r>
    <s v="万信-基础设施建设信托基金023号001"/>
    <x v="55"/>
    <n v="20000000"/>
    <n v="0.1"/>
    <n v="365"/>
    <n v="0"/>
    <n v="0"/>
    <n v="0"/>
  </r>
  <r>
    <s v="万信-基础设施建设信托基金023号001"/>
    <x v="56"/>
    <n v="20000000"/>
    <n v="0.1"/>
    <n v="365"/>
    <n v="0"/>
    <n v="465753.42"/>
    <n v="465753.42"/>
  </r>
  <r>
    <s v="万信-基础设施建设信托基金023号001"/>
    <x v="57"/>
    <n v="20000000"/>
    <n v="0.1"/>
    <n v="365"/>
    <n v="0"/>
    <n v="487671.23"/>
    <n v="487671.23"/>
  </r>
  <r>
    <s v="万信-基础设施建设信托基金023号001"/>
    <x v="58"/>
    <n v="20000000"/>
    <n v="0.1"/>
    <n v="365"/>
    <n v="0"/>
    <n v="504109.59"/>
    <n v="504109.59"/>
  </r>
  <r>
    <s v="万信-基础设施建设信托基金023号001"/>
    <x v="59"/>
    <n v="20000000"/>
    <n v="0.1"/>
    <n v="365"/>
    <n v="0"/>
    <n v="504109.59"/>
    <n v="504109.59"/>
  </r>
  <r>
    <s v="万信-基础设施建设信托基金023号001"/>
    <x v="60"/>
    <n v="20000000"/>
    <n v="0.1"/>
    <n v="365"/>
    <n v="0"/>
    <n v="504109.59"/>
    <n v="504109.59"/>
  </r>
  <r>
    <s v="万信-基础设施建设信托基金023号001"/>
    <x v="61"/>
    <n v="20000000"/>
    <n v="0.1"/>
    <n v="365"/>
    <n v="0"/>
    <n v="493150.68"/>
    <n v="493150.68"/>
  </r>
  <r>
    <s v="万信-基础设施建设信托基金023号001"/>
    <x v="1"/>
    <n v="20000000"/>
    <n v="0.1"/>
    <n v="365"/>
    <n v="0"/>
    <n v="405479.45"/>
    <n v="405479.45"/>
  </r>
  <r>
    <s v="万信-基础设施建设信托基金023号001"/>
    <x v="62"/>
    <n v="20000000"/>
    <n v="0.1"/>
    <n v="365"/>
    <n v="0"/>
    <n v="98630.14"/>
    <n v="98630.14"/>
  </r>
  <r>
    <s v="万信-基础设施建设信托基金023号001"/>
    <x v="63"/>
    <n v="20000000"/>
    <n v="0.1"/>
    <n v="365"/>
    <n v="0"/>
    <n v="504109.59"/>
    <n v="504109.59"/>
  </r>
  <r>
    <s v="万信-基础设施建设信托基金023号001"/>
    <x v="64"/>
    <n v="20000000"/>
    <n v="0.1"/>
    <n v="365"/>
    <n v="20000000"/>
    <n v="38356.160000000003"/>
    <n v="20038356.16"/>
  </r>
  <r>
    <s v="万信-基础设施建设信托基金023号002"/>
    <x v="65"/>
    <n v="30000000"/>
    <n v="0.1"/>
    <n v="365"/>
    <n v="0"/>
    <n v="0"/>
    <n v="0"/>
  </r>
  <r>
    <s v="万信-基础设施建设信托基金023号002"/>
    <x v="56"/>
    <n v="30000000"/>
    <n v="0.1"/>
    <n v="365"/>
    <n v="0"/>
    <n v="641095.89"/>
    <n v="641095.89"/>
  </r>
  <r>
    <s v="万信-基础设施建设信托基金023号002"/>
    <x v="57"/>
    <n v="30000000"/>
    <n v="0.1"/>
    <n v="365"/>
    <n v="0"/>
    <n v="731506.85"/>
    <n v="731506.85"/>
  </r>
  <r>
    <s v="万信-基础设施建设信托基金023号002"/>
    <x v="58"/>
    <n v="30000000"/>
    <n v="0.1"/>
    <n v="365"/>
    <n v="0"/>
    <n v="756164.38"/>
    <n v="756164.38"/>
  </r>
  <r>
    <s v="万信-基础设施建设信托基金023号002"/>
    <x v="59"/>
    <n v="30000000"/>
    <n v="0.1"/>
    <n v="365"/>
    <n v="0"/>
    <n v="756164.38"/>
    <n v="756164.38"/>
  </r>
  <r>
    <s v="万信-基础设施建设信托基金023号002"/>
    <x v="60"/>
    <n v="30000000"/>
    <n v="0.1"/>
    <n v="365"/>
    <n v="0"/>
    <n v="756164.38"/>
    <n v="756164.38"/>
  </r>
  <r>
    <s v="万信-基础设施建设信托基金023号002"/>
    <x v="61"/>
    <n v="30000000"/>
    <n v="0.1"/>
    <n v="365"/>
    <n v="0"/>
    <n v="739726.03"/>
    <n v="739726.03"/>
  </r>
  <r>
    <s v="万信-基础设施建设信托基金023号002"/>
    <x v="1"/>
    <n v="30000000"/>
    <n v="0.1"/>
    <n v="365"/>
    <n v="0"/>
    <n v="608219.18000000005"/>
    <n v="608219.18000000005"/>
  </r>
  <r>
    <s v="万信-基础设施建设信托基金023号002"/>
    <x v="62"/>
    <n v="30000000"/>
    <n v="0.1"/>
    <n v="365"/>
    <n v="0"/>
    <n v="147945.21"/>
    <n v="147945.21"/>
  </r>
  <r>
    <s v="万信-基础设施建设信托基金023号002"/>
    <x v="63"/>
    <n v="30000000"/>
    <n v="0.1"/>
    <n v="365"/>
    <n v="0"/>
    <n v="756164.38"/>
    <n v="756164.38"/>
  </r>
  <r>
    <s v="万信-基础设施建设信托基金023号002"/>
    <x v="66"/>
    <n v="30000000"/>
    <n v="0.1"/>
    <n v="365"/>
    <n v="30000000"/>
    <n v="115068.49"/>
    <n v="30115068.489999998"/>
  </r>
  <r>
    <s v="万信-基础设施建设信托基金031号001"/>
    <x v="67"/>
    <n v="15000000"/>
    <n v="0.105"/>
    <n v="365"/>
    <n v="0"/>
    <n v="0"/>
    <n v="0"/>
  </r>
  <r>
    <s v="万信-基础设施建设信托基金031号001"/>
    <x v="68"/>
    <n v="15000000"/>
    <n v="0.105"/>
    <n v="365"/>
    <n v="0"/>
    <n v="185547.95"/>
    <n v="185547.95"/>
  </r>
  <r>
    <s v="万信-基础设施建设信托基金031号001"/>
    <x v="69"/>
    <n v="15000000"/>
    <n v="0.105"/>
    <n v="365"/>
    <n v="0"/>
    <n v="396986.3"/>
    <n v="396986.3"/>
  </r>
  <r>
    <s v="万信-基础设施建设信托基金031号001"/>
    <x v="70"/>
    <n v="15000000"/>
    <n v="0.105"/>
    <n v="365"/>
    <n v="0"/>
    <n v="396986.3"/>
    <n v="396986.3"/>
  </r>
  <r>
    <s v="万信-基础设施建设信托基金031号001"/>
    <x v="15"/>
    <n v="15000000"/>
    <n v="0.105"/>
    <n v="365"/>
    <n v="0"/>
    <n v="392671.23"/>
    <n v="392671.23"/>
  </r>
  <r>
    <s v="万信-基础设施建设信托基金031号001"/>
    <x v="71"/>
    <n v="15000000"/>
    <n v="0.105"/>
    <n v="365"/>
    <n v="0"/>
    <n v="392671.23"/>
    <n v="392671.23"/>
  </r>
  <r>
    <s v="万信-基础设施建设信托基金031号001"/>
    <x v="72"/>
    <n v="15000000"/>
    <n v="0.105"/>
    <n v="365"/>
    <n v="0"/>
    <n v="396986.3"/>
    <n v="396986.3"/>
  </r>
  <r>
    <s v="万信-基础设施建设信托基金031号001"/>
    <x v="1"/>
    <n v="15000000"/>
    <n v="0.105"/>
    <n v="365"/>
    <n v="0"/>
    <n v="215753.42"/>
    <n v="215753.42"/>
  </r>
  <r>
    <s v="万信-基础设施建设信托基金031号001"/>
    <x v="73"/>
    <n v="15000000"/>
    <n v="0.105"/>
    <n v="365"/>
    <n v="0"/>
    <n v="181232.88"/>
    <n v="181232.88"/>
  </r>
  <r>
    <s v="万信-基础设施建设信托基金031号001"/>
    <x v="74"/>
    <n v="15000000"/>
    <n v="0.105"/>
    <n v="365"/>
    <n v="0"/>
    <n v="392671.23"/>
    <n v="392671.23"/>
  </r>
  <r>
    <s v="万信-基础设施建设信托基金031号001"/>
    <x v="75"/>
    <n v="15000000"/>
    <n v="0.105"/>
    <n v="365"/>
    <n v="15000000"/>
    <n v="202808.22"/>
    <n v="15202808.220000001"/>
  </r>
  <r>
    <s v="万信-基础设施建设信托基金046号001"/>
    <x v="48"/>
    <n v="7100000"/>
    <n v="0.1"/>
    <n v="365"/>
    <n v="0"/>
    <n v="0"/>
    <n v="0"/>
  </r>
  <r>
    <s v="万信-基础设施建设信托基金046号001"/>
    <x v="76"/>
    <n v="7100000"/>
    <n v="0.1"/>
    <n v="365"/>
    <n v="0"/>
    <n v="66136.990000000005"/>
    <n v="66136.990000000005"/>
  </r>
  <r>
    <s v="万信-基础设施建设信托基金046号001"/>
    <x v="77"/>
    <n v="7100000"/>
    <n v="0.1"/>
    <n v="365"/>
    <n v="0"/>
    <n v="178958.9"/>
    <n v="178958.9"/>
  </r>
  <r>
    <s v="万信-基础设施建设信托基金046号001"/>
    <x v="78"/>
    <n v="7100000"/>
    <n v="0.1"/>
    <n v="365"/>
    <n v="0"/>
    <n v="178958.9"/>
    <n v="178958.9"/>
  </r>
  <r>
    <s v="万信-基础设施建设信托基金046号001"/>
    <x v="79"/>
    <n v="7100000"/>
    <n v="0.1"/>
    <n v="365"/>
    <n v="0"/>
    <n v="177013.7"/>
    <n v="177013.7"/>
  </r>
  <r>
    <s v="万信-基础设施建设信托基金046号001"/>
    <x v="80"/>
    <n v="7100000"/>
    <n v="0.1"/>
    <n v="365"/>
    <n v="0"/>
    <n v="177013.7"/>
    <n v="177013.7"/>
  </r>
  <r>
    <s v="万信-基础设施建设信托基金046号001"/>
    <x v="1"/>
    <n v="7100000"/>
    <n v="0.1"/>
    <n v="365"/>
    <n v="0"/>
    <n v="23342.47"/>
    <n v="23342.47"/>
  </r>
  <r>
    <s v="万信-基础设施建设信托基金046号001"/>
    <x v="81"/>
    <n v="7100000"/>
    <n v="0.1"/>
    <n v="365"/>
    <n v="0"/>
    <n v="155616.44"/>
    <n v="155616.44"/>
  </r>
  <r>
    <s v="万信-基础设施建设信托基金046号001"/>
    <x v="54"/>
    <n v="7100000"/>
    <n v="0.1"/>
    <n v="365"/>
    <n v="7100000"/>
    <n v="110876.71"/>
    <n v="7210876.71"/>
  </r>
  <r>
    <s v="万信-资产流动类信托基金002号001"/>
    <x v="82"/>
    <n v="30000000"/>
    <n v="0.108"/>
    <n v="365"/>
    <n v="0"/>
    <n v="0"/>
    <n v="0"/>
  </r>
  <r>
    <s v="万信-资产流动类信托基金002号001"/>
    <x v="83"/>
    <n v="30000000"/>
    <n v="0.108"/>
    <n v="365"/>
    <n v="0"/>
    <n v="1606684.93"/>
    <n v="1606684.93"/>
  </r>
  <r>
    <s v="万信-资产流动类信托基金002号001"/>
    <x v="84"/>
    <n v="30000000"/>
    <n v="0.108"/>
    <n v="365"/>
    <n v="0"/>
    <n v="1633315.07"/>
    <n v="1633315.07"/>
  </r>
  <r>
    <s v="万信-资产流动类信托基金002号001"/>
    <x v="85"/>
    <n v="30000000"/>
    <n v="0.108"/>
    <n v="365"/>
    <n v="0"/>
    <n v="1615561.64"/>
    <n v="1615561.64"/>
  </r>
  <r>
    <s v="万信-资产流动类信托基金002号001"/>
    <x v="1"/>
    <n v="30000000"/>
    <n v="0.108"/>
    <n v="365"/>
    <n v="0"/>
    <n v="905424.66"/>
    <n v="905424.66"/>
  </r>
  <r>
    <s v="万信-资产流动类信托基金002号001"/>
    <x v="86"/>
    <n v="30000000"/>
    <n v="0.108"/>
    <n v="365"/>
    <n v="30000000"/>
    <n v="727890.41"/>
    <n v="30727890.41"/>
  </r>
  <r>
    <s v="万信-资产流动类信托基金002号002"/>
    <x v="87"/>
    <n v="50000000"/>
    <n v="0.108"/>
    <n v="365"/>
    <n v="0"/>
    <n v="0"/>
    <n v="0"/>
  </r>
  <r>
    <s v="万信-资产流动类信托基金002号002"/>
    <x v="88"/>
    <n v="50000000"/>
    <n v="0.108"/>
    <n v="365"/>
    <n v="0"/>
    <n v="2677808.2200000002"/>
    <n v="2677808.2200000002"/>
  </r>
  <r>
    <s v="万信-资产流动类信托基金002号002"/>
    <x v="89"/>
    <n v="50000000"/>
    <n v="0.108"/>
    <n v="365"/>
    <n v="0"/>
    <n v="2722191.78"/>
    <n v="2722191.78"/>
  </r>
  <r>
    <s v="万信-资产流动类信托基金002号002"/>
    <x v="90"/>
    <n v="50000000"/>
    <n v="0.108"/>
    <n v="365"/>
    <n v="0"/>
    <n v="2692602.74"/>
    <n v="2692602.74"/>
  </r>
  <r>
    <s v="万信-资产流动类信托基金002号002"/>
    <x v="1"/>
    <n v="50000000"/>
    <n v="0.108"/>
    <n v="365"/>
    <n v="0"/>
    <n v="1405479.45"/>
    <n v="1405479.45"/>
  </r>
  <r>
    <s v="万信-资产流动类信托基金002号002"/>
    <x v="91"/>
    <n v="50000000"/>
    <n v="0.108"/>
    <n v="365"/>
    <n v="50000000"/>
    <n v="1316712.33"/>
    <n v="51316712.329999998"/>
  </r>
  <r>
    <s v="万信-资产流动类信托基金002号003"/>
    <x v="55"/>
    <n v="6700000"/>
    <n v="0.108"/>
    <n v="365"/>
    <n v="0"/>
    <n v="0"/>
    <n v="0"/>
  </r>
  <r>
    <s v="万信-资产流动类信托基金002号003"/>
    <x v="92"/>
    <n v="6700000"/>
    <n v="0.108"/>
    <n v="365"/>
    <n v="0"/>
    <n v="360808.77"/>
    <n v="360808.77"/>
  </r>
  <r>
    <s v="万信-资产流动类信托基金002号003"/>
    <x v="93"/>
    <n v="6700000"/>
    <n v="0.108"/>
    <n v="365"/>
    <n v="0"/>
    <n v="362791.23"/>
    <n v="362791.23"/>
  </r>
  <r>
    <s v="万信-资产流动类信托基金002号003"/>
    <x v="94"/>
    <n v="6700000"/>
    <n v="0.108"/>
    <n v="365"/>
    <n v="0"/>
    <n v="362791.23"/>
    <n v="362791.23"/>
  </r>
  <r>
    <s v="万信-资产流动类信托基金002号003"/>
    <x v="1"/>
    <n v="6700000"/>
    <n v="0.108"/>
    <n v="365"/>
    <n v="0"/>
    <n v="130842.74"/>
    <n v="130842.74"/>
  </r>
  <r>
    <s v="万信-资产流动类信托基金002号003"/>
    <x v="64"/>
    <n v="6700000"/>
    <n v="0.108"/>
    <n v="365"/>
    <n v="6700000"/>
    <n v="231948.49"/>
    <n v="6931948.4900000002"/>
  </r>
</pivotCacheRecords>
</file>

<file path=xl/pivotCache/pivotCacheRecords4.xml><?xml version="1.0" encoding="utf-8"?>
<pivotCacheRecords xmlns="http://schemas.openxmlformats.org/spreadsheetml/2006/main" xmlns:r="http://schemas.openxmlformats.org/officeDocument/2006/relationships" count="22">
  <r>
    <s v="万信-基础设施建设信托基金019号001"/>
    <n v="1"/>
    <n v="127200000"/>
    <n v="24"/>
    <n v="37100000"/>
    <n v="7"/>
    <d v="2015-03-13T00:00:00"/>
    <d v="2017-03-13T00:00:00"/>
    <n v="0.10199999999999999"/>
    <n v="7.0000000000000007E-2"/>
    <n v="99901.37"/>
    <n v="7.4999999999999997E-2"/>
    <n v="84291.78"/>
    <n v="365"/>
    <m/>
    <s v="WX-XT-201402004-0068"/>
    <m/>
    <m/>
    <d v="2016-08-10T00:00:00"/>
    <n v="5300000"/>
    <n v="1082681.1000000001"/>
    <n v="318435.62"/>
    <n v="1082681.1000000001"/>
    <n v="0"/>
    <n v="234143.84"/>
    <d v="2016-12-31T00:00:00"/>
    <n v="211796.71"/>
    <s v="信托半年度"/>
    <n v="6"/>
    <s v="成都市新益州城市建设发展有限公司（AA-）"/>
    <s v="万向信托"/>
    <m/>
    <s v="基建"/>
    <s v="四川"/>
    <s v="成都"/>
    <s v="成都市润弘投资有限公司"/>
    <s v="抵押、保证"/>
    <s v="1、润弘投资对本信托计划的本金和预期收益提供连带责任保证担保;_x000d_2、由新益州城建提供土地抵押;_x000d_3、还款纳入财政预算；_x000d_4、信托资金监管。"/>
    <n v="215"/>
    <n v="0"/>
    <x v="0"/>
    <x v="0"/>
  </r>
  <r>
    <s v="万信-基础设施建设信托基金020号001"/>
    <n v="1"/>
    <n v="393600000"/>
    <n v="24"/>
    <n v="114800000"/>
    <n v="7"/>
    <d v="2015-03-13T00:00:00"/>
    <d v="2017-03-13T00:00:00"/>
    <n v="0.10299999999999999"/>
    <n v="7.0000000000000007E-2"/>
    <n v="318789.03999999998"/>
    <n v="7.4999999999999997E-2"/>
    <n v="270487.67"/>
    <n v="365"/>
    <m/>
    <s v="WX-XT-201402004-0070"/>
    <m/>
    <m/>
    <d v="2016-08-10T00:00:00"/>
    <n v="16400000"/>
    <n v="3383027.95"/>
    <n v="995008.22"/>
    <n v="3383027.94"/>
    <n v="1.0000000242143869E-2"/>
    <n v="724520.55"/>
    <d v="2016-12-31T00:00:00"/>
    <n v="661796.16"/>
    <s v="信托半年度"/>
    <n v="6"/>
    <s v="成都市新益州城市建设发展有限公司（AA-）"/>
    <s v="万向信托"/>
    <m/>
    <s v="基建"/>
    <s v="四川"/>
    <s v="成都"/>
    <s v="成都市润弘投资有限公司"/>
    <s v="抵押、保证"/>
    <s v="1、润弘投资对本信托计划的本金和预期收益提供连带责任保证担保;_x000d_2、由新益州城建提供土地抵押;_x000d_3、还款纳入财政预算；_x000d_4、信托资金监管。"/>
    <n v="215"/>
    <n v="0"/>
    <x v="0"/>
    <x v="0"/>
  </r>
  <r>
    <s v="万信-基础设施建设信托基金023号001"/>
    <n v="1"/>
    <n v="480000000"/>
    <n v="24"/>
    <n v="60000000"/>
    <n v="3"/>
    <d v="2014-12-05T00:00:00"/>
    <d v="2016-12-05T00:00:00"/>
    <n v="0.1"/>
    <n v="7.0000000000000007E-2"/>
    <n v="192328.77"/>
    <n v="7.4999999999999997E-2"/>
    <n v="160273.97"/>
    <n v="365"/>
    <m/>
    <s v="WX-XT-201402009-0042"/>
    <m/>
    <m/>
    <d v="2016-08-10T00:00:00"/>
    <n v="20000000"/>
    <n v="4005479.45"/>
    <n v="641095.89"/>
    <n v="4005479.4400000004"/>
    <n v="9.9999997764825821E-3"/>
    <n v="480821.92"/>
    <d v="2016-12-05T00:00:00"/>
    <n v="641095.89"/>
    <s v="信托季"/>
    <n v="3"/>
    <s v="德清县临杭新农村建设投资有限公司"/>
    <s v="万向信托"/>
    <m/>
    <s v="基建"/>
    <s v="浙江"/>
    <s v="德清"/>
    <s v="浙江省德清县交通投资集团有限公司（AA）"/>
    <s v="保证"/>
    <s v="（1）浙江省德清县交通投资集团有限公司(以下简称“德清交投”)为本次信托承担无限连带担保责任。_x000d_（2）德清县临杭工业区管委会针对该项目的专项款。_x000d_（3）项目剩余房源的出让 收入。"/>
    <n v="117"/>
    <n v="0"/>
    <x v="0"/>
    <x v="0"/>
  </r>
  <r>
    <s v="万信-基础设施建设信托基金023号002"/>
    <n v="1"/>
    <n v="720000000"/>
    <n v="24"/>
    <n v="120000000"/>
    <n v="4"/>
    <d v="2014-12-12T00:00:00"/>
    <d v="2016-12-12T00:00:00"/>
    <n v="0.1"/>
    <n v="7.0000000000000007E-2"/>
    <n v="305753.42"/>
    <n v="7.4999999999999997E-2"/>
    <n v="254794.52"/>
    <n v="365"/>
    <m/>
    <s v="WX-XT-201402004-0121"/>
    <m/>
    <m/>
    <d v="2016-08-10T00:00:00"/>
    <n v="30000000"/>
    <n v="6008219.1799999997"/>
    <n v="1019178.08"/>
    <n v="6008219.1699999999"/>
    <n v="9.9999997764825821E-3"/>
    <n v="764383.56"/>
    <d v="2016-12-12T00:00:00"/>
    <n v="1019178.08"/>
    <s v="信托半年度"/>
    <n v="6"/>
    <s v="德清县临杭新农村建设投资有限公司"/>
    <s v="万向信托"/>
    <m/>
    <s v="基建"/>
    <s v="四川"/>
    <s v="成都"/>
    <s v="成都市润弘投资有限公司"/>
    <s v="抵押、保证"/>
    <s v="1、润弘投资对本信托计划的本金和预期收益提供连带责任保证担保;_x000d_2、由新益州城建提供土地抵押;_x000d_3、还款纳入财政预算；_x000d_4、信托资金监管。"/>
    <n v="124"/>
    <n v="0"/>
    <x v="0"/>
    <x v="0"/>
  </r>
  <r>
    <s v="万信-基础设施建设信托基金031号001"/>
    <n v="1"/>
    <n v="360000000"/>
    <n v="24"/>
    <n v="75000000"/>
    <n v="5"/>
    <d v="2015-02-06T00:00:00"/>
    <d v="2017-02-06T00:00:00"/>
    <n v="0.105"/>
    <n v="7.0000000000000007E-2"/>
    <n v="258904.11"/>
    <n v="7.4999999999999997E-2"/>
    <n v="221917.81"/>
    <n v="365"/>
    <m/>
    <s v="WX-XT-201402009-0045"/>
    <m/>
    <m/>
    <d v="2016-08-10T00:00:00"/>
    <n v="15000000"/>
    <n v="3154315.07"/>
    <n v="776712.33"/>
    <n v="3154315.06"/>
    <n v="9.9999997764825821E-3"/>
    <n v="554794.52"/>
    <d v="2016-12-31T00:00:00"/>
    <n v="617054.79"/>
    <s v="信托季"/>
    <n v="3"/>
    <s v="镇江新区城市建设投资有限公司（AA-)"/>
    <s v="万向信托"/>
    <m/>
    <s v="基建"/>
    <s v="浙江"/>
    <s v="德清"/>
    <s v="浙江省德清县交通投资集团有限公司（AA）"/>
    <s v="保证"/>
    <s v="（1）浙江省德清县交通投资集团有限公司(以下简称“德清交投”)为本次信托承担无限连带担保责任。_x000d_（2）德清县临杭工业区管委会针对该项目的专项款。_x000d_（3）项目剩余房源的出让 收入。"/>
    <n v="180"/>
    <n v="0"/>
    <x v="0"/>
    <x v="0"/>
  </r>
  <r>
    <s v="万信-基础设施建设信托基金046号001"/>
    <n v="1"/>
    <n v="127800000"/>
    <n v="18"/>
    <n v="28400000"/>
    <n v="4"/>
    <d v="2015-06-25T00:00:00"/>
    <d v="2016-12-25T00:00:00"/>
    <n v="0.1"/>
    <n v="7.0000000000000007E-2"/>
    <n v="79947.95"/>
    <n v="7.4999999999999997E-2"/>
    <n v="66623.289999999994"/>
    <n v="365"/>
    <m/>
    <s v="WX-XT-201405025-0013"/>
    <m/>
    <m/>
    <d v="2016-08-10T00:00:00"/>
    <n v="7100000"/>
    <n v="1067917.81"/>
    <n v="266493.15000000002"/>
    <n v="1067917.8099999998"/>
    <n v="0"/>
    <n v="199869.86"/>
    <d v="2016-12-25T00:00:00"/>
    <n v="266493.15000000002"/>
    <s v="信托季"/>
    <n v="3"/>
    <s v="成都新城西城市投资经营中心（AA）"/>
    <s v="万向信托"/>
    <m/>
    <s v="基建"/>
    <s v="四川"/>
    <s v="成都"/>
    <s v="成都光华资产管理有限公司（AA）"/>
    <s v="质押、保证"/>
    <s v="(1)信托存续期间,成都新城西将成都市温江区财政局的应收账款进行转让,成_x000d_都新城西、成都市温江区人民政府签订《应收债权买入返售协议》。 (2)成都光华资产管理有限公司(AA 评级)提供无限连带责任担保。"/>
    <n v="137"/>
    <n v="0"/>
    <x v="0"/>
    <x v="0"/>
  </r>
  <r>
    <s v="万信-磐石024号001"/>
    <n v="1"/>
    <n v="172800000"/>
    <n v="24"/>
    <n v="108000000"/>
    <n v="15"/>
    <d v="2015-11-27T00:00:00"/>
    <d v="2017-11-27T00:00:00"/>
    <n v="7.4999999999999997E-2"/>
    <n v="7.0000000000000007E-2"/>
    <n v="46750.68"/>
    <n v="7.4999999999999997E-2"/>
    <n v="0"/>
    <n v="365"/>
    <m/>
    <s v="WX-XT-201401008-0018"/>
    <m/>
    <m/>
    <d v="2016-08-10T00:00:00"/>
    <n v="7200000"/>
    <n v="1081479.45"/>
    <n v="701260.27"/>
    <n v="1081479.45"/>
    <n v="0"/>
    <n v="701260.27"/>
    <d v="2016-12-31T00:00:00"/>
    <n v="211561.64"/>
    <s v="自然季"/>
    <n v="3"/>
    <s v="镇江新区城市建设投资有限公司（AA-)"/>
    <s v="万向信托"/>
    <m/>
    <s v="基建"/>
    <s v="江苏"/>
    <s v="镇江"/>
    <s v="镇江市交通投资建设发展公司（AA）、镇江新区经济开发总公司（AA）"/>
    <s v="保证"/>
    <s v="1) 镇江交投(主体评级 AA)和新区经发(主体评级 AA)为本信托计划提供连带责任保证担保;_x000d_2) 人大决议:镇江新区人大工委出具人大决议,同意将本信托计划还款资金纳入财政预算,以确保该信托融资款项的顺利偿付。_x000d_3) 财政承诺:镇江新区财政局出具为本信托计划承担差额补足还款责任的财政承诺函。_x000d_4) 开立资金监管专户,专项用于信托资金的收付,委托监管银行对信托资使用情况进行实时监控,确保专款专用和回款。"/>
    <n v="474"/>
    <n v="1"/>
    <x v="1"/>
    <x v="0"/>
  </r>
  <r>
    <s v="万信-磐石025号001"/>
    <n v="1"/>
    <n v="940800000"/>
    <n v="24"/>
    <n v="588000000"/>
    <n v="15"/>
    <d v="2015-12-03T00:00:00"/>
    <d v="2017-12-03T00:00:00"/>
    <n v="7.4999999999999997E-2"/>
    <n v="7.0000000000000007E-2"/>
    <n v="257753.42"/>
    <n v="7.4999999999999997E-2"/>
    <n v="0"/>
    <n v="365"/>
    <m/>
    <s v="WX-XT-201405007-0012"/>
    <m/>
    <m/>
    <d v="2016-08-10T00:00:00"/>
    <n v="39200000"/>
    <n v="5888054.79"/>
    <n v="3866301.37"/>
    <n v="5888054.79"/>
    <n v="0"/>
    <n v="3866301.37"/>
    <d v="2016-12-31T00:00:00"/>
    <n v="1151835.6200000001"/>
    <s v="信托季"/>
    <n v="3"/>
    <s v="成都市龙泉驿区国有资产投资经营有限公司（AA）"/>
    <s v="万向信托"/>
    <m/>
    <s v="基建"/>
    <s v="四川"/>
    <s v="成都"/>
    <s v="成都经济技术开发区建设发展有限公司（AA）"/>
    <s v="质押、保证"/>
    <s v="1、应收账款债务人成都市龙泉驿区财政局按照约定到期归还应收账款债务; 2、融资人成都市龙泉驿区国有资产投资经营有限公司到期回购债权; 3、担保人成都经济技术开发区建设发展有限公司到期代替融资人回购债权。"/>
    <n v="480"/>
    <n v="1"/>
    <x v="1"/>
    <x v="0"/>
  </r>
  <r>
    <s v="万信-磐石026号001"/>
    <n v="1"/>
    <n v="612000000"/>
    <n v="24"/>
    <n v="382500000"/>
    <n v="15"/>
    <d v="2015-12-03T00:00:00"/>
    <d v="2017-12-03T00:00:00"/>
    <n v="7.4999999999999997E-2"/>
    <n v="7.0000000000000007E-2"/>
    <n v="167671.23000000001"/>
    <n v="7.4999999999999997E-2"/>
    <n v="0"/>
    <n v="365"/>
    <m/>
    <s v="WX-XT-201405008-0070"/>
    <m/>
    <m/>
    <d v="2016-08-10T00:00:00"/>
    <n v="25500000"/>
    <n v="3830239.73"/>
    <n v="2515068.4900000002"/>
    <n v="3830239.7199999997"/>
    <n v="1.0000000242143869E-2"/>
    <n v="2515068.4900000002"/>
    <d v="2016-12-31T00:00:00"/>
    <n v="749280.82"/>
    <s v="信托季"/>
    <n v="3"/>
    <s v="成都市龙泉驿区国有资产投资经营有限公司（AA）"/>
    <s v="万向信托"/>
    <m/>
    <s v="基建"/>
    <s v="四川"/>
    <s v="成都"/>
    <s v="成都经济技术开发区建设发展有限公司（AA）"/>
    <s v="质押、保证"/>
    <s v="1、应收账款债务人成都市龙泉驿区财政局按照约定到期归还应收账款债务; 2、融资人成都市龙泉驿区国有资产投资经营有限公司到期回购债权; 3、担保人成都经济技术开发区建设发展有限公司到期代替融资人回购债权。"/>
    <n v="480"/>
    <n v="1"/>
    <x v="1"/>
    <x v="0"/>
  </r>
  <r>
    <s v="万信-磐石027号001"/>
    <n v="1"/>
    <n v="720000000"/>
    <n v="24"/>
    <n v="450000000"/>
    <n v="15"/>
    <d v="2015-12-04T00:00:00"/>
    <d v="2017-12-04T00:00:00"/>
    <n v="7.4999999999999997E-2"/>
    <n v="7.0000000000000007E-2"/>
    <n v="197671.23"/>
    <n v="7.4999999999999997E-2"/>
    <n v="0"/>
    <n v="365"/>
    <m/>
    <s v="WX-XT-201502049-0002"/>
    <m/>
    <m/>
    <d v="2016-08-10T00:00:00"/>
    <n v="30000000"/>
    <n v="4506164.38"/>
    <n v="2965068.49"/>
    <n v="4506164.38"/>
    <n v="0"/>
    <n v="2965068.49"/>
    <d v="2016-12-31T00:00:00"/>
    <n v="881506.85"/>
    <s v="特殊"/>
    <m/>
    <s v="遵义县水务投资有限公司"/>
    <s v="大业信托"/>
    <m/>
    <s v="基建"/>
    <s v="贵州"/>
    <s v="遵义"/>
    <s v="遵义县国有资产投资经营（集团）有限责任公司、遵义县城市建设投资经营有限公司"/>
    <s v="抵押、保证"/>
    <s v="1、遵义建投将提供评估价值不低于10亿的土地作为抵押，第一期提供的抵押土地评估价值约6亿元，本金抵押率约不超过50%。_x000d_2、为保障融资方按时、足额偿还信托贷款本息，遵义县国有资产投资经营有限责任公司和遵义县城市建设投资经营有限公司为信托计划提供不可撤销的连带责任保证担保。_x000d_3、遵义市财政局出具同意支持遵义水投还款的财政承诺函。遵义市人大出具决议文件，将该笔信托融资的还款资金列入年度财政预算。"/>
    <n v="481"/>
    <n v="1"/>
    <x v="1"/>
    <x v="0"/>
  </r>
  <r>
    <s v="万信-磐石028号001"/>
    <n v="1"/>
    <n v="751200000"/>
    <n v="24"/>
    <n v="500800000"/>
    <n v="16"/>
    <d v="2015-12-18T00:00:00"/>
    <d v="2017-12-18T00:00:00"/>
    <n v="7.4999999999999997E-2"/>
    <n v="7.0000000000000007E-2"/>
    <n v="212239.73"/>
    <n v="7.4999999999999997E-2"/>
    <n v="0"/>
    <n v="365"/>
    <m/>
    <s v="WX-XT-201502050-0001"/>
    <m/>
    <m/>
    <d v="2016-08-10T00:00:00"/>
    <n v="31300000"/>
    <n v="4701431.51"/>
    <n v="3183595.89"/>
    <n v="4701431.51"/>
    <n v="0"/>
    <n v="3183595.89"/>
    <d v="2016-12-31T00:00:00"/>
    <n v="919705.48"/>
    <s v="自然年"/>
    <n v="12"/>
    <s v="重庆东银控股集团有限公司（旗下三家上市公司：迪马股份（SH.600565）、智慧农业（SZ.000816）、东原地产（HK.00668））"/>
    <s v="华澳信托"/>
    <m/>
    <s v="工商"/>
    <s v="重庆"/>
    <s v="重庆"/>
    <s v="江苏江动集团有限公司 （上市公司“智慧农业”（000816）控股股东）、新疆新世纪矿业有限责任公司、创源投资发展有限公司"/>
    <s v="质押、保证"/>
    <s v="（1）江动集团对本信托计划的溢价回购款做保证担保；新疆新世纪对本信托计划溢价回购款做保证担保._x000d_（2）创源投资发展有限公司以其持有的新疆新世纪100%股权做质押担保._x000d_（3）江动集团对应收债权做债务确认."/>
    <n v="495"/>
    <n v="1"/>
    <x v="1"/>
    <x v="0"/>
  </r>
  <r>
    <s v="万信-磐石030号001"/>
    <n v="1"/>
    <n v="652800000"/>
    <n v="24"/>
    <n v="435200000"/>
    <n v="16"/>
    <d v="2015-12-11T00:00:00"/>
    <d v="2017-12-11T00:00:00"/>
    <n v="7.4999999999999997E-2"/>
    <n v="7.0000000000000007E-2"/>
    <n v="181830.14"/>
    <n v="7.4999999999999997E-2"/>
    <n v="0"/>
    <n v="365"/>
    <m/>
    <s v="WX-XT-201502036-0001"/>
    <m/>
    <m/>
    <d v="2016-08-10T00:00:00"/>
    <n v="27200000"/>
    <n v="4085589.04"/>
    <n v="2727452.05"/>
    <n v="4085589.04"/>
    <n v="0"/>
    <n v="2727452.05"/>
    <d v="2016-12-31T00:00:00"/>
    <n v="799232.88"/>
    <s v="信托年"/>
    <n v="12"/>
    <s v="扬州广贸物流开发建设有限公司"/>
    <s v="华鑫信托"/>
    <m/>
    <s v="基建"/>
    <s v="江苏"/>
    <s v="扬州"/>
    <s v="扬州鼎盛开发建设有限公司（AA）、扬州广陵经济开发区开发建设有限公司"/>
    <s v="保证"/>
    <s v="1、保证人扬州鼎盛（AA）及广陵经开对扬州广贸的回购义务承担连带责任保证担保。_x000d_2、华鑫信托与扬州市商贸物流园管委会、扬州广贸三方签署《债权债务确认协议》。_x000d_3、广陵区人大常委会及广陵区财政局出具相关批复和文件，将该笔融资纳入财政预算，优先安排资金支付信托本息。_x000d_4、标的应收账款在中国人民银行征信中心办理转让登记。_x000d_"/>
    <n v="488"/>
    <n v="1"/>
    <x v="1"/>
    <x v="0"/>
  </r>
  <r>
    <s v="万信-磐石035号002"/>
    <n v="1"/>
    <n v="180000000"/>
    <n v="18"/>
    <n v="100000000"/>
    <n v="10"/>
    <d v="2015-12-18T00:00:00"/>
    <d v="2017-06-18T00:00:00"/>
    <n v="7.1999999999999995E-2"/>
    <n v="7.0000000000000007E-2"/>
    <n v="17095.89"/>
    <n v="7.4999999999999997E-2"/>
    <n v="0"/>
    <n v="365"/>
    <m/>
    <s v="WX-XT-201502037-0001"/>
    <m/>
    <m/>
    <d v="2016-08-10T00:00:00"/>
    <n v="10000000"/>
    <n v="1080986.3"/>
    <n v="615452.05000000005"/>
    <n v="1080986.2999999998"/>
    <n v="0"/>
    <n v="641095.89"/>
    <d v="2016-12-31T00:00:00"/>
    <n v="282082.19"/>
    <s v="信托年"/>
    <n v="12"/>
    <s v="广西来宾城建投资集团有限公司（AA）"/>
    <s v="光大信托"/>
    <m/>
    <s v="基建"/>
    <s v="广西"/>
    <s v="来宾"/>
    <s v="广西来宾工业投资集团有限公司（AA）"/>
    <s v="保证"/>
    <s v="1、由债务人来宾市财政局、来宾城投与我司签订三方的债权债务确认协议，明确债务人的还款义务；2、来宾城投对来宾市财政局的还款责任承担差额补足义务；3、来宾工投对来宾市财政局的还款义务以及来宾城投的差额补足义务向我司提供连带责任担保。"/>
    <n v="312"/>
    <n v="0"/>
    <x v="0"/>
    <x v="0"/>
  </r>
  <r>
    <s v="万信-磐石036号001"/>
    <n v="1"/>
    <n v="428400000"/>
    <n v="18"/>
    <n v="238000000"/>
    <n v="10"/>
    <d v="2015-12-23T00:00:00"/>
    <d v="2017-06-23T00:00:00"/>
    <n v="0.08"/>
    <n v="7.0000000000000007E-2"/>
    <n v="206701.37"/>
    <n v="7.4999999999999997E-2"/>
    <n v="103350.68"/>
    <n v="365"/>
    <m/>
    <s v="WX-XT-201502040-0001"/>
    <m/>
    <m/>
    <d v="2016-08-10T00:00:00"/>
    <n v="23800000"/>
    <n v="2858608.22"/>
    <n v="1653610.96"/>
    <n v="2858608.22"/>
    <n v="0"/>
    <n v="1550260.27"/>
    <d v="2016-12-31T00:00:00"/>
    <n v="745950.68"/>
    <s v="信托年"/>
    <n v="12"/>
    <s v="湘潭九华经济建设投资有限公司（AA）"/>
    <s v="华鑫信托"/>
    <m/>
    <s v="基建"/>
    <s v="湖南"/>
    <s v="湘潭"/>
    <s v="湘潭九华经济建设投资有限公司（AA）"/>
    <s v="抵押、保证"/>
    <s v="（1）九华区财政局出具承诺函，将信托资金偿付纳入当期财政预算，安排财政资金届时偿还。（2）九华建投提供评估值不低于8.09亿元的出让用地抵押担 保。(3）九华管委会保证按期足额兑付标的债权或由九华建投无条件回购标的债权。"/>
    <n v="317"/>
    <n v="0"/>
    <x v="0"/>
    <x v="0"/>
  </r>
  <r>
    <s v="万信-磐石037号001"/>
    <n v="1"/>
    <n v="566400000"/>
    <n v="24"/>
    <n v="377600000"/>
    <n v="16"/>
    <d v="2016-01-05T00:00:00"/>
    <d v="2018-01-05T00:00:00"/>
    <n v="7.5999999999999998E-2"/>
    <n v="7.0000000000000007E-2"/>
    <n v="199015.89"/>
    <n v="7.4999999999999997E-2"/>
    <n v="33169.32"/>
    <n v="365"/>
    <m/>
    <s v="WX-XT-201502041-0001"/>
    <m/>
    <m/>
    <d v="2016-08-10T00:00:00"/>
    <n v="23600000"/>
    <n v="3592113.97"/>
    <n v="2520867.9500000002"/>
    <n v="3592113.98"/>
    <n v="-9.9999997764825821E-3"/>
    <n v="2487698.63"/>
    <d v="2016-12-31T00:00:00"/>
    <n v="702698.08"/>
    <s v="信托年"/>
    <n v="12"/>
    <s v="常州市武进湖塘科技产业园投资管理有限公司"/>
    <s v="光大信托"/>
    <m/>
    <s v="基建"/>
    <s v="江苏"/>
    <s v="常州"/>
    <s v="武进经济发展集团有限公司（AA＋）"/>
    <s v="保证"/>
    <s v="（1）连带担保：武进经济发展集团有限公司（主体评级AA+）为武进湖塘科投的差额补足义务或到期回购义务提供连带责任担保。_x000d_（2）债权债务确认：湖塘镇人民政府以及武进区人民政府针对湖塘镇工业坊一期项目的应收账款与光大信托签署债权债务确认协议，明确应收账款金额不低于6.8亿元，并直接由两级政府向本信托偿付。_x000d_"/>
    <n v="513"/>
    <n v="1"/>
    <x v="1"/>
    <x v="0"/>
  </r>
  <r>
    <s v="万信-磐石040号001"/>
    <n v="1"/>
    <n v="360000000"/>
    <n v="24"/>
    <n v="255000000"/>
    <n v="17"/>
    <d v="2016-01-12T00:00:00"/>
    <d v="2018-01-12T00:00:00"/>
    <n v="7.4999999999999997E-2"/>
    <n v="7.0000000000000007E-2"/>
    <n v="106849.32"/>
    <n v="7.4999999999999997E-2"/>
    <n v="0"/>
    <n v="365"/>
    <m/>
    <s v="WX-XT-201502044-0001"/>
    <m/>
    <m/>
    <d v="2016-08-10T00:00:00"/>
    <n v="15000000"/>
    <n v="2253082.19"/>
    <n v="1602739.73"/>
    <n v="2253082.19"/>
    <n v="0"/>
    <n v="1602739.73"/>
    <d v="2016-12-31T00:00:00"/>
    <n v="440753.42"/>
    <s v="信托年"/>
    <n v="12"/>
    <s v="大丰市华丰投资发展有限公司"/>
    <s v="国民信托"/>
    <m/>
    <s v="基建"/>
    <s v="江苏"/>
    <s v="大丰"/>
    <s v="大丰市城建国有资产经营有限公司（AA）"/>
    <s v="抵押、保证"/>
    <s v="（1）融资方提供土地抵押，根据评估机构世联评估于2015年4月29日出具的预评估报告，价值9.759亿元，本金抵押率约51%。_x000d_（2）融资人将持有的对大丰市专业市场现代服务业集聚区管理委员会的应收账款转让给我司，并在人行征信系统办理转让登记； _x000d_（3）担保人大丰城建（2A发债主体）为融资人按期回购应收账款提供连带责任保证担保； 总资产为191.89亿_x000d_（4）大丰市财政局出具财政承诺函，安排专项资金用于偿付信托资金。_x000d__x000d_"/>
    <n v="520"/>
    <n v="1"/>
    <x v="1"/>
    <x v="0"/>
  </r>
  <r>
    <s v="万信-磐石041号001"/>
    <n v="1"/>
    <n v="844800000"/>
    <n v="24"/>
    <n v="598400000"/>
    <n v="17"/>
    <d v="2016-01-21T00:00:00"/>
    <d v="2018-01-21T00:00:00"/>
    <n v="8.2000000000000003E-2"/>
    <n v="7.0000000000000007E-2"/>
    <n v="612190.68000000005"/>
    <n v="7.4999999999999997E-2"/>
    <n v="357111.23"/>
    <n v="365"/>
    <m/>
    <s v="WX-XT-201502042-0001"/>
    <m/>
    <m/>
    <d v="2016-08-10T00:00:00"/>
    <n v="35200000"/>
    <n v="5780707.9500000002"/>
    <n v="4183303.01"/>
    <n v="5780707.9399999995"/>
    <n v="1.0000000707805157E-2"/>
    <n v="3826191.78"/>
    <d v="2016-12-31T00:00:00"/>
    <n v="1130836.1599999999"/>
    <s v="自然年"/>
    <n v="12"/>
    <s v="六盘水市交通投资开发有限责任公司（AA）"/>
    <s v="中泰信托"/>
    <m/>
    <s v="基建"/>
    <s v="贵州"/>
    <s v="六盘水"/>
    <s v="六盘水市民生发展有限责任公司"/>
    <s v="抵押、保证"/>
    <s v="1.应收账款转让登记_x000d_（1）应收账款确权，签订《债权债务确认书》_x000d_（2）应收账款转让_x000d_签订《应收账款转让及回购合同》，交投公司将其因建设建设德宏路项目而持有的对六盘水市政府的应收账款81650万元转让给中泰信托，并在中国人民银行征信中心应收账款登记公示系统办理转让登记手续。_x000d_2.六盘水市交通投资开发有限责任公司提供土地抵押，抵押率约51%；_x000d_3.民生发展对交投公司的还款义务提供无限连带责任担保；_x000d_4.贵州省六盘水市财政局就本信托计划还款事项出具承诺函；六盘水市人大出具就本信托计划还款纳入财政预算的决议。_x000d_5.信托到期前的10个工作日，融资方需向信托专户偿还信托本金的100%；_x000d_6.用款及应收账款回款监管。"/>
    <n v="529"/>
    <n v="1"/>
    <x v="1"/>
    <x v="0"/>
  </r>
  <r>
    <s v="万信-磐石042号001"/>
    <n v="1"/>
    <n v="960000000"/>
    <n v="24"/>
    <n v="680000000"/>
    <n v="17"/>
    <d v="2016-02-02T00:00:00"/>
    <d v="2018-02-02T00:00:00"/>
    <n v="7.5999999999999998E-2"/>
    <n v="7.0000000000000007E-2"/>
    <n v="355726.03"/>
    <n v="7.4999999999999997E-2"/>
    <n v="59287.67"/>
    <n v="365"/>
    <m/>
    <s v="WX-PS-201608001-0001"/>
    <m/>
    <m/>
    <d v="2016-08-10T00:00:00"/>
    <n v="40000000"/>
    <n v="6088328.7699999996"/>
    <n v="4505863.01"/>
    <n v="6088328.7599999998"/>
    <n v="9.9999997764825821E-3"/>
    <n v="4446575.34"/>
    <d v="2016-12-31T00:00:00"/>
    <n v="1191013.7"/>
    <s v="信托年"/>
    <n v="12"/>
    <s v="四川盈嘉资产经营管理有限责任公司"/>
    <s v="中江信托"/>
    <m/>
    <s v="基建"/>
    <s v="四川"/>
    <s v="遂宁"/>
    <s v=" 四川天盈实业有限责任公司（AA）"/>
    <s v="保证"/>
    <s v="1、保证担保：总资产69亿的AA级发债主体国企四川天盈实业承担连带担保责任；_x000d_2、财政承诺：遂宁市财政局承担差额补足义务；_x000d_3、资金监管。_x000d_"/>
    <n v="541"/>
    <n v="1"/>
    <x v="1"/>
    <x v="0"/>
  </r>
  <r>
    <s v="万信-磐石043号001"/>
    <n v="1"/>
    <n v="1200000000"/>
    <n v="24"/>
    <n v="850000000"/>
    <n v="17"/>
    <d v="2016-01-27T00:00:00"/>
    <d v="2018-01-27T00:00:00"/>
    <n v="7.5999999999999998E-2"/>
    <n v="7.0000000000000007E-2"/>
    <n v="439726.03"/>
    <n v="7.4999999999999997E-2"/>
    <n v="73287.67"/>
    <n v="365"/>
    <m/>
    <s v="WX-PS-201608003-0001"/>
    <m/>
    <m/>
    <d v="2016-08-10T00:00:00"/>
    <n v="50000000"/>
    <n v="7610410.96"/>
    <n v="5569863.0099999998"/>
    <n v="7610410.96"/>
    <n v="0"/>
    <n v="5496575.3399999999"/>
    <d v="2016-12-31T00:00:00"/>
    <n v="1488767.12"/>
    <s v="期间固定为6月20日。"/>
    <n v="12"/>
    <s v="青州市宏源公有资产经营有限公司（AA）"/>
    <s v="中泰信托"/>
    <m/>
    <s v="基建"/>
    <s v="山东"/>
    <s v="青州"/>
    <s v="青州市城市建设投资开发有限公司（AA）"/>
    <s v="保证"/>
    <s v="1、保证担保。2、对政府应收账款转让"/>
    <n v="535"/>
    <n v="1"/>
    <x v="1"/>
    <x v="0"/>
  </r>
  <r>
    <s v="万信-资产流动类信托基金002号001"/>
    <n v="1"/>
    <n v="720000000"/>
    <n v="24"/>
    <n v="60000000"/>
    <n v="2"/>
    <d v="2014-10-31T00:00:00"/>
    <d v="2016-10-31T00:00:00"/>
    <n v="0.108"/>
    <n v="7.0000000000000007E-2"/>
    <n v="256109.59"/>
    <n v="7.4999999999999997E-2"/>
    <n v="222410.96"/>
    <n v="365"/>
    <m/>
    <s v="WX-PS-201608004-0001"/>
    <m/>
    <m/>
    <d v="2016-08-10T00:00:00"/>
    <n v="30000000"/>
    <n v="6488876.71"/>
    <n v="727890.41"/>
    <n v="6488876.71"/>
    <n v="0"/>
    <n v="505479.45"/>
    <d v="2016-10-31T00:00:00"/>
    <n v="727890.41"/>
    <s v="信托年"/>
    <n v="12"/>
    <s v="兴义市龙达交通建设投资有限公司"/>
    <s v="中江信托"/>
    <m/>
    <s v="基建"/>
    <s v="贵州"/>
    <s v="兴义"/>
    <s v="兴义市信恒城市建设投资有限公司（AA）"/>
    <s v="质押、保证"/>
    <s v="1、兴义市政府出具“贵公司受让兴义市龙达交通建设投资有限公司的对我市财政局的应收账款债权系我市政府直接债务，我市保证将贵公司对我市财政局享有的前述应收账款债权由我市统筹安排财政资金按时、足额偿还贵公司全部债权（或安排兴义市龙大交通建设投资有限公司代为偿还），确保信托计划受益人及相关方利益不受损失”的承诺函。_x000d_2、兴义市财政局出具“保证根据与贵公司签署的合同约定，统筹安排财政资金按时、足额偿还贵公司对我局享有的应收账款债权（或委托兴义市龙达交通建设投资有限公司代为偿还）。如因贵公司债权未能按时、足额清偿，所产生的一切责任由我局承担”的承诺函。_x000d_3、兴义市信恒城市建设投资有限公司（2A）提供连带责任保证担保。_x000d_"/>
    <n v="82"/>
    <n v="0"/>
    <x v="0"/>
    <x v="0"/>
  </r>
  <r>
    <s v="万信-资产流动类信托基金002号002"/>
    <n v="1"/>
    <n v="1200000000"/>
    <n v="24"/>
    <n v="100000000"/>
    <n v="2"/>
    <d v="2014-11-07T00:00:00"/>
    <d v="2016-11-07T00:00:00"/>
    <n v="0.108"/>
    <n v="7.0000000000000007E-2"/>
    <n v="463287.67"/>
    <n v="7.4999999999999997E-2"/>
    <n v="402328.77"/>
    <n v="365"/>
    <m/>
    <s v="WX-PS-201608006-0001"/>
    <m/>
    <m/>
    <d v="2016-08-10T00:00:00"/>
    <n v="50000000"/>
    <n v="10814794.52"/>
    <n v="1316712.33"/>
    <n v="10814794.52"/>
    <n v="0"/>
    <n v="914383.56"/>
    <d v="2016-11-07T00:00:00"/>
    <n v="1316712.33"/>
    <s v="信托年"/>
    <n v="12"/>
    <s v="安宁发展投资集团有限公司（AA）"/>
    <s v="国民信托"/>
    <m/>
    <s v="基建"/>
    <s v="云南"/>
    <s v="安宁"/>
    <m/>
    <s v="质押"/>
    <s v="（1）融资人将其持有的对安宁市政府的应收账款转让给我司，并在人行系统中进行转让登记；_x000d_（2）安宁市财政局出具财政承诺函，同时提供证明该应收帐款能够纳入当地政府债务预算的完整版政府会议纪要。_x000d_（3）资金监管：我司与融资人、监管银行三方签订资金监管协议，用于监管信托资金用款情况。_x000d_（4）提前归集资金：信托到期前3个月、前2个月、前1个月以及到期日，依次按照到期应付款项的5%、10%、20%比例归集资金。_x000d_"/>
    <n v="89"/>
    <n v="0"/>
    <x v="0"/>
    <x v="0"/>
  </r>
  <r>
    <s v="万信-资产流动类信托基金002号003"/>
    <n v="1"/>
    <n v="160800000"/>
    <n v="24"/>
    <n v="20100000"/>
    <n v="3"/>
    <d v="2014-12-05T00:00:00"/>
    <d v="2016-12-05T00:00:00"/>
    <n v="0.108"/>
    <n v="7.0000000000000007E-2"/>
    <n v="81611.509999999995"/>
    <n v="7.4999999999999997E-2"/>
    <n v="70873.149999999994"/>
    <n v="365"/>
    <m/>
    <s v="WX-PS-201608005-0001"/>
    <m/>
    <m/>
    <d v="2016-08-10T00:00:00"/>
    <n v="6700000"/>
    <n v="1449182.47"/>
    <n v="231948.49"/>
    <n v="1449182.46"/>
    <n v="1.0000000009313226E-2"/>
    <n v="161075.34"/>
    <d v="2016-12-05T00:00:00"/>
    <n v="231948.49"/>
    <s v="信托年"/>
    <n v="12"/>
    <s v="绿源农产品贸易股份公司"/>
    <s v="中江信托"/>
    <m/>
    <s v="基建"/>
    <s v="陕西"/>
    <s v="西安"/>
    <s v="西安市灞桥区基础设施建设投资有限公司(AA-)"/>
    <s v="抵押、保证"/>
    <s v="1、 西安市灞桥区政府、财政局和人大出具相关还款的政府承诺、财政承诺及人大决议。_x000d_2、 抵押：西安浐河半坡湖旅游度假有限责任公司以其名下正常经营的五星级酒店为本笔融资作抵押，抵押率不超过50%。_x000d_3、 保证担保：担保人西安市灞桥区基础设施建设投资有限公司(2A-)提供连带责任担保。_x000d_"/>
    <n v="117"/>
    <n v="0"/>
    <x v="0"/>
    <x v="0"/>
  </r>
</pivotCacheRecords>
</file>

<file path=xl/pivotCache/pivotCacheRecords5.xml><?xml version="1.0" encoding="utf-8"?>
<pivotCacheRecords xmlns="http://schemas.openxmlformats.org/spreadsheetml/2006/main" xmlns:r="http://schemas.openxmlformats.org/officeDocument/2006/relationships" count="22">
  <r>
    <s v="万信-基础设施建设信托基金019号001"/>
    <n v="1"/>
    <n v="127200000"/>
    <n v="24"/>
    <n v="31800000"/>
    <n v="6"/>
    <d v="2015-03-13T00:00:00"/>
    <d v="2017-03-13T00:00:00"/>
    <n v="0.10199999999999999"/>
    <n v="7.0000000000000007E-2"/>
    <n v="90608.22"/>
    <n v="7.4999999999999997E-2"/>
    <n v="76450.679999999993"/>
    <n v="365"/>
    <m/>
    <s v="WX-XT-201402004-0068"/>
    <n v="150000000"/>
    <m/>
    <d v="2016-08-30T00:00:00"/>
    <n v="5300000"/>
    <n v="1082681.1000000001"/>
    <n v="288813.7"/>
    <n v="1082681.1100000003"/>
    <n v="-1.0000000242143869E-2"/>
    <n v="212363.01"/>
    <d v="2016-12-31T00:00:00"/>
    <n v="182174.79"/>
    <s v="信托半年度"/>
    <n v="6"/>
    <s v="成都市新益州城市建设发展有限公司（AA-）"/>
    <s v="万向信托"/>
    <m/>
    <x v="0"/>
    <s v="四川"/>
    <x v="0"/>
    <s v="成都市润弘投资有限公司"/>
    <s v="抵押、保证"/>
    <s v="1、润弘投资对本信托计划的本金和预期收益提供连带责任保证担保;_x000d_2、由新益州城建提供土地抵押;_x000d_3、还款纳入财政预算；_x000d_4、信托资金监管。"/>
    <n v="195"/>
    <n v="0"/>
  </r>
  <r>
    <s v="万信-基础设施建设信托基金020号001"/>
    <n v="1"/>
    <n v="393600000"/>
    <n v="24"/>
    <n v="98400000"/>
    <n v="6"/>
    <d v="2015-03-13T00:00:00"/>
    <d v="2017-03-13T00:00:00"/>
    <n v="0.10299999999999999"/>
    <n v="7.0000000000000007E-2"/>
    <n v="289134.25"/>
    <n v="7.4999999999999997E-2"/>
    <n v="245326.03"/>
    <n v="365"/>
    <m/>
    <s v="WX-XT-201402004-0070"/>
    <n v="150000000"/>
    <m/>
    <d v="2016-08-30T00:00:00"/>
    <n v="16400000"/>
    <n v="3383027.95"/>
    <n v="902449.32"/>
    <n v="3383027.94"/>
    <n v="1.0000000242143869E-2"/>
    <n v="657123.29"/>
    <d v="2016-12-31T00:00:00"/>
    <n v="569237.26"/>
    <s v="信托半年度"/>
    <n v="6"/>
    <s v="成都市新益州城市建设发展有限公司（AA-）"/>
    <s v="万向信托"/>
    <m/>
    <x v="0"/>
    <s v="四川"/>
    <x v="0"/>
    <s v="成都市润弘投资有限公司"/>
    <s v="抵押、保证"/>
    <s v="1、润弘投资对本信托计划的本金和预期收益提供连带责任保证担保;_x000d_2、由新益州城建提供土地抵押;_x000d_3、还款纳入财政预算；_x000d_4、信托资金监管。"/>
    <n v="195"/>
    <n v="0"/>
  </r>
  <r>
    <s v="万信-基础设施建设信托基金023号001"/>
    <n v="1"/>
    <n v="480000000"/>
    <n v="24"/>
    <n v="60000000"/>
    <n v="3"/>
    <d v="2014-12-05T00:00:00"/>
    <d v="2016-12-05T00:00:00"/>
    <n v="0.1"/>
    <n v="7.0000000000000007E-2"/>
    <n v="159452.04999999999"/>
    <n v="7.4999999999999997E-2"/>
    <n v="132876.71"/>
    <n v="365"/>
    <m/>
    <s v="WX-XT-201402009-0042"/>
    <n v="200000000"/>
    <m/>
    <d v="2016-08-30T00:00:00"/>
    <n v="20000000"/>
    <n v="4005479.45"/>
    <n v="531506.85"/>
    <n v="4005479.43"/>
    <n v="2.0000000018626451E-2"/>
    <n v="398630.14"/>
    <d v="2016-12-05T00:00:00"/>
    <n v="531506.85"/>
    <s v="信托季"/>
    <n v="3"/>
    <s v="德清县临杭新农村建设投资有限公司"/>
    <s v="万向信托"/>
    <m/>
    <x v="0"/>
    <s v="浙江"/>
    <x v="1"/>
    <s v="浙江省德清县交通投资集团有限公司（AA）"/>
    <s v="保证"/>
    <s v="（1）浙江省德清县交通投资集团有限公司(以下简称“德清交投”)为本次信托承担无限连带担保责任。_x000d_（2）德清县临杭工业区管委会针对该项目的专项款。_x000d_（3）项目剩余房源的出让 收入。"/>
    <n v="97"/>
    <n v="0"/>
  </r>
  <r>
    <s v="万信-基础设施建设信托基金023号002"/>
    <n v="1"/>
    <n v="720000000"/>
    <n v="24"/>
    <n v="90000000"/>
    <n v="3"/>
    <d v="2014-12-12T00:00:00"/>
    <d v="2016-12-12T00:00:00"/>
    <n v="0.1"/>
    <n v="7.0000000000000007E-2"/>
    <n v="256438.36"/>
    <n v="7.4999999999999997E-2"/>
    <n v="213698.63"/>
    <n v="365"/>
    <m/>
    <s v="WX-XT-201402004-0121"/>
    <n v="0"/>
    <m/>
    <d v="2016-08-30T00:00:00"/>
    <n v="30000000"/>
    <n v="6008219.1799999997"/>
    <n v="854794.52"/>
    <n v="6008219.1700000009"/>
    <n v="9.9999988451600075E-3"/>
    <n v="641095.89"/>
    <d v="2016-12-12T00:00:00"/>
    <n v="854794.52"/>
    <s v="信托半年度"/>
    <n v="6"/>
    <s v="德清县临杭新农村建设投资有限公司"/>
    <s v="万向信托"/>
    <m/>
    <x v="0"/>
    <s v="四川"/>
    <x v="0"/>
    <s v="成都市润弘投资有限公司"/>
    <s v="抵押、保证"/>
    <s v="1、润弘投资对本信托计划的本金和预期收益提供连带责任保证担保;_x000d_2、由新益州城建提供土地抵押;_x000d_3、还款纳入财政预算；_x000d_4、信托资金监管。"/>
    <n v="104"/>
    <n v="0"/>
  </r>
  <r>
    <s v="万信-基础设施建设信托基金031号001"/>
    <n v="1"/>
    <n v="360000000"/>
    <n v="24"/>
    <n v="75000000"/>
    <n v="5"/>
    <d v="2015-02-06T00:00:00"/>
    <d v="2017-02-06T00:00:00"/>
    <n v="0.105"/>
    <n v="7.0000000000000007E-2"/>
    <n v="230136.99"/>
    <n v="7.4999999999999997E-2"/>
    <n v="197260.27"/>
    <n v="365"/>
    <m/>
    <s v="WX-XT-201402009-0045"/>
    <n v="495000000"/>
    <m/>
    <d v="2016-08-30T00:00:00"/>
    <n v="15000000"/>
    <n v="3154315.07"/>
    <n v="690410.96"/>
    <n v="3154315.06"/>
    <n v="9.9999997764825821E-3"/>
    <n v="493150.68"/>
    <d v="2016-12-31T00:00:00"/>
    <n v="530753.42000000004"/>
    <s v="信托季"/>
    <n v="3"/>
    <s v="镇江新区城市建设投资有限公司（AA-)"/>
    <s v="万向信托"/>
    <m/>
    <x v="0"/>
    <s v="浙江"/>
    <x v="1"/>
    <s v="浙江省德清县交通投资集团有限公司（AA）"/>
    <s v="保证"/>
    <s v="（1）浙江省德清县交通投资集团有限公司(以下简称“德清交投”)为本次信托承担无限连带担保责任。_x000d_（2）德清县临杭工业区管委会针对该项目的专项款。_x000d_（3）项目剩余房源的出让 收入。"/>
    <n v="160"/>
    <n v="0"/>
  </r>
  <r>
    <s v="万信-基础设施建设信托基金046号001"/>
    <n v="1"/>
    <n v="127800000"/>
    <n v="18"/>
    <n v="21300000"/>
    <n v="3"/>
    <d v="2015-06-25T00:00:00"/>
    <d v="2016-12-25T00:00:00"/>
    <n v="0.1"/>
    <n v="7.0000000000000007E-2"/>
    <n v="68276.710000000006"/>
    <n v="7.4999999999999997E-2"/>
    <n v="56897.26"/>
    <n v="365"/>
    <m/>
    <s v="WX-XT-201405025-0013"/>
    <n v="118600000"/>
    <m/>
    <d v="2016-08-30T00:00:00"/>
    <n v="7100000"/>
    <n v="1067917.81"/>
    <n v="227589.04"/>
    <n v="1067917.8099999998"/>
    <n v="0"/>
    <n v="170691.78"/>
    <d v="2016-12-25T00:00:00"/>
    <n v="227589.04"/>
    <s v="信托季"/>
    <n v="3"/>
    <s v="成都新城西城市投资经营中心（AA）"/>
    <s v="万向信托"/>
    <m/>
    <x v="0"/>
    <s v="四川"/>
    <x v="0"/>
    <s v="成都光华资产管理有限公司（AA）"/>
    <s v="质押、保证"/>
    <s v="(1)信托存续期间,成都新城西将成都市温江区财政局的应收账款进行转让,成_x000d_都新城西、成都市温江区人民政府签订《应收债权买入返售协议》。 (2)成都光华资产管理有限公司(AA 评级)提供无限连带责任担保。"/>
    <n v="117"/>
    <n v="0"/>
  </r>
  <r>
    <s v="万信-磐石024号001"/>
    <n v="1"/>
    <n v="172800000"/>
    <n v="24"/>
    <n v="100800000"/>
    <n v="14"/>
    <d v="2015-11-27T00:00:00"/>
    <d v="2017-11-27T00:00:00"/>
    <n v="7.4999999999999997E-2"/>
    <n v="7.0000000000000007E-2"/>
    <n v="44778.080000000002"/>
    <n v="7.4999999999999997E-2"/>
    <n v="0"/>
    <n v="365"/>
    <m/>
    <s v="WX-XT-201401008-0018"/>
    <n v="300000000"/>
    <m/>
    <d v="2016-08-30T00:00:00"/>
    <n v="7200000"/>
    <n v="1081479.45"/>
    <n v="671671.23"/>
    <n v="1081479.45"/>
    <n v="0"/>
    <n v="671671.23"/>
    <d v="2016-12-31T00:00:00"/>
    <n v="181972.6"/>
    <s v="自然季"/>
    <n v="3"/>
    <s v="镇江新区城市建设投资有限公司（AA-)"/>
    <s v="万向信托"/>
    <m/>
    <x v="0"/>
    <s v="江苏"/>
    <x v="2"/>
    <s v="镇江市交通投资建设发展公司（AA）、镇江新区经济开发总公司（AA）"/>
    <s v="保证"/>
    <s v="1) 镇江交投(主体评级 AA)和新区经发(主体评级 AA)为本信托计划提供连带责任保证担保;_x000d_2) 人大决议:镇江新区人大工委出具人大决议,同意将本信托计划还款资金纳入财政预算,以确保该信托融资款项的顺利偿付。_x000d_3) 财政承诺:镇江新区财政局出具为本信托计划承担差额补足还款责任的财政承诺函。_x000d_4) 开立资金监管专户,专项用于信托资金的收付,委托监管银行对信托资使用情况进行实时监控,确保专款专用和回款。"/>
    <n v="454"/>
    <n v="1"/>
  </r>
  <r>
    <s v="万信-磐石025号001"/>
    <n v="1"/>
    <n v="940800000"/>
    <n v="24"/>
    <n v="588000000"/>
    <n v="15"/>
    <d v="2015-12-03T00:00:00"/>
    <d v="2017-12-03T00:00:00"/>
    <n v="7.4999999999999997E-2"/>
    <n v="7.0000000000000007E-2"/>
    <n v="247013.7"/>
    <n v="7.4999999999999997E-2"/>
    <n v="0"/>
    <n v="365"/>
    <m/>
    <s v="WX-XT-201405007-0012"/>
    <n v="430750000"/>
    <m/>
    <d v="2016-08-30T00:00:00"/>
    <n v="39200000"/>
    <n v="5888054.79"/>
    <n v="3705205.48"/>
    <n v="5888054.7999999998"/>
    <n v="-9.9999997764825821E-3"/>
    <n v="3705205.48"/>
    <d v="2016-12-31T00:00:00"/>
    <n v="990739.73"/>
    <s v="信托季"/>
    <n v="3"/>
    <s v="成都市龙泉驿区国有资产投资经营有限公司（AA）"/>
    <s v="万向信托"/>
    <m/>
    <x v="0"/>
    <s v="四川"/>
    <x v="0"/>
    <s v="成都经济技术开发区建设发展有限公司（AA）"/>
    <s v="质押、保证"/>
    <s v="1、应收账款债务人成都市龙泉驿区财政局按照约定到期归还应收账款债务; 2、融资人成都市龙泉驿区国有资产投资经营有限公司到期回购债权; 3、担保人成都经济技术开发区建设发展有限公司到期代替融资人回购债权。"/>
    <n v="460"/>
    <n v="1"/>
  </r>
  <r>
    <s v="万信-磐石026号001"/>
    <n v="1"/>
    <n v="612000000"/>
    <n v="24"/>
    <n v="382500000"/>
    <n v="15"/>
    <d v="2015-12-03T00:00:00"/>
    <d v="2017-12-03T00:00:00"/>
    <n v="7.4999999999999997E-2"/>
    <n v="7.0000000000000007E-2"/>
    <n v="160684.93"/>
    <n v="7.4999999999999997E-2"/>
    <n v="0"/>
    <n v="365"/>
    <m/>
    <s v="WX-XT-201405008-0070"/>
    <n v="500000000"/>
    <m/>
    <d v="2016-08-30T00:00:00"/>
    <n v="25500000"/>
    <n v="3830239.73"/>
    <n v="2410273.9700000002"/>
    <n v="3830239.7199999997"/>
    <n v="1.0000000242143869E-2"/>
    <n v="2410273.9700000002"/>
    <d v="2016-12-31T00:00:00"/>
    <n v="644486.30000000005"/>
    <s v="信托季"/>
    <n v="3"/>
    <s v="成都市龙泉驿区国有资产投资经营有限公司（AA）"/>
    <s v="万向信托"/>
    <m/>
    <x v="0"/>
    <s v="四川"/>
    <x v="0"/>
    <s v="成都经济技术开发区建设发展有限公司（AA）"/>
    <s v="质押、保证"/>
    <s v="1、应收账款债务人成都市龙泉驿区财政局按照约定到期归还应收账款债务; 2、融资人成都市龙泉驿区国有资产投资经营有限公司到期回购债权; 3、担保人成都经济技术开发区建设发展有限公司到期代替融资人回购债权。"/>
    <n v="460"/>
    <n v="1"/>
  </r>
  <r>
    <s v="万信-磐石027号001"/>
    <n v="1"/>
    <n v="720000000"/>
    <n v="24"/>
    <n v="450000000"/>
    <n v="15"/>
    <d v="2015-12-04T00:00:00"/>
    <d v="2017-12-04T00:00:00"/>
    <n v="7.4999999999999997E-2"/>
    <n v="7.0000000000000007E-2"/>
    <n v="189452.05"/>
    <n v="7.4999999999999997E-2"/>
    <n v="0"/>
    <n v="365"/>
    <m/>
    <s v="WX-XT-201502049-0002"/>
    <n v="685000000"/>
    <m/>
    <d v="2016-08-30T00:00:00"/>
    <n v="30000000"/>
    <n v="4506164.38"/>
    <n v="2841780.82"/>
    <n v="4506164.38"/>
    <n v="0"/>
    <n v="2841780.82"/>
    <d v="2016-12-31T00:00:00"/>
    <n v="758219.18"/>
    <s v="特殊"/>
    <m/>
    <s v="遵义县水务投资有限公司"/>
    <s v="大业信托"/>
    <m/>
    <x v="0"/>
    <s v="贵州"/>
    <x v="3"/>
    <s v="遵义县国有资产投资经营（集团）有限责任公司、遵义县城市建设投资经营有限公司"/>
    <s v="抵押、保证"/>
    <s v="1、遵义建投将提供评估价值不低于10亿的土地作为抵押，第一期提供的抵押土地评估价值约6亿元，本金抵押率约不超过50%。_x000d_2、为保障融资方按时、足额偿还信托贷款本息，遵义县国有资产投资经营有限责任公司和遵义县城市建设投资经营有限公司为信托计划提供不可撤销的连带责任保证担保。_x000d_3、遵义市财政局出具同意支持遵义水投还款的财政承诺函。遵义市人大出具决议文件，将该笔信托融资的还款资金列入年度财政预算。"/>
    <n v="461"/>
    <n v="1"/>
  </r>
  <r>
    <s v="万信-磐石028号001"/>
    <n v="1"/>
    <n v="751200000"/>
    <n v="24"/>
    <n v="469500000"/>
    <n v="15"/>
    <d v="2015-12-18T00:00:00"/>
    <d v="2017-12-18T00:00:00"/>
    <n v="7.4999999999999997E-2"/>
    <n v="7.0000000000000007E-2"/>
    <n v="203664.38"/>
    <n v="7.4999999999999997E-2"/>
    <n v="0"/>
    <n v="365"/>
    <m/>
    <s v="WX-XT-201502050-0001"/>
    <n v="500000000"/>
    <m/>
    <d v="2016-08-30T00:00:00"/>
    <n v="31300000"/>
    <n v="4701431.51"/>
    <n v="3054965.75"/>
    <n v="4701431.51"/>
    <n v="0"/>
    <n v="3054965.75"/>
    <d v="2016-12-31T00:00:00"/>
    <n v="791075.34"/>
    <s v="自然年"/>
    <n v="12"/>
    <s v="重庆东银控股集团有限公司（旗下三家上市公司：迪马股份（SH.600565）、智慧农业（SZ.000816）、东原地产（HK.00668））"/>
    <s v="华澳信托"/>
    <m/>
    <x v="1"/>
    <s v="重庆"/>
    <x v="4"/>
    <s v="江苏江动集团有限公司 （上市公司“智慧农业”（000816）控股股东）、新疆新世纪矿业有限责任公司、创源投资发展有限公司"/>
    <s v="质押、保证"/>
    <s v="（1）江动集团对本信托计划的溢价回购款做保证担保；新疆新世纪对本信托计划溢价回购款做保证担保._x000d_（2）创源投资发展有限公司以其持有的新疆新世纪100%股权做质押担保._x000d_（3）江动集团对应收债权做债务确认."/>
    <n v="475"/>
    <n v="1"/>
  </r>
  <r>
    <s v="万信-磐石030号001"/>
    <n v="1"/>
    <n v="652800000"/>
    <n v="24"/>
    <n v="408000000"/>
    <n v="15"/>
    <d v="2015-12-11T00:00:00"/>
    <d v="2017-12-11T00:00:00"/>
    <n v="7.4999999999999997E-2"/>
    <n v="7.0000000000000007E-2"/>
    <n v="174378.08"/>
    <n v="7.4999999999999997E-2"/>
    <n v="0"/>
    <n v="365"/>
    <m/>
    <s v="WX-XT-201502036-0001"/>
    <n v="300000000"/>
    <m/>
    <d v="2016-08-30T00:00:00"/>
    <n v="27200000"/>
    <n v="4085589.04"/>
    <n v="2615671.23"/>
    <n v="4085589.04"/>
    <n v="0"/>
    <n v="2615671.23"/>
    <d v="2016-12-31T00:00:00"/>
    <n v="687452.05"/>
    <s v="信托年"/>
    <n v="12"/>
    <s v="扬州广贸物流开发建设有限公司"/>
    <s v="华鑫信托"/>
    <m/>
    <x v="0"/>
    <s v="江苏"/>
    <x v="5"/>
    <s v="扬州鼎盛开发建设有限公司（AA）、扬州广陵经济开发区开发建设有限公司"/>
    <s v="保证"/>
    <s v="1、保证人扬州鼎盛（AA）及广陵经开对扬州广贸的回购义务承担连带责任保证担保。_x000d_2、华鑫信托与扬州市商贸物流园管委会、扬州广贸三方签署《债权债务确认协议》。_x000d_3、广陵区人大常委会及广陵区财政局出具相关批复和文件，将该笔融资纳入财政预算，优先安排资金支付信托本息。_x000d_4、标的应收账款在中国人民银行征信中心办理转让登记。_x000d_"/>
    <n v="468"/>
    <n v="1"/>
  </r>
  <r>
    <s v="万信-磐石035号002"/>
    <n v="1"/>
    <n v="180000000"/>
    <n v="18"/>
    <n v="90000000"/>
    <n v="9"/>
    <d v="2015-12-18T00:00:00"/>
    <d v="2017-06-18T00:00:00"/>
    <n v="7.1999999999999995E-2"/>
    <n v="7.0000000000000007E-2"/>
    <n v="16000"/>
    <n v="7.4999999999999997E-2"/>
    <n v="0"/>
    <n v="365"/>
    <m/>
    <s v="WX-XT-201502037-0001"/>
    <n v="500000000"/>
    <m/>
    <d v="2016-08-30T00:00:00"/>
    <n v="10000000"/>
    <n v="1080986.3"/>
    <n v="576000"/>
    <n v="1080986.2999999998"/>
    <n v="0"/>
    <n v="600000"/>
    <d v="2016-12-31T00:00:00"/>
    <n v="242630.14"/>
    <s v="信托年"/>
    <n v="12"/>
    <s v="广西来宾城建投资集团有限公司（AA）"/>
    <s v="光大信托"/>
    <m/>
    <x v="0"/>
    <s v="广西"/>
    <x v="6"/>
    <s v="广西来宾工业投资集团有限公司（AA）"/>
    <s v="保证"/>
    <s v="1、由债务人来宾市财政局、来宾城投与我司签订三方的债权债务确认协议，明确债务人的还款义务；2、来宾城投对来宾市财政局的还款责任承担差额补足义务；3、来宾工投对来宾市财政局的还款义务以及来宾城投的差额补足义务向我司提供连带责任担保。"/>
    <n v="292"/>
    <n v="0"/>
  </r>
  <r>
    <s v="万信-磐石036号001"/>
    <n v="1"/>
    <n v="428400000"/>
    <n v="18"/>
    <n v="214200000"/>
    <n v="9"/>
    <d v="2015-12-23T00:00:00"/>
    <d v="2017-06-23T00:00:00"/>
    <n v="0.08"/>
    <n v="7.0000000000000007E-2"/>
    <n v="193660.27"/>
    <n v="7.4999999999999997E-2"/>
    <n v="96830.14"/>
    <n v="365"/>
    <m/>
    <s v="WX-XT-201502040-0001"/>
    <n v="300000000"/>
    <m/>
    <d v="2016-08-30T00:00:00"/>
    <n v="23800000"/>
    <n v="2858608.22"/>
    <n v="1549282.19"/>
    <n v="2858608.23"/>
    <n v="-9.9999997764825821E-3"/>
    <n v="1452452.05"/>
    <d v="2016-12-31T00:00:00"/>
    <n v="641621.92000000004"/>
    <s v="信托年"/>
    <n v="12"/>
    <s v="湘潭九华经济建设投资有限公司（AA）"/>
    <s v="华鑫信托"/>
    <m/>
    <x v="0"/>
    <s v="湖南"/>
    <x v="7"/>
    <s v="湘潭九华经济建设投资有限公司（AA）"/>
    <s v="抵押、保证"/>
    <s v="（1）九华区财政局出具承诺函，将信托资金偿付纳入当期财政预算，安排财政资金届时偿还。（2）九华建投提供评估值不低于8.09亿元的出让用地抵押担 保。(3）九华管委会保证按期足额兑付标的债权或由九华建投无条件回购标的债权。"/>
    <n v="297"/>
    <n v="0"/>
  </r>
  <r>
    <s v="万信-磐石037号001"/>
    <n v="1"/>
    <n v="566400000"/>
    <n v="24"/>
    <n v="377600000"/>
    <n v="16"/>
    <d v="2016-01-05T00:00:00"/>
    <d v="2018-01-05T00:00:00"/>
    <n v="7.5999999999999998E-2"/>
    <n v="7.0000000000000007E-2"/>
    <n v="191256.99"/>
    <n v="7.4999999999999997E-2"/>
    <n v="31876.16"/>
    <n v="365"/>
    <m/>
    <s v="WX-XT-201502041-0001"/>
    <n v="500000000"/>
    <m/>
    <d v="2016-08-30T00:00:00"/>
    <n v="23600000"/>
    <n v="3592113.97"/>
    <n v="2422588.4900000002"/>
    <n v="3592113.9699999997"/>
    <n v="0"/>
    <n v="2390712.33"/>
    <d v="2016-12-31T00:00:00"/>
    <n v="604418.63"/>
    <s v="信托年"/>
    <n v="12"/>
    <s v="常州市武进湖塘科技产业园投资管理有限公司"/>
    <s v="光大信托"/>
    <m/>
    <x v="0"/>
    <s v="江苏"/>
    <x v="8"/>
    <s v="武进经济发展集团有限公司（AA＋）"/>
    <s v="保证"/>
    <s v="（1）连带担保：武进经济发展集团有限公司（主体评级AA+）为武进湖塘科投的差额补足义务或到期回购义务提供连带责任担保。_x000d_（2）债权债务确认：湖塘镇人民政府以及武进区人民政府针对湖塘镇工业坊一期项目的应收账款与光大信托签署债权债务确认协议，明确应收账款金额不低于6.8亿元，并直接由两级政府向本信托偿付。_x000d_"/>
    <n v="493"/>
    <n v="1"/>
  </r>
  <r>
    <s v="万信-磐石040号001"/>
    <n v="1"/>
    <n v="360000000"/>
    <n v="24"/>
    <n v="240000000"/>
    <n v="16"/>
    <d v="2016-01-12T00:00:00"/>
    <d v="2018-01-12T00:00:00"/>
    <n v="7.4999999999999997E-2"/>
    <n v="7.0000000000000007E-2"/>
    <n v="102739.73"/>
    <n v="7.4999999999999997E-2"/>
    <n v="0"/>
    <n v="365"/>
    <m/>
    <s v="WX-XT-201502044-0001"/>
    <n v="500000000"/>
    <m/>
    <d v="2016-08-30T00:00:00"/>
    <n v="15000000"/>
    <n v="2253082.19"/>
    <n v="1541095.89"/>
    <n v="2253082.1900000004"/>
    <n v="0"/>
    <n v="1541095.89"/>
    <d v="2016-12-31T00:00:00"/>
    <n v="379109.59"/>
    <s v="信托年"/>
    <n v="12"/>
    <s v="大丰市华丰投资发展有限公司"/>
    <s v="国民信托"/>
    <m/>
    <x v="0"/>
    <s v="江苏"/>
    <x v="9"/>
    <s v="大丰市城建国有资产经营有限公司（AA）"/>
    <s v="抵押、保证"/>
    <s v="（1）融资方提供土地抵押，根据评估机构世联评估于2015年4月29日出具的预评估报告，价值9.759亿元，本金抵押率约51%。_x000d_（2）融资人将持有的对大丰市专业市场现代服务业集聚区管理委员会的应收账款转让给我司，并在人行征信系统办理转让登记； _x000d_（3）担保人大丰城建（2A发债主体）为融资人按期回购应收账款提供连带责任保证担保； 总资产为191.89亿_x000d_（4）大丰市财政局出具财政承诺函，安排专项资金用于偿付信托资金。_x000d__x000d_"/>
    <n v="500"/>
    <n v="1"/>
  </r>
  <r>
    <s v="万信-磐石041号001"/>
    <n v="1"/>
    <n v="844800000"/>
    <n v="24"/>
    <n v="563200000"/>
    <n v="16"/>
    <d v="2016-01-21T00:00:00"/>
    <d v="2018-01-21T00:00:00"/>
    <n v="8.2000000000000003E-2"/>
    <n v="7.0000000000000007E-2"/>
    <n v="589045.48"/>
    <n v="7.4999999999999997E-2"/>
    <n v="343609.86"/>
    <n v="365"/>
    <m/>
    <s v="WX-XT-201502042-0001"/>
    <n v="400000000"/>
    <m/>
    <d v="2016-08-30T00:00:00"/>
    <n v="35200000"/>
    <n v="5780707.9500000002"/>
    <n v="4025144.11"/>
    <n v="5780707.9500000002"/>
    <n v="0"/>
    <n v="3681534.25"/>
    <d v="2016-12-31T00:00:00"/>
    <n v="972677.26"/>
    <s v="自然年"/>
    <n v="12"/>
    <s v="六盘水市交通投资开发有限责任公司（AA）"/>
    <s v="中泰信托"/>
    <m/>
    <x v="0"/>
    <s v="贵州"/>
    <x v="10"/>
    <s v="六盘水市民生发展有限责任公司"/>
    <s v="抵押、保证"/>
    <s v="1.应收账款转让登记_x000d_（1）应收账款确权，签订《债权债务确认书》_x000d_（2）应收账款转让_x000d_签订《应收账款转让及回购合同》，交投公司将其因建设建设德宏路项目而持有的对六盘水市政府的应收账款81650万元转让给中泰信托，并在中国人民银行征信中心应收账款登记公示系统办理转让登记手续。_x000d_2.六盘水市交通投资开发有限责任公司提供土地抵押，抵押率约51%；_x000d_3.民生发展对交投公司的还款义务提供无限连带责任担保；_x000d_4.贵州省六盘水市财政局就本信托计划还款事项出具承诺函；六盘水市人大出具就本信托计划还款纳入财政预算的决议。_x000d_5.信托到期前的10个工作日，融资方需向信托专户偿还信托本金的100%；_x000d_6.用款及应收账款回款监管。"/>
    <n v="509"/>
    <n v="1"/>
  </r>
  <r>
    <s v="万信-磐石042号001"/>
    <n v="1"/>
    <n v="960000000"/>
    <n v="24"/>
    <n v="680000000"/>
    <n v="17"/>
    <d v="2016-02-02T00:00:00"/>
    <d v="2018-02-02T00:00:00"/>
    <n v="7.5999999999999998E-2"/>
    <n v="7.0000000000000007E-2"/>
    <n v="342575.34"/>
    <n v="7.4999999999999997E-2"/>
    <n v="57095.89"/>
    <n v="365"/>
    <m/>
    <s v="WX-PS-201608001-0001"/>
    <n v="300000000"/>
    <m/>
    <d v="2016-08-30T00:00:00"/>
    <n v="40000000"/>
    <n v="6088328.7699999996"/>
    <n v="4339287.67"/>
    <n v="6088328.7699999996"/>
    <n v="0"/>
    <n v="4282191.78"/>
    <d v="2016-12-31T00:00:00"/>
    <n v="1024438.36"/>
    <s v="信托年"/>
    <n v="12"/>
    <s v="四川盈嘉资产经营管理有限责任公司"/>
    <s v="中江信托"/>
    <m/>
    <x v="0"/>
    <s v="四川"/>
    <x v="11"/>
    <s v=" 四川天盈实业有限责任公司（AA）"/>
    <s v="保证"/>
    <s v="1、保证担保：总资产69亿的AA级发债主体国企四川天盈实业承担连带担保责任；_x000d_2、财政承诺：遂宁市财政局承担差额补足义务；_x000d_3、资金监管。_x000d_"/>
    <n v="521"/>
    <n v="1"/>
  </r>
  <r>
    <s v="万信-磐石043号001"/>
    <n v="1"/>
    <n v="1200000000"/>
    <n v="24"/>
    <n v="800000000"/>
    <n v="16"/>
    <d v="2016-01-27T00:00:00"/>
    <d v="2018-01-27T00:00:00"/>
    <n v="7.5999999999999998E-2"/>
    <n v="7.0000000000000007E-2"/>
    <n v="423287.67"/>
    <n v="7.4999999999999997E-2"/>
    <n v="70547.95"/>
    <n v="365"/>
    <m/>
    <s v="WX-PS-201608003-0001"/>
    <n v="300000000"/>
    <m/>
    <d v="2016-08-30T00:00:00"/>
    <n v="50000000"/>
    <n v="7610410.96"/>
    <n v="5361643.84"/>
    <n v="7610410.96"/>
    <n v="0"/>
    <n v="5291095.8899999997"/>
    <d v="2016-12-31T00:00:00"/>
    <n v="1280547.95"/>
    <s v="期间固定为6月20日。"/>
    <n v="12"/>
    <s v="青州市宏源公有资产经营有限公司（AA）"/>
    <s v="中泰信托"/>
    <m/>
    <x v="0"/>
    <s v="山东"/>
    <x v="12"/>
    <s v="青州市城市建设投资开发有限公司（AA）"/>
    <s v="保证"/>
    <s v="1、保证担保。2、对政府应收账款转让"/>
    <n v="515"/>
    <n v="1"/>
  </r>
  <r>
    <s v="万信-资产流动类信托基金002号001"/>
    <n v="1"/>
    <n v="720000000"/>
    <n v="24"/>
    <n v="60000000"/>
    <n v="2"/>
    <d v="2014-10-31T00:00:00"/>
    <d v="2016-10-31T00:00:00"/>
    <n v="0.108"/>
    <n v="7.0000000000000007E-2"/>
    <n v="193643.84"/>
    <n v="7.4999999999999997E-2"/>
    <n v="168164.38"/>
    <n v="365"/>
    <m/>
    <s v="WX-PS-201608004-0001"/>
    <n v="300000000"/>
    <m/>
    <d v="2016-08-30T00:00:00"/>
    <n v="30000000"/>
    <n v="6488876.71"/>
    <n v="550356.16"/>
    <n v="6488876.6999999993"/>
    <n v="1.0000000707805157E-2"/>
    <n v="382191.78"/>
    <d v="2016-10-31T00:00:00"/>
    <n v="550356.16"/>
    <s v="信托年"/>
    <n v="12"/>
    <s v="兴义市龙达交通建设投资有限公司"/>
    <s v="中江信托"/>
    <m/>
    <x v="0"/>
    <s v="贵州"/>
    <x v="13"/>
    <s v="兴义市信恒城市建设投资有限公司（AA）"/>
    <s v="质押、保证"/>
    <s v="1、兴义市政府出具“贵公司受让兴义市龙达交通建设投资有限公司的对我市财政局的应收账款债权系我市政府直接债务，我市保证将贵公司对我市财政局享有的前述应收账款债权由我市统筹安排财政资金按时、足额偿还贵公司全部债权（或安排兴义市龙大交通建设投资有限公司代为偿还），确保信托计划受益人及相关方利益不受损失”的承诺函。_x000d_2、兴义市财政局出具“保证根据与贵公司签署的合同约定，统筹安排财政资金按时、足额偿还贵公司对我局享有的应收账款债权（或委托兴义市龙达交通建设投资有限公司代为偿还）。如因贵公司债权未能按时、足额清偿，所产生的一切责任由我局承担”的承诺函。_x000d_3、兴义市信恒城市建设投资有限公司（2A）提供连带责任保证担保。_x000d_"/>
    <n v="62"/>
    <n v="0"/>
  </r>
  <r>
    <s v="万信-资产流动类信托基金002号002"/>
    <n v="1"/>
    <n v="1200000000"/>
    <n v="24"/>
    <n v="100000000"/>
    <n v="2"/>
    <d v="2014-11-07T00:00:00"/>
    <d v="2016-11-07T00:00:00"/>
    <n v="0.108"/>
    <n v="7.0000000000000007E-2"/>
    <n v="359178.08"/>
    <n v="7.4999999999999997E-2"/>
    <n v="311917.81"/>
    <n v="365"/>
    <m/>
    <s v="WX-PS-201608006-0001"/>
    <n v="0"/>
    <m/>
    <d v="2016-08-30T00:00:00"/>
    <n v="50000000"/>
    <n v="10814794.52"/>
    <n v="1020821.92"/>
    <n v="10814794.52"/>
    <n v="0"/>
    <n v="708904.11"/>
    <d v="2016-11-07T00:00:00"/>
    <n v="1020821.92"/>
    <s v="信托年"/>
    <n v="12"/>
    <s v="安宁发展投资集团有限公司（AA）"/>
    <s v="国民信托"/>
    <m/>
    <x v="0"/>
    <s v="云南"/>
    <x v="14"/>
    <m/>
    <s v="质押"/>
    <s v="（1）融资人将其持有的对安宁市政府的应收账款转让给我司，并在人行系统中进行转让登记；_x000d_（2）安宁市财政局出具财政承诺函，同时提供证明该应收帐款能够纳入当地政府债务预算的完整版政府会议纪要。_x000d_（3）资金监管：我司与融资人、监管银行三方签订资金监管协议，用于监管信托资金用款情况。_x000d_（4）提前归集资金：信托到期前3个月、前2个月、前1个月以及到期日，依次按照到期应付款项的5%、10%、20%比例归集资金。_x000d_"/>
    <n v="69"/>
    <n v="0"/>
  </r>
  <r>
    <s v="万信-资产流动类信托基金002号003"/>
    <n v="1"/>
    <n v="160800000"/>
    <n v="24"/>
    <n v="20100000"/>
    <n v="3"/>
    <d v="2014-12-05T00:00:00"/>
    <d v="2016-12-05T00:00:00"/>
    <n v="0.108"/>
    <n v="7.0000000000000007E-2"/>
    <n v="67660.820000000007"/>
    <n v="7.4999999999999997E-2"/>
    <n v="58758.080000000002"/>
    <n v="365"/>
    <m/>
    <s v="WX-PS-201608005-0001"/>
    <n v="0"/>
    <m/>
    <d v="2016-08-30T00:00:00"/>
    <n v="6700000"/>
    <n v="1449182.47"/>
    <n v="192299.18"/>
    <n v="1449182.46"/>
    <n v="1.0000000009313226E-2"/>
    <n v="133541.1"/>
    <d v="2016-12-05T00:00:00"/>
    <n v="192299.18"/>
    <s v="信托年"/>
    <n v="12"/>
    <s v="绿源农产品贸易股份公司"/>
    <s v="中江信托"/>
    <m/>
    <x v="0"/>
    <s v="陕西"/>
    <x v="15"/>
    <s v="西安市灞桥区基础设施建设投资有限公司(AA-)"/>
    <s v="抵押、保证"/>
    <s v="1、 西安市灞桥区政府、财政局和人大出具相关还款的政府承诺、财政承诺及人大决议。_x000d_2、 抵押：西安浐河半坡湖旅游度假有限责任公司以其名下正常经营的五星级酒店为本笔融资作抵押，抵押率不超过50%。_x000d_3、 保证担保：担保人西安市灞桥区基础设施建设投资有限公司(2A-)提供连带责任担保。_x000d_"/>
    <n v="9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数据透视表7" cacheId="0" applyNumberFormats="0" applyBorderFormats="0" applyFontFormats="0" applyPatternFormats="0" applyAlignmentFormats="0" applyWidthHeightFormats="1" dataCaption="值" grandTotalCaption="合计" updatedVersion="4" minRefreshableVersion="3" useAutoFormatting="1" itemPrintTitles="1" createdVersion="4" indent="0" outline="1" outlineData="1" multipleFieldFilters="0" rowHeaderCaption="信托受益权总额">
  <location ref="B70:D75" firstHeaderRow="1" firstDataRow="2" firstDataCol="1"/>
  <pivotFields count="43">
    <pivotField showAll="0"/>
    <pivotField showAll="0"/>
    <pivotField numFmtId="43" showAll="0" defaultSubtotal="0"/>
    <pivotField showAll="0"/>
    <pivotField numFmtId="43" showAll="0" defaultSubtotal="0"/>
    <pivotField showAll="0" defaultSubtotal="0"/>
    <pivotField numFmtId="165" showAll="0"/>
    <pivotField numFmtId="165" showAll="0"/>
    <pivotField numFmtId="167" showAll="0"/>
    <pivotField numFmtId="167" showAll="0" defaultSubtotal="0"/>
    <pivotField numFmtId="43" showAll="0" defaultSubtotal="0"/>
    <pivotField numFmtId="167" showAll="0" defaultSubtotal="0"/>
    <pivotField numFmtId="43" showAll="0" defaultSubtotal="0"/>
    <pivotField showAll="0"/>
    <pivotField showAll="0"/>
    <pivotField showAll="0"/>
    <pivotField showAll="0"/>
    <pivotField showAll="0"/>
    <pivotField numFmtId="165" showAll="0"/>
    <pivotField numFmtId="164" showAll="0" defaultSubtotal="0"/>
    <pivotField numFmtId="43" showAll="0"/>
    <pivotField numFmtId="43" showAll="0"/>
    <pivotField numFmtId="43" showAll="0" defaultSubtotal="0"/>
    <pivotField numFmtId="43" showAll="0" defaultSubtotal="0"/>
    <pivotField numFmtId="43" showAll="0" defaultSubtotal="0"/>
    <pivotField numFmtId="165" showAll="0"/>
    <pivotField numFmtId="43" showAll="0"/>
    <pivotField showAll="0"/>
    <pivotField showAll="0"/>
    <pivotField showAll="0"/>
    <pivotField showAll="0" defaultSubtotal="0"/>
    <pivotField showAll="0" defaultSubtotal="0"/>
    <pivotField showAll="0"/>
    <pivotField showAll="0"/>
    <pivotField showAll="0"/>
    <pivotField showAll="0"/>
    <pivotField showAll="0"/>
    <pivotField showAll="0"/>
    <pivotField showAll="0"/>
    <pivotField showAll="0"/>
    <pivotField showAll="0"/>
    <pivotField showAll="0"/>
    <pivotField axis="axisRow" dataField="1" showAll="0">
      <items count="5">
        <item m="1" x="3"/>
        <item x="0"/>
        <item x="1"/>
        <item x="2"/>
        <item t="default"/>
      </items>
    </pivotField>
  </pivotFields>
  <rowFields count="1">
    <field x="42"/>
  </rowFields>
  <rowItems count="4">
    <i>
      <x v="1"/>
    </i>
    <i>
      <x v="2"/>
    </i>
    <i>
      <x v="3"/>
    </i>
    <i t="grand">
      <x/>
    </i>
  </rowItems>
  <colFields count="1">
    <field x="-2"/>
  </colFields>
  <colItems count="2">
    <i>
      <x/>
    </i>
    <i i="1">
      <x v="1"/>
    </i>
  </colItems>
  <dataFields count="2">
    <dataField name="项目数量" fld="42" subtotal="count" baseField="0" baseItem="0"/>
    <dataField name="数量占比" fld="42" subtotal="count" showDataAs="percentOfTotal" baseField="32" baseItem="0" numFmtId="10"/>
  </dataFields>
  <formats count="16">
    <format dxfId="16">
      <pivotArea field="42" type="button" dataOnly="0" labelOnly="1" outline="0" axis="axisRow" fieldPosition="0"/>
    </format>
    <format dxfId="15">
      <pivotArea dataOnly="0" labelOnly="1" outline="0" fieldPosition="0">
        <references count="1">
          <reference field="4294967294" count="2">
            <x v="0"/>
            <x v="1"/>
          </reference>
        </references>
      </pivotArea>
    </format>
    <format dxfId="14">
      <pivotArea type="all" dataOnly="0" outline="0" fieldPosition="0"/>
    </format>
    <format dxfId="13">
      <pivotArea dataOnly="0" labelOnly="1" grandRow="1" outline="0" fieldPosition="0"/>
    </format>
    <format dxfId="12">
      <pivotArea outline="0" collapsedLevelsAreSubtotals="1" fieldPosition="0"/>
    </format>
    <format dxfId="11">
      <pivotArea field="42" type="button" dataOnly="0" labelOnly="1" outline="0" axis="axisRow" fieldPosition="0"/>
    </format>
    <format dxfId="10">
      <pivotArea dataOnly="0" labelOnly="1" fieldPosition="0">
        <references count="1">
          <reference field="42" count="0"/>
        </references>
      </pivotArea>
    </format>
    <format dxfId="9">
      <pivotArea dataOnly="0" labelOnly="1" grandRow="1" outline="0" fieldPosition="0"/>
    </format>
    <format dxfId="8">
      <pivotArea dataOnly="0" labelOnly="1" outline="0" fieldPosition="0">
        <references count="1">
          <reference field="4294967294" count="2">
            <x v="0"/>
            <x v="1"/>
          </reference>
        </references>
      </pivotArea>
    </format>
    <format dxfId="7">
      <pivotArea type="all" dataOnly="0" outline="0" fieldPosition="0"/>
    </format>
    <format dxfId="6">
      <pivotArea grandRow="1" outline="0" collapsedLevelsAreSubtotals="1" fieldPosition="0"/>
    </format>
    <format dxfId="5">
      <pivotArea dataOnly="0" labelOnly="1" grandRow="1" outline="0" fieldPosition="0"/>
    </format>
    <format dxfId="4">
      <pivotArea field="42" type="button" dataOnly="0" labelOnly="1" outline="0" axis="axisRow" fieldPosition="0"/>
    </format>
    <format dxfId="3">
      <pivotArea dataOnly="0" labelOnly="1" outline="0" fieldPosition="0">
        <references count="1">
          <reference field="4294967294" count="2">
            <x v="0"/>
            <x v="1"/>
          </reference>
        </references>
      </pivotArea>
    </format>
    <format dxfId="2">
      <pivotArea field="42" type="button" dataOnly="0" labelOnly="1" outline="0" axis="axisRow" fieldPosition="0"/>
    </format>
    <format dxfId="1">
      <pivotArea dataOnly="0" labelOnly="1" outline="0" fieldPosition="0">
        <references count="1">
          <reference field="4294967294" count="2">
            <x v="0"/>
            <x v="1"/>
          </reference>
        </references>
      </pivotArea>
    </format>
  </formats>
  <pivotTableStyleInfo name="PivotStyleMedium7" showRowHeaders="1" showColHeaders="1" showRowStripes="0" showColStripes="0" showLastColumn="1"/>
</pivotTableDefinition>
</file>

<file path=xl/pivotTables/pivotTable2.xml><?xml version="1.0" encoding="utf-8"?>
<pivotTableDefinition xmlns="http://schemas.openxmlformats.org/spreadsheetml/2006/main" name="数据透视表11" cacheId="0" applyNumberFormats="0" applyBorderFormats="0" applyFontFormats="0" applyPatternFormats="0" applyAlignmentFormats="0" applyWidthHeightFormats="1" dataCaption="值" grandTotalCaption="合计" updatedVersion="4" minRefreshableVersion="3" useAutoFormatting="1" itemPrintTitles="1" createdVersion="4" indent="0" outline="1" outlineData="1" multipleFieldFilters="0" rowHeaderCaption="底层资产受托人">
  <location ref="B77:D89" firstHeaderRow="1" firstDataRow="1" firstDataCol="0"/>
  <pivotFields count="43">
    <pivotField showAll="0"/>
    <pivotField showAll="0"/>
    <pivotField numFmtId="43" showAll="0"/>
    <pivotField showAll="0"/>
    <pivotField numFmtId="43" showAll="0"/>
    <pivotField showAll="0"/>
    <pivotField numFmtId="165" showAll="0"/>
    <pivotField numFmtId="165" showAll="0"/>
    <pivotField numFmtId="167" showAll="0"/>
    <pivotField numFmtId="167" showAll="0" defaultSubtotal="0"/>
    <pivotField numFmtId="43" showAll="0" defaultSubtotal="0"/>
    <pivotField numFmtId="167" showAll="0" defaultSubtotal="0"/>
    <pivotField numFmtId="43" showAll="0" defaultSubtotal="0"/>
    <pivotField showAll="0"/>
    <pivotField showAll="0"/>
    <pivotField showAll="0"/>
    <pivotField showAll="0"/>
    <pivotField showAll="0"/>
    <pivotField numFmtId="165" showAll="0"/>
    <pivotField numFmtId="164" showAll="0" defaultSubtotal="0"/>
    <pivotField numFmtId="43" showAll="0"/>
    <pivotField numFmtId="43" showAll="0"/>
    <pivotField numFmtId="43" showAll="0" defaultSubtotal="0"/>
    <pivotField numFmtId="43" showAll="0" defaultSubtotal="0"/>
    <pivotField numFmtId="43" showAll="0" defaultSubtotal="0"/>
    <pivotField numFmtId="165" showAll="0"/>
    <pivotField numFmtId="43"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s>
  <formats count="7">
    <format dxfId="23">
      <pivotArea dataOnly="0" labelOnly="1" grandRow="1" outline="0" fieldPosition="0"/>
    </format>
    <format dxfId="22">
      <pivotArea type="all" dataOnly="0" outline="0" fieldPosition="0"/>
    </format>
    <format dxfId="21">
      <pivotArea outline="0" collapsedLevelsAreSubtotals="1" fieldPosition="0"/>
    </format>
    <format dxfId="20">
      <pivotArea dataOnly="0" labelOnly="1" grandRow="1" outline="0" fieldPosition="0"/>
    </format>
    <format dxfId="19">
      <pivotArea type="all" dataOnly="0" outline="0" fieldPosition="0"/>
    </format>
    <format dxfId="18">
      <pivotArea grandRow="1" outline="0" collapsedLevelsAreSubtotals="1" fieldPosition="0"/>
    </format>
    <format dxfId="17">
      <pivotArea dataOnly="0" labelOnly="1" grandRow="1" outline="0" fieldPosition="0"/>
    </format>
  </formats>
  <pivotTableStyleInfo name="PivotStyleMedium7" showRowHeaders="1" showColHeaders="1" showRowStripes="0" showColStripes="0" showLastColumn="1"/>
</pivotTableDefinition>
</file>

<file path=xl/pivotTables/pivotTable3.xml><?xml version="1.0" encoding="utf-8"?>
<pivotTableDefinition xmlns="http://schemas.openxmlformats.org/spreadsheetml/2006/main" name="数据透视表5" cacheId="3" applyNumberFormats="0" applyBorderFormats="0" applyFontFormats="0" applyPatternFormats="0" applyAlignmentFormats="0" applyWidthHeightFormats="1" dataCaption="值" grandTotalCaption="合计" updatedVersion="4" minRefreshableVersion="3" useAutoFormatting="1" itemPrintTitles="1" createdVersion="4" indent="0" outline="1" outlineData="1" multipleFieldFilters="0" rowHeaderCaption="信托合同期限">
  <location ref="B56:D59" firstHeaderRow="1" firstDataRow="2" firstDataCol="1"/>
  <pivotFields count="42">
    <pivotField showAll="0"/>
    <pivotField showAll="0"/>
    <pivotField numFmtId="43" showAll="0" defaultSubtotal="0"/>
    <pivotField showAll="0"/>
    <pivotField numFmtId="43" showAll="0" defaultSubtotal="0"/>
    <pivotField showAll="0" defaultSubtotal="0"/>
    <pivotField numFmtId="165" showAll="0"/>
    <pivotField numFmtId="165" showAll="0"/>
    <pivotField numFmtId="167" showAll="0"/>
    <pivotField numFmtId="167" showAll="0" defaultSubtotal="0"/>
    <pivotField numFmtId="43" showAll="0" defaultSubtotal="0"/>
    <pivotField numFmtId="167" showAll="0" defaultSubtotal="0"/>
    <pivotField numFmtId="43" showAll="0" defaultSubtotal="0"/>
    <pivotField showAll="0"/>
    <pivotField showAll="0"/>
    <pivotField showAll="0"/>
    <pivotField showAll="0"/>
    <pivotField showAll="0"/>
    <pivotField numFmtId="165" showAll="0"/>
    <pivotField numFmtId="164" showAll="0" defaultSubtotal="0"/>
    <pivotField numFmtId="43" showAll="0"/>
    <pivotField numFmtId="43" showAll="0"/>
    <pivotField numFmtId="43" showAll="0" defaultSubtotal="0"/>
    <pivotField numFmtId="43" showAll="0" defaultSubtotal="0"/>
    <pivotField numFmtId="43" showAll="0" defaultSubtotal="0"/>
    <pivotField numFmtId="165" showAll="0"/>
    <pivotField numFmtId="43" showAll="0"/>
    <pivotField showAll="0"/>
    <pivotField showAll="0"/>
    <pivotField showAll="0"/>
    <pivotField showAll="0" defaultSubtotal="0"/>
    <pivotField showAll="0" defaultSubtotal="0"/>
    <pivotField showAll="0"/>
    <pivotField showAll="0"/>
    <pivotField showAll="0"/>
    <pivotField showAll="0"/>
    <pivotField showAll="0"/>
    <pivotField showAll="0"/>
    <pivotField showAll="0"/>
    <pivotField showAll="0"/>
    <pivotField showAll="0" defaultSubtotal="0"/>
    <pivotField axis="axisRow" dataField="1" showAll="0" sortType="descending">
      <items count="3">
        <item m="1" x="1"/>
        <item x="0"/>
        <item t="default"/>
      </items>
    </pivotField>
  </pivotFields>
  <rowFields count="1">
    <field x="41"/>
  </rowFields>
  <rowItems count="2">
    <i>
      <x v="1"/>
    </i>
    <i t="grand">
      <x/>
    </i>
  </rowItems>
  <colFields count="1">
    <field x="-2"/>
  </colFields>
  <colItems count="2">
    <i>
      <x/>
    </i>
    <i i="1">
      <x v="1"/>
    </i>
  </colItems>
  <dataFields count="2">
    <dataField name="项目数量" fld="41" subtotal="count" baseField="0" baseItem="0"/>
    <dataField name="数量占比" fld="41" subtotal="count" showDataAs="percentOfTotal" baseField="31" baseItem="0" numFmtId="10"/>
  </dataFields>
  <formats count="16">
    <format dxfId="39">
      <pivotArea field="41" type="button" dataOnly="0" labelOnly="1" outline="0" axis="axisRow" fieldPosition="0"/>
    </format>
    <format dxfId="38">
      <pivotArea dataOnly="0" labelOnly="1" outline="0" fieldPosition="0">
        <references count="1">
          <reference field="4294967294" count="2">
            <x v="0"/>
            <x v="1"/>
          </reference>
        </references>
      </pivotArea>
    </format>
    <format dxfId="37">
      <pivotArea type="all" dataOnly="0" outline="0" fieldPosition="0"/>
    </format>
    <format dxfId="36">
      <pivotArea dataOnly="0" labelOnly="1" grandRow="1" outline="0" fieldPosition="0"/>
    </format>
    <format dxfId="35">
      <pivotArea outline="0" collapsedLevelsAreSubtotals="1" fieldPosition="0"/>
    </format>
    <format dxfId="34">
      <pivotArea field="41" type="button" dataOnly="0" labelOnly="1" outline="0" axis="axisRow" fieldPosition="0"/>
    </format>
    <format dxfId="33">
      <pivotArea dataOnly="0" labelOnly="1" fieldPosition="0">
        <references count="1">
          <reference field="41" count="0"/>
        </references>
      </pivotArea>
    </format>
    <format dxfId="32">
      <pivotArea dataOnly="0" labelOnly="1" grandRow="1" outline="0" fieldPosition="0"/>
    </format>
    <format dxfId="31">
      <pivotArea dataOnly="0" labelOnly="1" outline="0" fieldPosition="0">
        <references count="1">
          <reference field="4294967294" count="2">
            <x v="0"/>
            <x v="1"/>
          </reference>
        </references>
      </pivotArea>
    </format>
    <format dxfId="30">
      <pivotArea type="all" dataOnly="0" outline="0" fieldPosition="0"/>
    </format>
    <format dxfId="29">
      <pivotArea grandRow="1" outline="0" collapsedLevelsAreSubtotals="1" fieldPosition="0"/>
    </format>
    <format dxfId="28">
      <pivotArea dataOnly="0" labelOnly="1" grandRow="1" outline="0" fieldPosition="0"/>
    </format>
    <format dxfId="27">
      <pivotArea field="41" type="button" dataOnly="0" labelOnly="1" outline="0" axis="axisRow" fieldPosition="0"/>
    </format>
    <format dxfId="26">
      <pivotArea dataOnly="0" labelOnly="1" outline="0" fieldPosition="0">
        <references count="1">
          <reference field="4294967294" count="2">
            <x v="0"/>
            <x v="1"/>
          </reference>
        </references>
      </pivotArea>
    </format>
    <format dxfId="25">
      <pivotArea field="41" type="button" dataOnly="0" labelOnly="1" outline="0" axis="axisRow" fieldPosition="0"/>
    </format>
    <format dxfId="24">
      <pivotArea dataOnly="0" labelOnly="1" outline="0" fieldPosition="0">
        <references count="1">
          <reference field="4294967294" count="2">
            <x v="0"/>
            <x v="1"/>
          </reference>
        </references>
      </pivotArea>
    </format>
  </formats>
  <pivotTableStyleInfo name="PivotStyleMedium7" showRowHeaders="1" showColHeaders="1" showRowStripes="0" showColStripes="0" showLastColumn="1"/>
</pivotTableDefinition>
</file>

<file path=xl/pivotTables/pivotTable4.xml><?xml version="1.0" encoding="utf-8"?>
<pivotTableDefinition xmlns="http://schemas.openxmlformats.org/spreadsheetml/2006/main" name="数据透视表3" cacheId="4" applyNumberFormats="0" applyBorderFormats="0" applyFontFormats="0" applyPatternFormats="0" applyAlignmentFormats="0" applyWidthHeightFormats="1" dataCaption="值" grandTotalCaption="合计" updatedVersion="4" minRefreshableVersion="3" useAutoFormatting="1" itemPrintTitles="1" createdVersion="4" indent="0" outline="1" outlineData="1" multipleFieldFilters="0" rowHeaderCaption="融资方行业">
  <location ref="B39:E43" firstHeaderRow="1" firstDataRow="2" firstDataCol="1"/>
  <pivotFields count="40">
    <pivotField showAll="0"/>
    <pivotField showAll="0"/>
    <pivotField numFmtId="43" showAll="0" defaultSubtotal="0"/>
    <pivotField showAll="0"/>
    <pivotField numFmtId="43" showAll="0" defaultSubtotal="0"/>
    <pivotField showAll="0" defaultSubtotal="0"/>
    <pivotField numFmtId="165" showAll="0"/>
    <pivotField numFmtId="165" showAll="0"/>
    <pivotField numFmtId="167" showAll="0"/>
    <pivotField numFmtId="167" showAll="0" defaultSubtotal="0"/>
    <pivotField numFmtId="43" showAll="0" defaultSubtotal="0"/>
    <pivotField numFmtId="167" showAll="0" defaultSubtotal="0"/>
    <pivotField numFmtId="43" showAll="0" defaultSubtotal="0"/>
    <pivotField showAll="0"/>
    <pivotField showAll="0"/>
    <pivotField showAll="0"/>
    <pivotField showAll="0"/>
    <pivotField showAll="0"/>
    <pivotField numFmtId="165" showAll="0"/>
    <pivotField dataField="1" numFmtId="164" showAll="0" defaultSubtotal="0"/>
    <pivotField numFmtId="43" showAll="0"/>
    <pivotField numFmtId="43" showAll="0"/>
    <pivotField numFmtId="43" showAll="0" defaultSubtotal="0"/>
    <pivotField numFmtId="43" showAll="0" defaultSubtotal="0"/>
    <pivotField numFmtId="43" showAll="0" defaultSubtotal="0"/>
    <pivotField numFmtId="165" showAll="0"/>
    <pivotField numFmtId="43" showAll="0"/>
    <pivotField showAll="0"/>
    <pivotField showAll="0"/>
    <pivotField showAll="0"/>
    <pivotField showAll="0" defaultSubtotal="0"/>
    <pivotField showAll="0" defaultSubtotal="0"/>
    <pivotField axis="axisRow" dataField="1" showAll="0">
      <items count="3">
        <item x="1"/>
        <item x="0"/>
        <item t="default"/>
      </items>
    </pivotField>
    <pivotField showAll="0"/>
    <pivotField showAll="0"/>
    <pivotField showAll="0"/>
    <pivotField showAll="0"/>
    <pivotField showAll="0"/>
    <pivotField showAll="0"/>
    <pivotField showAll="0"/>
  </pivotFields>
  <rowFields count="1">
    <field x="32"/>
  </rowFields>
  <rowItems count="3">
    <i>
      <x/>
    </i>
    <i>
      <x v="1"/>
    </i>
    <i t="grand">
      <x/>
    </i>
  </rowItems>
  <colFields count="1">
    <field x="-2"/>
  </colFields>
  <colItems count="3">
    <i>
      <x/>
    </i>
    <i i="1">
      <x v="1"/>
    </i>
    <i i="2">
      <x v="2"/>
    </i>
  </colItems>
  <dataFields count="3">
    <dataField name="项目数量" fld="32" subtotal="count" baseField="0" baseItem="0"/>
    <dataField name="数量占比" fld="32" subtotal="count" showDataAs="percentOfTotal" baseField="22" baseItem="1" numFmtId="10"/>
    <dataField name="Sum of 本资产打包金额（元）" fld="19" baseField="0" baseItem="0" numFmtId="43"/>
  </dataFields>
  <formats count="21">
    <format dxfId="60">
      <pivotArea field="32" type="button" dataOnly="0" labelOnly="1" outline="0" axis="axisRow" fieldPosition="0"/>
    </format>
    <format dxfId="59">
      <pivotArea dataOnly="0" labelOnly="1" outline="0" fieldPosition="0">
        <references count="1">
          <reference field="4294967294" count="2">
            <x v="0"/>
            <x v="1"/>
          </reference>
        </references>
      </pivotArea>
    </format>
    <format dxfId="58">
      <pivotArea field="32" type="button" dataOnly="0" labelOnly="1" outline="0" axis="axisRow" fieldPosition="0"/>
    </format>
    <format dxfId="57">
      <pivotArea dataOnly="0" labelOnly="1" outline="0" fieldPosition="0">
        <references count="1">
          <reference field="4294967294" count="2">
            <x v="0"/>
            <x v="1"/>
          </reference>
        </references>
      </pivotArea>
    </format>
    <format dxfId="56">
      <pivotArea type="all" dataOnly="0" outline="0" fieldPosition="0"/>
    </format>
    <format dxfId="55">
      <pivotArea dataOnly="0" labelOnly="1" grandRow="1" outline="0" fieldPosition="0"/>
    </format>
    <format dxfId="54">
      <pivotArea dataOnly="0" labelOnly="1" fieldPosition="0">
        <references count="1">
          <reference field="32" count="0"/>
        </references>
      </pivotArea>
    </format>
    <format dxfId="53">
      <pivotArea dataOnly="0" labelOnly="1" fieldPosition="0">
        <references count="1">
          <reference field="32" count="0"/>
        </references>
      </pivotArea>
    </format>
    <format dxfId="52">
      <pivotArea outline="0" collapsedLevelsAreSubtotals="1" fieldPosition="0"/>
    </format>
    <format dxfId="51">
      <pivotArea field="32" type="button" dataOnly="0" labelOnly="1" outline="0" axis="axisRow" fieldPosition="0"/>
    </format>
    <format dxfId="50">
      <pivotArea dataOnly="0" labelOnly="1" fieldPosition="0">
        <references count="1">
          <reference field="32" count="0"/>
        </references>
      </pivotArea>
    </format>
    <format dxfId="49">
      <pivotArea dataOnly="0" labelOnly="1" grandRow="1" outline="0" fieldPosition="0"/>
    </format>
    <format dxfId="48">
      <pivotArea dataOnly="0" labelOnly="1" outline="0" fieldPosition="0">
        <references count="1">
          <reference field="4294967294" count="2">
            <x v="0"/>
            <x v="1"/>
          </reference>
        </references>
      </pivotArea>
    </format>
    <format dxfId="47">
      <pivotArea type="all" dataOnly="0" outline="0" fieldPosition="0"/>
    </format>
    <format dxfId="46">
      <pivotArea grandRow="1" outline="0" collapsedLevelsAreSubtotals="1" fieldPosition="0"/>
    </format>
    <format dxfId="45">
      <pivotArea dataOnly="0" labelOnly="1" grandRow="1" outline="0" fieldPosition="0"/>
    </format>
    <format dxfId="44">
      <pivotArea field="32" type="button" dataOnly="0" labelOnly="1" outline="0" axis="axisRow" fieldPosition="0"/>
    </format>
    <format dxfId="43">
      <pivotArea dataOnly="0" labelOnly="1" outline="0" fieldPosition="0">
        <references count="1">
          <reference field="4294967294" count="2">
            <x v="0"/>
            <x v="1"/>
          </reference>
        </references>
      </pivotArea>
    </format>
    <format dxfId="42">
      <pivotArea field="32" type="button" dataOnly="0" labelOnly="1" outline="0" axis="axisRow" fieldPosition="0"/>
    </format>
    <format dxfId="41">
      <pivotArea dataOnly="0" labelOnly="1" outline="0" fieldPosition="0">
        <references count="1">
          <reference field="4294967294" count="2">
            <x v="0"/>
            <x v="1"/>
          </reference>
        </references>
      </pivotArea>
    </format>
    <format dxfId="40">
      <pivotArea outline="0" collapsedLevelsAreSubtotals="1" fieldPosition="0">
        <references count="1">
          <reference field="4294967294" count="1" selected="0">
            <x v="2"/>
          </reference>
        </references>
      </pivotArea>
    </format>
  </formats>
  <pivotTableStyleInfo name="PivotStyleMedium7" showRowHeaders="1" showColHeaders="1" showRowStripes="0" showColStripes="0" showLastColumn="1"/>
</pivotTableDefinition>
</file>

<file path=xl/pivotTables/pivotTable5.xml><?xml version="1.0" encoding="utf-8"?>
<pivotTableDefinition xmlns="http://schemas.openxmlformats.org/spreadsheetml/2006/main" name="数据透视表1" cacheId="0" applyNumberFormats="0" applyBorderFormats="0" applyFontFormats="0" applyPatternFormats="0" applyAlignmentFormats="0" applyWidthHeightFormats="1" dataCaption="值" grandTotalCaption="合计" updatedVersion="4" minRefreshableVersion="3" useAutoFormatting="1" itemPrintTitles="1" createdVersion="4" indent="0" outline="1" outlineData="1" multipleFieldFilters="0" rowHeaderCaption="融资方所在区域">
  <location ref="B3:D15" firstHeaderRow="1" firstDataRow="2" firstDataCol="1"/>
  <pivotFields count="43">
    <pivotField showAll="0"/>
    <pivotField showAll="0"/>
    <pivotField numFmtId="43" showAll="0" defaultSubtotal="0"/>
    <pivotField showAll="0"/>
    <pivotField numFmtId="43" showAll="0" defaultSubtotal="0"/>
    <pivotField showAll="0" defaultSubtotal="0"/>
    <pivotField numFmtId="165" showAll="0"/>
    <pivotField numFmtId="165" showAll="0"/>
    <pivotField numFmtId="167" showAll="0"/>
    <pivotField numFmtId="167" showAll="0" defaultSubtotal="0"/>
    <pivotField numFmtId="43" showAll="0" defaultSubtotal="0"/>
    <pivotField numFmtId="167" showAll="0" defaultSubtotal="0"/>
    <pivotField numFmtId="43" showAll="0" defaultSubtotal="0"/>
    <pivotField showAll="0"/>
    <pivotField showAll="0"/>
    <pivotField showAll="0"/>
    <pivotField showAll="0"/>
    <pivotField showAll="0"/>
    <pivotField numFmtId="165" showAll="0"/>
    <pivotField numFmtId="164" showAll="0" defaultSubtotal="0"/>
    <pivotField numFmtId="43" showAll="0"/>
    <pivotField numFmtId="43" showAll="0"/>
    <pivotField numFmtId="43" showAll="0" defaultSubtotal="0"/>
    <pivotField numFmtId="43" showAll="0" defaultSubtotal="0"/>
    <pivotField numFmtId="43" showAll="0" defaultSubtotal="0"/>
    <pivotField numFmtId="165" showAll="0"/>
    <pivotField numFmtId="43" showAll="0"/>
    <pivotField showAll="0"/>
    <pivotField showAll="0"/>
    <pivotField showAll="0"/>
    <pivotField showAll="0" defaultSubtotal="0"/>
    <pivotField showAll="0" defaultSubtotal="0"/>
    <pivotField showAll="0"/>
    <pivotField axis="axisRow" dataField="1" showAll="0">
      <items count="11">
        <item x="5"/>
        <item x="3"/>
        <item x="6"/>
        <item x="2"/>
        <item x="7"/>
        <item x="0"/>
        <item x="1"/>
        <item x="4"/>
        <item x="9"/>
        <item x="8"/>
        <item t="default"/>
      </items>
    </pivotField>
    <pivotField showAll="0"/>
    <pivotField showAll="0"/>
    <pivotField showAll="0"/>
    <pivotField showAll="0"/>
    <pivotField showAll="0"/>
    <pivotField showAll="0"/>
    <pivotField showAll="0" defaultSubtotal="0"/>
    <pivotField showAll="0" defaultSubtotal="0"/>
    <pivotField showAll="0" defaultSubtotal="0"/>
  </pivotFields>
  <rowFields count="1">
    <field x="33"/>
  </rowFields>
  <rowItems count="11">
    <i>
      <x/>
    </i>
    <i>
      <x v="1"/>
    </i>
    <i>
      <x v="2"/>
    </i>
    <i>
      <x v="3"/>
    </i>
    <i>
      <x v="4"/>
    </i>
    <i>
      <x v="5"/>
    </i>
    <i>
      <x v="6"/>
    </i>
    <i>
      <x v="7"/>
    </i>
    <i>
      <x v="8"/>
    </i>
    <i>
      <x v="9"/>
    </i>
    <i t="grand">
      <x/>
    </i>
  </rowItems>
  <colFields count="1">
    <field x="-2"/>
  </colFields>
  <colItems count="2">
    <i>
      <x/>
    </i>
    <i i="1">
      <x v="1"/>
    </i>
  </colItems>
  <dataFields count="2">
    <dataField name="项目数量" fld="33" subtotal="count" baseField="0" baseItem="0"/>
    <dataField name="数量占比" fld="33" subtotal="count" showDataAs="percentOfTotal" baseField="23" baseItem="0" numFmtId="10"/>
  </dataFields>
  <formats count="23">
    <format dxfId="83">
      <pivotArea outline="0" fieldPosition="0">
        <references count="1">
          <reference field="4294967294" count="1">
            <x v="1"/>
          </reference>
        </references>
      </pivotArea>
    </format>
    <format dxfId="82">
      <pivotArea field="33" type="button" dataOnly="0" labelOnly="1" outline="0" axis="axisRow" fieldPosition="0"/>
    </format>
    <format dxfId="81">
      <pivotArea dataOnly="0" labelOnly="1" outline="0" fieldPosition="0">
        <references count="1">
          <reference field="4294967294" count="2">
            <x v="0"/>
            <x v="1"/>
          </reference>
        </references>
      </pivotArea>
    </format>
    <format dxfId="80">
      <pivotArea field="33" type="button" dataOnly="0" labelOnly="1" outline="0" axis="axisRow" fieldPosition="0"/>
    </format>
    <format dxfId="79">
      <pivotArea dataOnly="0" labelOnly="1" outline="0" fieldPosition="0">
        <references count="1">
          <reference field="4294967294" count="2">
            <x v="0"/>
            <x v="1"/>
          </reference>
        </references>
      </pivotArea>
    </format>
    <format dxfId="78">
      <pivotArea type="all" dataOnly="0" outline="0" fieldPosition="0"/>
    </format>
    <format dxfId="77">
      <pivotArea dataOnly="0" labelOnly="1" grandRow="1" outline="0" fieldPosition="0"/>
    </format>
    <format dxfId="76">
      <pivotArea dataOnly="0" labelOnly="1" fieldPosition="0">
        <references count="1">
          <reference field="33" count="0"/>
        </references>
      </pivotArea>
    </format>
    <format dxfId="75">
      <pivotArea dataOnly="0" labelOnly="1" fieldPosition="0">
        <references count="1">
          <reference field="33" count="0"/>
        </references>
      </pivotArea>
    </format>
    <format dxfId="74">
      <pivotArea outline="0" collapsedLevelsAreSubtotals="1" fieldPosition="0"/>
    </format>
    <format dxfId="73">
      <pivotArea field="33" type="button" dataOnly="0" labelOnly="1" outline="0" axis="axisRow" fieldPosition="0"/>
    </format>
    <format dxfId="72">
      <pivotArea dataOnly="0" labelOnly="1" fieldPosition="0">
        <references count="1">
          <reference field="33" count="0"/>
        </references>
      </pivotArea>
    </format>
    <format dxfId="71">
      <pivotArea dataOnly="0" labelOnly="1" grandRow="1" outline="0" fieldPosition="0"/>
    </format>
    <format dxfId="70">
      <pivotArea dataOnly="0" labelOnly="1" outline="0" fieldPosition="0">
        <references count="1">
          <reference field="4294967294" count="2">
            <x v="0"/>
            <x v="1"/>
          </reference>
        </references>
      </pivotArea>
    </format>
    <format dxfId="69">
      <pivotArea type="all" dataOnly="0" outline="0" fieldPosition="0"/>
    </format>
    <format dxfId="68">
      <pivotArea grandRow="1" outline="0" collapsedLevelsAreSubtotals="1" fieldPosition="0"/>
    </format>
    <format dxfId="67">
      <pivotArea dataOnly="0" labelOnly="1" grandRow="1" outline="0" fieldPosition="0"/>
    </format>
    <format dxfId="66">
      <pivotArea field="33" type="button" dataOnly="0" labelOnly="1" outline="0" axis="axisRow" fieldPosition="0"/>
    </format>
    <format dxfId="65">
      <pivotArea dataOnly="0" labelOnly="1" outline="0" fieldPosition="0">
        <references count="1">
          <reference field="4294967294" count="2">
            <x v="0"/>
            <x v="1"/>
          </reference>
        </references>
      </pivotArea>
    </format>
    <format dxfId="64">
      <pivotArea field="33" type="button" dataOnly="0" labelOnly="1" outline="0" axis="axisRow" fieldPosition="0"/>
    </format>
    <format dxfId="63">
      <pivotArea dataOnly="0" labelOnly="1" outline="0" fieldPosition="0">
        <references count="1">
          <reference field="4294967294" count="2">
            <x v="0"/>
            <x v="1"/>
          </reference>
        </references>
      </pivotArea>
    </format>
    <format dxfId="62">
      <pivotArea field="33" type="button" dataOnly="0" labelOnly="1" outline="0" axis="axisRow" fieldPosition="0"/>
    </format>
    <format dxfId="61">
      <pivotArea dataOnly="0" labelOnly="1" outline="0" fieldPosition="0">
        <references count="1">
          <reference field="4294967294" count="2">
            <x v="0"/>
            <x v="1"/>
          </reference>
        </references>
      </pivotArea>
    </format>
  </formats>
  <pivotTableStyleInfo name="PivotStyleMedium7" showRowHeaders="1" showColHeaders="1" showRowStripes="0" showColStripes="0" showLastColumn="1"/>
</pivotTableDefinition>
</file>

<file path=xl/pivotTables/pivotTable6.xml><?xml version="1.0" encoding="utf-8"?>
<pivotTableDefinition xmlns="http://schemas.openxmlformats.org/spreadsheetml/2006/main" name="数据透视表2" cacheId="4" applyNumberFormats="0" applyBorderFormats="0" applyFontFormats="0" applyPatternFormats="0" applyAlignmentFormats="0" applyWidthHeightFormats="1" dataCaption="值" grandTotalCaption="合计" updatedVersion="4" minRefreshableVersion="3" useAutoFormatting="1" itemPrintTitles="1" createdVersion="4" indent="0" outline="1" outlineData="1" multipleFieldFilters="0" rowHeaderCaption="融资方所在城市">
  <location ref="B17:D35" firstHeaderRow="1" firstDataRow="2" firstDataCol="1"/>
  <pivotFields count="40">
    <pivotField showAll="0"/>
    <pivotField showAll="0"/>
    <pivotField numFmtId="43" showAll="0" defaultSubtotal="0"/>
    <pivotField showAll="0"/>
    <pivotField numFmtId="43" showAll="0" defaultSubtotal="0"/>
    <pivotField showAll="0" defaultSubtotal="0"/>
    <pivotField numFmtId="165" showAll="0"/>
    <pivotField numFmtId="165" showAll="0"/>
    <pivotField numFmtId="167" showAll="0"/>
    <pivotField numFmtId="167" showAll="0" defaultSubtotal="0"/>
    <pivotField numFmtId="43" showAll="0" defaultSubtotal="0"/>
    <pivotField numFmtId="167" showAll="0" defaultSubtotal="0"/>
    <pivotField numFmtId="43" showAll="0" defaultSubtotal="0"/>
    <pivotField showAll="0"/>
    <pivotField showAll="0"/>
    <pivotField showAll="0"/>
    <pivotField showAll="0"/>
    <pivotField showAll="0"/>
    <pivotField numFmtId="165" showAll="0"/>
    <pivotField numFmtId="164" showAll="0" defaultSubtotal="0"/>
    <pivotField numFmtId="43" showAll="0"/>
    <pivotField numFmtId="43" showAll="0"/>
    <pivotField numFmtId="43" showAll="0" defaultSubtotal="0"/>
    <pivotField numFmtId="43" showAll="0" defaultSubtotal="0"/>
    <pivotField numFmtId="43" showAll="0" defaultSubtotal="0"/>
    <pivotField numFmtId="165" showAll="0"/>
    <pivotField numFmtId="43" showAll="0"/>
    <pivotField showAll="0"/>
    <pivotField showAll="0"/>
    <pivotField showAll="0"/>
    <pivotField showAll="0" defaultSubtotal="0"/>
    <pivotField showAll="0" defaultSubtotal="0"/>
    <pivotField showAll="0"/>
    <pivotField showAll="0"/>
    <pivotField axis="axisRow" dataField="1" showAll="0">
      <items count="17">
        <item x="8"/>
        <item x="0"/>
        <item x="9"/>
        <item x="1"/>
        <item x="6"/>
        <item x="10"/>
        <item x="12"/>
        <item x="11"/>
        <item x="7"/>
        <item x="5"/>
        <item x="2"/>
        <item x="4"/>
        <item x="3"/>
        <item x="13"/>
        <item x="15"/>
        <item x="14"/>
        <item t="default"/>
      </items>
    </pivotField>
    <pivotField showAll="0"/>
    <pivotField showAll="0"/>
    <pivotField showAll="0"/>
    <pivotField showAll="0"/>
    <pivotField showAll="0"/>
  </pivotFields>
  <rowFields count="1">
    <field x="34"/>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项目数量" fld="34" subtotal="count" baseField="0" baseItem="0"/>
    <dataField name="数量占比" fld="34" subtotal="count" showDataAs="percentOfTotal" baseField="24" baseItem="0" numFmtId="10"/>
  </dataFields>
  <formats count="22">
    <format dxfId="105">
      <pivotArea outline="0" fieldPosition="0">
        <references count="1">
          <reference field="4294967294" count="1">
            <x v="1"/>
          </reference>
        </references>
      </pivotArea>
    </format>
    <format dxfId="104">
      <pivotArea dataOnly="0" labelOnly="1" outline="0" fieldPosition="0">
        <references count="1">
          <reference field="4294967294" count="2">
            <x v="0"/>
            <x v="1"/>
          </reference>
        </references>
      </pivotArea>
    </format>
    <format dxfId="103">
      <pivotArea dataOnly="0" labelOnly="1" outline="0" fieldPosition="0">
        <references count="1">
          <reference field="4294967294" count="2">
            <x v="0"/>
            <x v="1"/>
          </reference>
        </references>
      </pivotArea>
    </format>
    <format dxfId="102">
      <pivotArea type="all" dataOnly="0" outline="0" fieldPosition="0"/>
    </format>
    <format dxfId="101">
      <pivotArea field="34" type="button" dataOnly="0" labelOnly="1" outline="0" axis="axisRow" fieldPosition="0"/>
    </format>
    <format dxfId="100">
      <pivotArea dataOnly="0" labelOnly="1" fieldPosition="0">
        <references count="1">
          <reference field="34" count="0"/>
        </references>
      </pivotArea>
    </format>
    <format dxfId="99">
      <pivotArea dataOnly="0" labelOnly="1" grandRow="1" outline="0" fieldPosition="0"/>
    </format>
    <format dxfId="98">
      <pivotArea field="34" type="button" dataOnly="0" labelOnly="1" outline="0" axis="axisRow" fieldPosition="0"/>
    </format>
    <format dxfId="97">
      <pivotArea dataOnly="0" labelOnly="1" fieldPosition="0">
        <references count="1">
          <reference field="34" count="0"/>
        </references>
      </pivotArea>
    </format>
    <format dxfId="96">
      <pivotArea dataOnly="0" labelOnly="1" grandRow="1" outline="0" fieldPosition="0"/>
    </format>
    <format dxfId="95">
      <pivotArea outline="0" collapsedLevelsAreSubtotals="1" fieldPosition="0"/>
    </format>
    <format dxfId="94">
      <pivotArea field="34" type="button" dataOnly="0" labelOnly="1" outline="0" axis="axisRow" fieldPosition="0"/>
    </format>
    <format dxfId="93">
      <pivotArea dataOnly="0" labelOnly="1" fieldPosition="0">
        <references count="1">
          <reference field="34" count="0"/>
        </references>
      </pivotArea>
    </format>
    <format dxfId="92">
      <pivotArea dataOnly="0" labelOnly="1" grandRow="1" outline="0" fieldPosition="0"/>
    </format>
    <format dxfId="91">
      <pivotArea dataOnly="0" labelOnly="1" outline="0" fieldPosition="0">
        <references count="1">
          <reference field="4294967294" count="2">
            <x v="0"/>
            <x v="1"/>
          </reference>
        </references>
      </pivotArea>
    </format>
    <format dxfId="90">
      <pivotArea type="all" dataOnly="0" outline="0" fieldPosition="0"/>
    </format>
    <format dxfId="89">
      <pivotArea grandRow="1" outline="0" collapsedLevelsAreSubtotals="1" fieldPosition="0"/>
    </format>
    <format dxfId="88">
      <pivotArea dataOnly="0" labelOnly="1" grandRow="1" outline="0" fieldPosition="0"/>
    </format>
    <format dxfId="87">
      <pivotArea field="34" type="button" dataOnly="0" labelOnly="1" outline="0" axis="axisRow" fieldPosition="0"/>
    </format>
    <format dxfId="86">
      <pivotArea dataOnly="0" labelOnly="1" outline="0" fieldPosition="0">
        <references count="1">
          <reference field="4294967294" count="2">
            <x v="0"/>
            <x v="1"/>
          </reference>
        </references>
      </pivotArea>
    </format>
    <format dxfId="85">
      <pivotArea field="34" type="button" dataOnly="0" labelOnly="1" outline="0" axis="axisRow" fieldPosition="0"/>
    </format>
    <format dxfId="84">
      <pivotArea dataOnly="0" labelOnly="1" outline="0" fieldPosition="0">
        <references count="1">
          <reference field="4294967294" count="2">
            <x v="0"/>
            <x v="1"/>
          </reference>
        </references>
      </pivotArea>
    </format>
  </formats>
  <pivotTableStyleInfo name="PivotStyleMedium7" showRowHeaders="1" showColHeaders="1" showRowStripes="0" showColStripes="0" showLastColumn="1"/>
</pivotTableDefinition>
</file>

<file path=xl/pivotTables/pivotTable7.xml><?xml version="1.0" encoding="utf-8"?>
<pivotTableDefinition xmlns="http://schemas.openxmlformats.org/spreadsheetml/2006/main" name="数据透视表6" cacheId="3" applyNumberFormats="0" applyBorderFormats="0" applyFontFormats="0" applyPatternFormats="0" applyAlignmentFormats="0" applyWidthHeightFormats="1" dataCaption="值" grandTotalCaption="合计" updatedVersion="4" minRefreshableVersion="3" useAutoFormatting="1" itemPrintTitles="1" createdVersion="4" indent="0" outline="1" outlineData="1" multipleFieldFilters="0" rowHeaderCaption="信托合同剩余期限">
  <location ref="B63:D67" firstHeaderRow="1" firstDataRow="2" firstDataCol="1"/>
  <pivotFields count="42">
    <pivotField showAll="0"/>
    <pivotField showAll="0"/>
    <pivotField numFmtId="43" showAll="0" defaultSubtotal="0"/>
    <pivotField showAll="0"/>
    <pivotField numFmtId="43" showAll="0" defaultSubtotal="0"/>
    <pivotField showAll="0" defaultSubtotal="0"/>
    <pivotField numFmtId="165" showAll="0"/>
    <pivotField numFmtId="165" showAll="0"/>
    <pivotField numFmtId="167" showAll="0"/>
    <pivotField numFmtId="167" showAll="0" defaultSubtotal="0"/>
    <pivotField numFmtId="43" showAll="0" defaultSubtotal="0"/>
    <pivotField numFmtId="167" showAll="0" defaultSubtotal="0"/>
    <pivotField numFmtId="43" showAll="0" defaultSubtotal="0"/>
    <pivotField showAll="0"/>
    <pivotField showAll="0"/>
    <pivotField showAll="0"/>
    <pivotField showAll="0"/>
    <pivotField showAll="0"/>
    <pivotField numFmtId="165" showAll="0"/>
    <pivotField numFmtId="164" showAll="0" defaultSubtotal="0"/>
    <pivotField numFmtId="43" showAll="0"/>
    <pivotField numFmtId="43" showAll="0"/>
    <pivotField numFmtId="43" showAll="0" defaultSubtotal="0"/>
    <pivotField numFmtId="43" showAll="0" defaultSubtotal="0"/>
    <pivotField numFmtId="43" showAll="0" defaultSubtotal="0"/>
    <pivotField numFmtId="165" showAll="0"/>
    <pivotField numFmtId="43" showAll="0"/>
    <pivotField showAll="0"/>
    <pivotField showAll="0"/>
    <pivotField showAll="0"/>
    <pivotField showAll="0" defaultSubtotal="0"/>
    <pivotField showAll="0" defaultSubtotal="0"/>
    <pivotField showAll="0"/>
    <pivotField showAll="0"/>
    <pivotField showAll="0"/>
    <pivotField showAll="0"/>
    <pivotField showAll="0"/>
    <pivotField showAll="0"/>
    <pivotField showAll="0"/>
    <pivotField showAll="0"/>
    <pivotField axis="axisRow" dataField="1" showAll="0" defaultSubtotal="0">
      <items count="2">
        <item x="0"/>
        <item x="1"/>
      </items>
    </pivotField>
    <pivotField showAll="0"/>
  </pivotFields>
  <rowFields count="1">
    <field x="40"/>
  </rowFields>
  <rowItems count="3">
    <i>
      <x/>
    </i>
    <i>
      <x v="1"/>
    </i>
    <i t="grand">
      <x/>
    </i>
  </rowItems>
  <colFields count="1">
    <field x="-2"/>
  </colFields>
  <colItems count="2">
    <i>
      <x/>
    </i>
    <i i="1">
      <x v="1"/>
    </i>
  </colItems>
  <dataFields count="2">
    <dataField name="项目数量" fld="40" subtotal="count" baseField="0" baseItem="0"/>
    <dataField name="数量占比" fld="40" subtotal="count" showDataAs="percentOfTotal" baseField="30" baseItem="0" numFmtId="10"/>
  </dataFields>
  <formats count="16">
    <format dxfId="121">
      <pivotArea field="40" type="button" dataOnly="0" labelOnly="1" outline="0" axis="axisRow" fieldPosition="0"/>
    </format>
    <format dxfId="120">
      <pivotArea dataOnly="0" labelOnly="1" outline="0" fieldPosition="0">
        <references count="1">
          <reference field="4294967294" count="2">
            <x v="0"/>
            <x v="1"/>
          </reference>
        </references>
      </pivotArea>
    </format>
    <format dxfId="119">
      <pivotArea type="all" dataOnly="0" outline="0" fieldPosition="0"/>
    </format>
    <format dxfId="118">
      <pivotArea dataOnly="0" labelOnly="1" grandRow="1" outline="0" fieldPosition="0"/>
    </format>
    <format dxfId="117">
      <pivotArea outline="0" collapsedLevelsAreSubtotals="1" fieldPosition="0"/>
    </format>
    <format dxfId="116">
      <pivotArea field="40" type="button" dataOnly="0" labelOnly="1" outline="0" axis="axisRow" fieldPosition="0"/>
    </format>
    <format dxfId="115">
      <pivotArea dataOnly="0" labelOnly="1" fieldPosition="0">
        <references count="1">
          <reference field="40" count="0"/>
        </references>
      </pivotArea>
    </format>
    <format dxfId="114">
      <pivotArea dataOnly="0" labelOnly="1" grandRow="1" outline="0" fieldPosition="0"/>
    </format>
    <format dxfId="113">
      <pivotArea dataOnly="0" labelOnly="1" outline="0" fieldPosition="0">
        <references count="1">
          <reference field="4294967294" count="2">
            <x v="0"/>
            <x v="1"/>
          </reference>
        </references>
      </pivotArea>
    </format>
    <format dxfId="112">
      <pivotArea type="all" dataOnly="0" outline="0" fieldPosition="0"/>
    </format>
    <format dxfId="111">
      <pivotArea grandRow="1" outline="0" collapsedLevelsAreSubtotals="1" fieldPosition="0"/>
    </format>
    <format dxfId="110">
      <pivotArea dataOnly="0" labelOnly="1" grandRow="1" outline="0" fieldPosition="0"/>
    </format>
    <format dxfId="109">
      <pivotArea field="40" type="button" dataOnly="0" labelOnly="1" outline="0" axis="axisRow" fieldPosition="0"/>
    </format>
    <format dxfId="108">
      <pivotArea dataOnly="0" labelOnly="1" outline="0" fieldPosition="0">
        <references count="1">
          <reference field="4294967294" count="2">
            <x v="0"/>
            <x v="1"/>
          </reference>
        </references>
      </pivotArea>
    </format>
    <format dxfId="107">
      <pivotArea field="40" type="button" dataOnly="0" labelOnly="1" outline="0" axis="axisRow" fieldPosition="0"/>
    </format>
    <format dxfId="106">
      <pivotArea dataOnly="0" labelOnly="1" outline="0" fieldPosition="0">
        <references count="1">
          <reference field="4294967294" count="2">
            <x v="0"/>
            <x v="1"/>
          </reference>
        </references>
      </pivotArea>
    </format>
  </formats>
  <pivotTableStyleInfo name="PivotStyleMedium7" showRowHeaders="1" showColHeaders="1" showRowStripes="0" showColStripes="0" showLastColumn="1"/>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grandTotalCaption="合计" updatedVersion="4" minRefreshableVersion="3" useAutoFormatting="1" itemPrintTitles="1" createdVersion="4" indent="0" outline="1" outlineData="1" multipleFieldFilters="0" rowHeaderCaption="日期">
  <location ref="B142:C153" firstHeaderRow="1" firstDataRow="1" firstDataCol="1"/>
  <pivotFields count="2">
    <pivotField axis="axisRow" numFmtId="165" showAll="0">
      <items count="14">
        <item m="1" x="10"/>
        <item x="1"/>
        <item x="2"/>
        <item x="3"/>
        <item x="4"/>
        <item x="5"/>
        <item x="6"/>
        <item x="7"/>
        <item x="8"/>
        <item m="1" x="12"/>
        <item x="9"/>
        <item m="1" x="11"/>
        <item x="0"/>
        <item t="default"/>
      </items>
    </pivotField>
    <pivotField dataField="1" numFmtId="40" showAll="0"/>
  </pivotFields>
  <rowFields count="1">
    <field x="0"/>
  </rowFields>
  <rowItems count="11">
    <i>
      <x v="1"/>
    </i>
    <i>
      <x v="2"/>
    </i>
    <i>
      <x v="3"/>
    </i>
    <i>
      <x v="4"/>
    </i>
    <i>
      <x v="5"/>
    </i>
    <i>
      <x v="6"/>
    </i>
    <i>
      <x v="7"/>
    </i>
    <i>
      <x v="8"/>
    </i>
    <i>
      <x v="10"/>
    </i>
    <i>
      <x v="12"/>
    </i>
    <i t="grand">
      <x/>
    </i>
  </rowItems>
  <colItems count="1">
    <i/>
  </colItems>
  <dataFields count="1">
    <dataField name="支付" fld="1" baseField="0" baseItem="0" numFmtId="40"/>
  </dataFields>
  <formats count="4">
    <format dxfId="125">
      <pivotArea dataOnly="0" labelOnly="1" outline="0" axis="axisValues" fieldPosition="0"/>
    </format>
    <format dxfId="124">
      <pivotArea field="0" type="button" dataOnly="0" labelOnly="1" outline="0" axis="axisRow" fieldPosition="0"/>
    </format>
    <format dxfId="123">
      <pivotArea field="0" type="button" dataOnly="0" labelOnly="1" outline="0" axis="axisRow" fieldPosition="0"/>
    </format>
    <format dxfId="122">
      <pivotArea dataOnly="0" labelOnly="1" outline="0" axis="axisValues" fieldPosition="0"/>
    </format>
  </formats>
  <pivotTableStyleInfo name="PivotStyleMedium7" showRowHeaders="1" showColHeaders="1" showRowStripes="0" showColStripes="0" showLastColumn="1"/>
  <filters count="1">
    <filter fld="0" type="dateNewerThan" evalOrder="-1" id="1">
      <autoFilter ref="A1">
        <filterColumn colId="0">
          <customFilters>
            <customFilter operator="greaterThan" val="42515"/>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数据透视表9" cacheId="2" applyNumberFormats="0" applyBorderFormats="0" applyFontFormats="0" applyPatternFormats="0" applyAlignmentFormats="0" applyWidthHeightFormats="1" dataCaption="值" grandTotalCaption="合计" updatedVersion="4" minRefreshableVersion="3" useAutoFormatting="1" itemPrintTitles="1" createdVersion="4" indent="0" outline="1" outlineData="1" multipleFieldFilters="0" rowHeaderCaption="日期">
  <location ref="B90:E130" firstHeaderRow="1" firstDataRow="2" firstDataCol="1"/>
  <pivotFields count="8">
    <pivotField showAll="0"/>
    <pivotField axis="axisRow" numFmtId="165" showAll="0" sortType="ascending">
      <items count="147">
        <item x="82"/>
        <item m="1" x="134"/>
        <item x="87"/>
        <item x="55"/>
        <item x="65"/>
        <item x="67"/>
        <item x="56"/>
        <item m="1" x="107"/>
        <item m="1" x="103"/>
        <item x="37"/>
        <item x="68"/>
        <item x="47"/>
        <item x="38"/>
        <item x="83"/>
        <item m="1" x="116"/>
        <item x="88"/>
        <item m="1" x="131"/>
        <item x="57"/>
        <item x="92"/>
        <item m="1" x="138"/>
        <item m="1" x="111"/>
        <item x="69"/>
        <item x="48"/>
        <item m="1" x="132"/>
        <item x="39"/>
        <item x="76"/>
        <item x="58"/>
        <item m="1" x="127"/>
        <item m="1" x="124"/>
        <item m="1" x="144"/>
        <item x="70"/>
        <item x="49"/>
        <item m="1" x="119"/>
        <item x="40"/>
        <item x="77"/>
        <item m="1" x="98"/>
        <item x="84"/>
        <item m="1" x="136"/>
        <item x="89"/>
        <item x="0"/>
        <item x="59"/>
        <item m="1" x="142"/>
        <item x="4"/>
        <item x="7"/>
        <item x="93"/>
        <item x="14"/>
        <item m="1" x="110"/>
        <item m="1" x="129"/>
        <item m="1" x="121"/>
        <item m="1" x="114"/>
        <item x="10"/>
        <item x="15"/>
        <item x="20"/>
        <item x="50"/>
        <item m="1" x="106"/>
        <item x="23"/>
        <item x="26"/>
        <item x="41"/>
        <item x="28"/>
        <item x="34"/>
        <item m="1" x="101"/>
        <item x="78"/>
        <item x="31"/>
        <item x="60"/>
        <item m="1" x="109"/>
        <item m="1" x="141"/>
        <item m="1" x="105"/>
        <item m="1" x="126"/>
        <item m="1" x="139"/>
        <item x="71"/>
        <item x="51"/>
        <item m="1" x="99"/>
        <item m="1" x="113"/>
        <item x="42"/>
        <item x="79"/>
        <item x="85"/>
        <item m="1" x="117"/>
        <item x="90"/>
        <item m="1" x="143"/>
        <item m="1" x="118"/>
        <item x="61"/>
        <item x="94"/>
        <item m="1" x="140"/>
        <item m="1" x="112"/>
        <item x="11"/>
        <item x="72"/>
        <item x="52"/>
        <item m="1" x="133"/>
        <item x="43"/>
        <item m="1" x="122"/>
        <item x="80"/>
        <item x="1"/>
        <item x="62"/>
        <item m="1" x="128"/>
        <item m="1" x="125"/>
        <item m="1" x="95"/>
        <item x="18"/>
        <item x="73"/>
        <item x="53"/>
        <item m="1" x="120"/>
        <item x="44"/>
        <item x="81"/>
        <item m="1" x="100"/>
        <item x="86"/>
        <item m="1" x="137"/>
        <item x="91"/>
        <item x="2"/>
        <item x="63"/>
        <item m="1" x="145"/>
        <item x="5"/>
        <item x="8"/>
        <item x="64"/>
        <item x="16"/>
        <item x="66"/>
        <item m="1" x="130"/>
        <item m="1" x="123"/>
        <item m="1" x="135"/>
        <item x="21"/>
        <item x="74"/>
        <item x="54"/>
        <item m="1" x="108"/>
        <item x="24"/>
        <item x="45"/>
        <item x="29"/>
        <item x="35"/>
        <item m="1" x="102"/>
        <item x="32"/>
        <item x="75"/>
        <item m="1" x="97"/>
        <item x="46"/>
        <item x="19"/>
        <item x="12"/>
        <item x="22"/>
        <item x="3"/>
        <item m="1" x="96"/>
        <item x="6"/>
        <item x="9"/>
        <item x="17"/>
        <item m="1" x="115"/>
        <item x="13"/>
        <item x="25"/>
        <item x="27"/>
        <item x="30"/>
        <item x="36"/>
        <item m="1" x="104"/>
        <item x="33"/>
        <item t="default"/>
      </items>
    </pivotField>
    <pivotField numFmtId="43" showAll="0"/>
    <pivotField numFmtId="167" showAll="0"/>
    <pivotField numFmtId="166" showAll="0"/>
    <pivotField dataField="1" numFmtId="43" showAll="0"/>
    <pivotField dataField="1" numFmtId="40" showAll="0"/>
    <pivotField dataField="1" numFmtId="40" showAll="0"/>
  </pivotFields>
  <rowFields count="1">
    <field x="1"/>
  </rowFields>
  <rowItems count="39">
    <i>
      <x v="92"/>
    </i>
    <i>
      <x v="96"/>
    </i>
    <i>
      <x v="97"/>
    </i>
    <i>
      <x v="98"/>
    </i>
    <i>
      <x v="100"/>
    </i>
    <i>
      <x v="101"/>
    </i>
    <i>
      <x v="103"/>
    </i>
    <i>
      <x v="105"/>
    </i>
    <i>
      <x v="106"/>
    </i>
    <i>
      <x v="107"/>
    </i>
    <i>
      <x v="109"/>
    </i>
    <i>
      <x v="110"/>
    </i>
    <i>
      <x v="111"/>
    </i>
    <i>
      <x v="112"/>
    </i>
    <i>
      <x v="113"/>
    </i>
    <i>
      <x v="117"/>
    </i>
    <i>
      <x v="118"/>
    </i>
    <i>
      <x v="119"/>
    </i>
    <i>
      <x v="121"/>
    </i>
    <i>
      <x v="122"/>
    </i>
    <i>
      <x v="123"/>
    </i>
    <i>
      <x v="124"/>
    </i>
    <i>
      <x v="126"/>
    </i>
    <i>
      <x v="127"/>
    </i>
    <i>
      <x v="129"/>
    </i>
    <i>
      <x v="130"/>
    </i>
    <i>
      <x v="131"/>
    </i>
    <i>
      <x v="132"/>
    </i>
    <i>
      <x v="133"/>
    </i>
    <i>
      <x v="135"/>
    </i>
    <i>
      <x v="136"/>
    </i>
    <i>
      <x v="137"/>
    </i>
    <i>
      <x v="139"/>
    </i>
    <i>
      <x v="140"/>
    </i>
    <i>
      <x v="141"/>
    </i>
    <i>
      <x v="142"/>
    </i>
    <i>
      <x v="143"/>
    </i>
    <i>
      <x v="145"/>
    </i>
    <i t="grand">
      <x/>
    </i>
  </rowItems>
  <colFields count="1">
    <field x="-2"/>
  </colFields>
  <colItems count="3">
    <i>
      <x/>
    </i>
    <i i="1">
      <x v="1"/>
    </i>
    <i i="2">
      <x v="2"/>
    </i>
  </colItems>
  <dataFields count="3">
    <dataField name="流入本金（元）" fld="5" baseField="0" baseItem="0" numFmtId="43"/>
    <dataField name="流入利息（元）" fld="6" baseField="0" baseItem="0" numFmtId="43"/>
    <dataField name="合计（元）" fld="7" baseField="0" baseItem="0" numFmtId="43"/>
  </dataFields>
  <formats count="39">
    <format dxfId="164">
      <pivotArea field="1" grandRow="1" outline="0" collapsedLevelsAreSubtotals="1" axis="axisRow" fieldPosition="0">
        <references count="1">
          <reference field="4294967294" count="2" selected="0">
            <x v="1"/>
            <x v="2"/>
          </reference>
        </references>
      </pivotArea>
    </format>
    <format dxfId="163">
      <pivotArea outline="0" collapsedLevelsAreSubtotals="1" fieldPosition="0">
        <references count="1">
          <reference field="4294967294" count="2" selected="0">
            <x v="1"/>
            <x v="2"/>
          </reference>
        </references>
      </pivotArea>
    </format>
    <format dxfId="162">
      <pivotArea type="all" dataOnly="0" outline="0" fieldPosition="0"/>
    </format>
    <format dxfId="161">
      <pivotArea field="1" type="button" dataOnly="0" labelOnly="1" outline="0" axis="axisRow" fieldPosition="0"/>
    </format>
    <format dxfId="160">
      <pivotArea dataOnly="0" labelOnly="1" outline="0" fieldPosition="0">
        <references count="1">
          <reference field="4294967294" count="3">
            <x v="0"/>
            <x v="1"/>
            <x v="2"/>
          </reference>
        </references>
      </pivotArea>
    </format>
    <format dxfId="159">
      <pivotArea field="1" type="button" dataOnly="0" labelOnly="1" outline="0" axis="axisRow" fieldPosition="0"/>
    </format>
    <format dxfId="158">
      <pivotArea dataOnly="0" labelOnly="1" outline="0" fieldPosition="0">
        <references count="1">
          <reference field="4294967294" count="3">
            <x v="0"/>
            <x v="1"/>
            <x v="2"/>
          </reference>
        </references>
      </pivotArea>
    </format>
    <format dxfId="157">
      <pivotArea dataOnly="0" labelOnly="1" grandRow="1" outline="0" fieldPosition="0"/>
    </format>
    <format dxfId="156">
      <pivotArea dataOnly="0" labelOnly="1" grandRow="1" outline="0" fieldPosition="0"/>
    </format>
    <format dxfId="155">
      <pivotArea field="1" type="button" dataOnly="0" labelOnly="1" outline="0" axis="axisRow" fieldPosition="0"/>
    </format>
    <format dxfId="154">
      <pivotArea dataOnly="0" labelOnly="1" fieldPosition="0">
        <references count="1">
          <reference field="1" count="49">
            <x v="69"/>
            <x v="74"/>
            <x v="75"/>
            <x v="76"/>
            <x v="81"/>
            <x v="82"/>
            <x v="83"/>
            <x v="84"/>
            <x v="85"/>
            <x v="90"/>
            <x v="93"/>
            <x v="94"/>
            <x v="95"/>
            <x v="96"/>
            <x v="97"/>
            <x v="101"/>
            <x v="103"/>
            <x v="104"/>
            <x v="106"/>
            <x v="108"/>
            <x v="109"/>
            <x v="110"/>
            <x v="111"/>
            <x v="112"/>
            <x v="113"/>
            <x v="114"/>
            <x v="117"/>
            <x v="118"/>
            <x v="119"/>
            <x v="121"/>
            <x v="123"/>
            <x v="124"/>
            <x v="125"/>
            <x v="127"/>
            <x v="129"/>
            <x v="130"/>
            <x v="131"/>
            <x v="132"/>
            <x v="133"/>
            <x v="134"/>
            <x v="135"/>
            <x v="136"/>
            <x v="137"/>
            <x v="138"/>
            <x v="140"/>
            <x v="141"/>
            <x v="142"/>
            <x v="143"/>
            <x v="144"/>
          </reference>
        </references>
      </pivotArea>
    </format>
    <format dxfId="153">
      <pivotArea dataOnly="0" labelOnly="1" outline="0" fieldPosition="0">
        <references count="1">
          <reference field="4294967294" count="3">
            <x v="0"/>
            <x v="1"/>
            <x v="2"/>
          </reference>
        </references>
      </pivotArea>
    </format>
    <format dxfId="152">
      <pivotArea type="all" dataOnly="0" outline="0" fieldPosition="0"/>
    </format>
    <format dxfId="151">
      <pivotArea field="1" type="button" dataOnly="0" labelOnly="1" outline="0" axis="axisRow" fieldPosition="0"/>
    </format>
    <format dxfId="150">
      <pivotArea dataOnly="0" labelOnly="1" outline="0" fieldPosition="0">
        <references count="1">
          <reference field="4294967294" count="3">
            <x v="0"/>
            <x v="1"/>
            <x v="2"/>
          </reference>
        </references>
      </pivotArea>
    </format>
    <format dxfId="149">
      <pivotArea collapsedLevelsAreSubtotals="1" fieldPosition="0">
        <references count="1">
          <reference field="1" count="51">
            <x v="73"/>
            <x v="74"/>
            <x v="75"/>
            <x v="77"/>
            <x v="80"/>
            <x v="81"/>
            <x v="84"/>
            <x v="85"/>
            <x v="86"/>
            <x v="88"/>
            <x v="90"/>
            <x v="92"/>
            <x v="96"/>
            <x v="97"/>
            <x v="98"/>
            <x v="100"/>
            <x v="101"/>
            <x v="103"/>
            <x v="105"/>
            <x v="106"/>
            <x v="107"/>
            <x v="108"/>
            <x v="109"/>
            <x v="110"/>
            <x v="111"/>
            <x v="112"/>
            <x v="113"/>
            <x v="117"/>
            <x v="118"/>
            <x v="119"/>
            <x v="121"/>
            <x v="122"/>
            <x v="123"/>
            <x v="124"/>
            <x v="125"/>
            <x v="127"/>
            <x v="129"/>
            <x v="130"/>
            <x v="131"/>
            <x v="132"/>
            <x v="133"/>
            <x v="134"/>
            <x v="135"/>
            <x v="136"/>
            <x v="137"/>
            <x v="138"/>
            <x v="140"/>
            <x v="141"/>
            <x v="142"/>
            <x v="143"/>
            <x v="145"/>
          </reference>
        </references>
      </pivotArea>
    </format>
    <format dxfId="148">
      <pivotArea dataOnly="0" labelOnly="1" fieldPosition="0">
        <references count="1">
          <reference field="1" count="50">
            <x v="73"/>
            <x v="74"/>
            <x v="75"/>
            <x v="77"/>
            <x v="80"/>
            <x v="81"/>
            <x v="84"/>
            <x v="85"/>
            <x v="86"/>
            <x v="88"/>
            <x v="90"/>
            <x v="92"/>
            <x v="96"/>
            <x v="97"/>
            <x v="98"/>
            <x v="100"/>
            <x v="101"/>
            <x v="103"/>
            <x v="105"/>
            <x v="106"/>
            <x v="107"/>
            <x v="108"/>
            <x v="109"/>
            <x v="110"/>
            <x v="111"/>
            <x v="112"/>
            <x v="113"/>
            <x v="117"/>
            <x v="118"/>
            <x v="119"/>
            <x v="121"/>
            <x v="122"/>
            <x v="123"/>
            <x v="124"/>
            <x v="125"/>
            <x v="127"/>
            <x v="129"/>
            <x v="130"/>
            <x v="131"/>
            <x v="132"/>
            <x v="133"/>
            <x v="134"/>
            <x v="135"/>
            <x v="136"/>
            <x v="137"/>
            <x v="138"/>
            <x v="140"/>
            <x v="141"/>
            <x v="142"/>
            <x v="143"/>
          </reference>
        </references>
      </pivotArea>
    </format>
    <format dxfId="147">
      <pivotArea collapsedLevelsAreSubtotals="1" fieldPosition="0">
        <references count="1">
          <reference field="1" count="51">
            <x v="73"/>
            <x v="74"/>
            <x v="75"/>
            <x v="77"/>
            <x v="80"/>
            <x v="81"/>
            <x v="84"/>
            <x v="85"/>
            <x v="86"/>
            <x v="88"/>
            <x v="90"/>
            <x v="92"/>
            <x v="96"/>
            <x v="97"/>
            <x v="98"/>
            <x v="100"/>
            <x v="101"/>
            <x v="103"/>
            <x v="105"/>
            <x v="106"/>
            <x v="107"/>
            <x v="108"/>
            <x v="109"/>
            <x v="110"/>
            <x v="111"/>
            <x v="112"/>
            <x v="113"/>
            <x v="117"/>
            <x v="118"/>
            <x v="119"/>
            <x v="121"/>
            <x v="122"/>
            <x v="123"/>
            <x v="124"/>
            <x v="125"/>
            <x v="127"/>
            <x v="129"/>
            <x v="130"/>
            <x v="131"/>
            <x v="132"/>
            <x v="133"/>
            <x v="134"/>
            <x v="135"/>
            <x v="136"/>
            <x v="137"/>
            <x v="138"/>
            <x v="140"/>
            <x v="141"/>
            <x v="142"/>
            <x v="143"/>
            <x v="145"/>
          </reference>
        </references>
      </pivotArea>
    </format>
    <format dxfId="146">
      <pivotArea dataOnly="0" labelOnly="1" fieldPosition="0">
        <references count="1">
          <reference field="1" count="50">
            <x v="73"/>
            <x v="74"/>
            <x v="75"/>
            <x v="77"/>
            <x v="80"/>
            <x v="81"/>
            <x v="84"/>
            <x v="85"/>
            <x v="86"/>
            <x v="88"/>
            <x v="90"/>
            <x v="92"/>
            <x v="96"/>
            <x v="97"/>
            <x v="98"/>
            <x v="100"/>
            <x v="101"/>
            <x v="103"/>
            <x v="105"/>
            <x v="106"/>
            <x v="107"/>
            <x v="108"/>
            <x v="109"/>
            <x v="110"/>
            <x v="111"/>
            <x v="112"/>
            <x v="113"/>
            <x v="117"/>
            <x v="118"/>
            <x v="119"/>
            <x v="121"/>
            <x v="122"/>
            <x v="123"/>
            <x v="124"/>
            <x v="125"/>
            <x v="127"/>
            <x v="129"/>
            <x v="130"/>
            <x v="131"/>
            <x v="132"/>
            <x v="133"/>
            <x v="134"/>
            <x v="135"/>
            <x v="136"/>
            <x v="137"/>
            <x v="138"/>
            <x v="140"/>
            <x v="141"/>
            <x v="142"/>
            <x v="143"/>
          </reference>
        </references>
      </pivotArea>
    </format>
    <format dxfId="145">
      <pivotArea field="1" type="button" dataOnly="0" labelOnly="1" outline="0" axis="axisRow" fieldPosition="0"/>
    </format>
    <format dxfId="144">
      <pivotArea dataOnly="0" labelOnly="1" outline="0" fieldPosition="0">
        <references count="1">
          <reference field="4294967294" count="3">
            <x v="0"/>
            <x v="1"/>
            <x v="2"/>
          </reference>
        </references>
      </pivotArea>
    </format>
    <format dxfId="143">
      <pivotArea dataOnly="0" labelOnly="1" fieldPosition="0">
        <references count="1">
          <reference field="1" count="49">
            <x v="73"/>
            <x v="74"/>
            <x v="75"/>
            <x v="77"/>
            <x v="80"/>
            <x v="81"/>
            <x v="84"/>
            <x v="85"/>
            <x v="86"/>
            <x v="88"/>
            <x v="90"/>
            <x v="92"/>
            <x v="96"/>
            <x v="97"/>
            <x v="98"/>
            <x v="100"/>
            <x v="101"/>
            <x v="103"/>
            <x v="105"/>
            <x v="106"/>
            <x v="107"/>
            <x v="109"/>
            <x v="110"/>
            <x v="111"/>
            <x v="112"/>
            <x v="113"/>
            <x v="117"/>
            <x v="118"/>
            <x v="119"/>
            <x v="121"/>
            <x v="122"/>
            <x v="123"/>
            <x v="124"/>
            <x v="125"/>
            <x v="127"/>
            <x v="129"/>
            <x v="130"/>
            <x v="131"/>
            <x v="132"/>
            <x v="133"/>
            <x v="135"/>
            <x v="136"/>
            <x v="137"/>
            <x v="139"/>
            <x v="140"/>
            <x v="141"/>
            <x v="142"/>
            <x v="143"/>
            <x v="145"/>
          </reference>
        </references>
      </pivotArea>
    </format>
    <format dxfId="142">
      <pivotArea dataOnly="0" labelOnly="1" fieldPosition="0">
        <references count="1">
          <reference field="1" count="49">
            <x v="73"/>
            <x v="74"/>
            <x v="75"/>
            <x v="77"/>
            <x v="80"/>
            <x v="81"/>
            <x v="84"/>
            <x v="85"/>
            <x v="86"/>
            <x v="88"/>
            <x v="90"/>
            <x v="92"/>
            <x v="96"/>
            <x v="97"/>
            <x v="98"/>
            <x v="100"/>
            <x v="101"/>
            <x v="103"/>
            <x v="105"/>
            <x v="106"/>
            <x v="107"/>
            <x v="109"/>
            <x v="110"/>
            <x v="111"/>
            <x v="112"/>
            <x v="113"/>
            <x v="117"/>
            <x v="118"/>
            <x v="119"/>
            <x v="121"/>
            <x v="122"/>
            <x v="123"/>
            <x v="124"/>
            <x v="125"/>
            <x v="127"/>
            <x v="129"/>
            <x v="130"/>
            <x v="131"/>
            <x v="132"/>
            <x v="133"/>
            <x v="135"/>
            <x v="136"/>
            <x v="137"/>
            <x v="139"/>
            <x v="140"/>
            <x v="141"/>
            <x v="142"/>
            <x v="143"/>
            <x v="145"/>
          </reference>
        </references>
      </pivotArea>
    </format>
    <format dxfId="141">
      <pivotArea grandRow="1" outline="0" collapsedLevelsAreSubtotals="1" fieldPosition="0"/>
    </format>
    <format dxfId="140">
      <pivotArea collapsedLevelsAreSubtotals="1" fieldPosition="0">
        <references count="1">
          <reference field="1" count="45">
            <x v="80"/>
            <x v="81"/>
            <x v="84"/>
            <x v="85"/>
            <x v="86"/>
            <x v="88"/>
            <x v="90"/>
            <x v="92"/>
            <x v="96"/>
            <x v="97"/>
            <x v="98"/>
            <x v="100"/>
            <x v="101"/>
            <x v="103"/>
            <x v="105"/>
            <x v="106"/>
            <x v="107"/>
            <x v="109"/>
            <x v="110"/>
            <x v="111"/>
            <x v="112"/>
            <x v="113"/>
            <x v="117"/>
            <x v="118"/>
            <x v="119"/>
            <x v="121"/>
            <x v="122"/>
            <x v="123"/>
            <x v="124"/>
            <x v="126"/>
            <x v="127"/>
            <x v="129"/>
            <x v="130"/>
            <x v="131"/>
            <x v="132"/>
            <x v="133"/>
            <x v="135"/>
            <x v="136"/>
            <x v="137"/>
            <x v="139"/>
            <x v="140"/>
            <x v="141"/>
            <x v="142"/>
            <x v="143"/>
            <x v="145"/>
          </reference>
        </references>
      </pivotArea>
    </format>
    <format dxfId="139">
      <pivotArea dataOnly="0" labelOnly="1" fieldPosition="0">
        <references count="1">
          <reference field="1" count="45">
            <x v="80"/>
            <x v="81"/>
            <x v="84"/>
            <x v="85"/>
            <x v="86"/>
            <x v="88"/>
            <x v="90"/>
            <x v="92"/>
            <x v="96"/>
            <x v="97"/>
            <x v="98"/>
            <x v="100"/>
            <x v="101"/>
            <x v="103"/>
            <x v="105"/>
            <x v="106"/>
            <x v="107"/>
            <x v="109"/>
            <x v="110"/>
            <x v="111"/>
            <x v="112"/>
            <x v="113"/>
            <x v="117"/>
            <x v="118"/>
            <x v="119"/>
            <x v="121"/>
            <x v="122"/>
            <x v="123"/>
            <x v="124"/>
            <x v="126"/>
            <x v="127"/>
            <x v="129"/>
            <x v="130"/>
            <x v="131"/>
            <x v="132"/>
            <x v="133"/>
            <x v="135"/>
            <x v="136"/>
            <x v="137"/>
            <x v="139"/>
            <x v="140"/>
            <x v="141"/>
            <x v="142"/>
            <x v="143"/>
            <x v="145"/>
          </reference>
        </references>
      </pivotArea>
    </format>
    <format dxfId="138">
      <pivotArea collapsedLevelsAreSubtotals="1" fieldPosition="0">
        <references count="1">
          <reference field="1" count="45">
            <x v="80"/>
            <x v="81"/>
            <x v="84"/>
            <x v="85"/>
            <x v="86"/>
            <x v="88"/>
            <x v="90"/>
            <x v="92"/>
            <x v="96"/>
            <x v="97"/>
            <x v="98"/>
            <x v="100"/>
            <x v="101"/>
            <x v="103"/>
            <x v="105"/>
            <x v="106"/>
            <x v="107"/>
            <x v="109"/>
            <x v="110"/>
            <x v="111"/>
            <x v="112"/>
            <x v="113"/>
            <x v="117"/>
            <x v="118"/>
            <x v="119"/>
            <x v="121"/>
            <x v="122"/>
            <x v="123"/>
            <x v="124"/>
            <x v="126"/>
            <x v="127"/>
            <x v="129"/>
            <x v="130"/>
            <x v="131"/>
            <x v="132"/>
            <x v="133"/>
            <x v="135"/>
            <x v="136"/>
            <x v="137"/>
            <x v="139"/>
            <x v="140"/>
            <x v="141"/>
            <x v="142"/>
            <x v="143"/>
            <x v="145"/>
          </reference>
        </references>
      </pivotArea>
    </format>
    <format dxfId="137">
      <pivotArea dataOnly="0" labelOnly="1" fieldPosition="0">
        <references count="1">
          <reference field="1" count="45">
            <x v="80"/>
            <x v="81"/>
            <x v="84"/>
            <x v="85"/>
            <x v="86"/>
            <x v="88"/>
            <x v="90"/>
            <x v="92"/>
            <x v="96"/>
            <x v="97"/>
            <x v="98"/>
            <x v="100"/>
            <x v="101"/>
            <x v="103"/>
            <x v="105"/>
            <x v="106"/>
            <x v="107"/>
            <x v="109"/>
            <x v="110"/>
            <x v="111"/>
            <x v="112"/>
            <x v="113"/>
            <x v="117"/>
            <x v="118"/>
            <x v="119"/>
            <x v="121"/>
            <x v="122"/>
            <x v="123"/>
            <x v="124"/>
            <x v="126"/>
            <x v="127"/>
            <x v="129"/>
            <x v="130"/>
            <x v="131"/>
            <x v="132"/>
            <x v="133"/>
            <x v="135"/>
            <x v="136"/>
            <x v="137"/>
            <x v="139"/>
            <x v="140"/>
            <x v="141"/>
            <x v="142"/>
            <x v="143"/>
            <x v="145"/>
          </reference>
        </references>
      </pivotArea>
    </format>
    <format dxfId="136">
      <pivotArea dataOnly="0" labelOnly="1" fieldPosition="0">
        <references count="1">
          <reference field="1" count="44">
            <x v="81"/>
            <x v="84"/>
            <x v="85"/>
            <x v="86"/>
            <x v="88"/>
            <x v="90"/>
            <x v="92"/>
            <x v="96"/>
            <x v="97"/>
            <x v="98"/>
            <x v="100"/>
            <x v="101"/>
            <x v="103"/>
            <x v="105"/>
            <x v="106"/>
            <x v="107"/>
            <x v="109"/>
            <x v="110"/>
            <x v="111"/>
            <x v="112"/>
            <x v="113"/>
            <x v="117"/>
            <x v="118"/>
            <x v="119"/>
            <x v="121"/>
            <x v="122"/>
            <x v="123"/>
            <x v="124"/>
            <x v="126"/>
            <x v="127"/>
            <x v="129"/>
            <x v="130"/>
            <x v="131"/>
            <x v="132"/>
            <x v="133"/>
            <x v="135"/>
            <x v="136"/>
            <x v="137"/>
            <x v="139"/>
            <x v="140"/>
            <x v="141"/>
            <x v="142"/>
            <x v="143"/>
            <x v="145"/>
          </reference>
        </references>
      </pivotArea>
    </format>
    <format dxfId="135">
      <pivotArea outline="0" collapsedLevelsAreSubtotals="1" fieldPosition="0"/>
    </format>
    <format dxfId="134">
      <pivotArea field="1" type="button" dataOnly="0" labelOnly="1" outline="0" axis="axisRow" fieldPosition="0"/>
    </format>
    <format dxfId="133">
      <pivotArea dataOnly="0" labelOnly="1" fieldPosition="0">
        <references count="1">
          <reference field="1" count="39">
            <x v="90"/>
            <x v="92"/>
            <x v="96"/>
            <x v="97"/>
            <x v="98"/>
            <x v="100"/>
            <x v="101"/>
            <x v="103"/>
            <x v="105"/>
            <x v="106"/>
            <x v="107"/>
            <x v="109"/>
            <x v="110"/>
            <x v="111"/>
            <x v="112"/>
            <x v="113"/>
            <x v="117"/>
            <x v="118"/>
            <x v="119"/>
            <x v="121"/>
            <x v="122"/>
            <x v="123"/>
            <x v="124"/>
            <x v="126"/>
            <x v="127"/>
            <x v="129"/>
            <x v="130"/>
            <x v="131"/>
            <x v="132"/>
            <x v="133"/>
            <x v="135"/>
            <x v="136"/>
            <x v="137"/>
            <x v="139"/>
            <x v="140"/>
            <x v="141"/>
            <x v="142"/>
            <x v="143"/>
            <x v="145"/>
          </reference>
        </references>
      </pivotArea>
    </format>
    <format dxfId="132">
      <pivotArea dataOnly="0" labelOnly="1" grandRow="1" outline="0" fieldPosition="0"/>
    </format>
    <format dxfId="131">
      <pivotArea dataOnly="0" labelOnly="1" outline="0" fieldPosition="0">
        <references count="1">
          <reference field="4294967294" count="3">
            <x v="0"/>
            <x v="1"/>
            <x v="2"/>
          </reference>
        </references>
      </pivotArea>
    </format>
    <format dxfId="130">
      <pivotArea outline="0" collapsedLevelsAreSubtotals="1" fieldPosition="0"/>
    </format>
    <format dxfId="129">
      <pivotArea field="1" type="button" dataOnly="0" labelOnly="1" outline="0" axis="axisRow" fieldPosition="0"/>
    </format>
    <format dxfId="128">
      <pivotArea dataOnly="0" labelOnly="1" fieldPosition="0">
        <references count="1">
          <reference field="1" count="39">
            <x v="90"/>
            <x v="92"/>
            <x v="96"/>
            <x v="97"/>
            <x v="98"/>
            <x v="100"/>
            <x v="101"/>
            <x v="103"/>
            <x v="105"/>
            <x v="106"/>
            <x v="107"/>
            <x v="109"/>
            <x v="110"/>
            <x v="111"/>
            <x v="112"/>
            <x v="113"/>
            <x v="117"/>
            <x v="118"/>
            <x v="119"/>
            <x v="121"/>
            <x v="122"/>
            <x v="123"/>
            <x v="124"/>
            <x v="126"/>
            <x v="127"/>
            <x v="129"/>
            <x v="130"/>
            <x v="131"/>
            <x v="132"/>
            <x v="133"/>
            <x v="135"/>
            <x v="136"/>
            <x v="137"/>
            <x v="139"/>
            <x v="140"/>
            <x v="141"/>
            <x v="142"/>
            <x v="143"/>
            <x v="145"/>
          </reference>
        </references>
      </pivotArea>
    </format>
    <format dxfId="127">
      <pivotArea dataOnly="0" labelOnly="1" grandRow="1" outline="0" fieldPosition="0"/>
    </format>
    <format dxfId="126">
      <pivotArea dataOnly="0" labelOnly="1" outline="0" fieldPosition="0">
        <references count="1">
          <reference field="4294967294" count="3">
            <x v="0"/>
            <x v="1"/>
            <x v="2"/>
          </reference>
        </references>
      </pivotArea>
    </format>
  </formats>
  <pivotTableStyleInfo name="PivotStyleMedium7" showRowHeaders="1" showColHeaders="1" showRowStripes="0" showColStripes="0" showLastColumn="1"/>
  <filters count="1">
    <filter fld="1" type="dateNewerThan" evalOrder="-1" id="33">
      <autoFilter ref="A1">
        <filterColumn colId="0">
          <customFilters>
            <customFilter operator="greaterThan" val="42592"/>
          </customFilters>
        </filterColumn>
      </autoFilter>
    </filter>
  </filters>
</pivotTableDefinition>
</file>

<file path=xl/tables/table1.xml><?xml version="1.0" encoding="utf-8"?>
<table xmlns="http://schemas.openxmlformats.org/spreadsheetml/2006/main" id="1" name="Table1" displayName="Table1" ref="A1:AN2" totalsRowShown="0">
  <autoFilter ref="A1:AN2"/>
  <tableColumns count="40">
    <tableColumn id="1" name="产品名称"/>
    <tableColumn id="2" name="资产是否入池"/>
    <tableColumn id="3" name="总期限（月）*本资产存续金额"/>
    <tableColumn id="4" name="期限（月）"/>
    <tableColumn id="5" name="剩余月份*本资产存续金额"/>
    <tableColumn id="6" name="资产到期日与封包日（月）"/>
    <tableColumn id="7" name="资产起息日" dataDxfId="169"/>
    <tableColumn id="8" name="资产到期日" dataDxfId="168"/>
    <tableColumn id="9" name="预期年化收益率"/>
    <tableColumn id="10" name="按新收益率核算(7%)"/>
    <tableColumn id="11" name="核算利差(7%)"/>
    <tableColumn id="12" name="按新收益率核算(7.5%)"/>
    <tableColumn id="13" name="核算利差(7.5%)"/>
    <tableColumn id="14" name="年化基数（365/360）"/>
    <tableColumn id="15" name="底层基础资产信托合同编号"/>
    <tableColumn id="16" name="合同编号"/>
    <tableColumn id="17" name="底层资产授信规模（元）"/>
    <tableColumn id="18" name="底层资产实际成立规模（元）"/>
    <tableColumn id="19" name="封包日" dataDxfId="167"/>
    <tableColumn id="20" name="本资产打包金额（元）"/>
    <tableColumn id="21" name="基础资产的全部利息（元）"/>
    <tableColumn id="22" name="封包后产生的利息（元）"/>
    <tableColumn id="23" name="根据（基础资产现金流）测算"/>
    <tableColumn id="24" name="是否相等"/>
    <tableColumn id="25" name="调整后产生的利息（元）"/>
    <tableColumn id="26" name="本年终止日" dataDxfId="166"/>
    <tableColumn id="27" name="资产本年度总利息"/>
    <tableColumn id="28" name="分配周期"/>
    <tableColumn id="29" name="分配周期（月）"/>
    <tableColumn id="30" name="实际借款人"/>
    <tableColumn id="31" name="底层资产受托人"/>
    <tableColumn id="32" name="主体评级"/>
    <tableColumn id="33" name="借款人行业（基建、房地产、工商）"/>
    <tableColumn id="34" name="借款人所在省"/>
    <tableColumn id="35" name="借款人所在市/县"/>
    <tableColumn id="36" name="保证人"/>
    <tableColumn id="37" name="贷款担保方式（抵押、质押、保证）"/>
    <tableColumn id="38" name="NOTE" dataDxfId="165"/>
    <tableColumn id="39" name="剩余期限(天）"/>
    <tableColumn id="40" name="剩余期限(年）"/>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 Id="rId9" Type="http://schemas.openxmlformats.org/officeDocument/2006/relationships/pivotTable" Target="../pivotTables/pivotTable9.xml"/><Relationship Id="rId10" Type="http://schemas.openxmlformats.org/officeDocument/2006/relationships/printerSettings" Target="../printerSettings/printerSettings1.bin"/><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T56"/>
  <sheetViews>
    <sheetView workbookViewId="0">
      <selection activeCell="AI17" sqref="AI17"/>
    </sheetView>
  </sheetViews>
  <sheetFormatPr baseColWidth="10" defaultColWidth="10.7109375" defaultRowHeight="17" x14ac:dyDescent="0.25"/>
  <cols>
    <col min="1" max="1" width="32.42578125" style="25" customWidth="1"/>
    <col min="2" max="2" width="10.42578125" style="25" hidden="1" customWidth="1"/>
    <col min="3" max="3" width="27.5703125" style="25" hidden="1" customWidth="1"/>
    <col min="4" max="4" width="10.7109375" style="25" hidden="1" customWidth="1"/>
    <col min="5" max="5" width="27.28515625" style="25" hidden="1" customWidth="1"/>
    <col min="6" max="6" width="19.42578125" style="25" hidden="1" customWidth="1"/>
    <col min="7" max="8" width="10.7109375" style="25" hidden="1" customWidth="1"/>
    <col min="9" max="10" width="12" style="25" hidden="1" customWidth="1"/>
    <col min="11" max="11" width="18" style="25" hidden="1" customWidth="1"/>
    <col min="12" max="12" width="12" style="25" hidden="1" customWidth="1"/>
    <col min="13" max="13" width="17" style="25" hidden="1" customWidth="1"/>
    <col min="14" max="14" width="18" style="25" hidden="1" customWidth="1"/>
    <col min="15" max="15" width="19.85546875" style="25" hidden="1" customWidth="1"/>
    <col min="16" max="16" width="21.7109375" style="25" hidden="1" customWidth="1"/>
    <col min="17" max="17" width="19.42578125" style="25" hidden="1" customWidth="1"/>
    <col min="18" max="18" width="21.42578125" style="25" hidden="1" customWidth="1"/>
    <col min="19" max="19" width="10.7109375" style="25" hidden="1" customWidth="1"/>
    <col min="20" max="20" width="18.7109375" style="25" hidden="1" customWidth="1"/>
    <col min="21" max="21" width="24.5703125" style="25" hidden="1" customWidth="1"/>
    <col min="22" max="22" width="20.85546875" style="25" hidden="1" customWidth="1"/>
    <col min="23" max="23" width="25.42578125" style="25" hidden="1" customWidth="1"/>
    <col min="24" max="25" width="20.85546875" style="25" hidden="1" customWidth="1"/>
    <col min="26" max="26" width="16.85546875" style="25" hidden="1" customWidth="1"/>
    <col min="27" max="27" width="18.7109375" style="25" hidden="1" customWidth="1"/>
    <col min="28" max="28" width="16.28515625" style="25" hidden="1" customWidth="1"/>
    <col min="29" max="29" width="12" style="25" hidden="1" customWidth="1"/>
    <col min="30" max="30" width="42.28515625" style="25" customWidth="1"/>
    <col min="31" max="31" width="17.140625" style="25" hidden="1" customWidth="1"/>
    <col min="32" max="32" width="26.140625" style="25" hidden="1" customWidth="1"/>
    <col min="33" max="33" width="10.42578125" style="25" hidden="1" customWidth="1"/>
    <col min="34" max="34" width="12.5703125" style="25" hidden="1" customWidth="1"/>
    <col min="35" max="35" width="60.7109375" style="25" bestFit="1" customWidth="1"/>
    <col min="36" max="36" width="26.140625" style="25" bestFit="1" customWidth="1"/>
    <col min="37" max="38" width="12.42578125" style="25" bestFit="1" customWidth="1"/>
    <col min="39" max="39" width="15.28515625" style="25" bestFit="1" customWidth="1"/>
    <col min="40" max="40" width="11.7109375" style="25" bestFit="1" customWidth="1"/>
    <col min="41" max="41" width="27.7109375" style="25" bestFit="1" customWidth="1"/>
    <col min="42" max="42" width="15.5703125" style="25" bestFit="1" customWidth="1"/>
    <col min="43" max="43" width="18.140625" style="25" customWidth="1"/>
    <col min="44" max="45" width="24.140625" style="25" customWidth="1"/>
    <col min="46" max="46" width="16.7109375" style="25" bestFit="1" customWidth="1"/>
    <col min="47" max="16384" width="10.7109375" style="25"/>
  </cols>
  <sheetData>
    <row r="1" spans="1:46" s="24" customFormat="1" x14ac:dyDescent="0.25">
      <c r="A1" s="24" t="s">
        <v>0</v>
      </c>
      <c r="B1" s="24" t="s">
        <v>41</v>
      </c>
      <c r="C1" s="24" t="s">
        <v>189</v>
      </c>
      <c r="D1" s="24" t="s">
        <v>33</v>
      </c>
      <c r="E1" s="24" t="s">
        <v>190</v>
      </c>
      <c r="F1" s="24" t="s">
        <v>188</v>
      </c>
      <c r="G1" s="24" t="s">
        <v>43</v>
      </c>
      <c r="H1" s="24" t="s">
        <v>44</v>
      </c>
      <c r="I1" s="24" t="s">
        <v>47</v>
      </c>
      <c r="J1" s="24" t="s">
        <v>400</v>
      </c>
      <c r="K1" s="24" t="s">
        <v>401</v>
      </c>
      <c r="L1" s="24" t="s">
        <v>402</v>
      </c>
      <c r="M1" s="24" t="s">
        <v>399</v>
      </c>
      <c r="N1" s="24" t="s">
        <v>80</v>
      </c>
      <c r="O1" s="24" t="s">
        <v>48</v>
      </c>
      <c r="P1" s="479" t="s">
        <v>1</v>
      </c>
      <c r="Q1" s="24" t="s">
        <v>45</v>
      </c>
      <c r="R1" s="24" t="s">
        <v>46</v>
      </c>
      <c r="S1" s="24" t="s">
        <v>34</v>
      </c>
      <c r="T1" s="56" t="s">
        <v>398</v>
      </c>
      <c r="U1" s="24" t="s">
        <v>84</v>
      </c>
      <c r="V1" s="24" t="s">
        <v>35</v>
      </c>
      <c r="W1" s="24" t="s">
        <v>349</v>
      </c>
      <c r="X1" s="24" t="s">
        <v>350</v>
      </c>
      <c r="Y1" s="24" t="s">
        <v>264</v>
      </c>
      <c r="Z1" s="24" t="s">
        <v>113</v>
      </c>
      <c r="AA1" s="24" t="s">
        <v>118</v>
      </c>
      <c r="AB1" s="24" t="s">
        <v>2</v>
      </c>
      <c r="AC1" s="24" t="s">
        <v>115</v>
      </c>
      <c r="AD1" s="24" t="s">
        <v>36</v>
      </c>
      <c r="AE1" s="365" t="s">
        <v>134</v>
      </c>
      <c r="AF1" s="24" t="s">
        <v>39</v>
      </c>
      <c r="AG1" s="24" t="s">
        <v>37</v>
      </c>
      <c r="AH1" s="24" t="s">
        <v>38</v>
      </c>
      <c r="AI1" s="24" t="s">
        <v>40</v>
      </c>
      <c r="AJ1" s="24" t="s">
        <v>42</v>
      </c>
      <c r="AK1" s="24" t="s">
        <v>116</v>
      </c>
      <c r="AL1" s="24" t="s">
        <v>117</v>
      </c>
      <c r="AM1" s="24" t="s">
        <v>127</v>
      </c>
      <c r="AN1" s="24" t="s">
        <v>123</v>
      </c>
      <c r="AO1" s="24" t="s">
        <v>129</v>
      </c>
      <c r="AP1" s="24" t="s">
        <v>260</v>
      </c>
      <c r="AQ1" s="24" t="s">
        <v>337</v>
      </c>
      <c r="AR1" s="24" t="s">
        <v>366</v>
      </c>
      <c r="AS1" s="24" t="s">
        <v>370</v>
      </c>
      <c r="AT1" s="24" t="s">
        <v>397</v>
      </c>
    </row>
    <row r="2" spans="1:46" x14ac:dyDescent="0.25">
      <c r="A2" s="19" t="s">
        <v>19</v>
      </c>
      <c r="B2" s="26">
        <v>1</v>
      </c>
      <c r="C2" s="52">
        <f t="shared" ref="C2:C23" si="0">D2*T2</f>
        <v>127200000</v>
      </c>
      <c r="D2" s="27">
        <f t="shared" ref="D2:D23" si="1">DATEDIF(G2,H2,"M")</f>
        <v>24</v>
      </c>
      <c r="E2" s="51">
        <f t="shared" ref="E2:E23" si="2">T2*F2</f>
        <v>31800000</v>
      </c>
      <c r="F2" s="27">
        <f t="shared" ref="F2:F23" si="3">DATEDIF(S2,H2,"M")</f>
        <v>6</v>
      </c>
      <c r="G2" s="291">
        <v>42076</v>
      </c>
      <c r="H2" s="4">
        <v>42807</v>
      </c>
      <c r="I2" s="28">
        <v>0.10199999999999999</v>
      </c>
      <c r="J2" s="28">
        <v>7.0000000000000007E-2</v>
      </c>
      <c r="K2" s="406">
        <f t="shared" ref="K2:K23" si="4">IF(J2&lt;I2,ROUND(T2*(I2-J2)*(H2-S2)/N2,2),0)</f>
        <v>90608.22</v>
      </c>
      <c r="L2" s="28">
        <v>7.4999999999999997E-2</v>
      </c>
      <c r="M2" s="406">
        <f t="shared" ref="M2:M23" si="5">IF(L2&lt;I2,ROUND(T2*(I2-L2)*(H2-S2)/N2,2),0)</f>
        <v>76450.679999999993</v>
      </c>
      <c r="N2" s="29">
        <v>365</v>
      </c>
      <c r="O2" s="473"/>
      <c r="P2" s="481" t="s">
        <v>11</v>
      </c>
      <c r="Q2" s="476">
        <v>150000000</v>
      </c>
      <c r="R2" s="30"/>
      <c r="S2" s="4">
        <f>基础资产现金流!$I$2</f>
        <v>42612</v>
      </c>
      <c r="T2" s="62">
        <v>5300000</v>
      </c>
      <c r="U2" s="32">
        <f t="shared" ref="U2:U23" si="6">ROUND(T2*I2*(H2-G2)/N2,2)</f>
        <v>1082681.1000000001</v>
      </c>
      <c r="V2" s="33">
        <f t="shared" ref="V2:V23" si="7">ROUND(T2*I2*(H2-S2)/365,2)</f>
        <v>288813.7</v>
      </c>
      <c r="W2" s="33">
        <f>SUMIF(基础资产现金流!$A$2:A138,统计!A2,基础资产现金流!$G$2:$G$138)</f>
        <v>1082681.1100000003</v>
      </c>
      <c r="X2" s="33">
        <f t="shared" ref="X2:X23" si="8">U2-W2</f>
        <v>-1.0000000242143869E-2</v>
      </c>
      <c r="Y2" s="33">
        <f t="shared" ref="Y2:Y23" si="9">ROUND(T2*L2*(H2-S2)/365,2)</f>
        <v>212363.01</v>
      </c>
      <c r="Z2" s="4">
        <f t="shared" ref="Z2:Z23" si="10">IF(H2&gt;$Z$26,$Z$26,H2)</f>
        <v>42735</v>
      </c>
      <c r="AA2" s="33">
        <f t="shared" ref="AA2:AA23" si="11">ROUND(T2*I2*(Z2-S2)/N2,2)</f>
        <v>182174.79</v>
      </c>
      <c r="AB2" s="31" t="s">
        <v>4</v>
      </c>
      <c r="AC2" s="31">
        <v>6</v>
      </c>
      <c r="AD2" s="31" t="s">
        <v>170</v>
      </c>
      <c r="AE2" s="366"/>
      <c r="AF2" s="31" t="s">
        <v>63</v>
      </c>
      <c r="AG2" s="31" t="s">
        <v>64</v>
      </c>
      <c r="AH2" s="31" t="s">
        <v>65</v>
      </c>
      <c r="AI2" s="31" t="s">
        <v>171</v>
      </c>
      <c r="AJ2" s="31" t="s">
        <v>78</v>
      </c>
      <c r="AK2" s="31">
        <f t="shared" ref="AK2:AK23" si="12">DATEDIF(S2,H2,"D")</f>
        <v>195</v>
      </c>
      <c r="AL2" s="31">
        <f t="shared" ref="AL2:AL23" si="13">DATEDIF(S2,H2,"Y")</f>
        <v>0</v>
      </c>
      <c r="AM2" s="31" t="str">
        <f t="shared" ref="AM2:AM23" si="14">IF(AL2&lt;1,"一年以内","一到二年以内")</f>
        <v>一年以内</v>
      </c>
      <c r="AN2" s="31" t="str">
        <f>LOOKUP(D2,{0.1,12.1,24.1,36.1},{"一年以内","一到二年以内","二到三年以内"})</f>
        <v>一到二年以内</v>
      </c>
      <c r="AO2" s="31" t="str">
        <f t="shared" ref="AO2:AO23" si="15">IF(T2&lt;=10000000,"1000万（含）以下",IF(T2&lt;=30000000,"1000万（不含）至3000万（含）","3000万（不含）到5000万（含）"))</f>
        <v>1000万（含）以下</v>
      </c>
      <c r="AP2" s="123">
        <f t="shared" ref="AP2:AP23" si="16">I2*T2</f>
        <v>540600</v>
      </c>
      <c r="AQ2" s="4">
        <v>42807</v>
      </c>
      <c r="AR2" s="153">
        <f t="shared" ref="AR2:AR23" si="17">DATEDIF(S2,H2,"d")/30.5</f>
        <v>6.3934426229508201</v>
      </c>
      <c r="AS2" s="153">
        <f t="shared" ref="AS2:AS23" si="18">AR2*T2</f>
        <v>33885245.90163935</v>
      </c>
      <c r="AT2" s="408">
        <f t="shared" ref="AT2:AT23" si="19">L2*T2</f>
        <v>397500</v>
      </c>
    </row>
    <row r="3" spans="1:46" x14ac:dyDescent="0.25">
      <c r="A3" s="19" t="s">
        <v>20</v>
      </c>
      <c r="B3" s="26">
        <v>1</v>
      </c>
      <c r="C3" s="52">
        <f t="shared" si="0"/>
        <v>393600000</v>
      </c>
      <c r="D3" s="27">
        <f t="shared" si="1"/>
        <v>24</v>
      </c>
      <c r="E3" s="51">
        <f t="shared" si="2"/>
        <v>98400000</v>
      </c>
      <c r="F3" s="27">
        <f t="shared" si="3"/>
        <v>6</v>
      </c>
      <c r="G3" s="291">
        <v>42076</v>
      </c>
      <c r="H3" s="4">
        <v>42807</v>
      </c>
      <c r="I3" s="28">
        <v>0.10299999999999999</v>
      </c>
      <c r="J3" s="28">
        <f t="shared" ref="J3:J23" si="20">J2</f>
        <v>7.0000000000000007E-2</v>
      </c>
      <c r="K3" s="406">
        <f t="shared" si="4"/>
        <v>289134.25</v>
      </c>
      <c r="L3" s="28">
        <v>7.4999999999999997E-2</v>
      </c>
      <c r="M3" s="406">
        <f t="shared" si="5"/>
        <v>245326.03</v>
      </c>
      <c r="N3" s="29">
        <v>365</v>
      </c>
      <c r="O3" s="473"/>
      <c r="P3" s="481" t="s">
        <v>12</v>
      </c>
      <c r="Q3" s="476">
        <v>150000000</v>
      </c>
      <c r="R3" s="30"/>
      <c r="S3" s="4">
        <f>基础资产现金流!$I$2</f>
        <v>42612</v>
      </c>
      <c r="T3" s="62">
        <v>16400000</v>
      </c>
      <c r="U3" s="32">
        <f t="shared" si="6"/>
        <v>3383027.95</v>
      </c>
      <c r="V3" s="33">
        <f t="shared" si="7"/>
        <v>902449.32</v>
      </c>
      <c r="W3" s="33">
        <f ca="1">SUMIF(基础资产现金流!$A$2:A139,统计!A3,基础资产现金流!$G$2:$G$138)</f>
        <v>3383027.94</v>
      </c>
      <c r="X3" s="33">
        <f t="shared" ca="1" si="8"/>
        <v>1.0000000242143869E-2</v>
      </c>
      <c r="Y3" s="33">
        <f t="shared" si="9"/>
        <v>657123.29</v>
      </c>
      <c r="Z3" s="4">
        <f t="shared" si="10"/>
        <v>42735</v>
      </c>
      <c r="AA3" s="33">
        <f t="shared" si="11"/>
        <v>569237.26</v>
      </c>
      <c r="AB3" s="31" t="s">
        <v>4</v>
      </c>
      <c r="AC3" s="31">
        <v>6</v>
      </c>
      <c r="AD3" s="31" t="s">
        <v>170</v>
      </c>
      <c r="AE3" s="366"/>
      <c r="AF3" s="31" t="s">
        <v>63</v>
      </c>
      <c r="AG3" s="31" t="s">
        <v>64</v>
      </c>
      <c r="AH3" s="31" t="s">
        <v>65</v>
      </c>
      <c r="AI3" s="31" t="s">
        <v>171</v>
      </c>
      <c r="AJ3" s="31" t="s">
        <v>78</v>
      </c>
      <c r="AK3" s="31">
        <f t="shared" si="12"/>
        <v>195</v>
      </c>
      <c r="AL3" s="31">
        <f t="shared" si="13"/>
        <v>0</v>
      </c>
      <c r="AM3" s="31" t="str">
        <f t="shared" si="14"/>
        <v>一年以内</v>
      </c>
      <c r="AN3" s="31" t="str">
        <f>LOOKUP(D3,{0.1,12.1,24.1,36.1},{"一年以内","一到二年以内","二到三年以内"})</f>
        <v>一到二年以内</v>
      </c>
      <c r="AO3" s="31" t="str">
        <f t="shared" si="15"/>
        <v>1000万（不含）至3000万（含）</v>
      </c>
      <c r="AP3" s="123">
        <f t="shared" si="16"/>
        <v>1689200</v>
      </c>
      <c r="AQ3" s="4">
        <v>42807</v>
      </c>
      <c r="AR3" s="153">
        <f t="shared" si="17"/>
        <v>6.3934426229508201</v>
      </c>
      <c r="AS3" s="153">
        <f t="shared" si="18"/>
        <v>104852459.01639345</v>
      </c>
      <c r="AT3" s="408">
        <f t="shared" si="19"/>
        <v>1230000</v>
      </c>
    </row>
    <row r="4" spans="1:46" x14ac:dyDescent="0.25">
      <c r="A4" s="23" t="s">
        <v>17</v>
      </c>
      <c r="B4" s="26">
        <v>1</v>
      </c>
      <c r="C4" s="52">
        <f t="shared" si="0"/>
        <v>480000000</v>
      </c>
      <c r="D4" s="27">
        <f t="shared" si="1"/>
        <v>24</v>
      </c>
      <c r="E4" s="51">
        <f t="shared" si="2"/>
        <v>60000000</v>
      </c>
      <c r="F4" s="27">
        <f t="shared" si="3"/>
        <v>3</v>
      </c>
      <c r="G4" s="291">
        <v>41978</v>
      </c>
      <c r="H4" s="4">
        <v>42709</v>
      </c>
      <c r="I4" s="28">
        <v>0.1</v>
      </c>
      <c r="J4" s="28">
        <f t="shared" si="20"/>
        <v>7.0000000000000007E-2</v>
      </c>
      <c r="K4" s="406">
        <f t="shared" si="4"/>
        <v>159452.04999999999</v>
      </c>
      <c r="L4" s="28">
        <v>7.4999999999999997E-2</v>
      </c>
      <c r="M4" s="406">
        <f t="shared" si="5"/>
        <v>132876.71</v>
      </c>
      <c r="N4" s="29">
        <v>365</v>
      </c>
      <c r="O4" s="473"/>
      <c r="P4" s="481" t="s">
        <v>7</v>
      </c>
      <c r="Q4" s="476">
        <v>200000000</v>
      </c>
      <c r="R4" s="30"/>
      <c r="S4" s="4">
        <f>基础资产现金流!$I$2</f>
        <v>42612</v>
      </c>
      <c r="T4" s="62">
        <v>20000000</v>
      </c>
      <c r="U4" s="32">
        <f t="shared" si="6"/>
        <v>4005479.45</v>
      </c>
      <c r="V4" s="33">
        <f t="shared" si="7"/>
        <v>531506.85</v>
      </c>
      <c r="W4" s="33">
        <f ca="1">SUMIF(基础资产现金流!$A$2:A140,统计!A4,基础资产现金流!$G$2:$G$138)</f>
        <v>4005479.43</v>
      </c>
      <c r="X4" s="33">
        <f t="shared" ca="1" si="8"/>
        <v>2.0000000018626451E-2</v>
      </c>
      <c r="Y4" s="33">
        <f t="shared" si="9"/>
        <v>398630.14</v>
      </c>
      <c r="Z4" s="4">
        <f t="shared" si="10"/>
        <v>42709</v>
      </c>
      <c r="AA4" s="33">
        <f t="shared" si="11"/>
        <v>531506.85</v>
      </c>
      <c r="AB4" s="31" t="s">
        <v>9</v>
      </c>
      <c r="AC4" s="31">
        <v>3</v>
      </c>
      <c r="AD4" s="31" t="s">
        <v>68</v>
      </c>
      <c r="AE4" s="366"/>
      <c r="AF4" s="31" t="s">
        <v>63</v>
      </c>
      <c r="AG4" s="31" t="s">
        <v>61</v>
      </c>
      <c r="AH4" s="31" t="s">
        <v>69</v>
      </c>
      <c r="AI4" s="31" t="s">
        <v>172</v>
      </c>
      <c r="AJ4" s="31" t="s">
        <v>71</v>
      </c>
      <c r="AK4" s="31">
        <f t="shared" si="12"/>
        <v>97</v>
      </c>
      <c r="AL4" s="31">
        <f t="shared" si="13"/>
        <v>0</v>
      </c>
      <c r="AM4" s="31" t="str">
        <f t="shared" si="14"/>
        <v>一年以内</v>
      </c>
      <c r="AN4" s="31" t="str">
        <f>LOOKUP(D4,{0.1,12.1,24.1,36.1},{"一年以内","一到二年以内","二到三年以内"})</f>
        <v>一到二年以内</v>
      </c>
      <c r="AO4" s="31" t="str">
        <f t="shared" si="15"/>
        <v>1000万（不含）至3000万（含）</v>
      </c>
      <c r="AP4" s="123">
        <f t="shared" si="16"/>
        <v>2000000</v>
      </c>
      <c r="AQ4" s="4">
        <v>42709</v>
      </c>
      <c r="AR4" s="153">
        <f t="shared" si="17"/>
        <v>3.180327868852459</v>
      </c>
      <c r="AS4" s="153">
        <f t="shared" si="18"/>
        <v>63606557.377049178</v>
      </c>
      <c r="AT4" s="408">
        <f t="shared" si="19"/>
        <v>1500000</v>
      </c>
    </row>
    <row r="5" spans="1:46" x14ac:dyDescent="0.25">
      <c r="A5" s="23" t="s">
        <v>18</v>
      </c>
      <c r="B5" s="26">
        <v>1</v>
      </c>
      <c r="C5" s="52">
        <f t="shared" si="0"/>
        <v>720000000</v>
      </c>
      <c r="D5" s="27">
        <f t="shared" si="1"/>
        <v>24</v>
      </c>
      <c r="E5" s="51">
        <f t="shared" si="2"/>
        <v>90000000</v>
      </c>
      <c r="F5" s="27">
        <f t="shared" si="3"/>
        <v>3</v>
      </c>
      <c r="G5" s="291">
        <v>41985</v>
      </c>
      <c r="H5" s="4">
        <v>42716</v>
      </c>
      <c r="I5" s="28">
        <v>0.1</v>
      </c>
      <c r="J5" s="28">
        <f t="shared" si="20"/>
        <v>7.0000000000000007E-2</v>
      </c>
      <c r="K5" s="406">
        <f t="shared" si="4"/>
        <v>256438.36</v>
      </c>
      <c r="L5" s="28">
        <v>7.4999999999999997E-2</v>
      </c>
      <c r="M5" s="406">
        <f t="shared" si="5"/>
        <v>213698.63</v>
      </c>
      <c r="N5" s="29">
        <v>365</v>
      </c>
      <c r="O5" s="473"/>
      <c r="P5" s="481" t="s">
        <v>8</v>
      </c>
      <c r="Q5" s="476">
        <v>0</v>
      </c>
      <c r="R5" s="30"/>
      <c r="S5" s="4">
        <f>基础资产现金流!$I$2</f>
        <v>42612</v>
      </c>
      <c r="T5" s="62">
        <v>30000000</v>
      </c>
      <c r="U5" s="32">
        <f t="shared" si="6"/>
        <v>6008219.1799999997</v>
      </c>
      <c r="V5" s="33">
        <f t="shared" si="7"/>
        <v>854794.52</v>
      </c>
      <c r="W5" s="33">
        <f ca="1">SUMIF(基础资产现金流!$A$2:A141,统计!A5,基础资产现金流!$G$2:$G$138)</f>
        <v>6008219.1700000009</v>
      </c>
      <c r="X5" s="33">
        <f t="shared" ca="1" si="8"/>
        <v>9.9999988451600075E-3</v>
      </c>
      <c r="Y5" s="33">
        <f t="shared" si="9"/>
        <v>641095.89</v>
      </c>
      <c r="Z5" s="4">
        <f t="shared" si="10"/>
        <v>42716</v>
      </c>
      <c r="AA5" s="33">
        <f t="shared" si="11"/>
        <v>854794.52</v>
      </c>
      <c r="AB5" s="31" t="s">
        <v>4</v>
      </c>
      <c r="AC5" s="31">
        <v>6</v>
      </c>
      <c r="AD5" s="31" t="s">
        <v>68</v>
      </c>
      <c r="AE5" s="366"/>
      <c r="AF5" s="31" t="s">
        <v>63</v>
      </c>
      <c r="AG5" s="31" t="s">
        <v>61</v>
      </c>
      <c r="AH5" s="31" t="s">
        <v>69</v>
      </c>
      <c r="AI5" s="31" t="s">
        <v>172</v>
      </c>
      <c r="AJ5" s="31" t="s">
        <v>78</v>
      </c>
      <c r="AK5" s="31">
        <f t="shared" si="12"/>
        <v>104</v>
      </c>
      <c r="AL5" s="31">
        <f t="shared" si="13"/>
        <v>0</v>
      </c>
      <c r="AM5" s="31" t="str">
        <f t="shared" si="14"/>
        <v>一年以内</v>
      </c>
      <c r="AN5" s="31" t="str">
        <f>LOOKUP(D5,{0.1,12.1,24.1,36.1},{"一年以内","一到二年以内","二到三年以内"})</f>
        <v>一到二年以内</v>
      </c>
      <c r="AO5" s="31" t="str">
        <f t="shared" si="15"/>
        <v>1000万（不含）至3000万（含）</v>
      </c>
      <c r="AP5" s="123">
        <f t="shared" si="16"/>
        <v>3000000</v>
      </c>
      <c r="AQ5" s="4">
        <v>42716</v>
      </c>
      <c r="AR5" s="153">
        <f t="shared" si="17"/>
        <v>3.4098360655737703</v>
      </c>
      <c r="AS5" s="153">
        <f t="shared" si="18"/>
        <v>102295081.96721311</v>
      </c>
      <c r="AT5" s="408">
        <f t="shared" si="19"/>
        <v>2250000</v>
      </c>
    </row>
    <row r="6" spans="1:46" x14ac:dyDescent="0.25">
      <c r="A6" s="19" t="s">
        <v>13</v>
      </c>
      <c r="B6" s="26">
        <v>1</v>
      </c>
      <c r="C6" s="52">
        <f t="shared" si="0"/>
        <v>360000000</v>
      </c>
      <c r="D6" s="27">
        <f t="shared" si="1"/>
        <v>24</v>
      </c>
      <c r="E6" s="51">
        <f t="shared" si="2"/>
        <v>75000000</v>
      </c>
      <c r="F6" s="27">
        <f t="shared" si="3"/>
        <v>5</v>
      </c>
      <c r="G6" s="291">
        <v>42041</v>
      </c>
      <c r="H6" s="4">
        <v>42772</v>
      </c>
      <c r="I6" s="28">
        <v>0.105</v>
      </c>
      <c r="J6" s="28">
        <f t="shared" si="20"/>
        <v>7.0000000000000007E-2</v>
      </c>
      <c r="K6" s="406">
        <f t="shared" si="4"/>
        <v>230136.99</v>
      </c>
      <c r="L6" s="28">
        <v>7.4999999999999997E-2</v>
      </c>
      <c r="M6" s="406">
        <f t="shared" si="5"/>
        <v>197260.27</v>
      </c>
      <c r="N6" s="29">
        <v>365</v>
      </c>
      <c r="O6" s="473"/>
      <c r="P6" s="481" t="s">
        <v>10</v>
      </c>
      <c r="Q6" s="476">
        <v>495000000</v>
      </c>
      <c r="R6" s="30"/>
      <c r="S6" s="4">
        <f>基础资产现金流!$I$2</f>
        <v>42612</v>
      </c>
      <c r="T6" s="62">
        <v>15000000</v>
      </c>
      <c r="U6" s="32">
        <f t="shared" si="6"/>
        <v>3154315.07</v>
      </c>
      <c r="V6" s="33">
        <f t="shared" si="7"/>
        <v>690410.96</v>
      </c>
      <c r="W6" s="33">
        <f ca="1">SUMIF(基础资产现金流!$A$2:A142,统计!A6,基础资产现金流!$G$2:$G$138)</f>
        <v>3154315.06</v>
      </c>
      <c r="X6" s="33">
        <f t="shared" ca="1" si="8"/>
        <v>9.9999997764825821E-3</v>
      </c>
      <c r="Y6" s="33">
        <f t="shared" si="9"/>
        <v>493150.68</v>
      </c>
      <c r="Z6" s="4">
        <f t="shared" si="10"/>
        <v>42735</v>
      </c>
      <c r="AA6" s="33">
        <f t="shared" si="11"/>
        <v>530753.42000000004</v>
      </c>
      <c r="AB6" s="31" t="s">
        <v>9</v>
      </c>
      <c r="AC6" s="31">
        <v>3</v>
      </c>
      <c r="AD6" s="31" t="s">
        <v>174</v>
      </c>
      <c r="AE6" s="366"/>
      <c r="AF6" s="31" t="s">
        <v>63</v>
      </c>
      <c r="AG6" s="31" t="s">
        <v>73</v>
      </c>
      <c r="AH6" s="31" t="s">
        <v>74</v>
      </c>
      <c r="AI6" s="31" t="s">
        <v>173</v>
      </c>
      <c r="AJ6" s="31" t="s">
        <v>71</v>
      </c>
      <c r="AK6" s="31">
        <f t="shared" si="12"/>
        <v>160</v>
      </c>
      <c r="AL6" s="31">
        <f t="shared" si="13"/>
        <v>0</v>
      </c>
      <c r="AM6" s="31" t="str">
        <f t="shared" si="14"/>
        <v>一年以内</v>
      </c>
      <c r="AN6" s="31" t="str">
        <f>LOOKUP(D6,{0.1,12.1,24.1,36.1},{"一年以内","一到二年以内","二到三年以内"})</f>
        <v>一到二年以内</v>
      </c>
      <c r="AO6" s="31" t="str">
        <f t="shared" si="15"/>
        <v>1000万（不含）至3000万（含）</v>
      </c>
      <c r="AP6" s="123">
        <f t="shared" si="16"/>
        <v>1575000</v>
      </c>
      <c r="AQ6" s="4">
        <v>42772</v>
      </c>
      <c r="AR6" s="153">
        <f t="shared" si="17"/>
        <v>5.2459016393442619</v>
      </c>
      <c r="AS6" s="153">
        <f t="shared" si="18"/>
        <v>78688524.590163931</v>
      </c>
      <c r="AT6" s="408">
        <f t="shared" si="19"/>
        <v>1125000</v>
      </c>
    </row>
    <row r="7" spans="1:46" x14ac:dyDescent="0.25">
      <c r="A7" s="19" t="s">
        <v>21</v>
      </c>
      <c r="B7" s="26">
        <v>1</v>
      </c>
      <c r="C7" s="52">
        <f t="shared" si="0"/>
        <v>127800000</v>
      </c>
      <c r="D7" s="27">
        <f t="shared" si="1"/>
        <v>18</v>
      </c>
      <c r="E7" s="51">
        <f t="shared" si="2"/>
        <v>21300000</v>
      </c>
      <c r="F7" s="27">
        <f t="shared" si="3"/>
        <v>3</v>
      </c>
      <c r="G7" s="291">
        <v>42180</v>
      </c>
      <c r="H7" s="4">
        <v>42729</v>
      </c>
      <c r="I7" s="28">
        <v>0.1</v>
      </c>
      <c r="J7" s="28">
        <f t="shared" si="20"/>
        <v>7.0000000000000007E-2</v>
      </c>
      <c r="K7" s="406">
        <f t="shared" si="4"/>
        <v>68276.710000000006</v>
      </c>
      <c r="L7" s="28">
        <v>7.4999999999999997E-2</v>
      </c>
      <c r="M7" s="406">
        <f t="shared" si="5"/>
        <v>56897.26</v>
      </c>
      <c r="N7" s="29">
        <v>365</v>
      </c>
      <c r="O7" s="473"/>
      <c r="P7" s="481" t="s">
        <v>309</v>
      </c>
      <c r="Q7" s="476">
        <v>118600000</v>
      </c>
      <c r="R7" s="30"/>
      <c r="S7" s="4">
        <f>基础资产现金流!$I$2</f>
        <v>42612</v>
      </c>
      <c r="T7" s="62">
        <v>7100000</v>
      </c>
      <c r="U7" s="32">
        <f t="shared" si="6"/>
        <v>1067917.81</v>
      </c>
      <c r="V7" s="33">
        <f t="shared" si="7"/>
        <v>227589.04</v>
      </c>
      <c r="W7" s="33">
        <f ca="1">SUMIF(基础资产现金流!$A$2:A143,统计!A7,基础资产现金流!$G$2:$G$138)</f>
        <v>1067917.8099999998</v>
      </c>
      <c r="X7" s="33">
        <f t="shared" ca="1" si="8"/>
        <v>0</v>
      </c>
      <c r="Y7" s="33">
        <f t="shared" si="9"/>
        <v>170691.78</v>
      </c>
      <c r="Z7" s="4">
        <f t="shared" si="10"/>
        <v>42729</v>
      </c>
      <c r="AA7" s="33">
        <f t="shared" si="11"/>
        <v>227589.04</v>
      </c>
      <c r="AB7" s="31" t="s">
        <v>9</v>
      </c>
      <c r="AC7" s="31">
        <v>3</v>
      </c>
      <c r="AD7" s="31" t="s">
        <v>175</v>
      </c>
      <c r="AE7" s="366"/>
      <c r="AF7" s="31" t="s">
        <v>63</v>
      </c>
      <c r="AG7" s="31" t="s">
        <v>64</v>
      </c>
      <c r="AH7" s="31" t="s">
        <v>65</v>
      </c>
      <c r="AI7" s="31" t="s">
        <v>176</v>
      </c>
      <c r="AJ7" s="31" t="s">
        <v>67</v>
      </c>
      <c r="AK7" s="31">
        <f t="shared" si="12"/>
        <v>117</v>
      </c>
      <c r="AL7" s="31">
        <f t="shared" si="13"/>
        <v>0</v>
      </c>
      <c r="AM7" s="31" t="str">
        <f t="shared" si="14"/>
        <v>一年以内</v>
      </c>
      <c r="AN7" s="31" t="str">
        <f>LOOKUP(D7,{0.1,12.1,24.1,36.1},{"一年以内","一到二年以内","二到三年以内"})</f>
        <v>一到二年以内</v>
      </c>
      <c r="AO7" s="31" t="str">
        <f t="shared" si="15"/>
        <v>1000万（含）以下</v>
      </c>
      <c r="AP7" s="123">
        <f t="shared" si="16"/>
        <v>710000</v>
      </c>
      <c r="AQ7" s="4">
        <v>42729</v>
      </c>
      <c r="AR7" s="153">
        <f t="shared" si="17"/>
        <v>3.8360655737704916</v>
      </c>
      <c r="AS7" s="153">
        <f t="shared" si="18"/>
        <v>27236065.57377049</v>
      </c>
      <c r="AT7" s="408">
        <f t="shared" si="19"/>
        <v>532500</v>
      </c>
    </row>
    <row r="8" spans="1:46" x14ac:dyDescent="0.25">
      <c r="A8" s="19" t="s">
        <v>22</v>
      </c>
      <c r="B8" s="26">
        <v>1</v>
      </c>
      <c r="C8" s="52">
        <f t="shared" si="0"/>
        <v>172800000</v>
      </c>
      <c r="D8" s="27">
        <f t="shared" si="1"/>
        <v>24</v>
      </c>
      <c r="E8" s="51">
        <f t="shared" si="2"/>
        <v>100800000</v>
      </c>
      <c r="F8" s="27">
        <f t="shared" si="3"/>
        <v>14</v>
      </c>
      <c r="G8" s="291">
        <v>42335</v>
      </c>
      <c r="H8" s="4">
        <v>43066</v>
      </c>
      <c r="I8" s="28">
        <v>7.4999999999999997E-2</v>
      </c>
      <c r="J8" s="28">
        <f t="shared" si="20"/>
        <v>7.0000000000000007E-2</v>
      </c>
      <c r="K8" s="406">
        <f t="shared" si="4"/>
        <v>44778.080000000002</v>
      </c>
      <c r="L8" s="28">
        <v>7.4999999999999997E-2</v>
      </c>
      <c r="M8" s="406">
        <f t="shared" si="5"/>
        <v>0</v>
      </c>
      <c r="N8" s="29">
        <v>365</v>
      </c>
      <c r="O8" s="473"/>
      <c r="P8" s="482" t="s">
        <v>439</v>
      </c>
      <c r="Q8" s="476">
        <v>300000000</v>
      </c>
      <c r="R8" s="30"/>
      <c r="S8" s="4">
        <f>基础资产现金流!$I$2</f>
        <v>42612</v>
      </c>
      <c r="T8" s="62">
        <v>7200000</v>
      </c>
      <c r="U8" s="32">
        <f t="shared" si="6"/>
        <v>1081479.45</v>
      </c>
      <c r="V8" s="33">
        <f t="shared" si="7"/>
        <v>671671.23</v>
      </c>
      <c r="W8" s="33">
        <f ca="1">SUMIF(基础资产现金流!$A$2:A144,统计!A8,基础资产现金流!$G$2:$G$138)</f>
        <v>1081479.45</v>
      </c>
      <c r="X8" s="33">
        <f t="shared" ca="1" si="8"/>
        <v>0</v>
      </c>
      <c r="Y8" s="33">
        <f t="shared" si="9"/>
        <v>671671.23</v>
      </c>
      <c r="Z8" s="4">
        <f t="shared" si="10"/>
        <v>42735</v>
      </c>
      <c r="AA8" s="33">
        <f t="shared" si="11"/>
        <v>181972.6</v>
      </c>
      <c r="AB8" s="31" t="s">
        <v>81</v>
      </c>
      <c r="AC8" s="31">
        <v>3</v>
      </c>
      <c r="AD8" s="354" t="s">
        <v>102</v>
      </c>
      <c r="AE8" s="366"/>
      <c r="AF8" s="31" t="s">
        <v>63</v>
      </c>
      <c r="AG8" s="35" t="s">
        <v>73</v>
      </c>
      <c r="AH8" s="35" t="s">
        <v>86</v>
      </c>
      <c r="AI8" s="354" t="s">
        <v>177</v>
      </c>
      <c r="AJ8" s="31" t="s">
        <v>71</v>
      </c>
      <c r="AK8" s="31">
        <f t="shared" si="12"/>
        <v>454</v>
      </c>
      <c r="AL8" s="31">
        <f t="shared" si="13"/>
        <v>1</v>
      </c>
      <c r="AM8" s="31" t="str">
        <f t="shared" si="14"/>
        <v>一到二年以内</v>
      </c>
      <c r="AN8" s="31" t="str">
        <f>LOOKUP(D8,{0.1,12.1,24.1,36.1},{"一年以内","一到二年以内","二到三年以内"})</f>
        <v>一到二年以内</v>
      </c>
      <c r="AO8" s="31" t="str">
        <f t="shared" si="15"/>
        <v>1000万（含）以下</v>
      </c>
      <c r="AP8" s="123">
        <f t="shared" si="16"/>
        <v>540000</v>
      </c>
      <c r="AQ8" s="4">
        <v>42674</v>
      </c>
      <c r="AR8" s="153">
        <f t="shared" si="17"/>
        <v>14.885245901639344</v>
      </c>
      <c r="AS8" s="153">
        <f t="shared" si="18"/>
        <v>107173770.49180327</v>
      </c>
      <c r="AT8" s="408">
        <f t="shared" si="19"/>
        <v>540000</v>
      </c>
    </row>
    <row r="9" spans="1:46" x14ac:dyDescent="0.25">
      <c r="A9" s="19" t="s">
        <v>23</v>
      </c>
      <c r="B9" s="26">
        <v>1</v>
      </c>
      <c r="C9" s="52">
        <f t="shared" si="0"/>
        <v>940800000</v>
      </c>
      <c r="D9" s="27">
        <f t="shared" si="1"/>
        <v>24</v>
      </c>
      <c r="E9" s="51">
        <f t="shared" si="2"/>
        <v>588000000</v>
      </c>
      <c r="F9" s="27">
        <f t="shared" si="3"/>
        <v>15</v>
      </c>
      <c r="G9" s="291">
        <v>42341</v>
      </c>
      <c r="H9" s="4">
        <v>43072</v>
      </c>
      <c r="I9" s="28">
        <v>7.4999999999999997E-2</v>
      </c>
      <c r="J9" s="28">
        <f t="shared" si="20"/>
        <v>7.0000000000000007E-2</v>
      </c>
      <c r="K9" s="406">
        <f t="shared" si="4"/>
        <v>247013.7</v>
      </c>
      <c r="L9" s="28">
        <v>7.4999999999999997E-2</v>
      </c>
      <c r="M9" s="406">
        <f t="shared" si="5"/>
        <v>0</v>
      </c>
      <c r="N9" s="29">
        <v>365</v>
      </c>
      <c r="O9" s="473"/>
      <c r="P9" s="482" t="s">
        <v>440</v>
      </c>
      <c r="Q9" s="476">
        <v>430750000</v>
      </c>
      <c r="R9" s="30"/>
      <c r="S9" s="4">
        <f>基础资产现金流!$I$2</f>
        <v>42612</v>
      </c>
      <c r="T9" s="62">
        <v>39200000</v>
      </c>
      <c r="U9" s="32">
        <f t="shared" si="6"/>
        <v>5888054.79</v>
      </c>
      <c r="V9" s="33">
        <f t="shared" si="7"/>
        <v>3705205.48</v>
      </c>
      <c r="W9" s="33">
        <f ca="1">SUMIF(基础资产现金流!$A$2:A145,统计!A9,基础资产现金流!$G$2:$G$138)</f>
        <v>5888054.7999999998</v>
      </c>
      <c r="X9" s="33">
        <f t="shared" ca="1" si="8"/>
        <v>-9.9999997764825821E-3</v>
      </c>
      <c r="Y9" s="33">
        <f t="shared" si="9"/>
        <v>3705205.48</v>
      </c>
      <c r="Z9" s="4">
        <f t="shared" si="10"/>
        <v>42735</v>
      </c>
      <c r="AA9" s="33">
        <f t="shared" si="11"/>
        <v>990739.73</v>
      </c>
      <c r="AB9" s="31" t="s">
        <v>9</v>
      </c>
      <c r="AC9" s="31">
        <v>3</v>
      </c>
      <c r="AD9" s="354" t="s">
        <v>138</v>
      </c>
      <c r="AE9" s="366"/>
      <c r="AF9" s="31" t="s">
        <v>63</v>
      </c>
      <c r="AG9" s="35" t="s">
        <v>87</v>
      </c>
      <c r="AH9" s="35" t="s">
        <v>88</v>
      </c>
      <c r="AI9" s="354" t="s">
        <v>178</v>
      </c>
      <c r="AJ9" s="31" t="s">
        <v>67</v>
      </c>
      <c r="AK9" s="31">
        <f t="shared" si="12"/>
        <v>460</v>
      </c>
      <c r="AL9" s="31">
        <f t="shared" si="13"/>
        <v>1</v>
      </c>
      <c r="AM9" s="31" t="str">
        <f t="shared" si="14"/>
        <v>一到二年以内</v>
      </c>
      <c r="AN9" s="31" t="str">
        <f>LOOKUP(D9,{0.1,12.1,24.1,36.1},{"一年以内","一到二年以内","二到三年以内"})</f>
        <v>一到二年以内</v>
      </c>
      <c r="AO9" s="31" t="str">
        <f t="shared" si="15"/>
        <v>3000万（不含）到5000万（含）</v>
      </c>
      <c r="AP9" s="123">
        <f t="shared" si="16"/>
        <v>2940000</v>
      </c>
      <c r="AQ9" s="4">
        <v>42681</v>
      </c>
      <c r="AR9" s="153">
        <f t="shared" si="17"/>
        <v>15.081967213114755</v>
      </c>
      <c r="AS9" s="153">
        <f t="shared" si="18"/>
        <v>591213114.75409842</v>
      </c>
      <c r="AT9" s="408">
        <f t="shared" si="19"/>
        <v>2940000</v>
      </c>
    </row>
    <row r="10" spans="1:46" x14ac:dyDescent="0.25">
      <c r="A10" s="23" t="s">
        <v>24</v>
      </c>
      <c r="B10" s="26">
        <v>1</v>
      </c>
      <c r="C10" s="52">
        <f t="shared" si="0"/>
        <v>612000000</v>
      </c>
      <c r="D10" s="27">
        <f t="shared" si="1"/>
        <v>24</v>
      </c>
      <c r="E10" s="51">
        <f t="shared" si="2"/>
        <v>382500000</v>
      </c>
      <c r="F10" s="27">
        <f t="shared" si="3"/>
        <v>15</v>
      </c>
      <c r="G10" s="291">
        <v>42341</v>
      </c>
      <c r="H10" s="4">
        <v>43072</v>
      </c>
      <c r="I10" s="28">
        <v>7.4999999999999997E-2</v>
      </c>
      <c r="J10" s="28">
        <f t="shared" si="20"/>
        <v>7.0000000000000007E-2</v>
      </c>
      <c r="K10" s="406">
        <f t="shared" si="4"/>
        <v>160684.93</v>
      </c>
      <c r="L10" s="28">
        <v>7.4999999999999997E-2</v>
      </c>
      <c r="M10" s="406">
        <f t="shared" si="5"/>
        <v>0</v>
      </c>
      <c r="N10" s="29">
        <v>365</v>
      </c>
      <c r="O10" s="473"/>
      <c r="P10" s="482" t="s">
        <v>441</v>
      </c>
      <c r="Q10" s="476">
        <v>500000000</v>
      </c>
      <c r="R10" s="30"/>
      <c r="S10" s="4">
        <f>基础资产现金流!$I$2</f>
        <v>42612</v>
      </c>
      <c r="T10" s="63">
        <v>25500000</v>
      </c>
      <c r="U10" s="32">
        <f t="shared" si="6"/>
        <v>3830239.73</v>
      </c>
      <c r="V10" s="33">
        <f t="shared" si="7"/>
        <v>2410273.9700000002</v>
      </c>
      <c r="W10" s="33">
        <f ca="1">SUMIF(基础资产现金流!$A$2:A146,统计!A10,基础资产现金流!$G$2:$G$138)</f>
        <v>3830239.7199999997</v>
      </c>
      <c r="X10" s="33">
        <f t="shared" ca="1" si="8"/>
        <v>1.0000000242143869E-2</v>
      </c>
      <c r="Y10" s="33">
        <f t="shared" si="9"/>
        <v>2410273.9700000002</v>
      </c>
      <c r="Z10" s="4">
        <f t="shared" si="10"/>
        <v>42735</v>
      </c>
      <c r="AA10" s="33">
        <f t="shared" si="11"/>
        <v>644486.30000000005</v>
      </c>
      <c r="AB10" s="31" t="s">
        <v>9</v>
      </c>
      <c r="AC10" s="31">
        <v>3</v>
      </c>
      <c r="AD10" s="354" t="s">
        <v>103</v>
      </c>
      <c r="AE10" s="366"/>
      <c r="AF10" s="31" t="s">
        <v>63</v>
      </c>
      <c r="AG10" s="35" t="s">
        <v>89</v>
      </c>
      <c r="AH10" s="35" t="s">
        <v>90</v>
      </c>
      <c r="AI10" s="354" t="s">
        <v>103</v>
      </c>
      <c r="AJ10" s="31" t="s">
        <v>67</v>
      </c>
      <c r="AK10" s="31">
        <f t="shared" si="12"/>
        <v>460</v>
      </c>
      <c r="AL10" s="31">
        <f t="shared" si="13"/>
        <v>1</v>
      </c>
      <c r="AM10" s="31" t="str">
        <f t="shared" si="14"/>
        <v>一到二年以内</v>
      </c>
      <c r="AN10" s="31" t="str">
        <f>LOOKUP(D10,{0.1,12.1,24.1,36.1},{"一年以内","一到二年以内","二到三年以内"})</f>
        <v>一到二年以内</v>
      </c>
      <c r="AO10" s="31" t="str">
        <f t="shared" si="15"/>
        <v>1000万（不含）至3000万（含）</v>
      </c>
      <c r="AP10" s="123">
        <f t="shared" si="16"/>
        <v>1912500</v>
      </c>
      <c r="AQ10" s="4">
        <v>42709</v>
      </c>
      <c r="AR10" s="153">
        <f t="shared" si="17"/>
        <v>15.081967213114755</v>
      </c>
      <c r="AS10" s="153">
        <f t="shared" si="18"/>
        <v>384590163.93442625</v>
      </c>
      <c r="AT10" s="408">
        <f t="shared" si="19"/>
        <v>1912500</v>
      </c>
    </row>
    <row r="11" spans="1:46" x14ac:dyDescent="0.25">
      <c r="A11" s="19" t="s">
        <v>25</v>
      </c>
      <c r="B11" s="26">
        <v>1</v>
      </c>
      <c r="C11" s="52">
        <f t="shared" si="0"/>
        <v>720000000</v>
      </c>
      <c r="D11" s="27">
        <f t="shared" si="1"/>
        <v>24</v>
      </c>
      <c r="E11" s="51">
        <f t="shared" si="2"/>
        <v>450000000</v>
      </c>
      <c r="F11" s="27">
        <f t="shared" si="3"/>
        <v>15</v>
      </c>
      <c r="G11" s="291">
        <v>42342</v>
      </c>
      <c r="H11" s="4">
        <v>43073</v>
      </c>
      <c r="I11" s="28">
        <v>7.4999999999999997E-2</v>
      </c>
      <c r="J11" s="28">
        <f t="shared" si="20"/>
        <v>7.0000000000000007E-2</v>
      </c>
      <c r="K11" s="406">
        <f t="shared" si="4"/>
        <v>189452.05</v>
      </c>
      <c r="L11" s="28">
        <v>7.4999999999999997E-2</v>
      </c>
      <c r="M11" s="406">
        <f t="shared" si="5"/>
        <v>0</v>
      </c>
      <c r="N11" s="36">
        <v>365</v>
      </c>
      <c r="O11" s="474"/>
      <c r="P11" s="483" t="s">
        <v>442</v>
      </c>
      <c r="Q11" s="477">
        <v>685000000</v>
      </c>
      <c r="R11" s="34"/>
      <c r="S11" s="4">
        <f>基础资产现金流!$I$2</f>
        <v>42612</v>
      </c>
      <c r="T11" s="62">
        <v>30000000</v>
      </c>
      <c r="U11" s="32">
        <f t="shared" si="6"/>
        <v>4506164.38</v>
      </c>
      <c r="V11" s="33">
        <f t="shared" si="7"/>
        <v>2841780.82</v>
      </c>
      <c r="W11" s="33">
        <f ca="1">SUMIF(基础资产现金流!$A$2:A147,统计!A11,基础资产现金流!$G$2:$G$138)</f>
        <v>4506164.38</v>
      </c>
      <c r="X11" s="33">
        <f t="shared" ca="1" si="8"/>
        <v>0</v>
      </c>
      <c r="Y11" s="33">
        <f t="shared" si="9"/>
        <v>2841780.82</v>
      </c>
      <c r="Z11" s="4">
        <f t="shared" si="10"/>
        <v>42735</v>
      </c>
      <c r="AA11" s="33">
        <f t="shared" si="11"/>
        <v>758219.18</v>
      </c>
      <c r="AB11" s="354" t="s">
        <v>97</v>
      </c>
      <c r="AC11" s="354"/>
      <c r="AD11" s="354" t="s">
        <v>104</v>
      </c>
      <c r="AE11" s="48"/>
      <c r="AF11" s="31" t="s">
        <v>63</v>
      </c>
      <c r="AG11" s="35" t="s">
        <v>73</v>
      </c>
      <c r="AH11" s="35" t="s">
        <v>91</v>
      </c>
      <c r="AI11" s="35" t="s">
        <v>179</v>
      </c>
      <c r="AJ11" s="35" t="s">
        <v>78</v>
      </c>
      <c r="AK11" s="31">
        <f t="shared" si="12"/>
        <v>461</v>
      </c>
      <c r="AL11" s="31">
        <f t="shared" si="13"/>
        <v>1</v>
      </c>
      <c r="AM11" s="31" t="str">
        <f t="shared" si="14"/>
        <v>一到二年以内</v>
      </c>
      <c r="AN11" s="31" t="str">
        <f>LOOKUP(D11,{0.1,12.1,24.1,36.1},{"一年以内","一到二年以内","二到三年以内"})</f>
        <v>一到二年以内</v>
      </c>
      <c r="AO11" s="31" t="str">
        <f t="shared" si="15"/>
        <v>1000万（不含）至3000万（含）</v>
      </c>
      <c r="AP11" s="123">
        <f t="shared" si="16"/>
        <v>2250000</v>
      </c>
      <c r="AQ11" s="4">
        <v>43066</v>
      </c>
      <c r="AR11" s="153">
        <f t="shared" si="17"/>
        <v>15.114754098360656</v>
      </c>
      <c r="AS11" s="153">
        <f t="shared" si="18"/>
        <v>453442622.95081967</v>
      </c>
      <c r="AT11" s="408">
        <f t="shared" si="19"/>
        <v>2250000</v>
      </c>
    </row>
    <row r="12" spans="1:46" ht="18" customHeight="1" x14ac:dyDescent="0.25">
      <c r="A12" s="19" t="s">
        <v>27</v>
      </c>
      <c r="B12" s="26">
        <v>1</v>
      </c>
      <c r="C12" s="52">
        <f t="shared" si="0"/>
        <v>751200000</v>
      </c>
      <c r="D12" s="27">
        <f t="shared" si="1"/>
        <v>24</v>
      </c>
      <c r="E12" s="51">
        <f t="shared" si="2"/>
        <v>469500000</v>
      </c>
      <c r="F12" s="27">
        <f t="shared" si="3"/>
        <v>15</v>
      </c>
      <c r="G12" s="291">
        <v>42356</v>
      </c>
      <c r="H12" s="4">
        <v>43087</v>
      </c>
      <c r="I12" s="28">
        <v>7.4999999999999997E-2</v>
      </c>
      <c r="J12" s="28">
        <f t="shared" si="20"/>
        <v>7.0000000000000007E-2</v>
      </c>
      <c r="K12" s="406">
        <f t="shared" si="4"/>
        <v>203664.38</v>
      </c>
      <c r="L12" s="28">
        <v>7.4999999999999997E-2</v>
      </c>
      <c r="M12" s="406">
        <f t="shared" si="5"/>
        <v>0</v>
      </c>
      <c r="N12" s="36">
        <v>365</v>
      </c>
      <c r="O12" s="474"/>
      <c r="P12" s="483" t="s">
        <v>443</v>
      </c>
      <c r="Q12" s="476">
        <v>500000000</v>
      </c>
      <c r="R12" s="34"/>
      <c r="S12" s="4">
        <f>基础资产现金流!$I$2</f>
        <v>42612</v>
      </c>
      <c r="T12" s="62">
        <v>31300000</v>
      </c>
      <c r="U12" s="32">
        <f t="shared" si="6"/>
        <v>4701431.51</v>
      </c>
      <c r="V12" s="33">
        <f t="shared" si="7"/>
        <v>3054965.75</v>
      </c>
      <c r="W12" s="33">
        <f ca="1">SUMIF(基础资产现金流!$A$2:A148,统计!A12,基础资产现金流!$G$2:$G$138)</f>
        <v>4701431.51</v>
      </c>
      <c r="X12" s="33">
        <f t="shared" ca="1" si="8"/>
        <v>0</v>
      </c>
      <c r="Y12" s="33">
        <f t="shared" si="9"/>
        <v>3054965.75</v>
      </c>
      <c r="Z12" s="4">
        <f t="shared" si="10"/>
        <v>42735</v>
      </c>
      <c r="AA12" s="33">
        <f t="shared" si="11"/>
        <v>791075.34</v>
      </c>
      <c r="AB12" s="354" t="s">
        <v>92</v>
      </c>
      <c r="AC12" s="354">
        <v>12</v>
      </c>
      <c r="AD12" s="354" t="s">
        <v>105</v>
      </c>
      <c r="AE12" s="48"/>
      <c r="AF12" s="31" t="s">
        <v>63</v>
      </c>
      <c r="AG12" s="35" t="s">
        <v>93</v>
      </c>
      <c r="AH12" s="35" t="s">
        <v>94</v>
      </c>
      <c r="AI12" s="35" t="s">
        <v>180</v>
      </c>
      <c r="AJ12" s="35" t="s">
        <v>67</v>
      </c>
      <c r="AK12" s="31">
        <f t="shared" si="12"/>
        <v>475</v>
      </c>
      <c r="AL12" s="31">
        <f t="shared" si="13"/>
        <v>1</v>
      </c>
      <c r="AM12" s="31" t="str">
        <f t="shared" si="14"/>
        <v>一到二年以内</v>
      </c>
      <c r="AN12" s="31" t="str">
        <f>LOOKUP(D12,{0.1,12.1,24.1,36.1},{"一年以内","一到二年以内","二到三年以内"})</f>
        <v>一到二年以内</v>
      </c>
      <c r="AO12" s="31" t="str">
        <f t="shared" si="15"/>
        <v>3000万（不含）到5000万（含）</v>
      </c>
      <c r="AP12" s="123">
        <f t="shared" si="16"/>
        <v>2347500</v>
      </c>
      <c r="AQ12" s="4">
        <v>43072</v>
      </c>
      <c r="AR12" s="153">
        <f t="shared" si="17"/>
        <v>15.573770491803279</v>
      </c>
      <c r="AS12" s="153">
        <f t="shared" si="18"/>
        <v>487459016.39344263</v>
      </c>
      <c r="AT12" s="408">
        <f t="shared" si="19"/>
        <v>2347500</v>
      </c>
    </row>
    <row r="13" spans="1:46" x14ac:dyDescent="0.25">
      <c r="A13" s="23" t="s">
        <v>26</v>
      </c>
      <c r="B13" s="26">
        <v>1</v>
      </c>
      <c r="C13" s="52">
        <f t="shared" si="0"/>
        <v>652800000</v>
      </c>
      <c r="D13" s="27">
        <f t="shared" si="1"/>
        <v>24</v>
      </c>
      <c r="E13" s="51">
        <f t="shared" si="2"/>
        <v>408000000</v>
      </c>
      <c r="F13" s="27">
        <f t="shared" si="3"/>
        <v>15</v>
      </c>
      <c r="G13" s="291">
        <v>42349</v>
      </c>
      <c r="H13" s="4">
        <v>43080</v>
      </c>
      <c r="I13" s="28">
        <v>7.4999999999999997E-2</v>
      </c>
      <c r="J13" s="28">
        <f t="shared" si="20"/>
        <v>7.0000000000000007E-2</v>
      </c>
      <c r="K13" s="406">
        <f t="shared" si="4"/>
        <v>174378.08</v>
      </c>
      <c r="L13" s="28">
        <v>7.4999999999999997E-2</v>
      </c>
      <c r="M13" s="406">
        <f t="shared" si="5"/>
        <v>0</v>
      </c>
      <c r="N13" s="36">
        <v>365</v>
      </c>
      <c r="O13" s="474"/>
      <c r="P13" s="483" t="s">
        <v>444</v>
      </c>
      <c r="Q13" s="476">
        <v>300000000</v>
      </c>
      <c r="R13" s="37"/>
      <c r="S13" s="4">
        <f>基础资产现金流!$I$2</f>
        <v>42612</v>
      </c>
      <c r="T13" s="63">
        <v>27200000</v>
      </c>
      <c r="U13" s="32">
        <f t="shared" si="6"/>
        <v>4085589.04</v>
      </c>
      <c r="V13" s="33">
        <f t="shared" si="7"/>
        <v>2615671.23</v>
      </c>
      <c r="W13" s="33">
        <f ca="1">SUMIF(基础资产现金流!$A$2:A149,统计!A13,基础资产现金流!$G$2:$G$138)</f>
        <v>4085589.04</v>
      </c>
      <c r="X13" s="33">
        <f t="shared" ca="1" si="8"/>
        <v>0</v>
      </c>
      <c r="Y13" s="33">
        <f t="shared" si="9"/>
        <v>2615671.23</v>
      </c>
      <c r="Z13" s="4">
        <f t="shared" si="10"/>
        <v>42735</v>
      </c>
      <c r="AA13" s="33">
        <f t="shared" si="11"/>
        <v>687452.05</v>
      </c>
      <c r="AB13" s="354" t="s">
        <v>85</v>
      </c>
      <c r="AC13" s="354">
        <v>12</v>
      </c>
      <c r="AD13" s="354" t="s">
        <v>107</v>
      </c>
      <c r="AE13" s="48"/>
      <c r="AF13" s="31" t="s">
        <v>63</v>
      </c>
      <c r="AG13" s="35" t="s">
        <v>73</v>
      </c>
      <c r="AH13" s="35" t="s">
        <v>110</v>
      </c>
      <c r="AI13" s="35" t="s">
        <v>181</v>
      </c>
      <c r="AJ13" s="35" t="s">
        <v>71</v>
      </c>
      <c r="AK13" s="31">
        <f t="shared" si="12"/>
        <v>468</v>
      </c>
      <c r="AL13" s="31">
        <f t="shared" si="13"/>
        <v>1</v>
      </c>
      <c r="AM13" s="31" t="str">
        <f t="shared" si="14"/>
        <v>一到二年以内</v>
      </c>
      <c r="AN13" s="31" t="str">
        <f>LOOKUP(D13,{0.1,12.1,24.1,36.1},{"一年以内","一到二年以内","二到三年以内"})</f>
        <v>一到二年以内</v>
      </c>
      <c r="AO13" s="31" t="str">
        <f t="shared" si="15"/>
        <v>1000万（不含）至3000万（含）</v>
      </c>
      <c r="AP13" s="123">
        <f t="shared" si="16"/>
        <v>2040000</v>
      </c>
      <c r="AQ13" s="4">
        <v>43072</v>
      </c>
      <c r="AR13" s="153">
        <f t="shared" si="17"/>
        <v>15.344262295081966</v>
      </c>
      <c r="AS13" s="153">
        <f t="shared" si="18"/>
        <v>417363934.42622948</v>
      </c>
      <c r="AT13" s="408">
        <f t="shared" si="19"/>
        <v>2040000</v>
      </c>
    </row>
    <row r="14" spans="1:46" ht="16.5" customHeight="1" x14ac:dyDescent="0.25">
      <c r="A14" s="23" t="s">
        <v>32</v>
      </c>
      <c r="B14" s="26">
        <v>1</v>
      </c>
      <c r="C14" s="52">
        <f t="shared" si="0"/>
        <v>180000000</v>
      </c>
      <c r="D14" s="27">
        <f t="shared" si="1"/>
        <v>18</v>
      </c>
      <c r="E14" s="51">
        <f t="shared" si="2"/>
        <v>90000000</v>
      </c>
      <c r="F14" s="27">
        <f t="shared" si="3"/>
        <v>9</v>
      </c>
      <c r="G14" s="291">
        <v>42356</v>
      </c>
      <c r="H14" s="4">
        <v>42904</v>
      </c>
      <c r="I14" s="28">
        <v>7.1999999999999995E-2</v>
      </c>
      <c r="J14" s="28">
        <f t="shared" si="20"/>
        <v>7.0000000000000007E-2</v>
      </c>
      <c r="K14" s="406">
        <f t="shared" si="4"/>
        <v>16000</v>
      </c>
      <c r="L14" s="28">
        <v>7.4999999999999997E-2</v>
      </c>
      <c r="M14" s="406">
        <f t="shared" si="5"/>
        <v>0</v>
      </c>
      <c r="N14" s="36">
        <v>365</v>
      </c>
      <c r="O14" s="474"/>
      <c r="P14" s="482" t="s">
        <v>445</v>
      </c>
      <c r="Q14" s="476">
        <v>500000000</v>
      </c>
      <c r="R14" s="34"/>
      <c r="S14" s="4">
        <f>基础资产现金流!$I$2</f>
        <v>42612</v>
      </c>
      <c r="T14" s="62">
        <v>10000000</v>
      </c>
      <c r="U14" s="32">
        <f t="shared" si="6"/>
        <v>1080986.3</v>
      </c>
      <c r="V14" s="33">
        <f t="shared" si="7"/>
        <v>576000</v>
      </c>
      <c r="W14" s="33">
        <f ca="1">SUMIF(基础资产现金流!$A$2:A150,统计!A14,基础资产现金流!$G$2:$G$138)</f>
        <v>1080986.2999999998</v>
      </c>
      <c r="X14" s="33">
        <f t="shared" ca="1" si="8"/>
        <v>0</v>
      </c>
      <c r="Y14" s="33">
        <f t="shared" si="9"/>
        <v>600000</v>
      </c>
      <c r="Z14" s="4">
        <f t="shared" si="10"/>
        <v>42735</v>
      </c>
      <c r="AA14" s="33">
        <f t="shared" si="11"/>
        <v>242630.14</v>
      </c>
      <c r="AB14" s="354" t="s">
        <v>85</v>
      </c>
      <c r="AC14" s="354">
        <v>12</v>
      </c>
      <c r="AD14" s="354" t="s">
        <v>108</v>
      </c>
      <c r="AE14" s="48"/>
      <c r="AF14" s="31" t="s">
        <v>63</v>
      </c>
      <c r="AG14" s="35" t="s">
        <v>93</v>
      </c>
      <c r="AH14" s="35" t="s">
        <v>98</v>
      </c>
      <c r="AI14" s="35" t="s">
        <v>182</v>
      </c>
      <c r="AJ14" s="35" t="s">
        <v>71</v>
      </c>
      <c r="AK14" s="31">
        <f t="shared" si="12"/>
        <v>292</v>
      </c>
      <c r="AL14" s="31">
        <f t="shared" si="13"/>
        <v>0</v>
      </c>
      <c r="AM14" s="31" t="str">
        <f t="shared" si="14"/>
        <v>一年以内</v>
      </c>
      <c r="AN14" s="31" t="str">
        <f>LOOKUP(D14,{0.1,12.1,24.1,36.1},{"一年以内","一到二年以内","二到三年以内"})</f>
        <v>一到二年以内</v>
      </c>
      <c r="AO14" s="31" t="str">
        <f t="shared" si="15"/>
        <v>1000万（含）以下</v>
      </c>
      <c r="AP14" s="123">
        <f t="shared" si="16"/>
        <v>720000</v>
      </c>
      <c r="AQ14" s="4">
        <v>43073</v>
      </c>
      <c r="AR14" s="153">
        <f t="shared" si="17"/>
        <v>9.5737704918032787</v>
      </c>
      <c r="AS14" s="153">
        <f t="shared" si="18"/>
        <v>95737704.91803278</v>
      </c>
      <c r="AT14" s="408">
        <f t="shared" si="19"/>
        <v>750000</v>
      </c>
    </row>
    <row r="15" spans="1:46" x14ac:dyDescent="0.25">
      <c r="A15" s="23" t="s">
        <v>28</v>
      </c>
      <c r="B15" s="26">
        <v>1</v>
      </c>
      <c r="C15" s="52">
        <f t="shared" si="0"/>
        <v>428400000</v>
      </c>
      <c r="D15" s="27">
        <f t="shared" si="1"/>
        <v>18</v>
      </c>
      <c r="E15" s="51">
        <f t="shared" si="2"/>
        <v>214200000</v>
      </c>
      <c r="F15" s="27">
        <f t="shared" si="3"/>
        <v>9</v>
      </c>
      <c r="G15" s="291">
        <v>42361</v>
      </c>
      <c r="H15" s="4">
        <v>42909</v>
      </c>
      <c r="I15" s="28">
        <v>0.08</v>
      </c>
      <c r="J15" s="28">
        <f t="shared" si="20"/>
        <v>7.0000000000000007E-2</v>
      </c>
      <c r="K15" s="406">
        <f t="shared" si="4"/>
        <v>193660.27</v>
      </c>
      <c r="L15" s="28">
        <v>7.4999999999999997E-2</v>
      </c>
      <c r="M15" s="406">
        <f t="shared" si="5"/>
        <v>96830.14</v>
      </c>
      <c r="N15" s="36">
        <v>365</v>
      </c>
      <c r="O15" s="474"/>
      <c r="P15" s="482" t="s">
        <v>437</v>
      </c>
      <c r="Q15" s="476">
        <v>300000000</v>
      </c>
      <c r="R15" s="34"/>
      <c r="S15" s="4">
        <f>基础资产现金流!$I$2</f>
        <v>42612</v>
      </c>
      <c r="T15" s="63">
        <v>23800000</v>
      </c>
      <c r="U15" s="32">
        <f t="shared" si="6"/>
        <v>2858608.22</v>
      </c>
      <c r="V15" s="33">
        <f t="shared" si="7"/>
        <v>1549282.19</v>
      </c>
      <c r="W15" s="33">
        <f ca="1">SUMIF(基础资产现金流!$A$2:A151,统计!A15,基础资产现金流!$G$2:$G$138)</f>
        <v>2858608.23</v>
      </c>
      <c r="X15" s="33">
        <f t="shared" ca="1" si="8"/>
        <v>-9.9999997764825821E-3</v>
      </c>
      <c r="Y15" s="33">
        <f t="shared" si="9"/>
        <v>1452452.05</v>
      </c>
      <c r="Z15" s="4">
        <f t="shared" si="10"/>
        <v>42735</v>
      </c>
      <c r="AA15" s="33">
        <f t="shared" si="11"/>
        <v>641621.92000000004</v>
      </c>
      <c r="AB15" s="354" t="s">
        <v>85</v>
      </c>
      <c r="AC15" s="354">
        <v>12</v>
      </c>
      <c r="AD15" s="354" t="s">
        <v>197</v>
      </c>
      <c r="AE15" s="48"/>
      <c r="AF15" s="31" t="s">
        <v>106</v>
      </c>
      <c r="AG15" s="35" t="s">
        <v>99</v>
      </c>
      <c r="AH15" s="35" t="s">
        <v>99</v>
      </c>
      <c r="AI15" s="35" t="s">
        <v>196</v>
      </c>
      <c r="AJ15" s="35" t="s">
        <v>78</v>
      </c>
      <c r="AK15" s="31">
        <f t="shared" si="12"/>
        <v>297</v>
      </c>
      <c r="AL15" s="31">
        <f t="shared" si="13"/>
        <v>0</v>
      </c>
      <c r="AM15" s="31" t="str">
        <f t="shared" si="14"/>
        <v>一年以内</v>
      </c>
      <c r="AN15" s="31" t="str">
        <f>LOOKUP(D15,{0.1,12.1,24.1,36.1},{"一年以内","一到二年以内","二到三年以内"})</f>
        <v>一到二年以内</v>
      </c>
      <c r="AO15" s="31" t="str">
        <f t="shared" si="15"/>
        <v>1000万（不含）至3000万（含）</v>
      </c>
      <c r="AP15" s="123">
        <f t="shared" si="16"/>
        <v>1904000</v>
      </c>
      <c r="AQ15" s="4">
        <v>43087</v>
      </c>
      <c r="AR15" s="153">
        <f t="shared" si="17"/>
        <v>9.7377049180327866</v>
      </c>
      <c r="AS15" s="153">
        <f t="shared" si="18"/>
        <v>231757377.04918033</v>
      </c>
      <c r="AT15" s="408">
        <f t="shared" si="19"/>
        <v>1785000</v>
      </c>
    </row>
    <row r="16" spans="1:46" x14ac:dyDescent="0.25">
      <c r="A16" s="19" t="s">
        <v>58</v>
      </c>
      <c r="B16" s="26">
        <v>1</v>
      </c>
      <c r="C16" s="52">
        <f t="shared" si="0"/>
        <v>566400000</v>
      </c>
      <c r="D16" s="27">
        <f t="shared" si="1"/>
        <v>24</v>
      </c>
      <c r="E16" s="51">
        <f t="shared" si="2"/>
        <v>377600000</v>
      </c>
      <c r="F16" s="27">
        <f t="shared" si="3"/>
        <v>16</v>
      </c>
      <c r="G16" s="291">
        <v>42374</v>
      </c>
      <c r="H16" s="4">
        <v>43105</v>
      </c>
      <c r="I16" s="28">
        <v>7.5999999999999998E-2</v>
      </c>
      <c r="J16" s="28">
        <f t="shared" si="20"/>
        <v>7.0000000000000007E-2</v>
      </c>
      <c r="K16" s="406">
        <f t="shared" si="4"/>
        <v>191256.99</v>
      </c>
      <c r="L16" s="28">
        <v>7.4999999999999997E-2</v>
      </c>
      <c r="M16" s="406">
        <f t="shared" si="5"/>
        <v>31876.16</v>
      </c>
      <c r="N16" s="36">
        <v>365</v>
      </c>
      <c r="O16" s="474"/>
      <c r="P16" s="482" t="s">
        <v>446</v>
      </c>
      <c r="Q16" s="476">
        <v>500000000</v>
      </c>
      <c r="R16" s="34"/>
      <c r="S16" s="4">
        <f>基础资产现金流!$I$2</f>
        <v>42612</v>
      </c>
      <c r="T16" s="62">
        <v>23600000</v>
      </c>
      <c r="U16" s="32">
        <f t="shared" si="6"/>
        <v>3592113.97</v>
      </c>
      <c r="V16" s="33">
        <f t="shared" si="7"/>
        <v>2422588.4900000002</v>
      </c>
      <c r="W16" s="33">
        <f ca="1">SUMIF(基础资产现金流!$A$2:A152,统计!A16,基础资产现金流!$G$2:$G$138)</f>
        <v>3592113.9699999997</v>
      </c>
      <c r="X16" s="33">
        <f t="shared" ca="1" si="8"/>
        <v>0</v>
      </c>
      <c r="Y16" s="33">
        <f t="shared" si="9"/>
        <v>2390712.33</v>
      </c>
      <c r="Z16" s="4">
        <f t="shared" si="10"/>
        <v>42735</v>
      </c>
      <c r="AA16" s="33">
        <f t="shared" si="11"/>
        <v>604418.63</v>
      </c>
      <c r="AB16" s="354" t="s">
        <v>85</v>
      </c>
      <c r="AC16" s="354">
        <v>12</v>
      </c>
      <c r="AD16" s="354" t="s">
        <v>109</v>
      </c>
      <c r="AE16" s="48"/>
      <c r="AF16" s="31" t="s">
        <v>63</v>
      </c>
      <c r="AG16" s="35" t="s">
        <v>64</v>
      </c>
      <c r="AH16" s="35" t="s">
        <v>101</v>
      </c>
      <c r="AI16" s="35" t="s">
        <v>136</v>
      </c>
      <c r="AJ16" s="35" t="s">
        <v>71</v>
      </c>
      <c r="AK16" s="31">
        <f t="shared" si="12"/>
        <v>493</v>
      </c>
      <c r="AL16" s="31">
        <f t="shared" si="13"/>
        <v>1</v>
      </c>
      <c r="AM16" s="31" t="str">
        <f t="shared" si="14"/>
        <v>一到二年以内</v>
      </c>
      <c r="AN16" s="31" t="str">
        <f>LOOKUP(D16,{0.1,12.1,24.1,36.1},{"一年以内","一到二年以内","二到三年以内"})</f>
        <v>一到二年以内</v>
      </c>
      <c r="AO16" s="31" t="str">
        <f t="shared" si="15"/>
        <v>1000万（不含）至3000万（含）</v>
      </c>
      <c r="AP16" s="123">
        <f t="shared" si="16"/>
        <v>1793600</v>
      </c>
      <c r="AQ16" s="4">
        <v>43080</v>
      </c>
      <c r="AR16" s="153">
        <f t="shared" si="17"/>
        <v>16.16393442622951</v>
      </c>
      <c r="AS16" s="153">
        <f t="shared" si="18"/>
        <v>381468852.45901644</v>
      </c>
      <c r="AT16" s="408">
        <f t="shared" si="19"/>
        <v>1770000</v>
      </c>
    </row>
    <row r="17" spans="1:46" x14ac:dyDescent="0.25">
      <c r="A17" s="31" t="s">
        <v>59</v>
      </c>
      <c r="B17" s="355">
        <v>1</v>
      </c>
      <c r="C17" s="52">
        <f t="shared" si="0"/>
        <v>360000000</v>
      </c>
      <c r="D17" s="27">
        <f t="shared" si="1"/>
        <v>24</v>
      </c>
      <c r="E17" s="51">
        <f t="shared" si="2"/>
        <v>240000000</v>
      </c>
      <c r="F17" s="27">
        <f t="shared" si="3"/>
        <v>16</v>
      </c>
      <c r="G17" s="291">
        <v>42381</v>
      </c>
      <c r="H17" s="4">
        <v>43112</v>
      </c>
      <c r="I17" s="28">
        <v>7.4999999999999997E-2</v>
      </c>
      <c r="J17" s="28">
        <f t="shared" si="20"/>
        <v>7.0000000000000007E-2</v>
      </c>
      <c r="K17" s="406">
        <f t="shared" si="4"/>
        <v>102739.73</v>
      </c>
      <c r="L17" s="28">
        <v>7.4999999999999997E-2</v>
      </c>
      <c r="M17" s="406">
        <f t="shared" si="5"/>
        <v>0</v>
      </c>
      <c r="N17" s="36">
        <v>365</v>
      </c>
      <c r="O17" s="474"/>
      <c r="P17" s="484" t="s">
        <v>310</v>
      </c>
      <c r="Q17" s="476">
        <v>500000000</v>
      </c>
      <c r="R17" s="34"/>
      <c r="S17" s="4">
        <f>基础资产现金流!$I$2</f>
        <v>42612</v>
      </c>
      <c r="T17" s="487">
        <v>15000000</v>
      </c>
      <c r="U17" s="32">
        <f t="shared" si="6"/>
        <v>2253082.19</v>
      </c>
      <c r="V17" s="33">
        <f t="shared" si="7"/>
        <v>1541095.89</v>
      </c>
      <c r="W17" s="33">
        <f ca="1">SUMIF(基础资产现金流!$A$2:A153,统计!A17,基础资产现金流!$G$2:$G$138)</f>
        <v>2253082.1900000004</v>
      </c>
      <c r="X17" s="33">
        <f t="shared" ca="1" si="8"/>
        <v>0</v>
      </c>
      <c r="Y17" s="33">
        <f t="shared" si="9"/>
        <v>1541095.89</v>
      </c>
      <c r="Z17" s="4">
        <f t="shared" si="10"/>
        <v>42735</v>
      </c>
      <c r="AA17" s="33">
        <f t="shared" si="11"/>
        <v>379109.59</v>
      </c>
      <c r="AB17" s="354" t="s">
        <v>85</v>
      </c>
      <c r="AC17" s="354">
        <v>12</v>
      </c>
      <c r="AD17" s="31" t="s">
        <v>135</v>
      </c>
      <c r="AE17" s="48"/>
      <c r="AF17" s="31" t="s">
        <v>63</v>
      </c>
      <c r="AG17" s="38" t="s">
        <v>95</v>
      </c>
      <c r="AH17" s="38" t="s">
        <v>111</v>
      </c>
      <c r="AI17" s="472" t="s">
        <v>192</v>
      </c>
      <c r="AJ17" s="35" t="s">
        <v>78</v>
      </c>
      <c r="AK17" s="31">
        <f t="shared" si="12"/>
        <v>500</v>
      </c>
      <c r="AL17" s="31">
        <f t="shared" si="13"/>
        <v>1</v>
      </c>
      <c r="AM17" s="31" t="str">
        <f t="shared" si="14"/>
        <v>一到二年以内</v>
      </c>
      <c r="AN17" s="31" t="str">
        <f>LOOKUP(D17,{0.1,12.1,24.1,36.1},{"一年以内","一到二年以内","二到三年以内"})</f>
        <v>一到二年以内</v>
      </c>
      <c r="AO17" s="31" t="str">
        <f t="shared" si="15"/>
        <v>1000万（不含）至3000万（含）</v>
      </c>
      <c r="AP17" s="123">
        <f t="shared" si="16"/>
        <v>1125000</v>
      </c>
      <c r="AQ17" s="4">
        <v>42904</v>
      </c>
      <c r="AR17" s="153">
        <f t="shared" si="17"/>
        <v>16.393442622950818</v>
      </c>
      <c r="AS17" s="153">
        <f t="shared" si="18"/>
        <v>245901639.34426227</v>
      </c>
      <c r="AT17" s="408">
        <f t="shared" si="19"/>
        <v>1125000</v>
      </c>
    </row>
    <row r="18" spans="1:46" x14ac:dyDescent="0.25">
      <c r="A18" s="31" t="s">
        <v>195</v>
      </c>
      <c r="B18" s="355">
        <v>1</v>
      </c>
      <c r="C18" s="52">
        <f t="shared" si="0"/>
        <v>844800000</v>
      </c>
      <c r="D18" s="27">
        <f t="shared" si="1"/>
        <v>24</v>
      </c>
      <c r="E18" s="51">
        <f t="shared" si="2"/>
        <v>563200000</v>
      </c>
      <c r="F18" s="27">
        <f t="shared" si="3"/>
        <v>16</v>
      </c>
      <c r="G18" s="291">
        <v>42390</v>
      </c>
      <c r="H18" s="4">
        <v>43121</v>
      </c>
      <c r="I18" s="28">
        <v>8.2000000000000003E-2</v>
      </c>
      <c r="J18" s="28">
        <f t="shared" si="20"/>
        <v>7.0000000000000007E-2</v>
      </c>
      <c r="K18" s="406">
        <f t="shared" si="4"/>
        <v>589045.48</v>
      </c>
      <c r="L18" s="28">
        <v>7.4999999999999997E-2</v>
      </c>
      <c r="M18" s="406">
        <f t="shared" si="5"/>
        <v>343609.86</v>
      </c>
      <c r="N18" s="36">
        <v>365</v>
      </c>
      <c r="O18" s="474"/>
      <c r="P18" s="485" t="s">
        <v>199</v>
      </c>
      <c r="Q18" s="476">
        <v>400000000</v>
      </c>
      <c r="R18" s="34"/>
      <c r="S18" s="4">
        <f>基础资产现金流!$I$2</f>
        <v>42612</v>
      </c>
      <c r="T18" s="487">
        <v>35200000</v>
      </c>
      <c r="U18" s="32">
        <f t="shared" si="6"/>
        <v>5780707.9500000002</v>
      </c>
      <c r="V18" s="33">
        <f t="shared" si="7"/>
        <v>4025144.11</v>
      </c>
      <c r="W18" s="33">
        <f ca="1">SUMIF(基础资产现金流!$A$2:A154,统计!A18,基础资产现金流!$G$2:$G$138)</f>
        <v>5780707.9500000002</v>
      </c>
      <c r="X18" s="33">
        <f t="shared" ca="1" si="8"/>
        <v>0</v>
      </c>
      <c r="Y18" s="33">
        <f t="shared" si="9"/>
        <v>3681534.25</v>
      </c>
      <c r="Z18" s="4">
        <f t="shared" si="10"/>
        <v>42735</v>
      </c>
      <c r="AA18" s="33">
        <f t="shared" si="11"/>
        <v>972677.26</v>
      </c>
      <c r="AB18" s="354" t="s">
        <v>92</v>
      </c>
      <c r="AC18" s="354">
        <v>12</v>
      </c>
      <c r="AD18" s="31" t="s">
        <v>202</v>
      </c>
      <c r="AE18" s="48"/>
      <c r="AF18" s="31" t="s">
        <v>63</v>
      </c>
      <c r="AG18" s="49" t="s">
        <v>93</v>
      </c>
      <c r="AH18" s="49" t="s">
        <v>203</v>
      </c>
      <c r="AI18" s="472" t="s">
        <v>212</v>
      </c>
      <c r="AJ18" s="35" t="s">
        <v>78</v>
      </c>
      <c r="AK18" s="31">
        <f t="shared" si="12"/>
        <v>509</v>
      </c>
      <c r="AL18" s="31">
        <f t="shared" si="13"/>
        <v>1</v>
      </c>
      <c r="AM18" s="31" t="str">
        <f t="shared" si="14"/>
        <v>一到二年以内</v>
      </c>
      <c r="AN18" s="31" t="str">
        <f>LOOKUP(D18,{0.1,12.1,24.1,36.1},{"一年以内","一到二年以内","二到三年以内"})</f>
        <v>一到二年以内</v>
      </c>
      <c r="AO18" s="31" t="str">
        <f t="shared" si="15"/>
        <v>3000万（不含）到5000万（含）</v>
      </c>
      <c r="AP18" s="123">
        <f t="shared" si="16"/>
        <v>2886400</v>
      </c>
      <c r="AQ18" s="4">
        <v>42909</v>
      </c>
      <c r="AR18" s="153">
        <f t="shared" si="17"/>
        <v>16.688524590163933</v>
      </c>
      <c r="AS18" s="153">
        <f t="shared" si="18"/>
        <v>587436065.5737704</v>
      </c>
      <c r="AT18" s="408">
        <f t="shared" si="19"/>
        <v>2640000</v>
      </c>
    </row>
    <row r="19" spans="1:46" x14ac:dyDescent="0.25">
      <c r="A19" s="31" t="s">
        <v>191</v>
      </c>
      <c r="B19" s="355">
        <v>1</v>
      </c>
      <c r="C19" s="52">
        <f t="shared" si="0"/>
        <v>960000000</v>
      </c>
      <c r="D19" s="27">
        <f t="shared" si="1"/>
        <v>24</v>
      </c>
      <c r="E19" s="51">
        <f t="shared" si="2"/>
        <v>680000000</v>
      </c>
      <c r="F19" s="27">
        <f t="shared" si="3"/>
        <v>17</v>
      </c>
      <c r="G19" s="291">
        <v>42402</v>
      </c>
      <c r="H19" s="4">
        <v>43133</v>
      </c>
      <c r="I19" s="28">
        <v>7.5999999999999998E-2</v>
      </c>
      <c r="J19" s="28">
        <f t="shared" si="20"/>
        <v>7.0000000000000007E-2</v>
      </c>
      <c r="K19" s="406">
        <f t="shared" si="4"/>
        <v>342575.34</v>
      </c>
      <c r="L19" s="28">
        <v>7.4999999999999997E-2</v>
      </c>
      <c r="M19" s="406">
        <f t="shared" si="5"/>
        <v>57095.89</v>
      </c>
      <c r="N19" s="36">
        <v>365</v>
      </c>
      <c r="O19" s="474"/>
      <c r="P19" s="484" t="s">
        <v>200</v>
      </c>
      <c r="Q19" s="476">
        <v>300000000</v>
      </c>
      <c r="R19" s="34"/>
      <c r="S19" s="4">
        <f>基础资产现金流!$I$2</f>
        <v>42612</v>
      </c>
      <c r="T19" s="487">
        <v>40000000</v>
      </c>
      <c r="U19" s="32">
        <f t="shared" si="6"/>
        <v>6088328.7699999996</v>
      </c>
      <c r="V19" s="33">
        <f t="shared" si="7"/>
        <v>4339287.67</v>
      </c>
      <c r="W19" s="33">
        <f ca="1">SUMIF(基础资产现金流!$A$2:A155,统计!A19,基础资产现金流!$G$2:$G$138)</f>
        <v>6088328.7699999996</v>
      </c>
      <c r="X19" s="33">
        <f t="shared" ca="1" si="8"/>
        <v>0</v>
      </c>
      <c r="Y19" s="33">
        <f t="shared" si="9"/>
        <v>4282191.78</v>
      </c>
      <c r="Z19" s="4">
        <f t="shared" si="10"/>
        <v>42735</v>
      </c>
      <c r="AA19" s="33">
        <f t="shared" si="11"/>
        <v>1024438.36</v>
      </c>
      <c r="AB19" s="354" t="s">
        <v>85</v>
      </c>
      <c r="AC19" s="354">
        <v>12</v>
      </c>
      <c r="AD19" s="31" t="s">
        <v>207</v>
      </c>
      <c r="AE19" s="48"/>
      <c r="AF19" s="31" t="s">
        <v>63</v>
      </c>
      <c r="AG19" s="49" t="s">
        <v>204</v>
      </c>
      <c r="AH19" s="49" t="s">
        <v>205</v>
      </c>
      <c r="AI19" s="472" t="s">
        <v>211</v>
      </c>
      <c r="AJ19" s="35" t="s">
        <v>71</v>
      </c>
      <c r="AK19" s="31">
        <f t="shared" si="12"/>
        <v>521</v>
      </c>
      <c r="AL19" s="31">
        <f t="shared" si="13"/>
        <v>1</v>
      </c>
      <c r="AM19" s="31" t="str">
        <f t="shared" si="14"/>
        <v>一到二年以内</v>
      </c>
      <c r="AN19" s="31" t="str">
        <f>LOOKUP(D19,{0.1,12.1,24.1,36.1},{"一年以内","一到二年以内","二到三年以内"})</f>
        <v>一到二年以内</v>
      </c>
      <c r="AO19" s="31" t="str">
        <f t="shared" si="15"/>
        <v>3000万（不含）到5000万（含）</v>
      </c>
      <c r="AP19" s="123">
        <f t="shared" si="16"/>
        <v>3040000</v>
      </c>
      <c r="AQ19" s="4">
        <v>43105</v>
      </c>
      <c r="AR19" s="153">
        <f t="shared" si="17"/>
        <v>17.081967213114755</v>
      </c>
      <c r="AS19" s="153">
        <f t="shared" si="18"/>
        <v>683278688.52459013</v>
      </c>
      <c r="AT19" s="408">
        <f t="shared" si="19"/>
        <v>3000000</v>
      </c>
    </row>
    <row r="20" spans="1:46" x14ac:dyDescent="0.25">
      <c r="A20" s="31" t="s">
        <v>194</v>
      </c>
      <c r="B20" s="355">
        <v>1</v>
      </c>
      <c r="C20" s="52">
        <f t="shared" si="0"/>
        <v>1200000000</v>
      </c>
      <c r="D20" s="27">
        <f t="shared" si="1"/>
        <v>24</v>
      </c>
      <c r="E20" s="51">
        <f t="shared" si="2"/>
        <v>800000000</v>
      </c>
      <c r="F20" s="27">
        <f t="shared" si="3"/>
        <v>16</v>
      </c>
      <c r="G20" s="291">
        <v>42396</v>
      </c>
      <c r="H20" s="4">
        <v>43127</v>
      </c>
      <c r="I20" s="28">
        <v>7.5999999999999998E-2</v>
      </c>
      <c r="J20" s="28">
        <f t="shared" si="20"/>
        <v>7.0000000000000007E-2</v>
      </c>
      <c r="K20" s="406">
        <f t="shared" si="4"/>
        <v>423287.67</v>
      </c>
      <c r="L20" s="28">
        <v>7.4999999999999997E-2</v>
      </c>
      <c r="M20" s="406">
        <f t="shared" si="5"/>
        <v>70547.95</v>
      </c>
      <c r="N20" s="36">
        <v>365</v>
      </c>
      <c r="O20" s="475"/>
      <c r="P20" s="484" t="s">
        <v>201</v>
      </c>
      <c r="Q20" s="476">
        <v>300000000</v>
      </c>
      <c r="R20" s="31"/>
      <c r="S20" s="4">
        <f>基础资产现金流!$I$2</f>
        <v>42612</v>
      </c>
      <c r="T20" s="399">
        <v>50000000</v>
      </c>
      <c r="U20" s="32">
        <f t="shared" si="6"/>
        <v>7610410.96</v>
      </c>
      <c r="V20" s="33">
        <f t="shared" si="7"/>
        <v>5361643.84</v>
      </c>
      <c r="W20" s="33">
        <f ca="1">SUMIF(基础资产现金流!$A$2:A156,统计!A20,基础资产现金流!$G$2:$G$138)</f>
        <v>7610410.96</v>
      </c>
      <c r="X20" s="33">
        <f t="shared" ca="1" si="8"/>
        <v>0</v>
      </c>
      <c r="Y20" s="33">
        <f t="shared" si="9"/>
        <v>5291095.8899999997</v>
      </c>
      <c r="Z20" s="4">
        <f t="shared" si="10"/>
        <v>42735</v>
      </c>
      <c r="AA20" s="33">
        <f t="shared" si="11"/>
        <v>1280547.95</v>
      </c>
      <c r="AB20" s="31" t="s">
        <v>57</v>
      </c>
      <c r="AC20" s="31">
        <v>12</v>
      </c>
      <c r="AD20" s="31" t="s">
        <v>206</v>
      </c>
      <c r="AE20" s="367"/>
      <c r="AF20" s="31" t="s">
        <v>63</v>
      </c>
      <c r="AG20" s="49" t="s">
        <v>208</v>
      </c>
      <c r="AH20" s="49" t="s">
        <v>209</v>
      </c>
      <c r="AI20" s="38"/>
      <c r="AJ20" s="35" t="s">
        <v>71</v>
      </c>
      <c r="AK20" s="31">
        <f t="shared" si="12"/>
        <v>515</v>
      </c>
      <c r="AL20" s="31">
        <f t="shared" si="13"/>
        <v>1</v>
      </c>
      <c r="AM20" s="31" t="str">
        <f t="shared" si="14"/>
        <v>一到二年以内</v>
      </c>
      <c r="AN20" s="31" t="str">
        <f>LOOKUP(D20,{0.1,12.1,24.1,36.1},{"一年以内","一到二年以内","二到三年以内"})</f>
        <v>一到二年以内</v>
      </c>
      <c r="AO20" s="31" t="str">
        <f t="shared" si="15"/>
        <v>3000万（不含）到5000万（含）</v>
      </c>
      <c r="AP20" s="123">
        <f t="shared" si="16"/>
        <v>3800000</v>
      </c>
      <c r="AQ20" s="39">
        <v>43112</v>
      </c>
      <c r="AR20" s="153">
        <f t="shared" si="17"/>
        <v>16.885245901639344</v>
      </c>
      <c r="AS20" s="153">
        <f t="shared" si="18"/>
        <v>844262295.08196723</v>
      </c>
      <c r="AT20" s="408">
        <f t="shared" si="19"/>
        <v>3750000</v>
      </c>
    </row>
    <row r="21" spans="1:46" x14ac:dyDescent="0.25">
      <c r="A21" s="23" t="s">
        <v>16</v>
      </c>
      <c r="B21" s="26">
        <v>1</v>
      </c>
      <c r="C21" s="52">
        <f t="shared" si="0"/>
        <v>720000000</v>
      </c>
      <c r="D21" s="27">
        <f t="shared" si="1"/>
        <v>24</v>
      </c>
      <c r="E21" s="51">
        <f t="shared" si="2"/>
        <v>60000000</v>
      </c>
      <c r="F21" s="27">
        <f t="shared" si="3"/>
        <v>2</v>
      </c>
      <c r="G21" s="291">
        <v>41943</v>
      </c>
      <c r="H21" s="4">
        <v>42674</v>
      </c>
      <c r="I21" s="28">
        <v>0.108</v>
      </c>
      <c r="J21" s="28">
        <f t="shared" si="20"/>
        <v>7.0000000000000007E-2</v>
      </c>
      <c r="K21" s="406">
        <f t="shared" si="4"/>
        <v>193643.84</v>
      </c>
      <c r="L21" s="28">
        <v>7.4999999999999997E-2</v>
      </c>
      <c r="M21" s="406">
        <f t="shared" si="5"/>
        <v>168164.38</v>
      </c>
      <c r="N21" s="36">
        <v>365</v>
      </c>
      <c r="O21" s="475"/>
      <c r="P21" s="481" t="s">
        <v>6</v>
      </c>
      <c r="Q21" s="476">
        <v>300000000</v>
      </c>
      <c r="R21" s="31"/>
      <c r="S21" s="4">
        <f>基础资产现金流!$I$2</f>
        <v>42612</v>
      </c>
      <c r="T21" s="488">
        <v>30000000</v>
      </c>
      <c r="U21" s="32">
        <f t="shared" si="6"/>
        <v>6488876.71</v>
      </c>
      <c r="V21" s="33">
        <f t="shared" si="7"/>
        <v>550356.16</v>
      </c>
      <c r="W21" s="33">
        <f ca="1">SUMIF(基础资产现金流!$A$2:A157,统计!A21,基础资产现金流!$G$2:$G$138)</f>
        <v>6488876.6999999993</v>
      </c>
      <c r="X21" s="33">
        <f t="shared" ca="1" si="8"/>
        <v>1.0000000707805157E-2</v>
      </c>
      <c r="Y21" s="33">
        <f t="shared" si="9"/>
        <v>382191.78</v>
      </c>
      <c r="Z21" s="4">
        <f t="shared" si="10"/>
        <v>42674</v>
      </c>
      <c r="AA21" s="33">
        <f t="shared" si="11"/>
        <v>550356.16</v>
      </c>
      <c r="AB21" s="354" t="s">
        <v>85</v>
      </c>
      <c r="AC21" s="31">
        <v>12</v>
      </c>
      <c r="AD21" s="31" t="s">
        <v>137</v>
      </c>
      <c r="AE21" s="367"/>
      <c r="AF21" s="31" t="s">
        <v>63</v>
      </c>
      <c r="AG21" s="31" t="s">
        <v>64</v>
      </c>
      <c r="AH21" s="31" t="s">
        <v>65</v>
      </c>
      <c r="AI21" s="49" t="s">
        <v>79</v>
      </c>
      <c r="AJ21" s="35" t="s">
        <v>67</v>
      </c>
      <c r="AK21" s="31">
        <f t="shared" si="12"/>
        <v>62</v>
      </c>
      <c r="AL21" s="31">
        <f t="shared" si="13"/>
        <v>0</v>
      </c>
      <c r="AM21" s="31" t="str">
        <f t="shared" si="14"/>
        <v>一年以内</v>
      </c>
      <c r="AN21" s="31" t="str">
        <f>LOOKUP(D21,{0.1,12.1,24.1,36.1},{"一年以内","一到二年以内","二到三年以内"})</f>
        <v>一到二年以内</v>
      </c>
      <c r="AO21" s="31" t="str">
        <f t="shared" si="15"/>
        <v>1000万（不含）至3000万（含）</v>
      </c>
      <c r="AP21" s="123">
        <f t="shared" si="16"/>
        <v>3240000</v>
      </c>
      <c r="AQ21" s="4">
        <v>43121</v>
      </c>
      <c r="AR21" s="153">
        <f t="shared" si="17"/>
        <v>2.0327868852459017</v>
      </c>
      <c r="AS21" s="153">
        <f t="shared" si="18"/>
        <v>60983606.557377048</v>
      </c>
      <c r="AT21" s="408">
        <f t="shared" si="19"/>
        <v>2250000</v>
      </c>
    </row>
    <row r="22" spans="1:46" x14ac:dyDescent="0.25">
      <c r="A22" s="23" t="s">
        <v>15</v>
      </c>
      <c r="B22" s="26">
        <v>1</v>
      </c>
      <c r="C22" s="52">
        <f t="shared" si="0"/>
        <v>1200000000</v>
      </c>
      <c r="D22" s="27">
        <f t="shared" si="1"/>
        <v>24</v>
      </c>
      <c r="E22" s="51">
        <f t="shared" si="2"/>
        <v>100000000</v>
      </c>
      <c r="F22" s="27">
        <f t="shared" si="3"/>
        <v>2</v>
      </c>
      <c r="G22" s="291">
        <v>41950</v>
      </c>
      <c r="H22" s="4">
        <v>42681</v>
      </c>
      <c r="I22" s="28">
        <v>0.108</v>
      </c>
      <c r="J22" s="28">
        <f t="shared" si="20"/>
        <v>7.0000000000000007E-2</v>
      </c>
      <c r="K22" s="406">
        <f t="shared" si="4"/>
        <v>359178.08</v>
      </c>
      <c r="L22" s="28">
        <v>7.4999999999999997E-2</v>
      </c>
      <c r="M22" s="406">
        <f t="shared" si="5"/>
        <v>311917.81</v>
      </c>
      <c r="N22" s="36">
        <v>365</v>
      </c>
      <c r="O22" s="475"/>
      <c r="P22" s="486" t="s">
        <v>5</v>
      </c>
      <c r="Q22" s="478">
        <v>0</v>
      </c>
      <c r="R22" s="31"/>
      <c r="S22" s="4">
        <f>基础资产现金流!$I$2</f>
        <v>42612</v>
      </c>
      <c r="T22" s="488">
        <v>50000000</v>
      </c>
      <c r="U22" s="32">
        <f t="shared" si="6"/>
        <v>10814794.52</v>
      </c>
      <c r="V22" s="33">
        <f t="shared" si="7"/>
        <v>1020821.92</v>
      </c>
      <c r="W22" s="33">
        <f ca="1">SUMIF(基础资产现金流!$A$2:A158,统计!A22,基础资产现金流!$G$2:$G$138)</f>
        <v>10814794.52</v>
      </c>
      <c r="X22" s="33">
        <f t="shared" ca="1" si="8"/>
        <v>0</v>
      </c>
      <c r="Y22" s="33">
        <f t="shared" si="9"/>
        <v>708904.11</v>
      </c>
      <c r="Z22" s="4">
        <f t="shared" si="10"/>
        <v>42681</v>
      </c>
      <c r="AA22" s="33">
        <f t="shared" si="11"/>
        <v>1020821.92</v>
      </c>
      <c r="AB22" s="354" t="s">
        <v>85</v>
      </c>
      <c r="AC22" s="31">
        <v>12</v>
      </c>
      <c r="AD22" s="31" t="s">
        <v>137</v>
      </c>
      <c r="AE22" s="367"/>
      <c r="AF22" s="31" t="s">
        <v>63</v>
      </c>
      <c r="AG22" s="31" t="s">
        <v>64</v>
      </c>
      <c r="AH22" s="31" t="s">
        <v>65</v>
      </c>
      <c r="AI22" s="49" t="s">
        <v>79</v>
      </c>
      <c r="AJ22" s="35" t="s">
        <v>210</v>
      </c>
      <c r="AK22" s="31">
        <f t="shared" si="12"/>
        <v>69</v>
      </c>
      <c r="AL22" s="31">
        <f t="shared" si="13"/>
        <v>0</v>
      </c>
      <c r="AM22" s="31" t="str">
        <f t="shared" si="14"/>
        <v>一年以内</v>
      </c>
      <c r="AN22" s="31" t="str">
        <f>LOOKUP(D22,{0.1,12.1,24.1,36.1},{"一年以内","一到二年以内","二到三年以内"})</f>
        <v>一到二年以内</v>
      </c>
      <c r="AO22" s="31" t="str">
        <f t="shared" si="15"/>
        <v>3000万（不含）到5000万（含）</v>
      </c>
      <c r="AP22" s="123">
        <f t="shared" si="16"/>
        <v>5400000</v>
      </c>
      <c r="AQ22" s="4">
        <v>43133</v>
      </c>
      <c r="AR22" s="153">
        <f t="shared" si="17"/>
        <v>2.262295081967213</v>
      </c>
      <c r="AS22" s="153">
        <f t="shared" si="18"/>
        <v>113114754.09836064</v>
      </c>
      <c r="AT22" s="408">
        <f t="shared" si="19"/>
        <v>3750000</v>
      </c>
    </row>
    <row r="23" spans="1:46" x14ac:dyDescent="0.25">
      <c r="A23" s="23" t="s">
        <v>14</v>
      </c>
      <c r="B23" s="26">
        <v>1</v>
      </c>
      <c r="C23" s="52">
        <f t="shared" si="0"/>
        <v>160800000</v>
      </c>
      <c r="D23" s="27">
        <f t="shared" si="1"/>
        <v>24</v>
      </c>
      <c r="E23" s="51">
        <f t="shared" si="2"/>
        <v>20100000</v>
      </c>
      <c r="F23" s="27">
        <f t="shared" si="3"/>
        <v>3</v>
      </c>
      <c r="G23" s="291">
        <v>41978</v>
      </c>
      <c r="H23" s="4">
        <v>42709</v>
      </c>
      <c r="I23" s="28">
        <v>0.108</v>
      </c>
      <c r="J23" s="28">
        <f t="shared" si="20"/>
        <v>7.0000000000000007E-2</v>
      </c>
      <c r="K23" s="406">
        <f t="shared" si="4"/>
        <v>67660.820000000007</v>
      </c>
      <c r="L23" s="28">
        <v>7.4999999999999997E-2</v>
      </c>
      <c r="M23" s="406">
        <f t="shared" si="5"/>
        <v>58758.080000000002</v>
      </c>
      <c r="N23" s="36">
        <v>365</v>
      </c>
      <c r="O23" s="475"/>
      <c r="P23" s="486" t="s">
        <v>3</v>
      </c>
      <c r="Q23" s="478">
        <v>0</v>
      </c>
      <c r="R23" s="31"/>
      <c r="S23" s="4">
        <f>基础资产现金流!$I$2</f>
        <v>42612</v>
      </c>
      <c r="T23" s="488">
        <v>6700000</v>
      </c>
      <c r="U23" s="32">
        <f t="shared" si="6"/>
        <v>1449182.47</v>
      </c>
      <c r="V23" s="33">
        <f t="shared" si="7"/>
        <v>192299.18</v>
      </c>
      <c r="W23" s="33">
        <f ca="1">SUMIF(基础资产现金流!$A$2:A159,统计!A23,基础资产现金流!$G$2:$G$138)</f>
        <v>1449182.46</v>
      </c>
      <c r="X23" s="33">
        <f t="shared" ca="1" si="8"/>
        <v>1.0000000009313226E-2</v>
      </c>
      <c r="Y23" s="33">
        <f t="shared" si="9"/>
        <v>133541.1</v>
      </c>
      <c r="Z23" s="4">
        <f t="shared" si="10"/>
        <v>42709</v>
      </c>
      <c r="AA23" s="33">
        <f t="shared" si="11"/>
        <v>192299.18</v>
      </c>
      <c r="AB23" s="354" t="s">
        <v>85</v>
      </c>
      <c r="AC23" s="31">
        <v>12</v>
      </c>
      <c r="AD23" s="31" t="s">
        <v>137</v>
      </c>
      <c r="AE23" s="367"/>
      <c r="AF23" s="31" t="s">
        <v>63</v>
      </c>
      <c r="AG23" s="31" t="s">
        <v>64</v>
      </c>
      <c r="AH23" s="31" t="s">
        <v>65</v>
      </c>
      <c r="AI23" s="49" t="s">
        <v>79</v>
      </c>
      <c r="AJ23" s="35" t="s">
        <v>78</v>
      </c>
      <c r="AK23" s="31">
        <f t="shared" si="12"/>
        <v>97</v>
      </c>
      <c r="AL23" s="31">
        <f t="shared" si="13"/>
        <v>0</v>
      </c>
      <c r="AM23" s="31" t="str">
        <f t="shared" si="14"/>
        <v>一年以内</v>
      </c>
      <c r="AN23" s="31" t="str">
        <f>LOOKUP(D23,{0.1,12.1,24.1,36.1},{"一年以内","一到二年以内","二到三年以内"})</f>
        <v>一到二年以内</v>
      </c>
      <c r="AO23" s="31" t="str">
        <f t="shared" si="15"/>
        <v>1000万（含）以下</v>
      </c>
      <c r="AP23" s="123">
        <f t="shared" si="16"/>
        <v>723600</v>
      </c>
      <c r="AQ23" s="4">
        <v>43127</v>
      </c>
      <c r="AR23" s="153">
        <f t="shared" si="17"/>
        <v>3.180327868852459</v>
      </c>
      <c r="AS23" s="153">
        <f t="shared" si="18"/>
        <v>21308196.721311476</v>
      </c>
      <c r="AT23" s="408">
        <f t="shared" si="19"/>
        <v>502500</v>
      </c>
    </row>
    <row r="24" spans="1:46" x14ac:dyDescent="0.25">
      <c r="A24" s="40"/>
      <c r="B24" s="41"/>
      <c r="C24" s="50">
        <f>ROUND(SUM(C2:C23)/$T$24,2)</f>
        <v>23.54</v>
      </c>
      <c r="D24" s="42"/>
      <c r="E24" s="42">
        <f>ROUND(SUM(E2:E23)/$T$24,2)</f>
        <v>10.99</v>
      </c>
      <c r="F24" s="42"/>
      <c r="G24" s="43"/>
      <c r="H24" s="359" t="s">
        <v>348</v>
      </c>
      <c r="I24" s="360">
        <f>AP24</f>
        <v>8.5751903435468901E-2</v>
      </c>
      <c r="J24" s="360"/>
      <c r="K24" s="409">
        <f>SUM(K2:K23)</f>
        <v>4593066.0200000005</v>
      </c>
      <c r="L24" s="410"/>
      <c r="M24" s="407">
        <f>SUM(M2:M23)</f>
        <v>2061309.8499999996</v>
      </c>
      <c r="N24" s="362"/>
      <c r="O24" s="361"/>
      <c r="P24" s="480"/>
      <c r="Q24" s="427">
        <f>SUM(Q2:Q23)</f>
        <v>6929350000</v>
      </c>
      <c r="R24" s="363"/>
      <c r="S24" s="359"/>
      <c r="T24" s="364">
        <f>SUM(T2:T23)</f>
        <v>538500000</v>
      </c>
      <c r="U24" s="364">
        <f>SUM(U2:U23)</f>
        <v>90811691.519999966</v>
      </c>
      <c r="V24" s="364">
        <f>SUM(V2:V23)</f>
        <v>40373652.32</v>
      </c>
      <c r="W24" s="364"/>
      <c r="X24" s="364"/>
      <c r="Y24" s="44">
        <f>SUM(Y2:Y23)</f>
        <v>38336342.450000003</v>
      </c>
      <c r="Z24" s="4"/>
      <c r="AA24" s="33">
        <f>SUM(AA2:AA23)</f>
        <v>13858922.189999998</v>
      </c>
      <c r="AB24" s="45"/>
      <c r="AC24" s="45"/>
      <c r="AD24" s="45"/>
      <c r="AE24" s="368"/>
      <c r="AF24" s="45"/>
      <c r="AG24" s="45"/>
      <c r="AH24" s="45"/>
      <c r="AI24" s="45"/>
      <c r="AJ24" s="45"/>
      <c r="AK24" s="45"/>
      <c r="AL24" s="46"/>
      <c r="AM24" s="45"/>
      <c r="AN24" s="46"/>
      <c r="AO24" s="31"/>
      <c r="AP24" s="123">
        <f>SUM(AP2:AP23)/$T$24</f>
        <v>8.5751903435468901E-2</v>
      </c>
      <c r="AR24" s="153"/>
      <c r="AS24" s="153">
        <f>SUM(AS2:AS23)/T24</f>
        <v>11.359434981810434</v>
      </c>
      <c r="AT24" s="87">
        <f>SUM(AT2:AT23)/T24</f>
        <v>7.4999999999999997E-2</v>
      </c>
    </row>
    <row r="25" spans="1:46" ht="15" customHeight="1" x14ac:dyDescent="0.25">
      <c r="A25" s="48"/>
      <c r="B25" s="48"/>
      <c r="C25" s="48"/>
      <c r="D25" s="48"/>
      <c r="E25" s="48"/>
      <c r="F25" s="48"/>
      <c r="G25" s="48"/>
      <c r="H25" s="48"/>
      <c r="I25" s="48"/>
      <c r="J25" s="48"/>
      <c r="K25" s="48"/>
      <c r="L25" s="48"/>
      <c r="M25" s="48"/>
      <c r="N25" s="48"/>
      <c r="O25" s="48"/>
      <c r="P25" s="48"/>
      <c r="Q25" s="48"/>
      <c r="R25" s="48"/>
      <c r="S25" s="48"/>
      <c r="T25" s="121">
        <f>T24/22</f>
        <v>24477272.727272727</v>
      </c>
      <c r="U25" s="48"/>
      <c r="V25" s="48"/>
      <c r="W25" s="48"/>
      <c r="X25" s="48"/>
      <c r="Y25" s="121"/>
      <c r="Z25" s="48"/>
      <c r="AA25" s="48"/>
      <c r="AB25" s="48"/>
      <c r="AC25" s="48"/>
      <c r="AD25" s="48"/>
      <c r="AF25" s="48"/>
      <c r="AG25" s="48"/>
      <c r="AH25" s="48"/>
      <c r="AI25" s="48"/>
      <c r="AJ25" s="48"/>
      <c r="AK25" s="48"/>
      <c r="AL25" s="48"/>
      <c r="AM25" s="48"/>
      <c r="AN25" s="48"/>
      <c r="AO25" s="48"/>
    </row>
    <row r="26" spans="1:46" x14ac:dyDescent="0.25">
      <c r="I26" s="123"/>
      <c r="J26" s="123"/>
      <c r="K26" s="123"/>
      <c r="L26" s="123" t="s">
        <v>34</v>
      </c>
      <c r="M26" s="4">
        <f>S2</f>
        <v>42612</v>
      </c>
      <c r="U26" s="25" t="s">
        <v>83</v>
      </c>
      <c r="V26" s="25" t="s">
        <v>83</v>
      </c>
      <c r="Y26" s="25" t="s">
        <v>285</v>
      </c>
      <c r="Z26" s="47">
        <v>42735</v>
      </c>
      <c r="AA26" s="64"/>
    </row>
    <row r="27" spans="1:46" x14ac:dyDescent="0.25">
      <c r="E27" s="25" t="s">
        <v>219</v>
      </c>
      <c r="F27" s="25">
        <f>MAX(F2:F23)</f>
        <v>17</v>
      </c>
      <c r="I27" s="123"/>
      <c r="J27" s="123"/>
      <c r="K27" s="123"/>
      <c r="L27" s="123"/>
      <c r="M27" s="123"/>
      <c r="T27" s="284">
        <f>T18/T24</f>
        <v>6.5366759517177339E-2</v>
      </c>
      <c r="U27" s="153">
        <f>U24+T24</f>
        <v>629311691.51999998</v>
      </c>
      <c r="V27" s="153">
        <f>T24+V24</f>
        <v>578873652.32000005</v>
      </c>
      <c r="W27" s="153"/>
      <c r="X27" s="153"/>
      <c r="Y27" s="153">
        <f>Y24-V24</f>
        <v>-2037309.8699999973</v>
      </c>
    </row>
    <row r="28" spans="1:46" x14ac:dyDescent="0.25">
      <c r="E28" s="25" t="s">
        <v>220</v>
      </c>
      <c r="F28" s="25">
        <f>MIN(F2:F23)</f>
        <v>2</v>
      </c>
      <c r="I28" s="123"/>
      <c r="J28" s="123"/>
      <c r="K28" s="123"/>
      <c r="L28" s="123"/>
      <c r="M28" s="123"/>
      <c r="T28" s="87">
        <f>1-T27</f>
        <v>0.9346332404828227</v>
      </c>
      <c r="U28" s="25" t="s">
        <v>292</v>
      </c>
      <c r="V28" s="153">
        <f>投资者收益测算表!C39</f>
        <v>578873652.32000005</v>
      </c>
      <c r="W28" s="153"/>
      <c r="X28" s="153"/>
      <c r="Y28" s="153"/>
    </row>
    <row r="29" spans="1:46" x14ac:dyDescent="0.25">
      <c r="I29" s="123"/>
      <c r="J29" s="123"/>
      <c r="K29" s="123"/>
      <c r="L29" s="123"/>
      <c r="M29" s="123"/>
      <c r="N29" s="87"/>
      <c r="U29" s="25" t="s">
        <v>286</v>
      </c>
      <c r="V29" s="231">
        <f>V27-V28</f>
        <v>0</v>
      </c>
      <c r="W29" s="231"/>
      <c r="X29" s="231"/>
    </row>
    <row r="30" spans="1:46" x14ac:dyDescent="0.25">
      <c r="I30" s="357"/>
      <c r="J30" s="357"/>
      <c r="K30" s="357"/>
      <c r="L30" s="123"/>
      <c r="M30" s="123"/>
    </row>
    <row r="31" spans="1:46" x14ac:dyDescent="0.25">
      <c r="I31" s="28"/>
      <c r="J31" s="154"/>
      <c r="K31" s="154"/>
      <c r="L31" s="154"/>
      <c r="M31" s="154"/>
      <c r="N31" s="123"/>
    </row>
    <row r="32" spans="1:46" x14ac:dyDescent="0.25">
      <c r="I32" s="28"/>
      <c r="J32" s="154"/>
      <c r="K32" s="154"/>
      <c r="L32" s="154"/>
      <c r="M32" s="154"/>
      <c r="N32" s="123"/>
      <c r="T32" s="466">
        <f>T12/T24</f>
        <v>5.8124419684308266E-2</v>
      </c>
      <c r="U32" s="25" t="s">
        <v>305</v>
      </c>
      <c r="V32" s="284">
        <f>V27/投资者收益测算表!C43</f>
        <v>1.5645233846486488</v>
      </c>
      <c r="W32" s="284"/>
      <c r="X32" s="284"/>
    </row>
    <row r="33" spans="8:41" x14ac:dyDescent="0.25">
      <c r="H33" s="356">
        <v>42628</v>
      </c>
      <c r="I33" s="28"/>
      <c r="J33" s="154"/>
      <c r="K33" s="154"/>
      <c r="L33" s="154"/>
      <c r="M33" s="154"/>
      <c r="N33" s="357"/>
      <c r="O33" s="48"/>
      <c r="P33" s="48"/>
      <c r="Q33" s="48"/>
      <c r="R33" s="48"/>
      <c r="S33" s="48"/>
      <c r="T33" s="48"/>
      <c r="U33" s="48" t="s">
        <v>307</v>
      </c>
      <c r="V33" s="358">
        <f>V28/(投资者收益测算表!C43+投资者收益测算表!C44)</f>
        <v>1.5645233846486488</v>
      </c>
      <c r="W33" s="358"/>
      <c r="X33" s="358"/>
      <c r="Y33" s="48"/>
      <c r="Z33" s="48"/>
      <c r="AA33" s="48"/>
      <c r="AB33" s="48"/>
      <c r="AC33" s="48"/>
      <c r="AD33" s="48"/>
      <c r="AE33" s="48"/>
      <c r="AF33" s="48"/>
      <c r="AI33" s="48"/>
      <c r="AJ33" s="48"/>
      <c r="AK33" s="48"/>
      <c r="AL33" s="48"/>
      <c r="AM33" s="48"/>
      <c r="AN33" s="48"/>
      <c r="AO33" s="48"/>
    </row>
    <row r="34" spans="8:41" x14ac:dyDescent="0.25">
      <c r="I34" s="28"/>
      <c r="J34" s="154"/>
      <c r="K34" s="154"/>
      <c r="L34" s="154"/>
      <c r="M34" s="154"/>
      <c r="N34" s="123"/>
      <c r="U34" s="25" t="s">
        <v>308</v>
      </c>
      <c r="V34" s="284">
        <f>V27/(投资者收益测算表!C43+投资者收益测算表!C44+投资者收益测算表!C45)</f>
        <v>1.5645233846486488</v>
      </c>
      <c r="W34" s="284"/>
      <c r="X34" s="284"/>
    </row>
    <row r="35" spans="8:41" x14ac:dyDescent="0.25">
      <c r="I35" s="28"/>
      <c r="J35" s="154"/>
      <c r="K35" s="154"/>
      <c r="L35" s="154"/>
      <c r="M35" s="154"/>
      <c r="N35" s="123"/>
      <c r="P35" s="30"/>
    </row>
    <row r="36" spans="8:41" x14ac:dyDescent="0.25">
      <c r="I36" s="28"/>
      <c r="J36" s="154"/>
      <c r="K36" s="154"/>
      <c r="L36" s="154"/>
      <c r="M36" s="154"/>
      <c r="N36" s="123"/>
      <c r="P36" s="30"/>
      <c r="U36" s="25" t="s">
        <v>361</v>
      </c>
      <c r="V36" s="153">
        <f>投资者收益测算表!J104</f>
        <v>9.1257155516171924</v>
      </c>
    </row>
    <row r="37" spans="8:41" x14ac:dyDescent="0.25">
      <c r="I37" s="28"/>
      <c r="J37" s="154"/>
      <c r="K37" s="154"/>
      <c r="L37" s="154"/>
      <c r="M37" s="154"/>
      <c r="N37" s="123"/>
      <c r="P37" s="30"/>
      <c r="U37" s="25" t="s">
        <v>403</v>
      </c>
      <c r="V37" s="25">
        <f>(投资者收益测算表!B36-投资者收益测算表!B28)/30.5</f>
        <v>15.672131147540984</v>
      </c>
    </row>
    <row r="38" spans="8:41" x14ac:dyDescent="0.25">
      <c r="I38" s="28"/>
      <c r="J38" s="154"/>
      <c r="K38" s="154"/>
      <c r="L38" s="154"/>
      <c r="M38" s="154"/>
      <c r="N38" s="123"/>
      <c r="P38" s="30"/>
      <c r="U38" s="25" t="s">
        <v>404</v>
      </c>
      <c r="V38" s="25">
        <f>(投资者收益测算表!B38-投资者收益测算表!B28)/30.5</f>
        <v>17.180327868852459</v>
      </c>
    </row>
    <row r="39" spans="8:41" x14ac:dyDescent="0.25">
      <c r="I39" s="28"/>
      <c r="J39" s="154"/>
      <c r="K39" s="154"/>
      <c r="L39" s="154"/>
      <c r="M39" s="154"/>
      <c r="N39" s="123"/>
      <c r="P39" s="30"/>
      <c r="U39" s="25" t="s">
        <v>405</v>
      </c>
    </row>
    <row r="40" spans="8:41" x14ac:dyDescent="0.25">
      <c r="I40" s="28"/>
      <c r="J40" s="154"/>
      <c r="K40" s="154"/>
      <c r="L40" s="154"/>
      <c r="M40" s="154"/>
      <c r="N40" s="123"/>
      <c r="P40" s="30"/>
    </row>
    <row r="41" spans="8:41" x14ac:dyDescent="0.25">
      <c r="I41" s="28"/>
      <c r="J41" s="154"/>
      <c r="K41" s="154"/>
      <c r="L41" s="154"/>
      <c r="M41" s="154"/>
      <c r="N41" s="123"/>
      <c r="P41" s="30"/>
    </row>
    <row r="42" spans="8:41" x14ac:dyDescent="0.25">
      <c r="I42" s="28"/>
      <c r="J42" s="154"/>
      <c r="K42" s="154"/>
      <c r="L42" s="154"/>
      <c r="M42" s="154"/>
      <c r="N42" s="123"/>
      <c r="P42" s="30"/>
      <c r="U42" s="25" t="s">
        <v>362</v>
      </c>
    </row>
    <row r="43" spans="8:41" x14ac:dyDescent="0.25">
      <c r="I43" s="28"/>
      <c r="J43" s="154"/>
      <c r="K43" s="154"/>
      <c r="L43" s="154"/>
      <c r="M43" s="154"/>
      <c r="N43" s="123"/>
      <c r="P43" s="30"/>
      <c r="U43" s="25" t="s">
        <v>363</v>
      </c>
      <c r="V43" s="153">
        <f>AS24</f>
        <v>11.359434981810434</v>
      </c>
    </row>
    <row r="44" spans="8:41" x14ac:dyDescent="0.25">
      <c r="I44" s="28"/>
      <c r="J44" s="154"/>
      <c r="K44" s="154"/>
      <c r="L44" s="154"/>
      <c r="M44" s="154"/>
      <c r="N44" s="123"/>
      <c r="P44" s="34"/>
      <c r="U44" s="25" t="s">
        <v>364</v>
      </c>
      <c r="V44" s="153">
        <f>MAX(AR2:AR23)</f>
        <v>17.081967213114755</v>
      </c>
    </row>
    <row r="45" spans="8:41" x14ac:dyDescent="0.25">
      <c r="I45" s="28"/>
      <c r="J45" s="154"/>
      <c r="K45" s="154"/>
      <c r="L45" s="154"/>
      <c r="M45" s="154"/>
      <c r="N45" s="123"/>
      <c r="P45" s="34"/>
      <c r="U45" s="25" t="s">
        <v>365</v>
      </c>
      <c r="V45" s="153">
        <f>MIN(AR2:AR23)</f>
        <v>2.0327868852459017</v>
      </c>
    </row>
    <row r="46" spans="8:41" x14ac:dyDescent="0.25">
      <c r="I46" s="28"/>
      <c r="J46" s="154"/>
      <c r="K46" s="154"/>
      <c r="L46" s="154"/>
      <c r="M46" s="154"/>
      <c r="N46" s="123"/>
      <c r="P46" s="37"/>
    </row>
    <row r="47" spans="8:41" x14ac:dyDescent="0.25">
      <c r="I47" s="28"/>
      <c r="J47" s="154"/>
      <c r="K47" s="154"/>
      <c r="L47" s="154"/>
      <c r="M47" s="154"/>
      <c r="N47" s="123"/>
      <c r="P47" s="34"/>
    </row>
    <row r="48" spans="8:41" x14ac:dyDescent="0.25">
      <c r="P48" s="34"/>
    </row>
    <row r="49" spans="16:16" x14ac:dyDescent="0.25">
      <c r="P49" s="34"/>
    </row>
    <row r="50" spans="16:16" x14ac:dyDescent="0.25">
      <c r="P50" s="34"/>
    </row>
    <row r="51" spans="16:16" x14ac:dyDescent="0.25">
      <c r="P51" s="34"/>
    </row>
    <row r="52" spans="16:16" x14ac:dyDescent="0.25">
      <c r="P52" s="34"/>
    </row>
    <row r="53" spans="16:16" x14ac:dyDescent="0.25">
      <c r="P53" s="31"/>
    </row>
    <row r="54" spans="16:16" x14ac:dyDescent="0.25">
      <c r="P54" s="31"/>
    </row>
    <row r="55" spans="16:16" x14ac:dyDescent="0.25">
      <c r="P55" s="31"/>
    </row>
    <row r="56" spans="16:16" x14ac:dyDescent="0.25">
      <c r="P56" s="31"/>
    </row>
  </sheetData>
  <sortState ref="A2:AT29">
    <sortCondition ref="A2"/>
  </sortState>
  <phoneticPr fontId="32" type="noConversion"/>
  <pageMargins left="0.7" right="0.7" top="0.75" bottom="0.75" header="0.3" footer="0.3"/>
  <pageSetup paperSize="9" scale="74" orientation="landscape" horizontalDpi="0" verticalDpi="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3"/>
  <sheetViews>
    <sheetView workbookViewId="0">
      <selection activeCell="M30" sqref="M30"/>
    </sheetView>
  </sheetViews>
  <sheetFormatPr baseColWidth="10" defaultRowHeight="18" x14ac:dyDescent="0.25"/>
  <cols>
    <col min="2" max="2" width="17.42578125" bestFit="1" customWidth="1"/>
    <col min="3" max="5" width="14.5703125" bestFit="1" customWidth="1"/>
    <col min="6" max="6" width="19.42578125" customWidth="1"/>
    <col min="7" max="7" width="11" bestFit="1" customWidth="1"/>
    <col min="8" max="8" width="14.7109375" customWidth="1"/>
    <col min="9" max="10" width="16" customWidth="1"/>
    <col min="11" max="11" width="12.42578125" bestFit="1" customWidth="1"/>
  </cols>
  <sheetData>
    <row r="2" spans="2:11" x14ac:dyDescent="0.25">
      <c r="B2" t="s">
        <v>386</v>
      </c>
      <c r="C2" s="397">
        <v>7.4999999999999997E-2</v>
      </c>
    </row>
    <row r="3" spans="2:11" x14ac:dyDescent="0.25">
      <c r="B3" t="s">
        <v>387</v>
      </c>
      <c r="C3" s="397">
        <v>1E-3</v>
      </c>
    </row>
    <row r="4" spans="2:11" x14ac:dyDescent="0.25">
      <c r="B4" t="s">
        <v>388</v>
      </c>
      <c r="C4" s="397">
        <v>4.0000000000000002E-4</v>
      </c>
    </row>
    <row r="5" spans="2:11" x14ac:dyDescent="0.25">
      <c r="B5" t="s">
        <v>56</v>
      </c>
      <c r="C5" s="401">
        <v>365</v>
      </c>
    </row>
    <row r="7" spans="2:11" ht="19" thickBot="1" x14ac:dyDescent="0.3"/>
    <row r="8" spans="2:11" x14ac:dyDescent="0.25">
      <c r="B8" s="217"/>
      <c r="C8" s="403" t="s">
        <v>383</v>
      </c>
      <c r="D8" s="403" t="s">
        <v>245</v>
      </c>
      <c r="E8" s="403" t="s">
        <v>384</v>
      </c>
      <c r="F8" s="403" t="s">
        <v>385</v>
      </c>
      <c r="G8" s="403" t="s">
        <v>389</v>
      </c>
      <c r="H8" s="403" t="s">
        <v>390</v>
      </c>
      <c r="I8" s="403" t="s">
        <v>355</v>
      </c>
      <c r="J8" s="403" t="s">
        <v>391</v>
      </c>
      <c r="K8" s="400" t="s">
        <v>265</v>
      </c>
    </row>
    <row r="9" spans="2:11" x14ac:dyDescent="0.25">
      <c r="B9" s="347">
        <f>投资者收益测算表!B28-1</f>
        <v>42611</v>
      </c>
      <c r="C9" s="191">
        <f>投资者收益测算表!C44+投资者收益测算表!C45</f>
        <v>0</v>
      </c>
      <c r="D9" s="191">
        <v>0</v>
      </c>
      <c r="E9" s="191">
        <f>C9-D9</f>
        <v>0</v>
      </c>
      <c r="F9" s="191">
        <v>0</v>
      </c>
      <c r="G9" s="191">
        <v>0</v>
      </c>
      <c r="H9" s="191">
        <v>0</v>
      </c>
      <c r="I9" s="191">
        <v>0</v>
      </c>
      <c r="J9" s="191">
        <v>0</v>
      </c>
      <c r="K9" s="404"/>
    </row>
    <row r="10" spans="2:11" x14ac:dyDescent="0.25">
      <c r="B10" s="347">
        <f>投资者收益测算表!B31</f>
        <v>42732</v>
      </c>
      <c r="C10" s="191">
        <f>C9-D9</f>
        <v>0</v>
      </c>
      <c r="D10" s="191">
        <v>0</v>
      </c>
      <c r="E10" s="191">
        <f t="shared" ref="E10:E13" si="0">C10-D10</f>
        <v>0</v>
      </c>
      <c r="F10" s="191">
        <f>ROUND(C10*$C$2*(B10-B9)/$C$5,2)</f>
        <v>0</v>
      </c>
      <c r="G10" s="191">
        <f>ROUND(C10*$C$3*(B10-B9)/$C$5,2)</f>
        <v>0</v>
      </c>
      <c r="H10" s="191">
        <f>ROUND(C10*$C$4*(B10-B9)/$C$5,2)</f>
        <v>0</v>
      </c>
      <c r="I10" s="191">
        <f>SUM(F10:H10)</f>
        <v>0</v>
      </c>
      <c r="J10" s="191">
        <f>投资者收益测算表!E31+投资者收益测算表!F31</f>
        <v>0</v>
      </c>
      <c r="K10" s="349">
        <f>J10-I10</f>
        <v>0</v>
      </c>
    </row>
    <row r="11" spans="2:11" x14ac:dyDescent="0.25">
      <c r="B11" s="347">
        <f>投资者收益测算表!B34</f>
        <v>42912</v>
      </c>
      <c r="C11" s="191">
        <f t="shared" ref="C11:C13" si="1">C10-D10</f>
        <v>0</v>
      </c>
      <c r="D11" s="191">
        <v>0</v>
      </c>
      <c r="E11" s="191">
        <f t="shared" si="0"/>
        <v>0</v>
      </c>
      <c r="F11" s="191">
        <f t="shared" ref="F11:F13" si="2">ROUND(C11*$C$2*(B11-B10)/$C$5,2)</f>
        <v>0</v>
      </c>
      <c r="G11" s="191">
        <f t="shared" ref="G11:G13" si="3">ROUND(C11*$C$3*(B11-B10)/$C$5,2)</f>
        <v>0</v>
      </c>
      <c r="H11" s="191">
        <f t="shared" ref="H11:H13" si="4">ROUND(C11*$C$4*(B11-B10)/$C$5,2)</f>
        <v>0</v>
      </c>
      <c r="I11" s="191">
        <f t="shared" ref="I11:I12" si="5">SUM(F11:H11)</f>
        <v>0</v>
      </c>
      <c r="J11" s="191">
        <f>投资者收益测算表!E34+投资者收益测算表!F34</f>
        <v>0</v>
      </c>
      <c r="K11" s="349">
        <f t="shared" ref="K11:K14" si="6">J11-I11</f>
        <v>0</v>
      </c>
    </row>
    <row r="12" spans="2:11" x14ac:dyDescent="0.25">
      <c r="B12" s="347">
        <f>投资者收益测算表!B36</f>
        <v>43090</v>
      </c>
      <c r="C12" s="191">
        <f t="shared" si="1"/>
        <v>0</v>
      </c>
      <c r="D12" s="191">
        <v>0</v>
      </c>
      <c r="E12" s="191">
        <f t="shared" si="0"/>
        <v>0</v>
      </c>
      <c r="F12" s="191">
        <f t="shared" si="2"/>
        <v>0</v>
      </c>
      <c r="G12" s="191">
        <f t="shared" si="3"/>
        <v>0</v>
      </c>
      <c r="H12" s="191">
        <f t="shared" si="4"/>
        <v>0</v>
      </c>
      <c r="I12" s="191">
        <f t="shared" si="5"/>
        <v>0</v>
      </c>
      <c r="J12" s="191">
        <f>投资者收益测算表!E36+投资者收益测算表!F36</f>
        <v>0</v>
      </c>
      <c r="K12" s="349">
        <f t="shared" si="6"/>
        <v>0</v>
      </c>
    </row>
    <row r="13" spans="2:11" ht="19" thickBot="1" x14ac:dyDescent="0.3">
      <c r="B13" s="348">
        <f>投资者收益测算表!B38</f>
        <v>43136</v>
      </c>
      <c r="C13" s="236">
        <f t="shared" si="1"/>
        <v>0</v>
      </c>
      <c r="D13" s="236">
        <f>C13</f>
        <v>0</v>
      </c>
      <c r="E13" s="236">
        <f t="shared" si="0"/>
        <v>0</v>
      </c>
      <c r="F13" s="236">
        <f t="shared" si="2"/>
        <v>0</v>
      </c>
      <c r="G13" s="236">
        <f t="shared" si="3"/>
        <v>0</v>
      </c>
      <c r="H13" s="236">
        <f t="shared" si="4"/>
        <v>0</v>
      </c>
      <c r="I13" s="236">
        <f>SUM(F13:H13)+D13</f>
        <v>0</v>
      </c>
      <c r="J13" s="236">
        <f>投资者收益测算表!E38+投资者收益测算表!F38</f>
        <v>0</v>
      </c>
      <c r="K13" s="350">
        <f t="shared" si="6"/>
        <v>0</v>
      </c>
    </row>
    <row r="14" spans="2:11" x14ac:dyDescent="0.25">
      <c r="B14" s="183"/>
      <c r="C14" s="60"/>
      <c r="D14" s="60"/>
      <c r="E14" s="60"/>
      <c r="F14" s="60">
        <f>SUM(F9:F13)</f>
        <v>0</v>
      </c>
      <c r="G14" s="60">
        <f t="shared" ref="G14:J14" si="7">SUM(G9:G13)</f>
        <v>0</v>
      </c>
      <c r="H14" s="60">
        <f t="shared" si="7"/>
        <v>0</v>
      </c>
      <c r="I14" s="60">
        <f t="shared" si="7"/>
        <v>0</v>
      </c>
      <c r="J14" s="60">
        <f t="shared" si="7"/>
        <v>0</v>
      </c>
      <c r="K14" s="182">
        <f t="shared" si="6"/>
        <v>0</v>
      </c>
    </row>
    <row r="15" spans="2:11" x14ac:dyDescent="0.25">
      <c r="B15" s="183"/>
    </row>
    <row r="16" spans="2:11" x14ac:dyDescent="0.25">
      <c r="B16" s="183"/>
    </row>
    <row r="17" spans="2:11" x14ac:dyDescent="0.25">
      <c r="B17" s="183"/>
    </row>
    <row r="18" spans="2:11" x14ac:dyDescent="0.25">
      <c r="B18" s="183"/>
    </row>
    <row r="23" spans="2:11" x14ac:dyDescent="0.25">
      <c r="B23" t="s">
        <v>392</v>
      </c>
      <c r="C23" s="397">
        <v>0.08</v>
      </c>
    </row>
    <row r="24" spans="2:11" x14ac:dyDescent="0.25">
      <c r="B24" t="s">
        <v>393</v>
      </c>
      <c r="C24" s="397">
        <v>1E-3</v>
      </c>
    </row>
    <row r="25" spans="2:11" x14ac:dyDescent="0.25">
      <c r="B25" t="s">
        <v>394</v>
      </c>
      <c r="C25" s="397">
        <v>4.0000000000000002E-4</v>
      </c>
    </row>
    <row r="26" spans="2:11" x14ac:dyDescent="0.25">
      <c r="B26" t="s">
        <v>56</v>
      </c>
      <c r="C26" s="401">
        <v>365</v>
      </c>
    </row>
    <row r="28" spans="2:11" ht="19" thickBot="1" x14ac:dyDescent="0.3"/>
    <row r="29" spans="2:11" x14ac:dyDescent="0.25">
      <c r="B29" s="217"/>
      <c r="C29" s="403" t="str">
        <f>C8</f>
        <v>总规模</v>
      </c>
      <c r="D29" s="403" t="str">
        <f t="shared" ref="D29:K29" si="8">D8</f>
        <v>归还本金</v>
      </c>
      <c r="E29" s="403" t="str">
        <f t="shared" si="8"/>
        <v>剩余本金</v>
      </c>
      <c r="F29" s="403" t="str">
        <f t="shared" si="8"/>
        <v>支付利息</v>
      </c>
      <c r="G29" s="403" t="str">
        <f t="shared" si="8"/>
        <v>支付管理费</v>
      </c>
      <c r="H29" s="403" t="str">
        <f t="shared" si="8"/>
        <v>支付国泰君安</v>
      </c>
      <c r="I29" s="403" t="str">
        <f t="shared" si="8"/>
        <v>支付合计</v>
      </c>
      <c r="J29" s="403" t="str">
        <f t="shared" si="8"/>
        <v>收入合计</v>
      </c>
      <c r="K29" s="400" t="str">
        <f t="shared" si="8"/>
        <v>盈余</v>
      </c>
    </row>
    <row r="30" spans="2:11" x14ac:dyDescent="0.25">
      <c r="B30" s="347">
        <f>B9</f>
        <v>42611</v>
      </c>
      <c r="C30" s="156">
        <f>投资者收益测算表!C46</f>
        <v>168500000</v>
      </c>
      <c r="D30" s="191">
        <v>0</v>
      </c>
      <c r="E30" s="156">
        <f>C30-D30</f>
        <v>168500000</v>
      </c>
      <c r="F30" s="155"/>
      <c r="G30" s="155"/>
      <c r="H30" s="155"/>
      <c r="I30" s="155"/>
      <c r="J30" s="155"/>
      <c r="K30" s="404"/>
    </row>
    <row r="31" spans="2:11" x14ac:dyDescent="0.25">
      <c r="B31" s="347">
        <f>投资者收益测算表!B33</f>
        <v>42810</v>
      </c>
      <c r="C31" s="156">
        <f>C30-D30</f>
        <v>168500000</v>
      </c>
      <c r="D31" s="191">
        <v>0</v>
      </c>
      <c r="E31" s="156">
        <f t="shared" ref="E31:E32" si="9">C31-D31</f>
        <v>168500000</v>
      </c>
      <c r="F31" s="156">
        <f>C31*$C$23*(B31-B30)/$C$26</f>
        <v>7349369.8630136987</v>
      </c>
      <c r="G31" s="156">
        <f>C31*$C$24*(B31-B30)/$C$26</f>
        <v>91867.123287671231</v>
      </c>
      <c r="H31" s="156">
        <f>C31*$C$25*(B31-B30)/$C$26</f>
        <v>36746.849315068495</v>
      </c>
      <c r="I31" s="156">
        <f>SUM(F31:H31)+D31</f>
        <v>7477983.8356164386</v>
      </c>
      <c r="J31" s="402">
        <f>投资者收益测算表!G33</f>
        <v>8683520.5500000007</v>
      </c>
      <c r="K31" s="157">
        <f>J31-I31</f>
        <v>1205536.7143835621</v>
      </c>
    </row>
    <row r="32" spans="2:11" ht="19" thickBot="1" x14ac:dyDescent="0.3">
      <c r="B32" s="348">
        <f>B13</f>
        <v>43136</v>
      </c>
      <c r="C32" s="237">
        <f>C31-D31</f>
        <v>168500000</v>
      </c>
      <c r="D32" s="236">
        <f>C32</f>
        <v>168500000</v>
      </c>
      <c r="E32" s="237">
        <f t="shared" si="9"/>
        <v>0</v>
      </c>
      <c r="F32" s="237">
        <f>C32*$C$23*(B32-B31)/$C$26</f>
        <v>12039671.232876712</v>
      </c>
      <c r="G32" s="237">
        <f>C32*$C$24*(B32-B31)/$C$26</f>
        <v>150495.89041095891</v>
      </c>
      <c r="H32" s="237">
        <f>C32*$C$25*(B32-B31)/$C$26</f>
        <v>60198.356164383564</v>
      </c>
      <c r="I32" s="237">
        <f t="shared" ref="I32" si="10">SUM(F32:H32)+D32</f>
        <v>180750365.47945204</v>
      </c>
      <c r="J32" s="405">
        <f>投资者收益测算表!G38+投资者收益测算表!J38</f>
        <v>181879626.47</v>
      </c>
      <c r="K32" s="238">
        <f>J32-I32</f>
        <v>1129260.990547955</v>
      </c>
    </row>
    <row r="33" spans="6:11" x14ac:dyDescent="0.25">
      <c r="F33" s="57">
        <f>SUM(F31:F32)</f>
        <v>19389041.09589041</v>
      </c>
      <c r="G33" s="57">
        <f t="shared" ref="G33:K33" si="11">SUM(G31:G32)</f>
        <v>242363.01369863015</v>
      </c>
      <c r="H33" s="57">
        <f t="shared" si="11"/>
        <v>96945.205479452066</v>
      </c>
      <c r="I33" s="57">
        <f t="shared" si="11"/>
        <v>188228349.31506848</v>
      </c>
      <c r="J33" s="57">
        <f t="shared" si="11"/>
        <v>190563147.02000001</v>
      </c>
      <c r="K33" s="57">
        <f t="shared" si="11"/>
        <v>2334797.7049315171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C2:N353"/>
  <sheetViews>
    <sheetView showGridLines="0" topLeftCell="A168" zoomScale="120" zoomScaleNormal="120" zoomScalePageLayoutView="120" workbookViewId="0">
      <selection activeCell="H195" sqref="H195"/>
    </sheetView>
  </sheetViews>
  <sheetFormatPr baseColWidth="10" defaultRowHeight="18" x14ac:dyDescent="0.25"/>
  <cols>
    <col min="2" max="2" width="4.42578125" customWidth="1"/>
    <col min="3" max="3" width="16.5703125" customWidth="1"/>
    <col min="4" max="4" width="23.7109375" customWidth="1"/>
    <col min="5" max="5" width="17.7109375" customWidth="1"/>
    <col min="6" max="6" width="14" customWidth="1"/>
    <col min="7" max="7" width="15.7109375" customWidth="1"/>
    <col min="8" max="8" width="20" customWidth="1"/>
    <col min="9" max="9" width="13.28515625" customWidth="1"/>
    <col min="10" max="10" width="17.140625" customWidth="1"/>
    <col min="11" max="11" width="15.140625" customWidth="1"/>
    <col min="12" max="12" width="13.85546875" bestFit="1" customWidth="1"/>
    <col min="13" max="14" width="13.42578125" bestFit="1" customWidth="1"/>
  </cols>
  <sheetData>
    <row r="2" spans="3:10" x14ac:dyDescent="0.25">
      <c r="C2" s="171"/>
      <c r="D2" s="171"/>
      <c r="E2" s="170"/>
      <c r="F2" s="170"/>
      <c r="G2" s="171"/>
      <c r="H2" s="179" t="s">
        <v>262</v>
      </c>
      <c r="I2" s="179" t="s">
        <v>263</v>
      </c>
      <c r="J2" s="178" t="s">
        <v>266</v>
      </c>
    </row>
    <row r="3" spans="3:10" ht="21" x14ac:dyDescent="0.4">
      <c r="C3" s="171"/>
      <c r="D3" s="171"/>
      <c r="E3" s="170"/>
      <c r="F3" s="171"/>
      <c r="G3" s="177"/>
      <c r="H3" s="181">
        <f>统计!V24</f>
        <v>40373652.32</v>
      </c>
      <c r="I3" s="181">
        <f>统计!Y24</f>
        <v>38336342.450000003</v>
      </c>
      <c r="J3" s="165">
        <f>H3-I3</f>
        <v>2037309.8699999973</v>
      </c>
    </row>
    <row r="4" spans="3:10" ht="19" thickBot="1" x14ac:dyDescent="0.3">
      <c r="E4" s="57"/>
    </row>
    <row r="5" spans="3:10" ht="19" thickBot="1" x14ac:dyDescent="0.3">
      <c r="C5" s="202"/>
      <c r="D5" s="203" t="s">
        <v>268</v>
      </c>
      <c r="E5" s="203" t="s">
        <v>270</v>
      </c>
      <c r="F5" s="203" t="s">
        <v>261</v>
      </c>
      <c r="G5" s="204" t="s">
        <v>269</v>
      </c>
    </row>
    <row r="6" spans="3:10" x14ac:dyDescent="0.25">
      <c r="C6" s="217" t="str">
        <f>投资者收益测算表!B43</f>
        <v>优先A级</v>
      </c>
      <c r="D6" s="218">
        <f>投资者收益测算表!J43</f>
        <v>43090</v>
      </c>
      <c r="E6" s="213">
        <f>投资者收益测算表!C43</f>
        <v>370000000</v>
      </c>
      <c r="F6" s="173">
        <f>投资者收益测算表!E43</f>
        <v>0.05</v>
      </c>
      <c r="G6" s="214">
        <f>投资者收益测算表!G43</f>
        <v>14107356.16</v>
      </c>
    </row>
    <row r="7" spans="3:10" x14ac:dyDescent="0.25">
      <c r="C7" s="167" t="str">
        <f>投资者收益测算表!B44</f>
        <v>优先B级</v>
      </c>
      <c r="D7" s="184">
        <f>投资者收益测算表!J44</f>
        <v>43136</v>
      </c>
      <c r="E7" s="156">
        <f>投资者收益测算表!C44</f>
        <v>0</v>
      </c>
      <c r="F7" s="166">
        <f>投资者收益测算表!E44</f>
        <v>6.7000000000000004E-2</v>
      </c>
      <c r="G7" s="157">
        <f>投资者收益测算表!G44</f>
        <v>0</v>
      </c>
    </row>
    <row r="8" spans="3:10" hidden="1" x14ac:dyDescent="0.25">
      <c r="C8" s="167">
        <f>投资者收益测算表!B45</f>
        <v>0</v>
      </c>
      <c r="D8" s="184" t="e">
        <f>投资者收益测算表!#REF!</f>
        <v>#REF!</v>
      </c>
      <c r="E8" s="156">
        <f>投资者收益测算表!C45</f>
        <v>0</v>
      </c>
      <c r="F8" s="166">
        <f>投资者收益测算表!E45</f>
        <v>0.08</v>
      </c>
      <c r="G8" s="157">
        <f>投资者收益测算表!G45</f>
        <v>0</v>
      </c>
    </row>
    <row r="9" spans="3:10" ht="22" hidden="1" customHeight="1" x14ac:dyDescent="0.4">
      <c r="C9" s="167" t="str">
        <f>投资者收益测算表!B46</f>
        <v>次级</v>
      </c>
      <c r="D9" s="184">
        <f>投资者收益测算表!B38</f>
        <v>43136</v>
      </c>
      <c r="E9" s="156">
        <f>投资者收益测算表!C46</f>
        <v>168500000</v>
      </c>
      <c r="F9" s="200">
        <f>投资者收益测算表!E46</f>
        <v>9.1206999999999996E-2</v>
      </c>
      <c r="G9" s="157">
        <f>投资者收益测算表!G46</f>
        <v>22063147.020000011</v>
      </c>
      <c r="H9" s="165">
        <f>SUM(G6:G9)</f>
        <v>36170503.180000007</v>
      </c>
      <c r="I9" s="165">
        <f>H9</f>
        <v>36170503.180000007</v>
      </c>
    </row>
    <row r="10" spans="3:10" ht="21" hidden="1" x14ac:dyDescent="0.4">
      <c r="C10" s="167"/>
      <c r="D10" s="155"/>
      <c r="E10" s="156"/>
      <c r="F10" s="166"/>
      <c r="G10" s="201"/>
      <c r="H10" s="176"/>
      <c r="I10" s="170"/>
    </row>
    <row r="11" spans="3:10" hidden="1" x14ac:dyDescent="0.25">
      <c r="C11" s="167"/>
      <c r="D11" s="155"/>
      <c r="E11" s="156"/>
      <c r="F11" s="166"/>
      <c r="G11" s="157"/>
      <c r="H11" s="170"/>
      <c r="I11" s="170"/>
    </row>
    <row r="12" spans="3:10" x14ac:dyDescent="0.25">
      <c r="C12" s="167" t="str">
        <f>投资者收益测算表!B59</f>
        <v>律师费</v>
      </c>
      <c r="D12" s="155"/>
      <c r="E12" s="155"/>
      <c r="F12" s="155" t="str">
        <f>投资者收益测算表!C59</f>
        <v>N.A.</v>
      </c>
      <c r="G12" s="157">
        <f>投资者收益测算表!D59</f>
        <v>180000</v>
      </c>
    </row>
    <row r="13" spans="3:10" x14ac:dyDescent="0.25">
      <c r="C13" s="167" t="str">
        <f>投资者收益测算表!B60</f>
        <v>评级费</v>
      </c>
      <c r="D13" s="155"/>
      <c r="E13" s="155"/>
      <c r="F13" s="155" t="str">
        <f>投资者收益测算表!C60</f>
        <v>N.A.</v>
      </c>
      <c r="G13" s="157">
        <f>投资者收益测算表!D60</f>
        <v>250000</v>
      </c>
    </row>
    <row r="14" spans="3:10" x14ac:dyDescent="0.25">
      <c r="C14" s="167" t="str">
        <f>投资者收益测算表!B61</f>
        <v>海通汇利1号保管费</v>
      </c>
      <c r="D14" s="155"/>
      <c r="E14" s="155"/>
      <c r="F14" s="166">
        <f>投资者收益测算表!C61</f>
        <v>2.0000000000000001E-4</v>
      </c>
      <c r="G14" s="157">
        <f>投资者收益测算表!D61</f>
        <v>104809.69999999998</v>
      </c>
    </row>
    <row r="15" spans="3:10" x14ac:dyDescent="0.25">
      <c r="C15" s="167" t="str">
        <f>投资者收益测算表!B62</f>
        <v>海通 SPV 管理费</v>
      </c>
      <c r="D15" s="155"/>
      <c r="E15" s="155"/>
      <c r="F15" s="166">
        <f>投资者收益测算表!C62</f>
        <v>2E-3</v>
      </c>
      <c r="G15" s="157">
        <f>投资者收益测算表!D62</f>
        <v>1048096.98</v>
      </c>
    </row>
    <row r="16" spans="3:10" ht="22" thickBot="1" x14ac:dyDescent="0.45">
      <c r="C16" s="168" t="str">
        <f>投资者收益测算表!B63</f>
        <v>锦石通道费及国泰君安费用</v>
      </c>
      <c r="D16" s="169"/>
      <c r="E16" s="171"/>
      <c r="F16" s="172">
        <f>投资者收益测算表!C63</f>
        <v>0</v>
      </c>
      <c r="G16" s="170">
        <f>投资者收益测算表!D63</f>
        <v>0</v>
      </c>
      <c r="H16" s="165">
        <f>SUM(G12:G16)</f>
        <v>1582906.68</v>
      </c>
      <c r="I16" s="165">
        <f>H16</f>
        <v>1582906.68</v>
      </c>
    </row>
    <row r="17" spans="3:10" ht="22" customHeight="1" x14ac:dyDescent="0.4">
      <c r="C17" s="205" t="s">
        <v>83</v>
      </c>
      <c r="D17" s="171"/>
      <c r="E17" s="171"/>
      <c r="F17" s="175"/>
      <c r="G17" s="181">
        <f>G6+G7+G12+G13+G14+G15+G16</f>
        <v>15690262.84</v>
      </c>
      <c r="H17" s="170"/>
      <c r="I17" s="170"/>
    </row>
    <row r="18" spans="3:10" x14ac:dyDescent="0.25">
      <c r="C18" s="171"/>
      <c r="D18" s="171"/>
      <c r="E18" s="171"/>
      <c r="F18" s="171"/>
      <c r="G18" s="170"/>
      <c r="H18" s="170"/>
      <c r="I18" s="171"/>
    </row>
    <row r="19" spans="3:10" ht="21" x14ac:dyDescent="0.4">
      <c r="C19" s="171"/>
      <c r="D19" s="171"/>
      <c r="E19" s="171"/>
      <c r="F19" s="171"/>
      <c r="G19" s="180" t="s">
        <v>267</v>
      </c>
      <c r="H19" s="181">
        <f>H3-H9-H16</f>
        <v>2620242.4599999934</v>
      </c>
      <c r="I19" s="181">
        <f>I3-I9-I16</f>
        <v>582932.58999999589</v>
      </c>
      <c r="J19" s="57"/>
    </row>
    <row r="20" spans="3:10" x14ac:dyDescent="0.25">
      <c r="C20" s="171"/>
      <c r="D20" s="171"/>
      <c r="F20" s="171"/>
      <c r="G20" s="171"/>
      <c r="H20" s="190">
        <f>H19/G14*F14</f>
        <v>4.9999999236711758E-3</v>
      </c>
      <c r="I20" s="175">
        <f>I19/G14*F14</f>
        <v>1.1123638174710853E-3</v>
      </c>
    </row>
    <row r="21" spans="3:10" x14ac:dyDescent="0.25">
      <c r="C21" s="171"/>
      <c r="D21" s="171"/>
      <c r="E21" s="171"/>
      <c r="F21" s="171"/>
      <c r="G21" s="171"/>
      <c r="H21" s="171"/>
      <c r="I21" s="189"/>
    </row>
    <row r="23" spans="3:10" ht="19" thickBot="1" x14ac:dyDescent="0.3"/>
    <row r="24" spans="3:10" x14ac:dyDescent="0.25">
      <c r="C24" s="197" t="s">
        <v>271</v>
      </c>
      <c r="D24" s="198" t="s">
        <v>272</v>
      </c>
      <c r="E24" s="198" t="s">
        <v>277</v>
      </c>
      <c r="F24" s="198" t="s">
        <v>273</v>
      </c>
      <c r="G24" s="198" t="s">
        <v>274</v>
      </c>
      <c r="H24" s="198" t="s">
        <v>276</v>
      </c>
      <c r="I24" s="199" t="s">
        <v>275</v>
      </c>
    </row>
    <row r="25" spans="3:10" x14ac:dyDescent="0.25">
      <c r="C25" s="166">
        <v>0.05</v>
      </c>
      <c r="D25" s="166">
        <v>7.0000000000000007E-2</v>
      </c>
      <c r="E25" s="191">
        <v>3500000</v>
      </c>
      <c r="F25" s="166">
        <v>0.572712</v>
      </c>
      <c r="G25" s="191">
        <v>3750869.8403333286</v>
      </c>
      <c r="H25" s="166">
        <v>0.01</v>
      </c>
      <c r="I25" s="191">
        <v>7593013.51000001</v>
      </c>
      <c r="J25" s="57">
        <f>G25+I25</f>
        <v>11343883.350333339</v>
      </c>
    </row>
    <row r="26" spans="3:10" x14ac:dyDescent="0.25">
      <c r="C26" s="166">
        <v>0.05</v>
      </c>
      <c r="D26" s="166">
        <v>7.0000000000000007E-2</v>
      </c>
      <c r="E26" s="191">
        <v>3500000</v>
      </c>
      <c r="F26" s="166">
        <v>0.120561</v>
      </c>
      <c r="G26" s="191">
        <v>789594.57533331215</v>
      </c>
      <c r="H26" s="166">
        <v>1.3900002759115916E-2</v>
      </c>
      <c r="I26" s="191">
        <v>10554288.775000025</v>
      </c>
      <c r="J26" s="57">
        <f>G26+I26</f>
        <v>11343883.350333337</v>
      </c>
    </row>
    <row r="27" spans="3:10" x14ac:dyDescent="0.25">
      <c r="C27" s="166">
        <v>5.5E-2</v>
      </c>
      <c r="D27" s="166">
        <v>7.4999999999999997E-2</v>
      </c>
      <c r="E27" s="191">
        <v>3500000</v>
      </c>
      <c r="F27" s="166">
        <v>0.12002599999999999</v>
      </c>
      <c r="G27" s="191">
        <v>786091.03153330833</v>
      </c>
      <c r="H27" s="166">
        <v>1.0500002087445687E-2</v>
      </c>
      <c r="I27" s="191">
        <v>7972664.1850000145</v>
      </c>
      <c r="J27" s="57">
        <f>G27+I27</f>
        <v>8758755.2165333219</v>
      </c>
    </row>
    <row r="28" spans="3:10" x14ac:dyDescent="0.25">
      <c r="C28" s="166">
        <v>5.5E-2</v>
      </c>
      <c r="D28" s="166">
        <v>7.4999999999999997E-2</v>
      </c>
      <c r="E28" s="191">
        <v>3500000</v>
      </c>
      <c r="F28" s="166">
        <v>0.17660300000000001</v>
      </c>
      <c r="G28" s="191">
        <v>1156630.0903332988</v>
      </c>
      <c r="H28" s="166">
        <v>0.01</v>
      </c>
      <c r="I28" s="191">
        <v>7593013.51000001</v>
      </c>
      <c r="J28" s="57">
        <f>G28+I28</f>
        <v>8749643.6003333088</v>
      </c>
    </row>
    <row r="29" spans="3:10" x14ac:dyDescent="0.25">
      <c r="E29" s="60"/>
    </row>
    <row r="32" spans="3:10" x14ac:dyDescent="0.25">
      <c r="F32" t="s">
        <v>232</v>
      </c>
      <c r="G32" t="s">
        <v>283</v>
      </c>
      <c r="H32" t="s">
        <v>284</v>
      </c>
      <c r="I32" t="s">
        <v>282</v>
      </c>
      <c r="J32" t="s">
        <v>247</v>
      </c>
    </row>
    <row r="33" spans="4:14" x14ac:dyDescent="0.25">
      <c r="F33" s="57">
        <f>D38</f>
        <v>120000000</v>
      </c>
      <c r="G33" s="57">
        <f>投资者收益测算表!G45</f>
        <v>0</v>
      </c>
      <c r="H33" s="57">
        <f>投资者收益测算表!C45+投资者收益测算表!C46-F33</f>
        <v>48500000</v>
      </c>
      <c r="I33" s="58">
        <f>投资者收益测算表!E46</f>
        <v>9.1206999999999996E-2</v>
      </c>
      <c r="J33" s="57">
        <f>投资者收益测算表!G46</f>
        <v>22063147.020000011</v>
      </c>
    </row>
    <row r="34" spans="4:14" x14ac:dyDescent="0.25">
      <c r="F34" s="57">
        <f>D53</f>
        <v>116500000</v>
      </c>
      <c r="G34" s="60">
        <f>F34*投资者收益测算表!E45*(投资者收益测算表!J45-投资者收益测算表!I45)/投资者收益测算表!F45</f>
        <v>13379945.205479452</v>
      </c>
      <c r="H34" s="57">
        <f>投资者收益测算表!C45+投资者收益测算表!C46-F34</f>
        <v>52000000</v>
      </c>
      <c r="I34" s="58">
        <f>J34*投资者收益测算表!F46/(投资者收益测算表!J46-投资者收益测算表!I46)/调整收益分析!H34</f>
        <v>0.11631564380138006</v>
      </c>
      <c r="J34" s="57">
        <f>投资者收益测算表!G46-调整收益分析!G34</f>
        <v>8683201.8145205583</v>
      </c>
    </row>
    <row r="35" spans="4:14" ht="19" thickBot="1" x14ac:dyDescent="0.3"/>
    <row r="36" spans="4:14" ht="21" x14ac:dyDescent="0.3">
      <c r="D36" s="499" t="s">
        <v>281</v>
      </c>
      <c r="E36" s="500"/>
      <c r="F36" s="501"/>
      <c r="G36" s="502" t="s">
        <v>236</v>
      </c>
      <c r="H36" s="500"/>
      <c r="I36" s="503"/>
      <c r="J36" s="499" t="s">
        <v>267</v>
      </c>
      <c r="K36" s="501"/>
      <c r="L36" s="489" t="s">
        <v>280</v>
      </c>
    </row>
    <row r="37" spans="4:14" ht="22" thickBot="1" x14ac:dyDescent="0.3">
      <c r="D37" s="221" t="s">
        <v>278</v>
      </c>
      <c r="E37" s="232" t="s">
        <v>261</v>
      </c>
      <c r="F37" s="222" t="s">
        <v>247</v>
      </c>
      <c r="G37" s="233" t="s">
        <v>278</v>
      </c>
      <c r="H37" s="232" t="s">
        <v>261</v>
      </c>
      <c r="I37" s="234" t="s">
        <v>247</v>
      </c>
      <c r="J37" s="221" t="s">
        <v>279</v>
      </c>
      <c r="K37" s="222" t="s">
        <v>247</v>
      </c>
      <c r="L37" s="490"/>
      <c r="M37" s="219" t="s">
        <v>286</v>
      </c>
    </row>
    <row r="38" spans="4:14" x14ac:dyDescent="0.25">
      <c r="D38" s="193">
        <v>120000000</v>
      </c>
      <c r="E38" s="173">
        <v>0.09</v>
      </c>
      <c r="F38" s="235">
        <f>D38*E38*(投资者收益测算表!$J$46-投资者收益测算表!$I$46)/投资者收益测算表!$F$46</f>
        <v>15504657.534246575</v>
      </c>
      <c r="G38" s="213">
        <v>8500000</v>
      </c>
      <c r="H38" s="194">
        <f>I38*投资者收益测算表!$F$46/(投资者收益测算表!$J$46-投资者收益测算表!$I$46)/G38</f>
        <v>0.39430990803023586</v>
      </c>
      <c r="I38" s="235">
        <f>投资者收益测算表!$G$46-F38-(K38-K52)</f>
        <v>4811661.179086769</v>
      </c>
      <c r="J38" s="173">
        <v>0.01</v>
      </c>
      <c r="K38" s="235">
        <f>K52*J38/J52</f>
        <v>4367070.7666666666</v>
      </c>
      <c r="L38" s="214">
        <f>F38+I38+K38</f>
        <v>24683389.480000012</v>
      </c>
      <c r="M38" s="57">
        <v>31056712.147391319</v>
      </c>
      <c r="N38" s="57">
        <f>H3-G17</f>
        <v>24683389.48</v>
      </c>
    </row>
    <row r="39" spans="4:14" x14ac:dyDescent="0.25">
      <c r="D39" s="195">
        <v>116500000</v>
      </c>
      <c r="E39" s="166">
        <v>0.09</v>
      </c>
      <c r="F39" s="191">
        <f>D39*E39*(投资者收益测算表!$J$46-投资者收益测算表!$I$46)/投资者收益测算表!$F$46</f>
        <v>15052438.356164383</v>
      </c>
      <c r="G39" s="156">
        <v>12000000</v>
      </c>
      <c r="H39" s="192">
        <f>I39*投资者收益测算表!$F$46/(投资者收益测算表!$J$46-投资者收益测算表!$I$46)/G39</f>
        <v>0.30555285152141709</v>
      </c>
      <c r="I39" s="191">
        <f>投资者收益测算表!$G$46-F39-(K39-K53)</f>
        <v>5263880.3571689613</v>
      </c>
      <c r="J39" s="166">
        <v>0.01</v>
      </c>
      <c r="K39" s="191">
        <f t="shared" ref="K39:K43" si="0">K53*J39/J53</f>
        <v>4367070.7666666666</v>
      </c>
      <c r="L39" s="157">
        <f t="shared" ref="L39:L43" si="1">F39+I39+K39</f>
        <v>24683389.480000012</v>
      </c>
    </row>
    <row r="40" spans="4:14" x14ac:dyDescent="0.25">
      <c r="D40" s="195">
        <v>110000000</v>
      </c>
      <c r="E40" s="166">
        <v>0.09</v>
      </c>
      <c r="F40" s="191">
        <f>D40*E40*(投资者收益测算表!$J$46-投资者收益测算表!$I$46)/投资者收益测算表!$F$46</f>
        <v>14212602.739726027</v>
      </c>
      <c r="G40" s="156">
        <v>18500000</v>
      </c>
      <c r="H40" s="192">
        <f>I40*投资者收益测算表!$F$46/(投资者收益测算表!$J$46-投资者收益测算表!$I$46)/G40</f>
        <v>0.22981806585173001</v>
      </c>
      <c r="I40" s="191">
        <f>投资者收益测算表!$G$46-F40-(K40-K54)</f>
        <v>6103715.9736073166</v>
      </c>
      <c r="J40" s="166">
        <v>0.01</v>
      </c>
      <c r="K40" s="191">
        <f t="shared" si="0"/>
        <v>4367070.7666666666</v>
      </c>
      <c r="L40" s="157">
        <f t="shared" si="1"/>
        <v>24683389.480000012</v>
      </c>
    </row>
    <row r="41" spans="4:14" x14ac:dyDescent="0.25">
      <c r="D41" s="195">
        <v>105000000</v>
      </c>
      <c r="E41" s="166">
        <v>0.09</v>
      </c>
      <c r="F41" s="191">
        <f>D41*E41*(投资者收益测算表!$J$46-投资者收益测算表!$I$46)/投资者收益测算表!$F$46</f>
        <v>13566575.342465753</v>
      </c>
      <c r="G41" s="156">
        <v>23500000</v>
      </c>
      <c r="H41" s="192">
        <f>I41*投资者收益测算表!$F$46/(投资者收益测算表!$J$46-投资者收益测算表!$I$46)/G41</f>
        <v>0.20006954120242576</v>
      </c>
      <c r="I41" s="191">
        <f>投资者收益测算表!$G$46-F41-(K41-K55)</f>
        <v>6749743.3708675914</v>
      </c>
      <c r="J41" s="166">
        <v>0.01</v>
      </c>
      <c r="K41" s="191">
        <f t="shared" si="0"/>
        <v>4367070.7666666666</v>
      </c>
      <c r="L41" s="157">
        <f t="shared" si="1"/>
        <v>24683389.480000012</v>
      </c>
    </row>
    <row r="42" spans="4:14" x14ac:dyDescent="0.25">
      <c r="D42" s="195">
        <v>100000000</v>
      </c>
      <c r="E42" s="166">
        <v>0.09</v>
      </c>
      <c r="F42" s="191">
        <f>D42*E42*(投资者收益测算表!$J$46-投资者收益测算表!$I$46)/投资者收益测算表!$F$46</f>
        <v>12920547.94520548</v>
      </c>
      <c r="G42" s="156">
        <v>28500000</v>
      </c>
      <c r="H42" s="192">
        <f>I42*投资者收益测算表!$F$46/(投资者收益测算表!$J$46-投资者收益测算表!$I$46)/G42</f>
        <v>0.18075909537743878</v>
      </c>
      <c r="I42" s="191">
        <f>投资者收益测算表!$G$46-F42-(K42-K56)</f>
        <v>7395770.7681278642</v>
      </c>
      <c r="J42" s="166">
        <v>0.01</v>
      </c>
      <c r="K42" s="191">
        <f t="shared" si="0"/>
        <v>4367070.7666666666</v>
      </c>
      <c r="L42" s="157">
        <f t="shared" si="1"/>
        <v>24683389.480000012</v>
      </c>
    </row>
    <row r="43" spans="4:14" ht="19" thickBot="1" x14ac:dyDescent="0.3">
      <c r="D43" s="196">
        <v>95000000</v>
      </c>
      <c r="E43" s="172">
        <v>0.09</v>
      </c>
      <c r="F43" s="236">
        <f>D43*E43*(投资者收益测算表!$J$46-投资者收益测算表!$I$46)/投资者收益测算表!$F$46</f>
        <v>12274520.547945205</v>
      </c>
      <c r="G43" s="237">
        <v>33500000</v>
      </c>
      <c r="H43" s="206">
        <f>I43*投资者收益测算表!$F$46/(投资者收益测算表!$J$46-投资者收益测算表!$I$46)/G43</f>
        <v>0.16721296173901509</v>
      </c>
      <c r="I43" s="236">
        <f>投资者收益测算表!$G$46-F43-(K43-K57)</f>
        <v>8041798.165388139</v>
      </c>
      <c r="J43" s="172">
        <v>0.01</v>
      </c>
      <c r="K43" s="236">
        <f t="shared" si="0"/>
        <v>4367070.7666666666</v>
      </c>
      <c r="L43" s="238">
        <f t="shared" si="1"/>
        <v>24683389.480000012</v>
      </c>
    </row>
    <row r="44" spans="4:14" ht="5" customHeight="1" thickBot="1" x14ac:dyDescent="0.3">
      <c r="D44" s="207"/>
      <c r="E44" s="208">
        <v>0.09</v>
      </c>
      <c r="F44" s="239"/>
      <c r="G44" s="240"/>
      <c r="H44" s="209"/>
      <c r="I44" s="239">
        <f>投资者收益测算表!$G$46-F44-(K44-K58)</f>
        <v>22063147.020000011</v>
      </c>
      <c r="J44" s="208"/>
      <c r="K44" s="239"/>
      <c r="L44" s="241"/>
    </row>
    <row r="45" spans="4:14" x14ac:dyDescent="0.25">
      <c r="D45" s="193">
        <v>120000000</v>
      </c>
      <c r="E45" s="173">
        <v>0.09</v>
      </c>
      <c r="F45" s="235">
        <f>D45*E45*(投资者收益测算表!$J$46-投资者收益测算表!$I$46)/投资者收益测算表!$F$46</f>
        <v>15504657.534246575</v>
      </c>
      <c r="G45" s="213">
        <v>8500000</v>
      </c>
      <c r="H45" s="194">
        <f>I45*投资者收益测算表!$F$46/(投资者收益测算表!$J$46-投资者收益测算表!$I$46)/G45</f>
        <v>0.46588515858404517</v>
      </c>
      <c r="I45" s="235">
        <f>投资者收益测算表!$G$46-F45-(K45-K52)</f>
        <v>5685075.3324201023</v>
      </c>
      <c r="J45" s="173">
        <v>8.0000000000000002E-3</v>
      </c>
      <c r="K45" s="235">
        <f>K52*J45/J52</f>
        <v>3493656.6133333333</v>
      </c>
      <c r="L45" s="214">
        <f>F45+I45+K45</f>
        <v>24683389.480000012</v>
      </c>
    </row>
    <row r="46" spans="4:14" x14ac:dyDescent="0.25">
      <c r="D46" s="195">
        <v>116500000</v>
      </c>
      <c r="E46" s="166">
        <v>0.09</v>
      </c>
      <c r="F46" s="191">
        <f>D46*E46*(投资者收益测算表!$J$46-投资者收益测算表!$I$46)/投资者收益测算表!$F$46</f>
        <v>15052438.356164383</v>
      </c>
      <c r="G46" s="156">
        <v>12000000</v>
      </c>
      <c r="H46" s="192">
        <f>I46*投资者收益测算表!$F$46/(投资者收益测算表!$J$46-投资者收益测算表!$I$46)/G46</f>
        <v>0.35625198733036539</v>
      </c>
      <c r="I46" s="191">
        <f>投资者收益测算表!$G$46-F46-(K46-K53)</f>
        <v>6137294.5105022946</v>
      </c>
      <c r="J46" s="166">
        <v>8.0000000000000002E-3</v>
      </c>
      <c r="K46" s="191">
        <f t="shared" ref="K46:K50" si="2">K53*J46/J53</f>
        <v>3493656.6133333333</v>
      </c>
      <c r="L46" s="157">
        <f>F46+I46+K46</f>
        <v>24683389.480000012</v>
      </c>
    </row>
    <row r="47" spans="4:14" x14ac:dyDescent="0.25">
      <c r="D47" s="195">
        <v>110000000</v>
      </c>
      <c r="E47" s="166">
        <v>0.09</v>
      </c>
      <c r="F47" s="191">
        <f>D47*E47*(投资者收益测算表!$J$46-投资者收益测算表!$I$46)/投资者收益测算表!$F$46</f>
        <v>14212602.739726027</v>
      </c>
      <c r="G47" s="156">
        <v>18500000</v>
      </c>
      <c r="H47" s="192">
        <f>I47*投资者收益测算表!$F$46/(投资者收益测算表!$J$46-投资者收益测算表!$I$46)/G47</f>
        <v>0.2627039917818586</v>
      </c>
      <c r="I47" s="191">
        <f>投资者收益测算表!$G$46-F47-(K47-K54)</f>
        <v>6977130.1269406499</v>
      </c>
      <c r="J47" s="166">
        <v>8.0000000000000002E-3</v>
      </c>
      <c r="K47" s="191">
        <f t="shared" si="2"/>
        <v>3493656.6133333333</v>
      </c>
      <c r="L47" s="157">
        <f>F47+I47+K47</f>
        <v>24683389.480000012</v>
      </c>
    </row>
    <row r="48" spans="4:14" x14ac:dyDescent="0.25">
      <c r="D48" s="195">
        <v>105000000</v>
      </c>
      <c r="E48" s="166">
        <v>0.09</v>
      </c>
      <c r="F48" s="191">
        <f>D48*E48*(投资者收益测算表!$J$46-投资者收益测算表!$I$46)/投资者收益测算表!$F$46</f>
        <v>13566575.342465753</v>
      </c>
      <c r="G48" s="156">
        <v>23500000</v>
      </c>
      <c r="H48" s="192">
        <f>I48*投资者收益测算表!$F$46/(投资者收益测算表!$J$46-投资者收益测算表!$I$46)/G48</f>
        <v>0.22595846161550573</v>
      </c>
      <c r="I48" s="191">
        <f>投资者收益测算表!$G$46-F48-(K48-K55)</f>
        <v>7623157.5242009247</v>
      </c>
      <c r="J48" s="166">
        <v>8.0000000000000002E-3</v>
      </c>
      <c r="K48" s="191">
        <f t="shared" si="2"/>
        <v>3493656.6133333333</v>
      </c>
      <c r="L48" s="157">
        <f>F48+I48+K48</f>
        <v>24683389.480000012</v>
      </c>
    </row>
    <row r="49" spans="4:12" x14ac:dyDescent="0.25">
      <c r="D49" s="195">
        <v>100000000</v>
      </c>
      <c r="E49" s="166">
        <v>0.09</v>
      </c>
      <c r="F49" s="191">
        <f>D49*E49*(投资者收益测算表!$J$46-投资者收益测算表!$I$46)/投资者收益测算表!$F$46</f>
        <v>12920547.94520548</v>
      </c>
      <c r="G49" s="156">
        <v>28500000</v>
      </c>
      <c r="H49" s="192">
        <f>I49*投资者收益测算表!$F$46/(投资者收益测算表!$J$46-投资者收益测算表!$I$46)/G49</f>
        <v>0.20210609992857489</v>
      </c>
      <c r="I49" s="191">
        <f>投资者收益测算表!$G$46-F49-(K49-K56)</f>
        <v>8269184.9214611975</v>
      </c>
      <c r="J49" s="166">
        <v>8.0000000000000002E-3</v>
      </c>
      <c r="K49" s="191">
        <f t="shared" si="2"/>
        <v>3493656.6133333333</v>
      </c>
      <c r="L49" s="157">
        <f>F49+I49+K49</f>
        <v>24683389.480000012</v>
      </c>
    </row>
    <row r="50" spans="4:12" ht="19" thickBot="1" x14ac:dyDescent="0.3">
      <c r="D50" s="196">
        <v>95000000</v>
      </c>
      <c r="E50" s="172">
        <v>0.09</v>
      </c>
      <c r="F50" s="236">
        <f>D50*E50*(投资者收益测算表!$J$46-投资者收益测算表!$I$46)/投资者收益测算表!$F$46</f>
        <v>12274520.547945205</v>
      </c>
      <c r="G50" s="237">
        <v>33500000</v>
      </c>
      <c r="H50" s="206">
        <f>I50*投资者收益测算表!$F$46/(投资者收益测算表!$J$46-投资者收益测算表!$I$46)/G50</f>
        <v>0.1853738462078921</v>
      </c>
      <c r="I50" s="236">
        <f>投资者收益测算表!$G$46-F50-(K50-K57)</f>
        <v>8915212.3187214732</v>
      </c>
      <c r="J50" s="172">
        <v>8.0000000000000002E-3</v>
      </c>
      <c r="K50" s="236">
        <f t="shared" si="2"/>
        <v>3493656.6133333333</v>
      </c>
      <c r="L50" s="238">
        <f t="shared" ref="L50:L57" si="3">F50+I50+K50</f>
        <v>24683389.480000012</v>
      </c>
    </row>
    <row r="51" spans="4:12" ht="6" customHeight="1" thickBot="1" x14ac:dyDescent="0.3">
      <c r="D51" s="207"/>
      <c r="E51" s="208">
        <v>0.09</v>
      </c>
      <c r="F51" s="239"/>
      <c r="G51" s="240"/>
      <c r="H51" s="209"/>
      <c r="I51" s="239"/>
      <c r="J51" s="208"/>
      <c r="K51" s="239"/>
      <c r="L51" s="241"/>
    </row>
    <row r="52" spans="4:12" x14ac:dyDescent="0.25">
      <c r="D52" s="193">
        <v>120000000</v>
      </c>
      <c r="E52" s="173">
        <v>0.09</v>
      </c>
      <c r="F52" s="235">
        <f>D52*E52*(投资者收益测算表!$J$46-投资者收益测算表!$I$46)/投资者收益测算表!$F$46</f>
        <v>15504657.534246575</v>
      </c>
      <c r="G52" s="213">
        <v>8500000</v>
      </c>
      <c r="H52" s="194">
        <f>I52*投资者收益测算表!$F$46/(投资者收益测算表!$J$46-投资者收益测算表!$I$46)/G52</f>
        <v>0.53746040913785442</v>
      </c>
      <c r="I52" s="235">
        <f>投资者收益测算表!$G$46-F52</f>
        <v>6558489.4857534356</v>
      </c>
      <c r="J52" s="173">
        <v>6.0000000000000001E-3</v>
      </c>
      <c r="K52" s="235">
        <f>投资者收益测算表!$D$64</f>
        <v>2620242.46</v>
      </c>
      <c r="L52" s="214">
        <f t="shared" si="3"/>
        <v>24683389.480000012</v>
      </c>
    </row>
    <row r="53" spans="4:12" x14ac:dyDescent="0.25">
      <c r="D53" s="195">
        <v>116500000</v>
      </c>
      <c r="E53" s="166">
        <v>0.09</v>
      </c>
      <c r="F53" s="191">
        <f>D53*E53*(投资者收益测算表!$J$46-投资者收益测算表!$I$46)/投资者收益测算表!$F$46</f>
        <v>15052438.356164383</v>
      </c>
      <c r="G53" s="156">
        <v>12000000</v>
      </c>
      <c r="H53" s="192">
        <f>I53*投资者收益测算表!$F$46/(投资者收益测算表!$J$46-投资者收益测算表!$I$46)/G53</f>
        <v>0.40695112313931359</v>
      </c>
      <c r="I53" s="191">
        <f>投资者收益测算表!$G$46-F53</f>
        <v>7010708.663835628</v>
      </c>
      <c r="J53" s="166">
        <v>6.0000000000000001E-3</v>
      </c>
      <c r="K53" s="191">
        <f>投资者收益测算表!$D$64</f>
        <v>2620242.46</v>
      </c>
      <c r="L53" s="157">
        <f t="shared" si="3"/>
        <v>24683389.480000012</v>
      </c>
    </row>
    <row r="54" spans="4:12" x14ac:dyDescent="0.25">
      <c r="D54" s="195">
        <v>110000000</v>
      </c>
      <c r="E54" s="166">
        <v>0.09</v>
      </c>
      <c r="F54" s="191">
        <f>D54*E54*(投资者收益测算表!$J$46-投资者收益测算表!$I$46)/投资者收益测算表!$F$46</f>
        <v>14212602.739726027</v>
      </c>
      <c r="G54" s="156">
        <v>18500000</v>
      </c>
      <c r="H54" s="192">
        <f>I54*投资者收益测算表!$F$46/(投资者收益测算表!$J$46-投资者收益测算表!$I$46)/G54</f>
        <v>0.29558991771198717</v>
      </c>
      <c r="I54" s="191">
        <f>投资者收益测算表!$G$46-F54</f>
        <v>7850544.2802739833</v>
      </c>
      <c r="J54" s="166">
        <v>6.0000000000000001E-3</v>
      </c>
      <c r="K54" s="191">
        <f>投资者收益测算表!$D$64</f>
        <v>2620242.46</v>
      </c>
      <c r="L54" s="157">
        <f t="shared" si="3"/>
        <v>24683389.480000012</v>
      </c>
    </row>
    <row r="55" spans="4:12" x14ac:dyDescent="0.25">
      <c r="D55" s="195">
        <v>105000000</v>
      </c>
      <c r="E55" s="166">
        <v>0.09</v>
      </c>
      <c r="F55" s="191">
        <f>D55*E55*(投资者收益测算表!$J$46-投资者收益测算表!$I$46)/投资者收益测算表!$F$46</f>
        <v>13566575.342465753</v>
      </c>
      <c r="G55" s="156">
        <v>23500000</v>
      </c>
      <c r="H55" s="192">
        <f>I55*投资者收益测算表!$F$46/(投资者收益测算表!$J$46-投资者收益测算表!$I$46)/G55</f>
        <v>0.25184738202858564</v>
      </c>
      <c r="I55" s="191">
        <f>投资者收益测算表!$G$46-F55</f>
        <v>8496571.677534258</v>
      </c>
      <c r="J55" s="166">
        <v>6.0000000000000001E-3</v>
      </c>
      <c r="K55" s="191">
        <f>投资者收益测算表!$D$64</f>
        <v>2620242.46</v>
      </c>
      <c r="L55" s="157">
        <f t="shared" si="3"/>
        <v>24683389.480000012</v>
      </c>
    </row>
    <row r="56" spans="4:12" x14ac:dyDescent="0.25">
      <c r="D56" s="195">
        <v>100000000</v>
      </c>
      <c r="E56" s="166">
        <v>0.09</v>
      </c>
      <c r="F56" s="191">
        <f>D56*E56*(投资者收益测算表!$J$46-投资者收益测算表!$I$46)/投资者收益测算表!$F$46</f>
        <v>12920547.94520548</v>
      </c>
      <c r="G56" s="156">
        <v>28500000</v>
      </c>
      <c r="H56" s="192">
        <f>I56*投资者收益测算表!$F$46/(投资者收益测算表!$J$46-投资者收益测算表!$I$46)/G56</f>
        <v>0.22345310447971098</v>
      </c>
      <c r="I56" s="191">
        <f>投资者收益测算表!$G$46-F56</f>
        <v>9142599.0747945309</v>
      </c>
      <c r="J56" s="166">
        <v>6.0000000000000001E-3</v>
      </c>
      <c r="K56" s="191">
        <f>投资者收益测算表!$D$64</f>
        <v>2620242.46</v>
      </c>
      <c r="L56" s="157">
        <f t="shared" si="3"/>
        <v>24683389.480000012</v>
      </c>
    </row>
    <row r="57" spans="4:12" ht="19" thickBot="1" x14ac:dyDescent="0.3">
      <c r="D57" s="196">
        <v>95000000</v>
      </c>
      <c r="E57" s="172">
        <v>0.09</v>
      </c>
      <c r="F57" s="236">
        <f>D57*E57*(投资者收益测算表!$J$46-投资者收益测算表!$I$46)/投资者收益测算表!$F$46</f>
        <v>12274520.547945205</v>
      </c>
      <c r="G57" s="237">
        <v>33500000</v>
      </c>
      <c r="H57" s="206">
        <f>I57*投资者收益测算表!$F$46/(投资者收益测算表!$J$46-投资者收益测算表!$I$46)/G57</f>
        <v>0.20353473067676905</v>
      </c>
      <c r="I57" s="236">
        <f>投资者收益测算表!$G$46-F57</f>
        <v>9788626.4720548056</v>
      </c>
      <c r="J57" s="172">
        <v>6.0000000000000001E-3</v>
      </c>
      <c r="K57" s="236">
        <f>投资者收益测算表!$D$64</f>
        <v>2620242.46</v>
      </c>
      <c r="L57" s="238">
        <f t="shared" si="3"/>
        <v>24683389.480000012</v>
      </c>
    </row>
    <row r="59" spans="4:12" x14ac:dyDescent="0.25">
      <c r="D59" t="s">
        <v>297</v>
      </c>
      <c r="E59" s="183">
        <v>42458</v>
      </c>
    </row>
    <row r="60" spans="4:12" x14ac:dyDescent="0.25">
      <c r="D60" t="s">
        <v>298</v>
      </c>
      <c r="E60" s="183">
        <v>43136</v>
      </c>
    </row>
    <row r="64" spans="4:12" x14ac:dyDescent="0.25">
      <c r="H64" s="58"/>
      <c r="I64" s="60">
        <f>投资者收益测算表!G44</f>
        <v>0</v>
      </c>
    </row>
    <row r="65" spans="3:11" x14ac:dyDescent="0.25">
      <c r="H65" s="58"/>
      <c r="I65" s="60">
        <f>投资者收益测算表!G46</f>
        <v>22063147.020000011</v>
      </c>
    </row>
    <row r="66" spans="3:11" x14ac:dyDescent="0.25">
      <c r="H66" s="58"/>
      <c r="I66" s="60"/>
    </row>
    <row r="67" spans="3:11" x14ac:dyDescent="0.25">
      <c r="H67" s="58"/>
      <c r="I67" s="60"/>
    </row>
    <row r="68" spans="3:11" x14ac:dyDescent="0.25">
      <c r="H68" s="58"/>
      <c r="I68" s="60"/>
    </row>
    <row r="69" spans="3:11" x14ac:dyDescent="0.25">
      <c r="H69" s="58"/>
      <c r="I69" s="60"/>
    </row>
    <row r="70" spans="3:11" ht="19" thickBot="1" x14ac:dyDescent="0.3">
      <c r="H70" s="58"/>
      <c r="I70" s="60"/>
    </row>
    <row r="71" spans="3:11" x14ac:dyDescent="0.25">
      <c r="D71" s="281"/>
      <c r="E71" s="282"/>
      <c r="F71" s="491" t="s">
        <v>300</v>
      </c>
      <c r="G71" s="492"/>
      <c r="H71" s="493" t="s">
        <v>301</v>
      </c>
      <c r="I71" s="494"/>
      <c r="J71" s="495" t="s">
        <v>304</v>
      </c>
      <c r="K71" s="494"/>
    </row>
    <row r="72" spans="3:11" ht="19" thickBot="1" x14ac:dyDescent="0.3">
      <c r="D72" s="268"/>
      <c r="E72" s="283" t="s">
        <v>278</v>
      </c>
      <c r="F72" s="279" t="s">
        <v>279</v>
      </c>
      <c r="G72" s="278" t="s">
        <v>247</v>
      </c>
      <c r="H72" s="280" t="s">
        <v>279</v>
      </c>
      <c r="I72" s="277" t="s">
        <v>247</v>
      </c>
      <c r="J72" s="279" t="s">
        <v>279</v>
      </c>
      <c r="K72" s="277" t="s">
        <v>247</v>
      </c>
    </row>
    <row r="73" spans="3:11" x14ac:dyDescent="0.25">
      <c r="D73" s="266" t="s">
        <v>234</v>
      </c>
      <c r="E73" s="272">
        <f>投资者收益测算表!C43</f>
        <v>370000000</v>
      </c>
      <c r="F73" s="273">
        <v>0.05</v>
      </c>
      <c r="G73" s="274">
        <v>21912835.609999999</v>
      </c>
      <c r="H73" s="275">
        <v>0.05</v>
      </c>
      <c r="I73" s="276">
        <v>21912835.609999999</v>
      </c>
      <c r="J73" s="273">
        <v>0.05</v>
      </c>
      <c r="K73" s="276">
        <v>21912835.609999999</v>
      </c>
    </row>
    <row r="74" spans="3:11" x14ac:dyDescent="0.25">
      <c r="D74" s="267" t="s">
        <v>235</v>
      </c>
      <c r="E74" s="269">
        <f>投资者收益测算表!C44</f>
        <v>0</v>
      </c>
      <c r="F74" s="259">
        <v>0.08</v>
      </c>
      <c r="G74" s="261">
        <v>17037304.109999999</v>
      </c>
      <c r="H74" s="264">
        <v>8.5000000000000006E-2</v>
      </c>
      <c r="I74" s="255">
        <v>18102135.609999996</v>
      </c>
      <c r="J74" s="259">
        <v>0.09</v>
      </c>
      <c r="K74" s="255">
        <v>19166967.129999999</v>
      </c>
    </row>
    <row r="75" spans="3:11" x14ac:dyDescent="0.25">
      <c r="D75" s="267" t="s">
        <v>217</v>
      </c>
      <c r="E75" s="269">
        <f>投资者收益测算表!C46</f>
        <v>168500000</v>
      </c>
      <c r="F75" s="258">
        <v>0.14843300000000001</v>
      </c>
      <c r="G75" s="261">
        <v>14847514.659999982</v>
      </c>
      <c r="H75" s="263">
        <v>0.13778799999999999</v>
      </c>
      <c r="I75" s="255">
        <v>13782683.159999996</v>
      </c>
      <c r="J75" s="258">
        <f>投资者收益测算表!E46</f>
        <v>9.1206999999999996E-2</v>
      </c>
      <c r="K75" s="255">
        <v>12717851.639999978</v>
      </c>
    </row>
    <row r="76" spans="3:11" x14ac:dyDescent="0.25">
      <c r="D76" s="267" t="s">
        <v>267</v>
      </c>
      <c r="E76" s="270" t="s">
        <v>303</v>
      </c>
      <c r="F76" s="258">
        <v>6.0000000000000001E-3</v>
      </c>
      <c r="G76" s="261">
        <v>4507507.3900000006</v>
      </c>
      <c r="H76" s="263">
        <v>6.0000000000000001E-3</v>
      </c>
      <c r="I76" s="255">
        <v>4507507.3900000006</v>
      </c>
      <c r="J76" s="258">
        <v>6.0000000000000001E-3</v>
      </c>
      <c r="K76" s="255">
        <v>4507507.3900000006</v>
      </c>
    </row>
    <row r="77" spans="3:11" ht="19" thickBot="1" x14ac:dyDescent="0.3">
      <c r="D77" s="268" t="s">
        <v>302</v>
      </c>
      <c r="E77" s="271" t="s">
        <v>303</v>
      </c>
      <c r="F77" s="260" t="s">
        <v>303</v>
      </c>
      <c r="G77" s="262">
        <f>SUM(投资者收益测算表!D59:D63)</f>
        <v>1582906.68</v>
      </c>
      <c r="H77" s="265" t="s">
        <v>303</v>
      </c>
      <c r="I77" s="256">
        <v>1551557.93</v>
      </c>
      <c r="J77" s="260" t="s">
        <v>303</v>
      </c>
      <c r="K77" s="256">
        <v>1551557.93</v>
      </c>
    </row>
    <row r="78" spans="3:11" ht="22" customHeight="1" x14ac:dyDescent="0.25">
      <c r="C78" s="171"/>
      <c r="D78" s="257" t="s">
        <v>83</v>
      </c>
      <c r="E78" s="252">
        <f>SUM(E73:E77)</f>
        <v>538500000</v>
      </c>
      <c r="F78" s="253"/>
      <c r="G78" s="252">
        <f>SUM(G73:G77)</f>
        <v>59888068.449999981</v>
      </c>
      <c r="H78" s="58"/>
      <c r="I78" s="252">
        <f>SUM(I73:I77)</f>
        <v>59856719.699999996</v>
      </c>
      <c r="J78" s="254"/>
      <c r="K78" s="252">
        <f>SUM(K73:K77)</f>
        <v>59856719.699999973</v>
      </c>
    </row>
    <row r="79" spans="3:11" x14ac:dyDescent="0.25">
      <c r="H79" s="58"/>
      <c r="I79" s="60"/>
    </row>
    <row r="80" spans="3:11" x14ac:dyDescent="0.25">
      <c r="H80" s="58"/>
      <c r="I80" s="60"/>
    </row>
    <row r="81" spans="3:12" x14ac:dyDescent="0.25">
      <c r="D81" t="s">
        <v>297</v>
      </c>
      <c r="E81" s="183">
        <v>42458</v>
      </c>
      <c r="H81" s="58"/>
      <c r="I81" s="60"/>
    </row>
    <row r="82" spans="3:12" x14ac:dyDescent="0.25">
      <c r="D82" t="s">
        <v>298</v>
      </c>
      <c r="E82" s="183">
        <v>43136</v>
      </c>
      <c r="H82" s="58"/>
      <c r="I82" s="60"/>
    </row>
    <row r="83" spans="3:12" x14ac:dyDescent="0.25">
      <c r="H83" s="58"/>
      <c r="I83" s="60"/>
    </row>
    <row r="87" spans="3:12" ht="19" thickBot="1" x14ac:dyDescent="0.3"/>
    <row r="88" spans="3:12" x14ac:dyDescent="0.25">
      <c r="D88" s="217"/>
      <c r="E88" s="296"/>
      <c r="F88" s="496" t="s">
        <v>300</v>
      </c>
      <c r="G88" s="497"/>
      <c r="H88" s="495" t="s">
        <v>301</v>
      </c>
      <c r="I88" s="498"/>
      <c r="J88" s="493" t="s">
        <v>304</v>
      </c>
      <c r="K88" s="494"/>
    </row>
    <row r="89" spans="3:12" ht="19" thickBot="1" x14ac:dyDescent="0.3">
      <c r="C89" t="s">
        <v>187</v>
      </c>
      <c r="D89" s="168"/>
      <c r="E89" s="305" t="s">
        <v>278</v>
      </c>
      <c r="F89" s="280" t="s">
        <v>279</v>
      </c>
      <c r="G89" s="277" t="s">
        <v>247</v>
      </c>
      <c r="H89" s="279" t="s">
        <v>279</v>
      </c>
      <c r="I89" s="278" t="s">
        <v>247</v>
      </c>
      <c r="J89" s="280" t="s">
        <v>279</v>
      </c>
      <c r="K89" s="277" t="s">
        <v>247</v>
      </c>
      <c r="L89" s="178"/>
    </row>
    <row r="90" spans="3:12" x14ac:dyDescent="0.25">
      <c r="D90" s="217" t="s">
        <v>234</v>
      </c>
      <c r="E90" s="297">
        <f>投资者收益测算表!$C$43</f>
        <v>370000000</v>
      </c>
      <c r="F90" s="301">
        <v>0.05</v>
      </c>
      <c r="G90" s="295">
        <f>投资者收益测算表!$G$43</f>
        <v>14107356.16</v>
      </c>
      <c r="H90" s="300">
        <v>0.05</v>
      </c>
      <c r="I90" s="302">
        <f>G90</f>
        <v>14107356.16</v>
      </c>
      <c r="J90" s="301">
        <v>0.05</v>
      </c>
      <c r="K90" s="295">
        <f>I90</f>
        <v>14107356.16</v>
      </c>
      <c r="L90" s="57"/>
    </row>
    <row r="91" spans="3:12" x14ac:dyDescent="0.25">
      <c r="C91" s="304">
        <v>0.9</v>
      </c>
      <c r="D91" s="167" t="s">
        <v>313</v>
      </c>
      <c r="E91" s="298">
        <f>投资者收益测算表!$C$46*C91</f>
        <v>151650000</v>
      </c>
      <c r="F91" s="264">
        <v>0.08</v>
      </c>
      <c r="G91" s="255">
        <f>$E91*F91*(投资者收益测算表!$J$46-投资者收益测算表!$I$46)/投资者收益测算表!$F$46</f>
        <v>17416898.630136985</v>
      </c>
      <c r="H91" s="259">
        <v>8.5000000000000006E-2</v>
      </c>
      <c r="I91" s="255">
        <f>$E91*H91*(投资者收益测算表!$J$46-投资者收益测算表!$I$46)/投资者收益测算表!$F$46</f>
        <v>18505454.794520549</v>
      </c>
      <c r="J91" s="264">
        <v>0.09</v>
      </c>
      <c r="K91" s="255">
        <f>$E91*J91*(投资者收益测算表!$J$46-投资者收益测算表!$I$46)/投资者收益测算表!$F$46</f>
        <v>19594010.95890411</v>
      </c>
      <c r="L91" s="57"/>
    </row>
    <row r="92" spans="3:12" ht="19" thickBot="1" x14ac:dyDescent="0.3">
      <c r="C92" s="304">
        <f>1-C91</f>
        <v>9.9999999999999978E-2</v>
      </c>
      <c r="D92" s="168" t="s">
        <v>314</v>
      </c>
      <c r="E92" s="299">
        <f>投资者收益测算表!$C$46*C92</f>
        <v>16849999.999999996</v>
      </c>
      <c r="F92" s="265">
        <f>G92*投资者收益测算表!$F$46/(投资者收益测算表!$J$46-投资者收益测算表!$I$46)/$E92</f>
        <v>0.19207201647903646</v>
      </c>
      <c r="G92" s="256">
        <f>投资者收益测算表!$G$46-调整收益分析!G91</f>
        <v>4646248.3898630254</v>
      </c>
      <c r="H92" s="265">
        <f>I92*投资者收益测算表!$F$46/(投资者收益测算表!$J$46-投资者收益测算表!$I$46)/$E92</f>
        <v>0.14707201647903637</v>
      </c>
      <c r="I92" s="262">
        <f>投资者收益测算表!$G$46-调整收益分析!I91</f>
        <v>3557692.2254794613</v>
      </c>
      <c r="J92" s="265">
        <f>K92*投资者收益测算表!$F$46/(投资者收益测算表!$J$46-投资者收益测算表!$I$46)/$E92</f>
        <v>0.1020720164790364</v>
      </c>
      <c r="K92" s="256">
        <f>投资者收益测算表!$G$46-调整收益分析!K91</f>
        <v>2469136.0610959008</v>
      </c>
      <c r="L92" s="57"/>
    </row>
    <row r="93" spans="3:12" ht="19" thickBot="1" x14ac:dyDescent="0.3">
      <c r="D93" s="171"/>
      <c r="E93" s="170"/>
      <c r="F93" s="175"/>
      <c r="G93" s="303"/>
      <c r="H93" s="175"/>
      <c r="I93" s="303"/>
      <c r="J93" s="175"/>
      <c r="K93" s="303"/>
      <c r="L93" s="57"/>
    </row>
    <row r="94" spans="3:12" x14ac:dyDescent="0.25">
      <c r="D94" s="217"/>
      <c r="E94" s="296"/>
      <c r="F94" s="496" t="s">
        <v>318</v>
      </c>
      <c r="G94" s="497"/>
      <c r="H94" s="495" t="s">
        <v>319</v>
      </c>
      <c r="I94" s="498"/>
      <c r="J94" s="493" t="s">
        <v>320</v>
      </c>
      <c r="K94" s="494"/>
      <c r="L94" s="57"/>
    </row>
    <row r="95" spans="3:12" ht="19" thickBot="1" x14ac:dyDescent="0.3">
      <c r="C95" t="s">
        <v>187</v>
      </c>
      <c r="D95" s="168"/>
      <c r="E95" s="305" t="s">
        <v>278</v>
      </c>
      <c r="F95" s="280" t="s">
        <v>279</v>
      </c>
      <c r="G95" s="277" t="s">
        <v>247</v>
      </c>
      <c r="H95" s="279" t="s">
        <v>279</v>
      </c>
      <c r="I95" s="278" t="s">
        <v>247</v>
      </c>
      <c r="J95" s="280" t="s">
        <v>279</v>
      </c>
      <c r="K95" s="277" t="s">
        <v>247</v>
      </c>
      <c r="L95" s="57"/>
    </row>
    <row r="96" spans="3:12" x14ac:dyDescent="0.25">
      <c r="D96" s="217" t="s">
        <v>234</v>
      </c>
      <c r="E96" s="297">
        <f>投资者收益测算表!$C$43</f>
        <v>370000000</v>
      </c>
      <c r="F96" s="301">
        <v>0.05</v>
      </c>
      <c r="G96" s="295">
        <f>投资者收益测算表!$G$43</f>
        <v>14107356.16</v>
      </c>
      <c r="H96" s="300">
        <v>0.05</v>
      </c>
      <c r="I96" s="302">
        <f>G96</f>
        <v>14107356.16</v>
      </c>
      <c r="J96" s="301">
        <v>0.05</v>
      </c>
      <c r="K96" s="295">
        <f>I96</f>
        <v>14107356.16</v>
      </c>
      <c r="L96" s="57"/>
    </row>
    <row r="97" spans="3:12" x14ac:dyDescent="0.25">
      <c r="C97" s="304">
        <v>0.8</v>
      </c>
      <c r="D97" s="167" t="s">
        <v>313</v>
      </c>
      <c r="E97" s="298">
        <f>投资者收益测算表!$C$46*C97</f>
        <v>134800000</v>
      </c>
      <c r="F97" s="264">
        <v>0.08</v>
      </c>
      <c r="G97" s="255">
        <f>$E97*F97*(投资者收益测算表!$J$46-投资者收益测算表!$I$46)/投资者收益测算表!$F$46</f>
        <v>15481687.671232877</v>
      </c>
      <c r="H97" s="259">
        <v>8.5000000000000006E-2</v>
      </c>
      <c r="I97" s="255">
        <f>$E97*H97*(投资者收益测算表!$J$46-投资者收益测算表!$I$46)/投资者收益测算表!$F$46</f>
        <v>16449293.150684932</v>
      </c>
      <c r="J97" s="264">
        <v>0.09</v>
      </c>
      <c r="K97" s="255">
        <f>$E97*J97*(投资者收益测算表!$J$46-投资者收益测算表!$I$46)/投资者收益测算表!$F$46</f>
        <v>17416898.630136985</v>
      </c>
      <c r="L97" s="57"/>
    </row>
    <row r="98" spans="3:12" ht="19" thickBot="1" x14ac:dyDescent="0.3">
      <c r="C98" s="304">
        <f>1-C97</f>
        <v>0.19999999999999996</v>
      </c>
      <c r="D98" s="168" t="s">
        <v>314</v>
      </c>
      <c r="E98" s="299">
        <f>投资者收益测算表!$C$46*C98</f>
        <v>33699999.999999993</v>
      </c>
      <c r="F98" s="265">
        <f>G98*投资者收益测算表!$F$46/(投资者收益测算表!$J$46-投资者收益测算表!$I$46)/$E98</f>
        <v>0.1360360082395182</v>
      </c>
      <c r="G98" s="256">
        <f>投资者收益测算表!$G$46-调整收益分析!G97</f>
        <v>6581459.3487671334</v>
      </c>
      <c r="H98" s="265">
        <f>I98*投资者收益测算表!$F$46/(投资者收益测算表!$J$46-投资者收益测算表!$I$46)/$E98</f>
        <v>0.11603600823951819</v>
      </c>
      <c r="I98" s="262">
        <f>投资者收益测算表!$G$46-调整收益分析!I97</f>
        <v>5613853.8693150785</v>
      </c>
      <c r="J98" s="265">
        <f>K98*投资者收益测算表!$F$46/(投资者收益测算表!$J$46-投资者收益测算表!$I$46)/$E98</f>
        <v>9.6036008239518231E-2</v>
      </c>
      <c r="K98" s="256">
        <f>投资者收益测算表!$G$46-调整收益分析!K97</f>
        <v>4646248.3898630254</v>
      </c>
      <c r="L98" s="57"/>
    </row>
    <row r="99" spans="3:12" ht="19" thickBot="1" x14ac:dyDescent="0.3">
      <c r="D99" s="171"/>
      <c r="E99" s="170"/>
      <c r="F99" s="175"/>
      <c r="G99" s="303"/>
      <c r="H99" s="175"/>
      <c r="I99" s="303"/>
      <c r="J99" s="175"/>
      <c r="K99" s="303"/>
      <c r="L99" s="57"/>
    </row>
    <row r="100" spans="3:12" x14ac:dyDescent="0.25">
      <c r="D100" s="217"/>
      <c r="E100" s="296"/>
      <c r="F100" s="496" t="s">
        <v>321</v>
      </c>
      <c r="G100" s="497"/>
      <c r="H100" s="495" t="s">
        <v>322</v>
      </c>
      <c r="I100" s="498"/>
      <c r="J100" s="493" t="s">
        <v>323</v>
      </c>
      <c r="K100" s="494"/>
      <c r="L100" s="57"/>
    </row>
    <row r="101" spans="3:12" ht="19" thickBot="1" x14ac:dyDescent="0.3">
      <c r="C101" t="s">
        <v>187</v>
      </c>
      <c r="D101" s="168"/>
      <c r="E101" s="305" t="s">
        <v>278</v>
      </c>
      <c r="F101" s="280" t="s">
        <v>279</v>
      </c>
      <c r="G101" s="277" t="s">
        <v>247</v>
      </c>
      <c r="H101" s="279" t="s">
        <v>279</v>
      </c>
      <c r="I101" s="278" t="s">
        <v>247</v>
      </c>
      <c r="J101" s="280" t="s">
        <v>279</v>
      </c>
      <c r="K101" s="277" t="s">
        <v>247</v>
      </c>
      <c r="L101" s="57"/>
    </row>
    <row r="102" spans="3:12" x14ac:dyDescent="0.25">
      <c r="D102" s="217" t="s">
        <v>234</v>
      </c>
      <c r="E102" s="297">
        <f>投资者收益测算表!$C$43</f>
        <v>370000000</v>
      </c>
      <c r="F102" s="301">
        <v>0.05</v>
      </c>
      <c r="G102" s="295">
        <f>投资者收益测算表!$G$43</f>
        <v>14107356.16</v>
      </c>
      <c r="H102" s="300">
        <v>0.05</v>
      </c>
      <c r="I102" s="302">
        <f>G102</f>
        <v>14107356.16</v>
      </c>
      <c r="J102" s="301">
        <v>0.05</v>
      </c>
      <c r="K102" s="295">
        <f>I102</f>
        <v>14107356.16</v>
      </c>
      <c r="L102" s="57"/>
    </row>
    <row r="103" spans="3:12" x14ac:dyDescent="0.25">
      <c r="C103" s="304">
        <v>0.7</v>
      </c>
      <c r="D103" s="167" t="s">
        <v>313</v>
      </c>
      <c r="E103" s="298">
        <f>投资者收益测算表!$C$46*C103</f>
        <v>117949999.99999999</v>
      </c>
      <c r="F103" s="264">
        <v>0.08</v>
      </c>
      <c r="G103" s="255">
        <f>$E103*F103*(投资者收益测算表!$J$46-投资者收益测算表!$I$46)/投资者收益测算表!$F$46</f>
        <v>13546476.712328764</v>
      </c>
      <c r="H103" s="259">
        <v>8.5000000000000006E-2</v>
      </c>
      <c r="I103" s="255">
        <f>$E103*H103*(投资者收益测算表!$J$46-投资者收益测算表!$I$46)/投资者收益测算表!$F$46</f>
        <v>14393131.506849315</v>
      </c>
      <c r="J103" s="264">
        <v>0.09</v>
      </c>
      <c r="K103" s="255">
        <f>$E103*J103*(投资者收益测算表!$J$46-投资者收益测算表!$I$46)/投资者收益测算表!$F$46</f>
        <v>15239786.301369861</v>
      </c>
      <c r="L103" s="57"/>
    </row>
    <row r="104" spans="3:12" ht="19" thickBot="1" x14ac:dyDescent="0.3">
      <c r="C104" s="304">
        <f>1-C103</f>
        <v>0.30000000000000004</v>
      </c>
      <c r="D104" s="168" t="s">
        <v>314</v>
      </c>
      <c r="E104" s="299">
        <f>投资者收益测算表!$C$46*C104</f>
        <v>50550000.000000007</v>
      </c>
      <c r="F104" s="265">
        <f>G104*投资者收益测算表!$F$46/(投资者收益测算表!$J$46-投资者收益测算表!$I$46)/$E104</f>
        <v>0.11735733882634548</v>
      </c>
      <c r="G104" s="256">
        <f>投资者收益测算表!$G$46-调整收益分析!G103</f>
        <v>8516670.3076712471</v>
      </c>
      <c r="H104" s="265">
        <f>I104*投资者收益测算表!$F$46/(投资者收益测算表!$J$46-投资者收益测算表!$I$46)/$E104</f>
        <v>0.10569067215967877</v>
      </c>
      <c r="I104" s="262">
        <f>投资者收益测算表!$G$46-调整收益分析!I103</f>
        <v>7670015.5131506957</v>
      </c>
      <c r="J104" s="265">
        <f>K104*投资者收益测算表!$F$46/(投资者收益测算表!$J$46-投资者收益测算表!$I$46)/$E104</f>
        <v>9.4024005493012153E-2</v>
      </c>
      <c r="K104" s="256">
        <f>投资者收益测算表!$G$46-调整收益分析!K103</f>
        <v>6823360.71863015</v>
      </c>
      <c r="L104" s="57"/>
    </row>
    <row r="105" spans="3:12" x14ac:dyDescent="0.25">
      <c r="D105" s="171"/>
      <c r="E105" s="170"/>
      <c r="F105" s="175"/>
      <c r="G105" s="303"/>
      <c r="H105" s="175"/>
      <c r="I105" s="303"/>
      <c r="J105" s="175"/>
      <c r="K105" s="303"/>
      <c r="L105" s="57"/>
    </row>
    <row r="106" spans="3:12" x14ac:dyDescent="0.25">
      <c r="D106" t="s">
        <v>315</v>
      </c>
      <c r="E106" s="57"/>
      <c r="G106" s="293">
        <f>SUM(G90:G92)</f>
        <v>36170503.180000007</v>
      </c>
      <c r="I106" s="57"/>
      <c r="K106" s="57"/>
    </row>
    <row r="107" spans="3:12" ht="10" customHeight="1" x14ac:dyDescent="0.25"/>
    <row r="108" spans="3:12" x14ac:dyDescent="0.25">
      <c r="D108" t="s">
        <v>267</v>
      </c>
      <c r="G108" s="293">
        <f>投资者收益测算表!D64</f>
        <v>2620242.46</v>
      </c>
    </row>
    <row r="109" spans="3:12" ht="13" customHeight="1" x14ac:dyDescent="0.25"/>
    <row r="110" spans="3:12" x14ac:dyDescent="0.25">
      <c r="D110" t="s">
        <v>243</v>
      </c>
      <c r="G110" s="293">
        <f>SUM(投资者收益测算表!D59:D63)</f>
        <v>1582906.68</v>
      </c>
    </row>
    <row r="112" spans="3:12" ht="21" x14ac:dyDescent="0.4">
      <c r="D112" t="s">
        <v>83</v>
      </c>
      <c r="G112" s="294">
        <f>G106+G108+G110</f>
        <v>40373652.320000008</v>
      </c>
    </row>
    <row r="115" spans="4:13" x14ac:dyDescent="0.25">
      <c r="D115" t="s">
        <v>316</v>
      </c>
      <c r="E115" s="183">
        <f>投资者收益测算表!B28</f>
        <v>42612</v>
      </c>
    </row>
    <row r="116" spans="4:13" x14ac:dyDescent="0.25">
      <c r="D116" t="s">
        <v>317</v>
      </c>
      <c r="E116" s="183">
        <f>投资者收益测算表!J46</f>
        <v>43136</v>
      </c>
    </row>
    <row r="121" spans="4:13" ht="19" thickBot="1" x14ac:dyDescent="0.3"/>
    <row r="122" spans="4:13" ht="19" thickBot="1" x14ac:dyDescent="0.3">
      <c r="D122" s="306" t="s">
        <v>237</v>
      </c>
      <c r="E122" s="307" t="s">
        <v>238</v>
      </c>
      <c r="F122" s="307" t="s">
        <v>299</v>
      </c>
      <c r="G122" s="308" t="s">
        <v>247</v>
      </c>
      <c r="I122" s="306" t="s">
        <v>237</v>
      </c>
      <c r="J122" s="307" t="s">
        <v>238</v>
      </c>
      <c r="K122" s="307" t="s">
        <v>299</v>
      </c>
      <c r="L122" s="308" t="s">
        <v>247</v>
      </c>
    </row>
    <row r="123" spans="4:13" x14ac:dyDescent="0.25">
      <c r="D123" s="131" t="s">
        <v>234</v>
      </c>
      <c r="E123" s="84">
        <v>370000000</v>
      </c>
      <c r="F123" s="133">
        <v>0.05</v>
      </c>
      <c r="G123" s="136">
        <v>21152561.640000001</v>
      </c>
      <c r="I123" s="131" t="s">
        <v>234</v>
      </c>
      <c r="J123" s="84">
        <v>370000000</v>
      </c>
      <c r="K123" s="133">
        <v>0.05</v>
      </c>
      <c r="L123" s="136">
        <v>21152561.640000001</v>
      </c>
    </row>
    <row r="124" spans="4:13" x14ac:dyDescent="0.25">
      <c r="D124" s="137" t="s">
        <v>235</v>
      </c>
      <c r="E124" s="85">
        <v>40000000</v>
      </c>
      <c r="F124" s="309">
        <v>7.1999999999999995E-2</v>
      </c>
      <c r="G124" s="90">
        <v>5086027.4000000004</v>
      </c>
      <c r="I124" s="137" t="s">
        <v>235</v>
      </c>
      <c r="J124" s="85">
        <v>40000000</v>
      </c>
      <c r="K124" s="309">
        <v>7.0000000000000007E-2</v>
      </c>
      <c r="L124" s="90">
        <v>5086027.4000000004</v>
      </c>
    </row>
    <row r="125" spans="4:13" x14ac:dyDescent="0.25">
      <c r="D125" s="137" t="s">
        <v>306</v>
      </c>
      <c r="E125" s="85">
        <v>74650000</v>
      </c>
      <c r="F125" s="309">
        <v>8.7999999999999995E-2</v>
      </c>
      <c r="G125" s="90">
        <v>11525755.479452053</v>
      </c>
      <c r="I125" s="137" t="s">
        <v>306</v>
      </c>
      <c r="J125" s="85">
        <v>74650000</v>
      </c>
      <c r="K125" s="309">
        <v>8.5000000000000006E-2</v>
      </c>
      <c r="L125" s="90">
        <v>11525755.479452053</v>
      </c>
    </row>
    <row r="126" spans="4:13" x14ac:dyDescent="0.25">
      <c r="D126" s="310" t="s">
        <v>324</v>
      </c>
      <c r="E126" s="148">
        <f>投资者收益测算表!C46*0.7</f>
        <v>117949999.99999999</v>
      </c>
      <c r="F126" s="311">
        <v>8.5000000000000006E-2</v>
      </c>
      <c r="G126" s="312">
        <f>E126*F126*(投资者收益测算表!$J$45-投资者收益测算表!$I$45)/投资者收益测算表!$F$45</f>
        <v>14393131.506849315</v>
      </c>
      <c r="H126" t="s">
        <v>286</v>
      </c>
      <c r="I126" s="310" t="s">
        <v>324</v>
      </c>
      <c r="J126" s="148">
        <v>37695000</v>
      </c>
      <c r="K126" s="311">
        <v>0.09</v>
      </c>
      <c r="L126" s="312">
        <f>J126*K126*(投资者收益测算表!$J$45-投资者收益测算表!$I$45)/投资者收益测算表!$F$45</f>
        <v>4870400.5479452051</v>
      </c>
      <c r="M126" t="s">
        <v>286</v>
      </c>
    </row>
    <row r="127" spans="4:13" ht="19" thickBot="1" x14ac:dyDescent="0.3">
      <c r="D127" s="140" t="s">
        <v>325</v>
      </c>
      <c r="E127" s="141">
        <f>投资者收益测算表!C46*0.3</f>
        <v>50550000</v>
      </c>
      <c r="F127" s="143">
        <f>G127/E127*投资者收益测算表!$F$46/(投资者收益测算表!$J$46-投资者收益测算表!$I$46)</f>
        <v>-1.2919864316947303E-3</v>
      </c>
      <c r="G127" s="128">
        <f>14299371.5205479-G126</f>
        <v>-93759.986301414669</v>
      </c>
      <c r="H127" s="60">
        <f>SUM(G123:G127)-投资者收益测算表!G47</f>
        <v>15893212.859999947</v>
      </c>
      <c r="I127" s="140" t="s">
        <v>325</v>
      </c>
      <c r="J127" s="141">
        <v>16155000</v>
      </c>
      <c r="K127" s="143">
        <f>L127/J127*投资者收益测算表!$F$46/(投资者收益测算表!$J$46-投资者收益测算表!$I$46)</f>
        <v>0.40655463236631578</v>
      </c>
      <c r="L127" s="128">
        <f>14299371.5205479-L126</f>
        <v>9428970.9726026952</v>
      </c>
      <c r="M127" s="60">
        <f>SUM(L123:L127)-投资者收益测算表!G47</f>
        <v>15893212.85999994</v>
      </c>
    </row>
    <row r="129" spans="4:13" ht="19" thickBot="1" x14ac:dyDescent="0.3"/>
    <row r="130" spans="4:13" ht="19" thickBot="1" x14ac:dyDescent="0.3">
      <c r="D130" s="306" t="s">
        <v>237</v>
      </c>
      <c r="E130" s="307" t="s">
        <v>238</v>
      </c>
      <c r="F130" s="307" t="s">
        <v>299</v>
      </c>
      <c r="G130" s="308" t="s">
        <v>247</v>
      </c>
      <c r="I130" s="306" t="s">
        <v>237</v>
      </c>
      <c r="J130" s="307" t="s">
        <v>238</v>
      </c>
      <c r="K130" s="307" t="s">
        <v>299</v>
      </c>
      <c r="L130" s="308" t="s">
        <v>247</v>
      </c>
    </row>
    <row r="131" spans="4:13" x14ac:dyDescent="0.25">
      <c r="D131" s="131" t="s">
        <v>234</v>
      </c>
      <c r="E131" s="84">
        <v>370000000</v>
      </c>
      <c r="F131" s="133">
        <v>0.05</v>
      </c>
      <c r="G131" s="136">
        <v>21152561.640000001</v>
      </c>
      <c r="I131" s="131" t="s">
        <v>234</v>
      </c>
      <c r="J131" s="84">
        <v>370000000</v>
      </c>
      <c r="K131" s="133">
        <v>0.05</v>
      </c>
      <c r="L131" s="136">
        <v>21152561.640000001</v>
      </c>
    </row>
    <row r="132" spans="4:13" x14ac:dyDescent="0.25">
      <c r="D132" s="137" t="s">
        <v>235</v>
      </c>
      <c r="E132" s="85">
        <v>40000000</v>
      </c>
      <c r="F132" s="309">
        <v>7.4999999999999997E-2</v>
      </c>
      <c r="G132" s="90">
        <v>5449315.0600000005</v>
      </c>
      <c r="I132" s="137" t="s">
        <v>235</v>
      </c>
      <c r="J132" s="85">
        <v>40000000</v>
      </c>
      <c r="K132" s="309">
        <v>7.4999999999999997E-2</v>
      </c>
      <c r="L132" s="90">
        <v>5449315.0600000005</v>
      </c>
    </row>
    <row r="133" spans="4:13" x14ac:dyDescent="0.25">
      <c r="D133" s="137" t="s">
        <v>306</v>
      </c>
      <c r="E133" s="85">
        <v>74650000</v>
      </c>
      <c r="F133" s="309">
        <v>8.5000000000000006E-2</v>
      </c>
      <c r="G133" s="90">
        <v>11525755.479452053</v>
      </c>
      <c r="I133" s="137" t="s">
        <v>306</v>
      </c>
      <c r="J133" s="85">
        <v>74650000</v>
      </c>
      <c r="K133" s="309">
        <v>8.5000000000000006E-2</v>
      </c>
      <c r="L133" s="90">
        <v>11525755.479452053</v>
      </c>
    </row>
    <row r="134" spans="4:13" x14ac:dyDescent="0.25">
      <c r="D134" s="310" t="s">
        <v>324</v>
      </c>
      <c r="E134" s="148">
        <v>37695000</v>
      </c>
      <c r="F134" s="311">
        <v>8.5000000000000006E-2</v>
      </c>
      <c r="G134" s="312">
        <f>E134*F134*(投资者收益测算表!$J$45-投资者收益测算表!$I$45)/投资者收益测算表!$F$45</f>
        <v>4599822.7397260275</v>
      </c>
      <c r="H134" t="s">
        <v>286</v>
      </c>
      <c r="I134" s="310" t="s">
        <v>324</v>
      </c>
      <c r="J134" s="148">
        <v>37695000</v>
      </c>
      <c r="K134" s="311">
        <v>0.09</v>
      </c>
      <c r="L134" s="312">
        <f>J134*K134*(投资者收益测算表!$J$45-投资者收益测算表!$I$45)/投资者收益测算表!$F$45</f>
        <v>4870400.5479452051</v>
      </c>
      <c r="M134" t="s">
        <v>286</v>
      </c>
    </row>
    <row r="135" spans="4:13" ht="19" thickBot="1" x14ac:dyDescent="0.3">
      <c r="D135" s="140" t="s">
        <v>325</v>
      </c>
      <c r="E135" s="141">
        <v>16155000</v>
      </c>
      <c r="F135" s="143">
        <f>G135/E135*投资者收益测算表!$F$46/(投资者收益测算表!$J$46-投资者收益测算表!$I$46)</f>
        <v>0.40255720573121789</v>
      </c>
      <c r="G135" s="128">
        <f>13936083.860548-G134</f>
        <v>9336261.1208219733</v>
      </c>
      <c r="H135" s="60">
        <f>SUM(G131:G135)-投资者收益测算表!G47</f>
        <v>15893212.860000052</v>
      </c>
      <c r="I135" s="140" t="s">
        <v>325</v>
      </c>
      <c r="J135" s="141">
        <v>16155000</v>
      </c>
      <c r="K135" s="143">
        <f>L135/J135*投资者收益测算表!$F$46/(投资者收益测算表!$J$46-投资者收益测算表!$I$46)</f>
        <v>0.39089053906455123</v>
      </c>
      <c r="L135" s="128">
        <f>13936083.860548-L134</f>
        <v>9065683.3126027957</v>
      </c>
      <c r="M135" s="57">
        <f>SUM(L131:L135)-投资者收益测算表!G47</f>
        <v>15893212.860000052</v>
      </c>
    </row>
    <row r="136" spans="4:13" x14ac:dyDescent="0.25">
      <c r="G136" s="57"/>
      <c r="L136" s="57"/>
    </row>
    <row r="137" spans="4:13" ht="21" x14ac:dyDescent="0.4">
      <c r="D137" t="s">
        <v>315</v>
      </c>
      <c r="F137" s="165">
        <f>SUM(G123:G127)</f>
        <v>52063716.039999954</v>
      </c>
    </row>
    <row r="138" spans="4:13" ht="10" customHeight="1" x14ac:dyDescent="0.25"/>
    <row r="139" spans="4:13" ht="21" x14ac:dyDescent="0.4">
      <c r="D139" t="s">
        <v>267</v>
      </c>
      <c r="F139" s="165">
        <f>投资者收益测算表!D64</f>
        <v>2620242.46</v>
      </c>
    </row>
    <row r="140" spans="4:13" ht="9" customHeight="1" x14ac:dyDescent="0.25"/>
    <row r="141" spans="4:13" ht="21" x14ac:dyDescent="0.4">
      <c r="D141" t="s">
        <v>243</v>
      </c>
      <c r="F141" s="165">
        <f>SUM(投资者收益测算表!D59:D63)</f>
        <v>1582906.68</v>
      </c>
    </row>
    <row r="142" spans="4:13" ht="8" customHeight="1" x14ac:dyDescent="0.25"/>
    <row r="143" spans="4:13" ht="21" x14ac:dyDescent="0.4">
      <c r="D143" t="s">
        <v>83</v>
      </c>
      <c r="F143" s="294">
        <f>SUM(F137:F141)</f>
        <v>56266865.179999955</v>
      </c>
    </row>
    <row r="146" spans="4:12" x14ac:dyDescent="0.25">
      <c r="D146" t="s">
        <v>316</v>
      </c>
      <c r="E146" s="183">
        <v>42473</v>
      </c>
    </row>
    <row r="147" spans="4:12" x14ac:dyDescent="0.25">
      <c r="D147" t="s">
        <v>317</v>
      </c>
      <c r="E147" s="183">
        <v>43136</v>
      </c>
    </row>
    <row r="152" spans="4:12" ht="19" thickBot="1" x14ac:dyDescent="0.3"/>
    <row r="153" spans="4:12" ht="19" thickBot="1" x14ac:dyDescent="0.3">
      <c r="D153" s="306" t="s">
        <v>237</v>
      </c>
      <c r="E153" s="307" t="s">
        <v>238</v>
      </c>
      <c r="F153" s="307" t="s">
        <v>299</v>
      </c>
      <c r="G153" s="308" t="s">
        <v>247</v>
      </c>
      <c r="I153" s="306" t="s">
        <v>237</v>
      </c>
      <c r="J153" s="307" t="s">
        <v>238</v>
      </c>
      <c r="K153" s="307" t="s">
        <v>299</v>
      </c>
      <c r="L153" s="308" t="s">
        <v>247</v>
      </c>
    </row>
    <row r="154" spans="4:12" x14ac:dyDescent="0.25">
      <c r="D154" s="131" t="s">
        <v>234</v>
      </c>
      <c r="E154" s="84">
        <v>370000000</v>
      </c>
      <c r="F154" s="133">
        <v>0.05</v>
      </c>
      <c r="G154" s="136">
        <v>21152561.640000001</v>
      </c>
      <c r="I154" s="131" t="s">
        <v>234</v>
      </c>
      <c r="J154" s="84">
        <v>370000000</v>
      </c>
      <c r="K154" s="133">
        <v>0.05</v>
      </c>
      <c r="L154" s="136">
        <v>21152561.640000001</v>
      </c>
    </row>
    <row r="155" spans="4:12" x14ac:dyDescent="0.25">
      <c r="D155" s="137" t="s">
        <v>235</v>
      </c>
      <c r="E155" s="85">
        <v>40000000</v>
      </c>
      <c r="F155" s="309">
        <v>7.0000000000000007E-2</v>
      </c>
      <c r="G155" s="90">
        <v>5086027.4000000004</v>
      </c>
      <c r="I155" s="137" t="s">
        <v>235</v>
      </c>
      <c r="J155" s="85">
        <v>40000000</v>
      </c>
      <c r="K155" s="309">
        <v>7.0000000000000007E-2</v>
      </c>
      <c r="L155" s="90">
        <v>5086027.4000000004</v>
      </c>
    </row>
    <row r="156" spans="4:12" x14ac:dyDescent="0.25">
      <c r="D156" s="137" t="s">
        <v>232</v>
      </c>
      <c r="E156" s="85">
        <f>投资者收益测算表!C47-调整收益分析!E157-E154-E155</f>
        <v>115650000</v>
      </c>
      <c r="F156" s="309">
        <v>8.5000000000000006E-2</v>
      </c>
      <c r="G156" s="90">
        <v>17856043.15068493</v>
      </c>
      <c r="I156" s="137" t="s">
        <v>232</v>
      </c>
      <c r="J156" s="85">
        <v>115650000</v>
      </c>
      <c r="K156" s="309">
        <v>0.09</v>
      </c>
      <c r="L156" s="90">
        <v>18906398.630136985</v>
      </c>
    </row>
    <row r="157" spans="4:12" ht="19" thickBot="1" x14ac:dyDescent="0.3">
      <c r="D157" s="140" t="s">
        <v>236</v>
      </c>
      <c r="E157" s="141">
        <f>(投资者收益测算表!$C$47-E154-E155)*0.1</f>
        <v>12850000</v>
      </c>
      <c r="F157" s="143">
        <v>0.347798</v>
      </c>
      <c r="G157" s="128">
        <v>8118031.7993150651</v>
      </c>
      <c r="I157" s="140" t="s">
        <v>236</v>
      </c>
      <c r="J157" s="141">
        <v>12850000</v>
      </c>
      <c r="K157" s="143">
        <v>0.30279800000000001</v>
      </c>
      <c r="L157" s="128">
        <v>7067676.319862999</v>
      </c>
    </row>
    <row r="159" spans="4:12" ht="19" thickBot="1" x14ac:dyDescent="0.3"/>
    <row r="160" spans="4:12" ht="19" thickBot="1" x14ac:dyDescent="0.3">
      <c r="D160" s="306" t="s">
        <v>237</v>
      </c>
      <c r="E160" s="307" t="s">
        <v>238</v>
      </c>
      <c r="F160" s="307" t="s">
        <v>299</v>
      </c>
      <c r="G160" s="308" t="s">
        <v>247</v>
      </c>
      <c r="I160" s="306" t="s">
        <v>237</v>
      </c>
      <c r="J160" s="307" t="s">
        <v>238</v>
      </c>
      <c r="K160" s="307" t="s">
        <v>299</v>
      </c>
      <c r="L160" s="308" t="s">
        <v>247</v>
      </c>
    </row>
    <row r="161" spans="4:12" x14ac:dyDescent="0.25">
      <c r="D161" s="131" t="s">
        <v>234</v>
      </c>
      <c r="E161" s="84">
        <v>370000000</v>
      </c>
      <c r="F161" s="133">
        <v>0.05</v>
      </c>
      <c r="G161" s="136">
        <v>21152561.640000001</v>
      </c>
      <c r="I161" s="131" t="s">
        <v>234</v>
      </c>
      <c r="J161" s="84">
        <v>370000000</v>
      </c>
      <c r="K161" s="133">
        <v>0.05</v>
      </c>
      <c r="L161" s="136">
        <v>21152561.640000001</v>
      </c>
    </row>
    <row r="162" spans="4:12" x14ac:dyDescent="0.25">
      <c r="D162" s="137" t="s">
        <v>235</v>
      </c>
      <c r="E162" s="85">
        <v>40000000</v>
      </c>
      <c r="F162" s="309">
        <v>7.4999999999999997E-2</v>
      </c>
      <c r="G162" s="90">
        <v>5449315.0600000005</v>
      </c>
      <c r="I162" s="137" t="s">
        <v>235</v>
      </c>
      <c r="J162" s="85">
        <v>40000000</v>
      </c>
      <c r="K162" s="309">
        <v>7.4999999999999997E-2</v>
      </c>
      <c r="L162" s="90">
        <v>5449315.0600000005</v>
      </c>
    </row>
    <row r="163" spans="4:12" x14ac:dyDescent="0.25">
      <c r="D163" s="137" t="s">
        <v>232</v>
      </c>
      <c r="E163" s="85">
        <v>115650000</v>
      </c>
      <c r="F163" s="309">
        <v>8.5000000000000006E-2</v>
      </c>
      <c r="G163" s="90">
        <v>17856043.15068493</v>
      </c>
      <c r="I163" s="137" t="s">
        <v>232</v>
      </c>
      <c r="J163" s="85">
        <v>115650000</v>
      </c>
      <c r="K163" s="309">
        <v>0.09</v>
      </c>
      <c r="L163" s="90">
        <v>18906398.630136985</v>
      </c>
    </row>
    <row r="164" spans="4:12" ht="19" thickBot="1" x14ac:dyDescent="0.3">
      <c r="D164" s="140" t="s">
        <v>236</v>
      </c>
      <c r="E164" s="141">
        <v>12850000</v>
      </c>
      <c r="F164" s="143">
        <v>0.33223399999999997</v>
      </c>
      <c r="G164" s="128">
        <v>7754744.1393150836</v>
      </c>
      <c r="I164" s="140" t="s">
        <v>236</v>
      </c>
      <c r="J164" s="141">
        <v>12850000</v>
      </c>
      <c r="K164" s="143">
        <v>0.28723399999999999</v>
      </c>
      <c r="L164" s="128">
        <v>6704388.6598630175</v>
      </c>
    </row>
    <row r="165" spans="4:12" x14ac:dyDescent="0.25">
      <c r="G165" s="57"/>
      <c r="L165" s="57"/>
    </row>
    <row r="166" spans="4:12" ht="21" x14ac:dyDescent="0.4">
      <c r="D166" t="s">
        <v>315</v>
      </c>
      <c r="F166" s="165">
        <f>SUM(G161:G164)</f>
        <v>52212663.990000017</v>
      </c>
    </row>
    <row r="168" spans="4:12" ht="21" x14ac:dyDescent="0.4">
      <c r="D168" t="s">
        <v>267</v>
      </c>
      <c r="F168" s="165">
        <f>投资者收益测算表!D64</f>
        <v>2620242.46</v>
      </c>
    </row>
    <row r="170" spans="4:12" ht="21" x14ac:dyDescent="0.4">
      <c r="D170" t="s">
        <v>243</v>
      </c>
      <c r="F170" s="165">
        <f>SUM(投资者收益测算表!D59:D63)</f>
        <v>1582906.68</v>
      </c>
    </row>
    <row r="172" spans="4:12" ht="21" x14ac:dyDescent="0.4">
      <c r="D172" t="s">
        <v>83</v>
      </c>
      <c r="F172" s="294">
        <f>SUM(F166:F170)</f>
        <v>56415813.130000018</v>
      </c>
    </row>
    <row r="175" spans="4:12" x14ac:dyDescent="0.25">
      <c r="D175" t="s">
        <v>316</v>
      </c>
      <c r="E175" s="183">
        <v>42473</v>
      </c>
    </row>
    <row r="176" spans="4:12" x14ac:dyDescent="0.25">
      <c r="D176" t="s">
        <v>317</v>
      </c>
      <c r="E176" s="183">
        <v>43136</v>
      </c>
    </row>
    <row r="178" spans="3:12" x14ac:dyDescent="0.25">
      <c r="C178" s="429"/>
      <c r="D178" s="429"/>
      <c r="E178" s="429"/>
      <c r="F178" s="429"/>
      <c r="G178" s="429"/>
      <c r="H178" s="429"/>
    </row>
    <row r="179" spans="3:12" x14ac:dyDescent="0.25">
      <c r="C179" s="429"/>
      <c r="D179" s="504" t="s">
        <v>418</v>
      </c>
      <c r="E179" s="504"/>
      <c r="F179" s="504"/>
      <c r="G179" s="504"/>
      <c r="H179" s="429"/>
    </row>
    <row r="180" spans="3:12" ht="19" thickBot="1" x14ac:dyDescent="0.3">
      <c r="C180" s="429"/>
      <c r="D180" s="429"/>
      <c r="E180" s="429"/>
      <c r="F180" s="429"/>
      <c r="G180" s="429"/>
      <c r="H180" s="429"/>
    </row>
    <row r="181" spans="3:12" ht="19" thickBot="1" x14ac:dyDescent="0.3">
      <c r="C181" s="429"/>
      <c r="D181" s="334" t="s">
        <v>237</v>
      </c>
      <c r="E181" s="333" t="s">
        <v>238</v>
      </c>
      <c r="F181" s="333" t="s">
        <v>299</v>
      </c>
      <c r="G181" s="335" t="s">
        <v>354</v>
      </c>
      <c r="H181" s="313" t="s">
        <v>326</v>
      </c>
      <c r="I181" s="314"/>
      <c r="J181" s="314"/>
    </row>
    <row r="182" spans="3:12" x14ac:dyDescent="0.25">
      <c r="C182" s="429"/>
      <c r="D182" s="433" t="s">
        <v>234</v>
      </c>
      <c r="E182" s="434">
        <v>370000000</v>
      </c>
      <c r="F182" s="435">
        <f>投资者收益测算表!E43</f>
        <v>0.05</v>
      </c>
      <c r="G182" s="436">
        <f>投资者收益测算表!G43</f>
        <v>14107356.16</v>
      </c>
      <c r="H182" s="429" t="s">
        <v>327</v>
      </c>
      <c r="I182" s="314"/>
      <c r="J182" s="314"/>
    </row>
    <row r="183" spans="3:12" x14ac:dyDescent="0.25">
      <c r="C183" s="429"/>
      <c r="D183" s="428" t="s">
        <v>235</v>
      </c>
      <c r="E183" s="437">
        <f>投资者收益测算表!C44</f>
        <v>0</v>
      </c>
      <c r="F183" s="438">
        <f>投资者收益测算表!E44</f>
        <v>6.7000000000000004E-2</v>
      </c>
      <c r="G183" s="439">
        <f>投资者收益测算表!G44</f>
        <v>0</v>
      </c>
      <c r="H183" s="429" t="s">
        <v>328</v>
      </c>
      <c r="I183" s="314"/>
      <c r="J183" s="392"/>
      <c r="K183" s="57"/>
    </row>
    <row r="184" spans="3:12" ht="19" thickBot="1" x14ac:dyDescent="0.3">
      <c r="C184" s="429"/>
      <c r="D184" s="440" t="s">
        <v>217</v>
      </c>
      <c r="E184" s="441">
        <f>投资者收益测算表!C46</f>
        <v>168500000</v>
      </c>
      <c r="F184" s="442">
        <f>投资者收益测算表!E46</f>
        <v>9.1206999999999996E-2</v>
      </c>
      <c r="G184" s="443">
        <f>投资者收益测算表!G46</f>
        <v>22063147.020000011</v>
      </c>
      <c r="H184" s="429" t="s">
        <v>329</v>
      </c>
      <c r="I184" s="314"/>
      <c r="J184" s="392"/>
      <c r="K184" s="391"/>
      <c r="L184" s="393"/>
    </row>
    <row r="185" spans="3:12" ht="21" x14ac:dyDescent="0.4">
      <c r="C185" s="429"/>
      <c r="D185" s="429"/>
      <c r="E185" s="430" t="s">
        <v>426</v>
      </c>
      <c r="F185" s="431" t="s">
        <v>423</v>
      </c>
      <c r="G185" s="372">
        <f>SUM(G182:G184)</f>
        <v>36170503.180000007</v>
      </c>
      <c r="H185" s="429"/>
      <c r="I185" s="314"/>
      <c r="J185" s="314"/>
    </row>
    <row r="186" spans="3:12" ht="19" thickBot="1" x14ac:dyDescent="0.3">
      <c r="C186" s="429"/>
      <c r="D186" s="429"/>
      <c r="E186" s="429"/>
      <c r="F186" s="429"/>
      <c r="G186" s="429"/>
      <c r="H186" s="429"/>
      <c r="I186" s="314"/>
      <c r="J186" s="314"/>
    </row>
    <row r="187" spans="3:12" x14ac:dyDescent="0.25">
      <c r="C187" s="429"/>
      <c r="D187" s="429"/>
      <c r="E187" s="433" t="str">
        <f>投资者收益测算表!B59</f>
        <v>律师费</v>
      </c>
      <c r="F187" s="444" t="str">
        <f>投资者收益测算表!C59</f>
        <v>N.A.</v>
      </c>
      <c r="G187" s="445">
        <f>投资者收益测算表!D59</f>
        <v>180000</v>
      </c>
      <c r="H187" s="429" t="s">
        <v>360</v>
      </c>
      <c r="I187" s="314"/>
      <c r="J187" s="314"/>
    </row>
    <row r="188" spans="3:12" x14ac:dyDescent="0.25">
      <c r="C188" s="429"/>
      <c r="D188" s="429"/>
      <c r="E188" s="428" t="str">
        <f>投资者收益测算表!B60</f>
        <v>评级费</v>
      </c>
      <c r="F188" s="446" t="str">
        <f>投资者收益测算表!C60</f>
        <v>N.A.</v>
      </c>
      <c r="G188" s="447">
        <f>投资者收益测算表!D60</f>
        <v>250000</v>
      </c>
      <c r="H188" s="429" t="s">
        <v>360</v>
      </c>
      <c r="I188" s="314"/>
      <c r="J188" s="314"/>
    </row>
    <row r="189" spans="3:12" x14ac:dyDescent="0.25">
      <c r="C189" s="429"/>
      <c r="D189" s="429"/>
      <c r="E189" s="428" t="str">
        <f>投资者收益测算表!B61</f>
        <v>海通汇利1号保管费</v>
      </c>
      <c r="F189" s="448">
        <f>投资者收益测算表!C61</f>
        <v>2.0000000000000001E-4</v>
      </c>
      <c r="G189" s="447">
        <f>投资者收益测算表!D61</f>
        <v>104809.69999999998</v>
      </c>
      <c r="H189" s="429" t="s">
        <v>359</v>
      </c>
      <c r="I189" s="314"/>
      <c r="J189" s="314"/>
    </row>
    <row r="190" spans="3:12" x14ac:dyDescent="0.25">
      <c r="C190" s="429"/>
      <c r="D190" s="429"/>
      <c r="E190" s="428" t="str">
        <f>投资者收益测算表!B62</f>
        <v>海通 SPV 管理费</v>
      </c>
      <c r="F190" s="448">
        <f>投资者收益测算表!C62</f>
        <v>2E-3</v>
      </c>
      <c r="G190" s="447">
        <f>投资者收益测算表!D62</f>
        <v>1048096.98</v>
      </c>
      <c r="H190" s="429" t="s">
        <v>359</v>
      </c>
      <c r="I190" s="314"/>
      <c r="J190" s="314"/>
    </row>
    <row r="191" spans="3:12" ht="19" thickBot="1" x14ac:dyDescent="0.3">
      <c r="C191" s="429"/>
      <c r="D191" s="429"/>
      <c r="E191" s="440" t="str">
        <f>投资者收益测算表!B64</f>
        <v>资产服务机构（万向信托）</v>
      </c>
      <c r="F191" s="449">
        <f>投资者收益测算表!C64</f>
        <v>5.0000000000000001E-3</v>
      </c>
      <c r="G191" s="450">
        <f>投资者收益测算表!D64</f>
        <v>2620242.46</v>
      </c>
      <c r="H191" s="429" t="s">
        <v>359</v>
      </c>
      <c r="I191" s="314"/>
      <c r="J191" s="314"/>
    </row>
    <row r="192" spans="3:12" ht="21" x14ac:dyDescent="0.4">
      <c r="C192" s="429"/>
      <c r="D192" s="429"/>
      <c r="E192" s="430" t="s">
        <v>427</v>
      </c>
      <c r="F192" s="432" t="s">
        <v>423</v>
      </c>
      <c r="G192" s="370">
        <f>SUM(G187:G191)</f>
        <v>4203149.1399999997</v>
      </c>
      <c r="H192" s="429"/>
      <c r="I192" s="314"/>
      <c r="J192" s="314"/>
    </row>
    <row r="193" spans="3:10" x14ac:dyDescent="0.25">
      <c r="C193" s="429"/>
      <c r="D193" s="429"/>
      <c r="E193" s="429"/>
      <c r="F193" s="429"/>
      <c r="G193" s="429"/>
      <c r="H193" s="429"/>
      <c r="I193" s="314"/>
      <c r="J193" s="314"/>
    </row>
    <row r="194" spans="3:10" ht="21" x14ac:dyDescent="0.4">
      <c r="C194" s="429"/>
      <c r="D194" s="429"/>
      <c r="E194" s="451" t="s">
        <v>351</v>
      </c>
      <c r="F194" s="429" t="s">
        <v>428</v>
      </c>
      <c r="G194" s="371">
        <f>G185+G192</f>
        <v>40373652.320000008</v>
      </c>
      <c r="H194" s="429"/>
      <c r="I194" s="314"/>
      <c r="J194" s="314"/>
    </row>
    <row r="195" spans="3:10" x14ac:dyDescent="0.25">
      <c r="C195" s="429"/>
      <c r="D195" s="429"/>
      <c r="E195" s="451"/>
      <c r="F195" s="429"/>
      <c r="G195" s="429"/>
      <c r="H195" s="429"/>
      <c r="I195" s="314"/>
      <c r="J195" s="314"/>
    </row>
    <row r="196" spans="3:10" ht="21" x14ac:dyDescent="0.4">
      <c r="C196" s="429"/>
      <c r="D196" s="429"/>
      <c r="E196" s="429"/>
      <c r="F196" s="429"/>
      <c r="G196" s="327"/>
      <c r="H196" s="429"/>
    </row>
    <row r="197" spans="3:10" ht="22" thickBot="1" x14ac:dyDescent="0.45">
      <c r="C197" s="429"/>
      <c r="D197" s="429"/>
      <c r="E197" s="429"/>
      <c r="F197" s="429"/>
      <c r="G197" s="326"/>
      <c r="H197" s="429"/>
    </row>
    <row r="198" spans="3:10" ht="19" thickBot="1" x14ac:dyDescent="0.3">
      <c r="C198" s="429"/>
      <c r="D198" s="452"/>
      <c r="E198" s="453" t="s">
        <v>424</v>
      </c>
      <c r="F198" s="453" t="s">
        <v>311</v>
      </c>
      <c r="G198" s="454" t="s">
        <v>382</v>
      </c>
      <c r="H198" s="429"/>
    </row>
    <row r="199" spans="3:10" x14ac:dyDescent="0.25">
      <c r="C199" s="429"/>
      <c r="D199" s="455" t="s">
        <v>395</v>
      </c>
      <c r="E199" s="456">
        <f>投资者收益测算表!C46</f>
        <v>168500000</v>
      </c>
      <c r="F199" s="463">
        <v>7.6999999999999999E-2</v>
      </c>
      <c r="G199" s="457">
        <f>E199*F199*(投资者收益测算表!J44-投资者收益测算表!I44)/投资者收益测算表!F44</f>
        <v>18626405.479452055</v>
      </c>
      <c r="H199" s="429"/>
    </row>
    <row r="200" spans="3:10" x14ac:dyDescent="0.25">
      <c r="C200" s="429"/>
      <c r="D200" s="428" t="s">
        <v>425</v>
      </c>
      <c r="E200" s="446"/>
      <c r="F200" s="448">
        <v>4.0000000000000002E-4</v>
      </c>
      <c r="G200" s="439">
        <f>ROUND($E$199*F200*($E$208-$E$207)/投资者收益测算表!$F$46,2)</f>
        <v>96760.55</v>
      </c>
      <c r="H200" s="429"/>
      <c r="I200" s="57"/>
    </row>
    <row r="201" spans="3:10" x14ac:dyDescent="0.25">
      <c r="C201" s="429"/>
      <c r="D201" s="428" t="s">
        <v>422</v>
      </c>
      <c r="E201" s="446"/>
      <c r="F201" s="448">
        <v>1.1999999999999999E-3</v>
      </c>
      <c r="G201" s="439">
        <f>ROUND($E$199*F201*($E$208-$E$207)/投资者收益测算表!$F$46,2)</f>
        <v>290281.64</v>
      </c>
      <c r="H201" s="429"/>
      <c r="I201" s="57"/>
    </row>
    <row r="202" spans="3:10" ht="19" thickBot="1" x14ac:dyDescent="0.3">
      <c r="C202" s="429"/>
      <c r="D202" s="440" t="s">
        <v>419</v>
      </c>
      <c r="E202" s="458"/>
      <c r="F202" s="449">
        <f>ROUND(G202/G201*F201,6)</f>
        <v>1.2607E-2</v>
      </c>
      <c r="G202" s="443">
        <f>G184-SUM(G199:G201)</f>
        <v>3049699.3505479544</v>
      </c>
      <c r="H202" s="429"/>
      <c r="I202" s="57"/>
    </row>
    <row r="203" spans="3:10" ht="21" x14ac:dyDescent="0.4">
      <c r="C203" s="429"/>
      <c r="D203" s="429"/>
      <c r="E203" s="429"/>
      <c r="F203" s="432" t="s">
        <v>423</v>
      </c>
      <c r="G203" s="372">
        <f>SUM(G199:G202)</f>
        <v>22063147.020000011</v>
      </c>
      <c r="H203" s="459"/>
      <c r="I203" s="57"/>
    </row>
    <row r="204" spans="3:10" ht="21" x14ac:dyDescent="0.4">
      <c r="C204" s="429"/>
      <c r="D204" s="429"/>
      <c r="E204" s="429"/>
      <c r="F204" s="460"/>
      <c r="G204" s="462"/>
      <c r="H204" s="459"/>
      <c r="I204" s="57"/>
    </row>
    <row r="205" spans="3:10" ht="21" x14ac:dyDescent="0.4">
      <c r="C205" s="429"/>
      <c r="D205" s="429"/>
      <c r="E205" s="429"/>
      <c r="F205" s="429"/>
      <c r="G205" s="326"/>
      <c r="H205" s="459"/>
      <c r="I205" s="57"/>
    </row>
    <row r="206" spans="3:10" ht="21" x14ac:dyDescent="0.4">
      <c r="C206" s="429"/>
      <c r="D206" s="429"/>
      <c r="E206" s="429"/>
      <c r="F206" s="429"/>
      <c r="G206" s="326"/>
      <c r="H206" s="429"/>
    </row>
    <row r="207" spans="3:10" ht="21" x14ac:dyDescent="0.4">
      <c r="C207" s="429"/>
      <c r="D207" s="429" t="s">
        <v>316</v>
      </c>
      <c r="E207" s="461">
        <v>42612</v>
      </c>
      <c r="F207" s="429"/>
      <c r="G207" s="326"/>
      <c r="H207" s="429"/>
    </row>
    <row r="208" spans="3:10" ht="21" x14ac:dyDescent="0.4">
      <c r="C208" s="429"/>
      <c r="D208" s="429" t="s">
        <v>317</v>
      </c>
      <c r="E208" s="461">
        <v>43136</v>
      </c>
      <c r="F208" s="429"/>
      <c r="G208" s="326"/>
      <c r="H208" s="429"/>
    </row>
    <row r="209" spans="3:8" ht="21" x14ac:dyDescent="0.4">
      <c r="C209" s="429"/>
      <c r="D209" s="429"/>
      <c r="E209" s="429"/>
      <c r="F209" s="429"/>
      <c r="G209" s="326"/>
      <c r="H209" s="429"/>
    </row>
    <row r="210" spans="3:8" ht="21" x14ac:dyDescent="0.4">
      <c r="C210" s="429"/>
      <c r="D210" s="429"/>
      <c r="E210" s="429"/>
      <c r="F210" s="429"/>
      <c r="G210" s="326"/>
      <c r="H210" s="429"/>
    </row>
    <row r="211" spans="3:8" ht="21" x14ac:dyDescent="0.4">
      <c r="C211" s="429"/>
      <c r="D211" s="429"/>
      <c r="E211" s="429"/>
      <c r="F211" s="429"/>
      <c r="G211" s="326"/>
      <c r="H211" s="429"/>
    </row>
    <row r="212" spans="3:8" ht="21" x14ac:dyDescent="0.4">
      <c r="C212" s="429"/>
      <c r="D212" s="429"/>
      <c r="E212" s="429"/>
      <c r="F212" s="429"/>
      <c r="G212" s="326"/>
      <c r="H212" s="429"/>
    </row>
    <row r="213" spans="3:8" ht="21" x14ac:dyDescent="0.4">
      <c r="C213" s="429"/>
      <c r="D213" s="429"/>
      <c r="E213" s="429"/>
      <c r="F213" s="429"/>
      <c r="G213" s="326"/>
      <c r="H213" s="429"/>
    </row>
    <row r="214" spans="3:8" ht="22" thickBot="1" x14ac:dyDescent="0.45">
      <c r="G214" s="326"/>
    </row>
    <row r="215" spans="3:8" x14ac:dyDescent="0.25">
      <c r="C215" s="217" t="s">
        <v>335</v>
      </c>
      <c r="D215" s="295">
        <v>100000000</v>
      </c>
    </row>
    <row r="216" spans="3:8" x14ac:dyDescent="0.25">
      <c r="C216" s="167" t="s">
        <v>336</v>
      </c>
      <c r="D216" s="341">
        <v>365</v>
      </c>
    </row>
    <row r="217" spans="3:8" ht="19" thickBot="1" x14ac:dyDescent="0.3">
      <c r="C217" s="168" t="s">
        <v>333</v>
      </c>
      <c r="D217" s="340">
        <v>8.5000000000000006E-2</v>
      </c>
    </row>
    <row r="218" spans="3:8" ht="21" x14ac:dyDescent="0.4">
      <c r="C218" s="122" t="s">
        <v>339</v>
      </c>
      <c r="D218" s="343">
        <f>D215*D216*D217/投资者收益测算表!F43</f>
        <v>8500000</v>
      </c>
    </row>
    <row r="219" spans="3:8" x14ac:dyDescent="0.25">
      <c r="D219" s="60"/>
    </row>
    <row r="220" spans="3:8" x14ac:dyDescent="0.25">
      <c r="D220" s="60"/>
    </row>
    <row r="221" spans="3:8" ht="19" thickBot="1" x14ac:dyDescent="0.3">
      <c r="D221" s="60"/>
    </row>
    <row r="222" spans="3:8" ht="19" thickBot="1" x14ac:dyDescent="0.3">
      <c r="C222" s="330" t="s">
        <v>237</v>
      </c>
      <c r="D222" s="331" t="s">
        <v>187</v>
      </c>
      <c r="E222" s="331" t="s">
        <v>278</v>
      </c>
      <c r="F222" s="331" t="s">
        <v>311</v>
      </c>
      <c r="G222" s="332" t="s">
        <v>334</v>
      </c>
    </row>
    <row r="223" spans="3:8" x14ac:dyDescent="0.25">
      <c r="C223" s="338" t="s">
        <v>234</v>
      </c>
      <c r="D223" s="336">
        <f>投资者收益测算表!D43</f>
        <v>0.68710000000000004</v>
      </c>
      <c r="E223" s="337">
        <f>$D$215*D223</f>
        <v>68710000</v>
      </c>
      <c r="F223" s="336">
        <f>投资者收益测算表!E43</f>
        <v>0.05</v>
      </c>
      <c r="G223" s="276">
        <f>E223*F223*$D$216/投资者收益测算表!F43</f>
        <v>3435500</v>
      </c>
    </row>
    <row r="224" spans="3:8" x14ac:dyDescent="0.25">
      <c r="C224" s="339" t="s">
        <v>235</v>
      </c>
      <c r="D224" s="166">
        <f>投资者收益测算表!D44</f>
        <v>0</v>
      </c>
      <c r="E224" s="191">
        <f t="shared" ref="E224:E226" si="4">$D$215*D224</f>
        <v>0</v>
      </c>
      <c r="F224" s="166">
        <f>投资者收益测算表!E44</f>
        <v>6.7000000000000004E-2</v>
      </c>
      <c r="G224" s="255">
        <f>E224*F224*$D$216/投资者收益测算表!F44</f>
        <v>0</v>
      </c>
    </row>
    <row r="225" spans="3:7" x14ac:dyDescent="0.25">
      <c r="C225" s="339" t="s">
        <v>306</v>
      </c>
      <c r="D225" s="166">
        <f>投资者收益测算表!D45</f>
        <v>0</v>
      </c>
      <c r="E225" s="191">
        <f t="shared" si="4"/>
        <v>0</v>
      </c>
      <c r="F225" s="166">
        <f>投资者收益测算表!E45</f>
        <v>0.08</v>
      </c>
      <c r="G225" s="255">
        <f>E225*F225*$D$216/投资者收益测算表!F45</f>
        <v>0</v>
      </c>
    </row>
    <row r="226" spans="3:7" ht="19" thickBot="1" x14ac:dyDescent="0.3">
      <c r="C226" s="280" t="s">
        <v>217</v>
      </c>
      <c r="D226" s="172">
        <f>投资者收益测算表!D46</f>
        <v>0.31290000000000001</v>
      </c>
      <c r="E226" s="236">
        <f t="shared" si="4"/>
        <v>31290000</v>
      </c>
      <c r="F226" s="172">
        <f>投资者收益测算表!E46</f>
        <v>9.1206999999999996E-2</v>
      </c>
      <c r="G226" s="256">
        <f>E226*F226*$D$216/投资者收益测算表!F46</f>
        <v>2853867.03</v>
      </c>
    </row>
    <row r="227" spans="3:7" x14ac:dyDescent="0.25">
      <c r="E227" t="s">
        <v>340</v>
      </c>
      <c r="G227" s="57">
        <f>SUM(G223:G226)</f>
        <v>6289367.0299999993</v>
      </c>
    </row>
    <row r="228" spans="3:7" x14ac:dyDescent="0.25">
      <c r="E228" t="s">
        <v>341</v>
      </c>
      <c r="F228" s="58">
        <v>0.01</v>
      </c>
      <c r="G228" s="60">
        <f>D215*D216*F228/投资者收益测算表!F43</f>
        <v>1000000</v>
      </c>
    </row>
    <row r="229" spans="3:7" ht="21" x14ac:dyDescent="0.4">
      <c r="E229" t="s">
        <v>83</v>
      </c>
      <c r="G229" s="176">
        <f>SUM(G227:G228)</f>
        <v>7289367.0299999993</v>
      </c>
    </row>
    <row r="230" spans="3:7" x14ac:dyDescent="0.25">
      <c r="G230" s="57"/>
    </row>
    <row r="231" spans="3:7" x14ac:dyDescent="0.25">
      <c r="E231" t="s">
        <v>344</v>
      </c>
      <c r="G231" s="344">
        <f>D218-G229</f>
        <v>1210632.9700000007</v>
      </c>
    </row>
    <row r="232" spans="3:7" x14ac:dyDescent="0.25">
      <c r="E232" t="s">
        <v>345</v>
      </c>
    </row>
    <row r="234" spans="3:7" ht="20" customHeight="1" thickBot="1" x14ac:dyDescent="0.3"/>
    <row r="235" spans="3:7" x14ac:dyDescent="0.25">
      <c r="C235" s="328" t="s">
        <v>338</v>
      </c>
      <c r="D235" s="346" t="s">
        <v>312</v>
      </c>
      <c r="E235" s="346" t="s">
        <v>311</v>
      </c>
      <c r="F235" s="346" t="s">
        <v>247</v>
      </c>
      <c r="G235" s="329" t="s">
        <v>83</v>
      </c>
    </row>
    <row r="236" spans="3:7" x14ac:dyDescent="0.25">
      <c r="C236" s="167" t="s">
        <v>232</v>
      </c>
      <c r="D236" s="156" t="e">
        <f>E226*#REF!/(#REF!+#REF!)</f>
        <v>#REF!</v>
      </c>
      <c r="E236" s="166">
        <v>8.7999999999999995E-2</v>
      </c>
      <c r="F236" s="191" t="e">
        <f>D236*E236*D216/投资者收益测算表!F43</f>
        <v>#REF!</v>
      </c>
      <c r="G236" s="157" t="e">
        <f>D236+F236</f>
        <v>#REF!</v>
      </c>
    </row>
    <row r="237" spans="3:7" ht="19" thickBot="1" x14ac:dyDescent="0.3">
      <c r="C237" s="168" t="s">
        <v>236</v>
      </c>
      <c r="D237" s="237" t="e">
        <f>E226*#REF!/(#REF!+#REF!)</f>
        <v>#REF!</v>
      </c>
      <c r="E237" s="172" t="e">
        <f>F237/D237*投资者收益测算表!F43/调整收益分析!D216</f>
        <v>#REF!</v>
      </c>
      <c r="F237" s="236" t="e">
        <f>G226-F236</f>
        <v>#REF!</v>
      </c>
      <c r="G237" s="238" t="e">
        <f>D237+F237</f>
        <v>#REF!</v>
      </c>
    </row>
    <row r="240" spans="3:7" x14ac:dyDescent="0.25">
      <c r="C240" t="s">
        <v>342</v>
      </c>
    </row>
    <row r="241" spans="3:8" ht="19" thickBot="1" x14ac:dyDescent="0.3"/>
    <row r="242" spans="3:8" ht="19" thickBot="1" x14ac:dyDescent="0.3">
      <c r="C242" s="186" t="s">
        <v>30</v>
      </c>
      <c r="D242" s="187" t="s">
        <v>312</v>
      </c>
      <c r="E242" s="187" t="s">
        <v>334</v>
      </c>
      <c r="F242" s="188" t="s">
        <v>83</v>
      </c>
    </row>
    <row r="243" spans="3:8" x14ac:dyDescent="0.25">
      <c r="C243" s="351">
        <f>基础资产现金流!I2</f>
        <v>42612</v>
      </c>
      <c r="D243" s="352" t="e">
        <f>-#REF!</f>
        <v>#REF!</v>
      </c>
      <c r="E243" s="185">
        <v>0</v>
      </c>
      <c r="F243" s="353" t="e">
        <f>D243+E243</f>
        <v>#REF!</v>
      </c>
    </row>
    <row r="244" spans="3:8" x14ac:dyDescent="0.25">
      <c r="C244" s="347">
        <v>42771</v>
      </c>
      <c r="D244" s="156" t="e">
        <f>D237</f>
        <v>#REF!</v>
      </c>
      <c r="E244" s="156" t="e">
        <f>F237</f>
        <v>#REF!</v>
      </c>
      <c r="F244" s="349" t="e">
        <f t="shared" ref="F244:F245" si="5">D244+E244</f>
        <v>#REF!</v>
      </c>
    </row>
    <row r="245" spans="3:8" ht="19" thickBot="1" x14ac:dyDescent="0.3">
      <c r="C245" s="348">
        <v>43136</v>
      </c>
      <c r="D245" s="236" t="e">
        <f>#REF!-D244</f>
        <v>#REF!</v>
      </c>
      <c r="E245" s="237" t="e">
        <f>#REF!-F237-G231-G224</f>
        <v>#REF!</v>
      </c>
      <c r="F245" s="350" t="e">
        <f t="shared" si="5"/>
        <v>#REF!</v>
      </c>
    </row>
    <row r="247" spans="3:8" x14ac:dyDescent="0.25">
      <c r="E247" s="342" t="s">
        <v>343</v>
      </c>
      <c r="F247" s="345" t="e">
        <f>XIRR(F243:F245,C243:C245,0.2)</f>
        <v>#REF!</v>
      </c>
    </row>
    <row r="253" spans="3:8" x14ac:dyDescent="0.25">
      <c r="F253" t="s">
        <v>376</v>
      </c>
      <c r="G253" s="57">
        <f>投资者收益测算表!C44+投资者收益测算表!C46</f>
        <v>168500000</v>
      </c>
    </row>
    <row r="254" spans="3:8" x14ac:dyDescent="0.25">
      <c r="C254" t="s">
        <v>372</v>
      </c>
      <c r="D254" t="s">
        <v>373</v>
      </c>
      <c r="F254" t="s">
        <v>311</v>
      </c>
      <c r="G254" s="397">
        <v>7.8E-2</v>
      </c>
    </row>
    <row r="256" spans="3:8" x14ac:dyDescent="0.25">
      <c r="C256" t="s">
        <v>30</v>
      </c>
      <c r="D256" t="s">
        <v>374</v>
      </c>
      <c r="E256" t="s">
        <v>375</v>
      </c>
      <c r="F256" t="s">
        <v>83</v>
      </c>
      <c r="G256" t="s">
        <v>248</v>
      </c>
      <c r="H256" t="s">
        <v>356</v>
      </c>
    </row>
    <row r="257" spans="3:9" x14ac:dyDescent="0.25">
      <c r="C257" s="396">
        <f>投资者收益测算表!B28</f>
        <v>42612</v>
      </c>
      <c r="D257" s="191">
        <f>投资者收益测算表!E28</f>
        <v>0</v>
      </c>
      <c r="E257" s="191">
        <f>投资者收益测算表!G28</f>
        <v>0</v>
      </c>
      <c r="F257" s="191">
        <f>D257+E257</f>
        <v>0</v>
      </c>
      <c r="G257" s="155">
        <v>0</v>
      </c>
      <c r="H257" s="155"/>
      <c r="I257">
        <v>0</v>
      </c>
    </row>
    <row r="258" spans="3:9" x14ac:dyDescent="0.25">
      <c r="C258" s="396">
        <f>投资者收益测算表!B29</f>
        <v>42677</v>
      </c>
      <c r="D258" s="191">
        <f>投资者收益测算表!E29</f>
        <v>0</v>
      </c>
      <c r="E258" s="191">
        <f>投资者收益测算表!G29</f>
        <v>0</v>
      </c>
      <c r="F258" s="191">
        <f t="shared" ref="F258:F267" si="6">D258+E258</f>
        <v>0</v>
      </c>
      <c r="G258" s="156">
        <f>F258+G257</f>
        <v>0</v>
      </c>
      <c r="H258" s="155"/>
      <c r="I258" s="57">
        <f>G258-H258</f>
        <v>0</v>
      </c>
    </row>
    <row r="259" spans="3:9" x14ac:dyDescent="0.25">
      <c r="C259" s="396">
        <f>投资者收益测算表!B30</f>
        <v>42684</v>
      </c>
      <c r="D259" s="191">
        <f>投资者收益测算表!E30</f>
        <v>0</v>
      </c>
      <c r="E259" s="191">
        <f>投资者收益测算表!G30</f>
        <v>0</v>
      </c>
      <c r="F259" s="191">
        <f t="shared" si="6"/>
        <v>0</v>
      </c>
      <c r="G259" s="156">
        <f t="shared" ref="G259:G267" si="7">F259+G258</f>
        <v>0</v>
      </c>
      <c r="H259" s="155"/>
      <c r="I259" s="57">
        <f t="shared" ref="I259:I267" si="8">G259-H259</f>
        <v>0</v>
      </c>
    </row>
    <row r="260" spans="3:9" x14ac:dyDescent="0.25">
      <c r="C260" s="396">
        <f>投资者收益测算表!B31</f>
        <v>42732</v>
      </c>
      <c r="D260" s="191">
        <f>投资者收益测算表!E31</f>
        <v>0</v>
      </c>
      <c r="E260" s="191">
        <f>投资者收益测算表!G31</f>
        <v>0</v>
      </c>
      <c r="F260" s="191">
        <f t="shared" si="6"/>
        <v>0</v>
      </c>
      <c r="G260" s="156">
        <f t="shared" si="7"/>
        <v>0</v>
      </c>
      <c r="H260" s="155"/>
      <c r="I260" s="57">
        <f t="shared" si="8"/>
        <v>0</v>
      </c>
    </row>
    <row r="261" spans="3:9" x14ac:dyDescent="0.25">
      <c r="C261" s="396">
        <f>投资者收益测算表!B32</f>
        <v>42775</v>
      </c>
      <c r="D261" s="191">
        <f>投资者收益测算表!E32</f>
        <v>0</v>
      </c>
      <c r="E261" s="191">
        <f>投资者收益测算表!G32</f>
        <v>0</v>
      </c>
      <c r="F261" s="191">
        <f t="shared" si="6"/>
        <v>0</v>
      </c>
      <c r="G261" s="156">
        <f t="shared" si="7"/>
        <v>0</v>
      </c>
      <c r="H261" s="191"/>
      <c r="I261" s="57">
        <f t="shared" si="8"/>
        <v>0</v>
      </c>
    </row>
    <row r="262" spans="3:9" x14ac:dyDescent="0.25">
      <c r="C262" s="396">
        <f>投资者收益测算表!B33</f>
        <v>42810</v>
      </c>
      <c r="D262" s="191">
        <f>投资者收益测算表!E33</f>
        <v>0</v>
      </c>
      <c r="E262" s="191">
        <f>投资者收益测算表!G33</f>
        <v>8683520.5500000007</v>
      </c>
      <c r="F262" s="191">
        <f t="shared" si="6"/>
        <v>8683520.5500000007</v>
      </c>
      <c r="G262" s="156">
        <f t="shared" si="7"/>
        <v>8683520.5500000007</v>
      </c>
      <c r="H262" s="191"/>
      <c r="I262" s="57">
        <f t="shared" si="8"/>
        <v>8683520.5500000007</v>
      </c>
    </row>
    <row r="263" spans="3:9" x14ac:dyDescent="0.25">
      <c r="C263" s="396">
        <f>投资者收益测算表!B34</f>
        <v>42912</v>
      </c>
      <c r="D263" s="191">
        <f>投资者收益测算表!E34</f>
        <v>0</v>
      </c>
      <c r="E263" s="191">
        <f>投资者收益测算表!G34</f>
        <v>0</v>
      </c>
      <c r="F263" s="191">
        <f t="shared" si="6"/>
        <v>0</v>
      </c>
      <c r="G263" s="156">
        <f t="shared" si="7"/>
        <v>8683520.5500000007</v>
      </c>
      <c r="H263" s="191">
        <f>G253*G254*(C263-C257)/投资者收益测算表!F46</f>
        <v>10802465.753424658</v>
      </c>
      <c r="I263" s="57">
        <f t="shared" si="8"/>
        <v>-2118945.2034246568</v>
      </c>
    </row>
    <row r="264" spans="3:9" x14ac:dyDescent="0.25">
      <c r="C264" s="396">
        <f>投资者收益测算表!B35</f>
        <v>43075</v>
      </c>
      <c r="D264" s="191">
        <f>投资者收益测算表!E35</f>
        <v>0</v>
      </c>
      <c r="E264" s="191">
        <f>投资者收益测算表!G35</f>
        <v>0</v>
      </c>
      <c r="F264" s="191">
        <f t="shared" si="6"/>
        <v>0</v>
      </c>
      <c r="G264" s="156">
        <f t="shared" si="7"/>
        <v>8683520.5500000007</v>
      </c>
      <c r="H264" s="191"/>
      <c r="I264" s="57">
        <f t="shared" si="8"/>
        <v>8683520.5500000007</v>
      </c>
    </row>
    <row r="265" spans="3:9" x14ac:dyDescent="0.25">
      <c r="C265" s="396">
        <f>投资者收益测算表!B36</f>
        <v>43090</v>
      </c>
      <c r="D265" s="191">
        <f>投资者收益测算表!E36</f>
        <v>0</v>
      </c>
      <c r="E265" s="191">
        <f>投资者收益测算表!G36</f>
        <v>0</v>
      </c>
      <c r="F265" s="191">
        <f t="shared" si="6"/>
        <v>0</v>
      </c>
      <c r="G265" s="156">
        <f t="shared" si="7"/>
        <v>8683520.5500000007</v>
      </c>
      <c r="H265" s="191"/>
      <c r="I265" s="57">
        <f t="shared" si="8"/>
        <v>8683520.5500000007</v>
      </c>
    </row>
    <row r="266" spans="3:9" x14ac:dyDescent="0.25">
      <c r="C266" s="396">
        <f>投资者收益测算表!B37</f>
        <v>43090</v>
      </c>
      <c r="D266" s="191">
        <f>投资者收益测算表!E37</f>
        <v>0</v>
      </c>
      <c r="E266" s="191">
        <f>投资者收益测算表!G37</f>
        <v>0</v>
      </c>
      <c r="F266" s="191">
        <f t="shared" si="6"/>
        <v>0</v>
      </c>
      <c r="G266" s="156">
        <f t="shared" si="7"/>
        <v>8683520.5500000007</v>
      </c>
      <c r="H266" s="191"/>
      <c r="I266" s="57">
        <f t="shared" si="8"/>
        <v>8683520.5500000007</v>
      </c>
    </row>
    <row r="267" spans="3:9" x14ac:dyDescent="0.25">
      <c r="C267" s="396">
        <f>投资者收益测算表!B38</f>
        <v>43136</v>
      </c>
      <c r="D267" s="191">
        <f>投资者收益测算表!E38</f>
        <v>0</v>
      </c>
      <c r="E267" s="191">
        <f>投资者收益测算表!G38+投资者收益测算表!J38</f>
        <v>181879626.47</v>
      </c>
      <c r="F267" s="191">
        <f t="shared" si="6"/>
        <v>181879626.47</v>
      </c>
      <c r="G267" s="156">
        <f t="shared" si="7"/>
        <v>190563147.02000001</v>
      </c>
      <c r="H267" s="191">
        <f>G253*G254*(C267-C262)/投资者收益测算表!F46+G253</f>
        <v>180238679.4520548</v>
      </c>
      <c r="I267" s="57">
        <f t="shared" si="8"/>
        <v>10324467.567945212</v>
      </c>
    </row>
    <row r="268" spans="3:9" x14ac:dyDescent="0.25">
      <c r="C268" s="183"/>
    </row>
    <row r="269" spans="3:9" x14ac:dyDescent="0.25">
      <c r="F269" t="s">
        <v>280</v>
      </c>
      <c r="G269" s="57">
        <f>G267-G253</f>
        <v>22063147.020000011</v>
      </c>
    </row>
    <row r="274" spans="3:10" x14ac:dyDescent="0.25">
      <c r="F274" t="s">
        <v>376</v>
      </c>
      <c r="G274" s="57">
        <f>投资者收益测算表!C44+投资者收益测算表!C45+投资者收益测算表!C46</f>
        <v>168500000</v>
      </c>
    </row>
    <row r="275" spans="3:10" x14ac:dyDescent="0.25">
      <c r="F275" t="s">
        <v>311</v>
      </c>
      <c r="G275" s="58">
        <v>7.0000000000000007E-2</v>
      </c>
    </row>
    <row r="279" spans="3:10" x14ac:dyDescent="0.25">
      <c r="C279" t="s">
        <v>30</v>
      </c>
      <c r="D279" t="s">
        <v>377</v>
      </c>
      <c r="E279" t="s">
        <v>378</v>
      </c>
      <c r="F279" t="s">
        <v>379</v>
      </c>
      <c r="G279" t="s">
        <v>83</v>
      </c>
      <c r="H279" t="s">
        <v>248</v>
      </c>
      <c r="I279" t="s">
        <v>356</v>
      </c>
      <c r="J279" t="s">
        <v>380</v>
      </c>
    </row>
    <row r="280" spans="3:10" x14ac:dyDescent="0.25">
      <c r="C280" s="396">
        <f>投资者收益测算表!B28</f>
        <v>42612</v>
      </c>
      <c r="D280" s="182">
        <f>投资者收益测算表!E28</f>
        <v>0</v>
      </c>
      <c r="E280" s="182">
        <f>投资者收益测算表!F28</f>
        <v>0</v>
      </c>
      <c r="F280" s="182">
        <f>投资者收益测算表!G28</f>
        <v>0</v>
      </c>
      <c r="G280" s="182">
        <f>SUM(D280:F280)</f>
        <v>0</v>
      </c>
      <c r="H280" s="182">
        <f>G280</f>
        <v>0</v>
      </c>
      <c r="I280" s="174">
        <v>0</v>
      </c>
      <c r="J280" s="174">
        <v>0</v>
      </c>
    </row>
    <row r="281" spans="3:10" x14ac:dyDescent="0.25">
      <c r="C281" s="396">
        <f>投资者收益测算表!B29</f>
        <v>42677</v>
      </c>
      <c r="D281" s="182">
        <f>投资者收益测算表!E29</f>
        <v>0</v>
      </c>
      <c r="E281" s="182">
        <f>投资者收益测算表!F29</f>
        <v>0</v>
      </c>
      <c r="F281" s="182">
        <f>投资者收益测算表!G29</f>
        <v>0</v>
      </c>
      <c r="G281" s="182">
        <f t="shared" ref="G281:G290" si="9">SUM(D281:F281)</f>
        <v>0</v>
      </c>
      <c r="H281" s="182">
        <f>G281+H280</f>
        <v>0</v>
      </c>
      <c r="I281" s="174"/>
      <c r="J281" s="174">
        <f>G281-I281+J280</f>
        <v>0</v>
      </c>
    </row>
    <row r="282" spans="3:10" x14ac:dyDescent="0.25">
      <c r="C282" s="396">
        <f>投资者收益测算表!B30</f>
        <v>42684</v>
      </c>
      <c r="D282" s="182">
        <f>投资者收益测算表!E30</f>
        <v>0</v>
      </c>
      <c r="E282" s="182">
        <f>投资者收益测算表!F30</f>
        <v>0</v>
      </c>
      <c r="F282" s="182">
        <f>投资者收益测算表!G30</f>
        <v>0</v>
      </c>
      <c r="G282" s="182">
        <f t="shared" si="9"/>
        <v>0</v>
      </c>
      <c r="H282" s="182">
        <f t="shared" ref="H282:H290" si="10">G282+H281</f>
        <v>0</v>
      </c>
      <c r="I282" s="174"/>
      <c r="J282" s="174">
        <f t="shared" ref="J282:J290" si="11">G282-I282+J281</f>
        <v>0</v>
      </c>
    </row>
    <row r="283" spans="3:10" x14ac:dyDescent="0.25">
      <c r="C283" s="396">
        <f>投资者收益测算表!B31</f>
        <v>42732</v>
      </c>
      <c r="D283" s="182">
        <f>投资者收益测算表!E31</f>
        <v>0</v>
      </c>
      <c r="E283" s="182">
        <f>投资者收益测算表!F31</f>
        <v>0</v>
      </c>
      <c r="F283" s="182">
        <f>投资者收益测算表!G31</f>
        <v>0</v>
      </c>
      <c r="G283" s="182">
        <f t="shared" si="9"/>
        <v>0</v>
      </c>
      <c r="H283" s="182">
        <f t="shared" si="10"/>
        <v>0</v>
      </c>
      <c r="I283" s="174"/>
      <c r="J283" s="174">
        <f t="shared" si="11"/>
        <v>0</v>
      </c>
    </row>
    <row r="284" spans="3:10" x14ac:dyDescent="0.25">
      <c r="C284" s="396">
        <f>投资者收益测算表!B32</f>
        <v>42775</v>
      </c>
      <c r="D284" s="182">
        <f>投资者收益测算表!E32</f>
        <v>0</v>
      </c>
      <c r="E284" s="182">
        <f>投资者收益测算表!F32</f>
        <v>0</v>
      </c>
      <c r="F284" s="182">
        <f>投资者收益测算表!G32</f>
        <v>0</v>
      </c>
      <c r="G284" s="182">
        <f t="shared" si="9"/>
        <v>0</v>
      </c>
      <c r="H284" s="182">
        <f t="shared" si="10"/>
        <v>0</v>
      </c>
      <c r="I284" s="174"/>
      <c r="J284" s="174">
        <f t="shared" si="11"/>
        <v>0</v>
      </c>
    </row>
    <row r="285" spans="3:10" x14ac:dyDescent="0.25">
      <c r="C285" s="396">
        <f>投资者收益测算表!B33</f>
        <v>42810</v>
      </c>
      <c r="D285" s="182">
        <f>投资者收益测算表!E33</f>
        <v>0</v>
      </c>
      <c r="E285" s="182">
        <f>投资者收益测算表!F33</f>
        <v>0</v>
      </c>
      <c r="F285" s="182">
        <f>投资者收益测算表!G33</f>
        <v>8683520.5500000007</v>
      </c>
      <c r="G285" s="182">
        <f t="shared" si="9"/>
        <v>8683520.5500000007</v>
      </c>
      <c r="H285" s="182">
        <f t="shared" si="10"/>
        <v>8683520.5500000007</v>
      </c>
      <c r="I285" s="174">
        <f>G274*G275*(C285-C280)/365</f>
        <v>6398383.561643837</v>
      </c>
      <c r="J285" s="174">
        <f t="shared" si="11"/>
        <v>2285136.9883561637</v>
      </c>
    </row>
    <row r="286" spans="3:10" x14ac:dyDescent="0.25">
      <c r="C286" s="396">
        <f>投资者收益测算表!B34</f>
        <v>42912</v>
      </c>
      <c r="D286" s="182">
        <f>投资者收益测算表!E34</f>
        <v>0</v>
      </c>
      <c r="E286" s="182">
        <f>投资者收益测算表!F34</f>
        <v>0</v>
      </c>
      <c r="F286" s="182">
        <f>投资者收益测算表!G34</f>
        <v>0</v>
      </c>
      <c r="G286" s="182">
        <f t="shared" si="9"/>
        <v>0</v>
      </c>
      <c r="H286" s="182">
        <f t="shared" si="10"/>
        <v>8683520.5500000007</v>
      </c>
      <c r="I286" s="174">
        <f>G274*G275*(C286-C280)/投资者收益测算表!F46</f>
        <v>9694520.547945207</v>
      </c>
      <c r="J286" s="174">
        <f t="shared" si="11"/>
        <v>-7409383.5595890433</v>
      </c>
    </row>
    <row r="287" spans="3:10" x14ac:dyDescent="0.25">
      <c r="C287" s="396">
        <f>投资者收益测算表!B35</f>
        <v>43075</v>
      </c>
      <c r="D287" s="182">
        <f>投资者收益测算表!E35</f>
        <v>0</v>
      </c>
      <c r="E287" s="182">
        <f>投资者收益测算表!F35</f>
        <v>0</v>
      </c>
      <c r="F287" s="182">
        <f>投资者收益测算表!G35</f>
        <v>0</v>
      </c>
      <c r="G287" s="182">
        <f t="shared" si="9"/>
        <v>0</v>
      </c>
      <c r="H287" s="182">
        <f t="shared" si="10"/>
        <v>8683520.5500000007</v>
      </c>
      <c r="I287" s="174"/>
      <c r="J287" s="174">
        <f t="shared" si="11"/>
        <v>-7409383.5595890433</v>
      </c>
    </row>
    <row r="288" spans="3:10" x14ac:dyDescent="0.25">
      <c r="C288" s="396">
        <f>投资者收益测算表!B36</f>
        <v>43090</v>
      </c>
      <c r="D288" s="182">
        <f>投资者收益测算表!E36</f>
        <v>0</v>
      </c>
      <c r="E288" s="182">
        <f>投资者收益测算表!F36</f>
        <v>0</v>
      </c>
      <c r="F288" s="182">
        <f>投资者收益测算表!G36</f>
        <v>0</v>
      </c>
      <c r="G288" s="182">
        <f t="shared" si="9"/>
        <v>0</v>
      </c>
      <c r="H288" s="182">
        <f t="shared" si="10"/>
        <v>8683520.5500000007</v>
      </c>
      <c r="I288" s="174"/>
      <c r="J288" s="174">
        <f t="shared" si="11"/>
        <v>-7409383.5595890433</v>
      </c>
    </row>
    <row r="289" spans="3:10" x14ac:dyDescent="0.25">
      <c r="C289" s="396">
        <f>投资者收益测算表!B37</f>
        <v>43090</v>
      </c>
      <c r="D289" s="182">
        <f>投资者收益测算表!E37</f>
        <v>0</v>
      </c>
      <c r="E289" s="182">
        <f>投资者收益测算表!F37</f>
        <v>0</v>
      </c>
      <c r="F289" s="182">
        <f>投资者收益测算表!G37</f>
        <v>0</v>
      </c>
      <c r="G289" s="182">
        <f t="shared" si="9"/>
        <v>0</v>
      </c>
      <c r="H289" s="182">
        <f t="shared" si="10"/>
        <v>8683520.5500000007</v>
      </c>
      <c r="I289" s="174"/>
      <c r="J289" s="174">
        <f t="shared" si="11"/>
        <v>-7409383.5595890433</v>
      </c>
    </row>
    <row r="290" spans="3:10" x14ac:dyDescent="0.25">
      <c r="C290" s="396">
        <f>投资者收益测算表!B38</f>
        <v>43136</v>
      </c>
      <c r="D290" s="182">
        <f>投资者收益测算表!E38</f>
        <v>0</v>
      </c>
      <c r="E290" s="182">
        <f>投资者收益测算表!F38</f>
        <v>0</v>
      </c>
      <c r="F290" s="182">
        <f>投资者收益测算表!G38+投资者收益测算表!J38</f>
        <v>181879626.47</v>
      </c>
      <c r="G290" s="182">
        <f t="shared" si="9"/>
        <v>181879626.47</v>
      </c>
      <c r="H290" s="182">
        <f t="shared" si="10"/>
        <v>190563147.02000001</v>
      </c>
      <c r="I290" s="174"/>
      <c r="J290" s="174">
        <f t="shared" si="11"/>
        <v>174470242.91041094</v>
      </c>
    </row>
    <row r="292" spans="3:10" x14ac:dyDescent="0.25">
      <c r="G292" t="s">
        <v>381</v>
      </c>
      <c r="H292" s="57">
        <f>H290-G274</f>
        <v>22063147.020000011</v>
      </c>
    </row>
    <row r="299" spans="3:10" x14ac:dyDescent="0.25">
      <c r="C299" s="505" t="s">
        <v>407</v>
      </c>
      <c r="D299" s="505"/>
      <c r="E299" s="505"/>
      <c r="F299" s="505"/>
      <c r="G299" s="505"/>
      <c r="H299" s="505"/>
    </row>
    <row r="300" spans="3:10" x14ac:dyDescent="0.25">
      <c r="C300" s="419" t="str">
        <f>投资者收益测算表!B27</f>
        <v>日期</v>
      </c>
      <c r="D300" s="419" t="s">
        <v>412</v>
      </c>
      <c r="E300" s="419" t="s">
        <v>413</v>
      </c>
      <c r="F300" s="419" t="s">
        <v>414</v>
      </c>
      <c r="G300" s="419" t="s">
        <v>411</v>
      </c>
      <c r="H300" s="419" t="s">
        <v>415</v>
      </c>
    </row>
    <row r="301" spans="3:10" x14ac:dyDescent="0.25">
      <c r="C301" s="396">
        <f>投资者收益测算表!B28</f>
        <v>42612</v>
      </c>
      <c r="D301" s="191">
        <f>投资者收益测算表!E28</f>
        <v>0</v>
      </c>
      <c r="E301" s="191">
        <f>投资者收益测算表!F28</f>
        <v>0</v>
      </c>
      <c r="F301" s="191">
        <f>投资者收益测算表!G28</f>
        <v>0</v>
      </c>
      <c r="G301" s="156">
        <f>G321+G342</f>
        <v>0</v>
      </c>
      <c r="H301" s="156">
        <f>SUM(D301:F301)-G301</f>
        <v>0</v>
      </c>
    </row>
    <row r="302" spans="3:10" x14ac:dyDescent="0.25">
      <c r="C302" s="396">
        <f>投资者收益测算表!B29</f>
        <v>42677</v>
      </c>
      <c r="D302" s="191">
        <f>投资者收益测算表!E29</f>
        <v>0</v>
      </c>
      <c r="E302" s="191">
        <f>投资者收益测算表!F29</f>
        <v>0</v>
      </c>
      <c r="F302" s="191">
        <f>投资者收益测算表!G29</f>
        <v>0</v>
      </c>
      <c r="G302" s="156">
        <f t="shared" ref="G302:G311" si="12">G322+G343</f>
        <v>0</v>
      </c>
      <c r="H302" s="156">
        <f>H301+SUM(D302:F302)-G302</f>
        <v>0</v>
      </c>
    </row>
    <row r="303" spans="3:10" x14ac:dyDescent="0.25">
      <c r="C303" s="396">
        <f>投资者收益测算表!B30</f>
        <v>42684</v>
      </c>
      <c r="D303" s="191">
        <f>投资者收益测算表!E30</f>
        <v>0</v>
      </c>
      <c r="E303" s="191">
        <f>投资者收益测算表!F30</f>
        <v>0</v>
      </c>
      <c r="F303" s="191">
        <f>投资者收益测算表!G30</f>
        <v>0</v>
      </c>
      <c r="G303" s="156">
        <f t="shared" si="12"/>
        <v>0</v>
      </c>
      <c r="H303" s="156">
        <f t="shared" ref="H303:H311" si="13">H302+SUM(D303:F303)-G303</f>
        <v>0</v>
      </c>
    </row>
    <row r="304" spans="3:10" x14ac:dyDescent="0.25">
      <c r="C304" s="396">
        <f>投资者收益测算表!B31</f>
        <v>42732</v>
      </c>
      <c r="D304" s="191">
        <f>投资者收益测算表!E31</f>
        <v>0</v>
      </c>
      <c r="E304" s="191">
        <f>投资者收益测算表!F31</f>
        <v>0</v>
      </c>
      <c r="F304" s="191">
        <f>投资者收益测算表!G31</f>
        <v>0</v>
      </c>
      <c r="G304" s="156">
        <f t="shared" si="12"/>
        <v>0</v>
      </c>
      <c r="H304" s="156">
        <f t="shared" si="13"/>
        <v>0</v>
      </c>
    </row>
    <row r="305" spans="3:8" x14ac:dyDescent="0.25">
      <c r="C305" s="396">
        <f>投资者收益测算表!B32</f>
        <v>42775</v>
      </c>
      <c r="D305" s="191">
        <f>投资者收益测算表!E32</f>
        <v>0</v>
      </c>
      <c r="E305" s="191">
        <f>投资者收益测算表!F32</f>
        <v>0</v>
      </c>
      <c r="F305" s="191">
        <f>投资者收益测算表!G32</f>
        <v>0</v>
      </c>
      <c r="G305" s="156">
        <f t="shared" si="12"/>
        <v>0</v>
      </c>
      <c r="H305" s="156">
        <f t="shared" si="13"/>
        <v>0</v>
      </c>
    </row>
    <row r="306" spans="3:8" x14ac:dyDescent="0.25">
      <c r="C306" s="396">
        <f>投资者收益测算表!B33</f>
        <v>42810</v>
      </c>
      <c r="D306" s="191">
        <f>投资者收益测算表!E33</f>
        <v>0</v>
      </c>
      <c r="E306" s="191">
        <f>投资者收益测算表!F33</f>
        <v>0</v>
      </c>
      <c r="F306" s="191">
        <f>投资者收益测算表!G33</f>
        <v>8683520.5500000007</v>
      </c>
      <c r="G306" s="156">
        <f t="shared" si="12"/>
        <v>7038221.9178082189</v>
      </c>
      <c r="H306" s="156">
        <f t="shared" si="13"/>
        <v>1645298.6321917819</v>
      </c>
    </row>
    <row r="307" spans="3:8" x14ac:dyDescent="0.25">
      <c r="C307" s="396">
        <f>投资者收益测算表!B34</f>
        <v>42912</v>
      </c>
      <c r="D307" s="191">
        <f>投资者收益测算表!E34</f>
        <v>0</v>
      </c>
      <c r="E307" s="191">
        <f>投资者收益测算表!F34</f>
        <v>0</v>
      </c>
      <c r="F307" s="191">
        <f>投资者收益测算表!G34</f>
        <v>0</v>
      </c>
      <c r="G307" s="156">
        <f t="shared" si="12"/>
        <v>0</v>
      </c>
      <c r="H307" s="156">
        <f t="shared" si="13"/>
        <v>1645298.6321917819</v>
      </c>
    </row>
    <row r="308" spans="3:8" x14ac:dyDescent="0.25">
      <c r="C308" s="396">
        <f>投资者收益测算表!B35</f>
        <v>43075</v>
      </c>
      <c r="D308" s="191">
        <f>投资者收益测算表!E35</f>
        <v>0</v>
      </c>
      <c r="E308" s="191">
        <f>投资者收益测算表!F35</f>
        <v>0</v>
      </c>
      <c r="F308" s="191">
        <f>投资者收益测算表!G35</f>
        <v>0</v>
      </c>
      <c r="G308" s="156">
        <f t="shared" si="12"/>
        <v>0</v>
      </c>
      <c r="H308" s="156">
        <f t="shared" si="13"/>
        <v>1645298.6321917819</v>
      </c>
    </row>
    <row r="309" spans="3:8" x14ac:dyDescent="0.25">
      <c r="C309" s="396">
        <f>投资者收益测算表!B36</f>
        <v>43090</v>
      </c>
      <c r="D309" s="191">
        <f>投资者收益测算表!E36</f>
        <v>0</v>
      </c>
      <c r="E309" s="191">
        <f>投资者收益测算表!F36</f>
        <v>0</v>
      </c>
      <c r="F309" s="191">
        <f>投资者收益测算表!G36</f>
        <v>0</v>
      </c>
      <c r="G309" s="156">
        <f t="shared" si="12"/>
        <v>0</v>
      </c>
      <c r="H309" s="156">
        <f t="shared" si="13"/>
        <v>1645298.6321917819</v>
      </c>
    </row>
    <row r="310" spans="3:8" x14ac:dyDescent="0.25">
      <c r="C310" s="396">
        <f>投资者收益测算表!B37</f>
        <v>43090</v>
      </c>
      <c r="D310" s="191">
        <f>投资者收益测算表!E37</f>
        <v>0</v>
      </c>
      <c r="E310" s="191">
        <f>投资者收益测算表!F37</f>
        <v>0</v>
      </c>
      <c r="F310" s="191">
        <f>投资者收益测算表!G37</f>
        <v>0</v>
      </c>
      <c r="G310" s="156">
        <f t="shared" si="12"/>
        <v>0</v>
      </c>
      <c r="H310" s="156">
        <f t="shared" si="13"/>
        <v>1645298.6321917819</v>
      </c>
    </row>
    <row r="311" spans="3:8" x14ac:dyDescent="0.25">
      <c r="C311" s="396">
        <f>投资者收益测算表!B38</f>
        <v>43136</v>
      </c>
      <c r="D311" s="191">
        <f>投资者收益测算表!E38</f>
        <v>0</v>
      </c>
      <c r="E311" s="191">
        <f>投资者收益测算表!F38</f>
        <v>0</v>
      </c>
      <c r="F311" s="191">
        <f>投资者收益测算表!G38</f>
        <v>182797109.59</v>
      </c>
      <c r="G311" s="156">
        <f t="shared" si="12"/>
        <v>180088183.56164384</v>
      </c>
      <c r="H311" s="156">
        <f t="shared" si="13"/>
        <v>4354224.6605479419</v>
      </c>
    </row>
    <row r="312" spans="3:8" x14ac:dyDescent="0.25">
      <c r="C312" s="396" t="s">
        <v>83</v>
      </c>
      <c r="D312" s="191">
        <f>投资者收益测算表!E39</f>
        <v>0</v>
      </c>
      <c r="E312" s="191">
        <f>投资者收益测算表!F39</f>
        <v>0</v>
      </c>
      <c r="F312" s="191">
        <f>投资者收益测算表!G39</f>
        <v>191480630.14000002</v>
      </c>
      <c r="G312" s="156">
        <f>SUM(G301:G311)</f>
        <v>187126405.47945204</v>
      </c>
      <c r="H312" s="155"/>
    </row>
    <row r="316" spans="3:8" x14ac:dyDescent="0.25">
      <c r="C316" t="s">
        <v>416</v>
      </c>
      <c r="D316" s="58">
        <v>7.1999999999999995E-2</v>
      </c>
    </row>
    <row r="317" spans="3:8" x14ac:dyDescent="0.25">
      <c r="C317" t="s">
        <v>410</v>
      </c>
      <c r="D317">
        <v>365</v>
      </c>
    </row>
    <row r="318" spans="3:8" x14ac:dyDescent="0.25">
      <c r="C318" t="s">
        <v>382</v>
      </c>
      <c r="D318" s="60">
        <f>D323*D316*(C331-C321)/D317</f>
        <v>0</v>
      </c>
    </row>
    <row r="320" spans="3:8" x14ac:dyDescent="0.25">
      <c r="C320" s="155" t="str">
        <f>C300</f>
        <v>日期</v>
      </c>
      <c r="D320" s="155" t="s">
        <v>408</v>
      </c>
      <c r="E320" s="155" t="s">
        <v>409</v>
      </c>
      <c r="F320" s="155" t="s">
        <v>385</v>
      </c>
      <c r="G320" s="155" t="s">
        <v>355</v>
      </c>
    </row>
    <row r="321" spans="3:7" x14ac:dyDescent="0.25">
      <c r="C321" s="396">
        <f t="shared" ref="C321:C332" si="14">C301</f>
        <v>42612</v>
      </c>
      <c r="D321" s="191">
        <f>SUM(投资者收益测算表!C44:C45)</f>
        <v>0</v>
      </c>
      <c r="E321" s="191">
        <v>0</v>
      </c>
      <c r="F321" s="191"/>
      <c r="G321" s="191">
        <f>E321+F321</f>
        <v>0</v>
      </c>
    </row>
    <row r="322" spans="3:7" x14ac:dyDescent="0.25">
      <c r="C322" s="396">
        <f t="shared" si="14"/>
        <v>42677</v>
      </c>
      <c r="D322" s="191">
        <f>D321-E321</f>
        <v>0</v>
      </c>
      <c r="E322" s="191">
        <v>0</v>
      </c>
      <c r="F322" s="191"/>
      <c r="G322" s="191">
        <f t="shared" ref="G322:G331" si="15">E322+F322</f>
        <v>0</v>
      </c>
    </row>
    <row r="323" spans="3:7" x14ac:dyDescent="0.25">
      <c r="C323" s="396">
        <f t="shared" si="14"/>
        <v>42684</v>
      </c>
      <c r="D323" s="191">
        <f t="shared" ref="D323:D331" si="16">D322-E322</f>
        <v>0</v>
      </c>
      <c r="E323" s="191">
        <v>0</v>
      </c>
      <c r="F323" s="191"/>
      <c r="G323" s="191">
        <f t="shared" si="15"/>
        <v>0</v>
      </c>
    </row>
    <row r="324" spans="3:7" x14ac:dyDescent="0.25">
      <c r="C324" s="396">
        <f t="shared" si="14"/>
        <v>42732</v>
      </c>
      <c r="D324" s="191">
        <f t="shared" si="16"/>
        <v>0</v>
      </c>
      <c r="E324" s="191">
        <v>0</v>
      </c>
      <c r="F324" s="191">
        <f>D324*$D$316*(C324-C321)/$D$317</f>
        <v>0</v>
      </c>
      <c r="G324" s="191">
        <f t="shared" si="15"/>
        <v>0</v>
      </c>
    </row>
    <row r="325" spans="3:7" x14ac:dyDescent="0.25">
      <c r="C325" s="396">
        <f t="shared" si="14"/>
        <v>42775</v>
      </c>
      <c r="D325" s="191">
        <f t="shared" si="16"/>
        <v>0</v>
      </c>
      <c r="E325" s="191">
        <v>0</v>
      </c>
      <c r="F325" s="191"/>
      <c r="G325" s="191">
        <f t="shared" si="15"/>
        <v>0</v>
      </c>
    </row>
    <row r="326" spans="3:7" x14ac:dyDescent="0.25">
      <c r="C326" s="396">
        <f t="shared" si="14"/>
        <v>42810</v>
      </c>
      <c r="D326" s="191">
        <f t="shared" si="16"/>
        <v>0</v>
      </c>
      <c r="E326" s="191">
        <v>0</v>
      </c>
      <c r="F326" s="191"/>
      <c r="G326" s="191">
        <f t="shared" si="15"/>
        <v>0</v>
      </c>
    </row>
    <row r="327" spans="3:7" x14ac:dyDescent="0.25">
      <c r="C327" s="396">
        <f t="shared" si="14"/>
        <v>42912</v>
      </c>
      <c r="D327" s="191">
        <f t="shared" si="16"/>
        <v>0</v>
      </c>
      <c r="E327" s="191">
        <v>0</v>
      </c>
      <c r="F327" s="191">
        <f>D327*$D$316*(C327-C324)/$D$317</f>
        <v>0</v>
      </c>
      <c r="G327" s="191">
        <f t="shared" si="15"/>
        <v>0</v>
      </c>
    </row>
    <row r="328" spans="3:7" x14ac:dyDescent="0.25">
      <c r="C328" s="396">
        <f t="shared" si="14"/>
        <v>43075</v>
      </c>
      <c r="D328" s="191">
        <f t="shared" si="16"/>
        <v>0</v>
      </c>
      <c r="E328" s="191">
        <v>0</v>
      </c>
      <c r="F328" s="191"/>
      <c r="G328" s="191">
        <f t="shared" si="15"/>
        <v>0</v>
      </c>
    </row>
    <row r="329" spans="3:7" x14ac:dyDescent="0.25">
      <c r="C329" s="396">
        <f t="shared" si="14"/>
        <v>43090</v>
      </c>
      <c r="D329" s="191">
        <f t="shared" si="16"/>
        <v>0</v>
      </c>
      <c r="E329" s="191">
        <v>0</v>
      </c>
      <c r="F329" s="191">
        <f>D329*$D$316*(C329-C327)/$D$317</f>
        <v>0</v>
      </c>
      <c r="G329" s="191">
        <f t="shared" si="15"/>
        <v>0</v>
      </c>
    </row>
    <row r="330" spans="3:7" x14ac:dyDescent="0.25">
      <c r="C330" s="396">
        <f t="shared" si="14"/>
        <v>43090</v>
      </c>
      <c r="D330" s="191">
        <f t="shared" si="16"/>
        <v>0</v>
      </c>
      <c r="E330" s="191">
        <v>0</v>
      </c>
      <c r="F330" s="191"/>
      <c r="G330" s="191">
        <f t="shared" si="15"/>
        <v>0</v>
      </c>
    </row>
    <row r="331" spans="3:7" x14ac:dyDescent="0.25">
      <c r="C331" s="396">
        <f t="shared" si="14"/>
        <v>43136</v>
      </c>
      <c r="D331" s="191">
        <f t="shared" si="16"/>
        <v>0</v>
      </c>
      <c r="E331" s="191">
        <f>D331</f>
        <v>0</v>
      </c>
      <c r="F331" s="191">
        <f>D331*$D$316*(C331-C329)/$D$317</f>
        <v>0</v>
      </c>
      <c r="G331" s="191">
        <f t="shared" si="15"/>
        <v>0</v>
      </c>
    </row>
    <row r="332" spans="3:7" x14ac:dyDescent="0.25">
      <c r="C332" s="155" t="str">
        <f t="shared" si="14"/>
        <v>合计</v>
      </c>
      <c r="D332" s="155"/>
      <c r="E332" s="156">
        <f>SUM(E321:E331)</f>
        <v>0</v>
      </c>
      <c r="F332" s="156">
        <f t="shared" ref="F332:G332" si="17">SUM(F321:F331)</f>
        <v>0</v>
      </c>
      <c r="G332" s="156">
        <f t="shared" si="17"/>
        <v>0</v>
      </c>
    </row>
    <row r="337" spans="3:7" x14ac:dyDescent="0.25">
      <c r="C337" t="s">
        <v>417</v>
      </c>
      <c r="D337" s="58">
        <v>7.6999999999999999E-2</v>
      </c>
    </row>
    <row r="338" spans="3:7" x14ac:dyDescent="0.25">
      <c r="C338" t="s">
        <v>410</v>
      </c>
      <c r="D338">
        <v>365</v>
      </c>
    </row>
    <row r="339" spans="3:7" x14ac:dyDescent="0.25">
      <c r="C339" t="s">
        <v>247</v>
      </c>
      <c r="D339" s="60">
        <f>D344*D337*(C352-C342)/D338</f>
        <v>18626405.479452055</v>
      </c>
    </row>
    <row r="341" spans="3:7" x14ac:dyDescent="0.25">
      <c r="C341" s="155" t="str">
        <f>C320</f>
        <v>日期</v>
      </c>
      <c r="D341" s="155" t="str">
        <f t="shared" ref="D341:G341" si="18">D320</f>
        <v>未偿本金规模</v>
      </c>
      <c r="E341" s="155" t="str">
        <f t="shared" si="18"/>
        <v>归还本金规模</v>
      </c>
      <c r="F341" s="155" t="str">
        <f t="shared" si="18"/>
        <v>支付利息</v>
      </c>
      <c r="G341" s="155" t="str">
        <f t="shared" si="18"/>
        <v>支付合计</v>
      </c>
    </row>
    <row r="342" spans="3:7" x14ac:dyDescent="0.25">
      <c r="C342" s="396">
        <f t="shared" ref="C342:C352" si="19">C321</f>
        <v>42612</v>
      </c>
      <c r="D342" s="191">
        <f>投资者收益测算表!C46</f>
        <v>168500000</v>
      </c>
      <c r="E342" s="191">
        <v>0</v>
      </c>
      <c r="F342" s="191"/>
      <c r="G342" s="191">
        <f>E342+F342</f>
        <v>0</v>
      </c>
    </row>
    <row r="343" spans="3:7" x14ac:dyDescent="0.25">
      <c r="C343" s="396">
        <f t="shared" si="19"/>
        <v>42677</v>
      </c>
      <c r="D343" s="191">
        <f>D342-E342</f>
        <v>168500000</v>
      </c>
      <c r="E343" s="191">
        <v>0</v>
      </c>
      <c r="F343" s="191"/>
      <c r="G343" s="191">
        <f t="shared" ref="G343:G346" si="20">E343+F343</f>
        <v>0</v>
      </c>
    </row>
    <row r="344" spans="3:7" x14ac:dyDescent="0.25">
      <c r="C344" s="396">
        <f t="shared" si="19"/>
        <v>42684</v>
      </c>
      <c r="D344" s="191">
        <f t="shared" ref="D344:D352" si="21">D343-E343</f>
        <v>168500000</v>
      </c>
      <c r="E344" s="191">
        <v>0</v>
      </c>
      <c r="F344" s="191"/>
      <c r="G344" s="191">
        <f t="shared" si="20"/>
        <v>0</v>
      </c>
    </row>
    <row r="345" spans="3:7" x14ac:dyDescent="0.25">
      <c r="C345" s="396">
        <f t="shared" si="19"/>
        <v>42732</v>
      </c>
      <c r="D345" s="191">
        <f t="shared" si="21"/>
        <v>168500000</v>
      </c>
      <c r="E345" s="191">
        <v>0</v>
      </c>
      <c r="F345" s="191"/>
      <c r="G345" s="191">
        <f t="shared" si="20"/>
        <v>0</v>
      </c>
    </row>
    <row r="346" spans="3:7" x14ac:dyDescent="0.25">
      <c r="C346" s="396">
        <f t="shared" si="19"/>
        <v>42775</v>
      </c>
      <c r="D346" s="191">
        <f t="shared" si="21"/>
        <v>168500000</v>
      </c>
      <c r="E346" s="191">
        <v>0</v>
      </c>
      <c r="F346" s="191"/>
      <c r="G346" s="191">
        <f t="shared" si="20"/>
        <v>0</v>
      </c>
    </row>
    <row r="347" spans="3:7" x14ac:dyDescent="0.25">
      <c r="C347" s="396">
        <f t="shared" si="19"/>
        <v>42810</v>
      </c>
      <c r="D347" s="191">
        <f t="shared" si="21"/>
        <v>168500000</v>
      </c>
      <c r="E347" s="191">
        <v>0</v>
      </c>
      <c r="F347" s="191">
        <f>D347*$D$337*(C347-C342)/$D$338</f>
        <v>7038221.9178082189</v>
      </c>
      <c r="G347" s="191">
        <f>E347+F347</f>
        <v>7038221.9178082189</v>
      </c>
    </row>
    <row r="348" spans="3:7" x14ac:dyDescent="0.25">
      <c r="C348" s="396">
        <f t="shared" si="19"/>
        <v>42912</v>
      </c>
      <c r="D348" s="191">
        <f t="shared" si="21"/>
        <v>168500000</v>
      </c>
      <c r="E348" s="191">
        <v>0</v>
      </c>
      <c r="F348" s="191"/>
      <c r="G348" s="191">
        <f t="shared" ref="G348:G352" si="22">E348+F348</f>
        <v>0</v>
      </c>
    </row>
    <row r="349" spans="3:7" x14ac:dyDescent="0.25">
      <c r="C349" s="396">
        <f t="shared" si="19"/>
        <v>43075</v>
      </c>
      <c r="D349" s="191">
        <f t="shared" si="21"/>
        <v>168500000</v>
      </c>
      <c r="E349" s="191">
        <v>0</v>
      </c>
      <c r="F349" s="191"/>
      <c r="G349" s="191">
        <f t="shared" si="22"/>
        <v>0</v>
      </c>
    </row>
    <row r="350" spans="3:7" x14ac:dyDescent="0.25">
      <c r="C350" s="396">
        <f t="shared" si="19"/>
        <v>43090</v>
      </c>
      <c r="D350" s="191">
        <f t="shared" si="21"/>
        <v>168500000</v>
      </c>
      <c r="E350" s="191">
        <v>0</v>
      </c>
      <c r="F350" s="191"/>
      <c r="G350" s="191">
        <f t="shared" si="22"/>
        <v>0</v>
      </c>
    </row>
    <row r="351" spans="3:7" x14ac:dyDescent="0.25">
      <c r="C351" s="396">
        <f t="shared" si="19"/>
        <v>43090</v>
      </c>
      <c r="D351" s="191">
        <f t="shared" si="21"/>
        <v>168500000</v>
      </c>
      <c r="E351" s="191">
        <v>0</v>
      </c>
      <c r="F351" s="191"/>
      <c r="G351" s="191">
        <f t="shared" si="22"/>
        <v>0</v>
      </c>
    </row>
    <row r="352" spans="3:7" x14ac:dyDescent="0.25">
      <c r="C352" s="396">
        <f t="shared" si="19"/>
        <v>43136</v>
      </c>
      <c r="D352" s="191">
        <f t="shared" si="21"/>
        <v>168500000</v>
      </c>
      <c r="E352" s="191">
        <f>D352</f>
        <v>168500000</v>
      </c>
      <c r="F352" s="191">
        <f>D352*$D$337*(C352-C347)/$D$338</f>
        <v>11588183.561643835</v>
      </c>
      <c r="G352" s="191">
        <f t="shared" si="22"/>
        <v>180088183.56164384</v>
      </c>
    </row>
    <row r="353" spans="3:7" x14ac:dyDescent="0.25">
      <c r="C353" s="155" t="s">
        <v>83</v>
      </c>
      <c r="D353" s="155"/>
      <c r="E353" s="156">
        <f>SUM(E342:E352)</f>
        <v>168500000</v>
      </c>
      <c r="F353" s="156">
        <f>SUM(F342:F352)</f>
        <v>18626405.479452055</v>
      </c>
      <c r="G353" s="156">
        <f>SUM(G342:G352)</f>
        <v>187126405.47945204</v>
      </c>
    </row>
  </sheetData>
  <mergeCells count="18">
    <mergeCell ref="D179:G179"/>
    <mergeCell ref="C299:H299"/>
    <mergeCell ref="F100:G100"/>
    <mergeCell ref="H100:I100"/>
    <mergeCell ref="J100:K100"/>
    <mergeCell ref="L36:L37"/>
    <mergeCell ref="F71:G71"/>
    <mergeCell ref="H71:I71"/>
    <mergeCell ref="J71:K71"/>
    <mergeCell ref="F94:G94"/>
    <mergeCell ref="H94:I94"/>
    <mergeCell ref="J94:K94"/>
    <mergeCell ref="F88:G88"/>
    <mergeCell ref="H88:I88"/>
    <mergeCell ref="J88:K88"/>
    <mergeCell ref="D36:F36"/>
    <mergeCell ref="G36:I36"/>
    <mergeCell ref="J36:K36"/>
  </mergeCells>
  <phoneticPr fontId="42" type="noConversion"/>
  <pageMargins left="0.7" right="0.7" top="0.75" bottom="0.75" header="0.3" footer="0.3"/>
  <pageSetup paperSize="9" scale="11" orientation="portrait" horizontalDpi="0" verticalDpi="0"/>
  <rowBreaks count="1" manualBreakCount="1">
    <brk id="5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65"/>
  <sheetViews>
    <sheetView showGridLines="0" topLeftCell="A16" zoomScale="110" zoomScaleNormal="110" zoomScalePageLayoutView="110" workbookViewId="0">
      <selection activeCell="C43" sqref="C43"/>
    </sheetView>
  </sheetViews>
  <sheetFormatPr baseColWidth="10" defaultColWidth="10.7109375" defaultRowHeight="16" x14ac:dyDescent="0.25"/>
  <cols>
    <col min="1" max="1" width="14.140625" style="93" customWidth="1"/>
    <col min="2" max="2" width="18.28515625" style="93" customWidth="1"/>
    <col min="3" max="4" width="15" style="93" bestFit="1" customWidth="1"/>
    <col min="5" max="5" width="12.85546875" style="93" customWidth="1"/>
    <col min="6" max="6" width="15" style="93" bestFit="1" customWidth="1"/>
    <col min="7" max="7" width="13.85546875" style="93" bestFit="1" customWidth="1"/>
    <col min="8" max="8" width="14.5703125" style="93" bestFit="1" customWidth="1"/>
    <col min="9" max="9" width="12.140625" style="93" customWidth="1"/>
    <col min="10" max="10" width="15.85546875" style="93" customWidth="1"/>
    <col min="11" max="11" width="15" style="93" customWidth="1"/>
    <col min="12" max="12" width="18.5703125" style="93" customWidth="1"/>
    <col min="13" max="13" width="15.140625" style="93" customWidth="1"/>
    <col min="14" max="14" width="14.42578125" style="93" customWidth="1"/>
    <col min="15" max="15" width="15.7109375" style="93" customWidth="1"/>
    <col min="16" max="16" width="14.85546875" style="93" customWidth="1"/>
    <col min="17" max="17" width="11.42578125" style="93" bestFit="1" customWidth="1"/>
    <col min="18" max="16384" width="10.7109375" style="93"/>
  </cols>
  <sheetData>
    <row r="3" spans="2:3" x14ac:dyDescent="0.25">
      <c r="B3" s="246" t="s">
        <v>294</v>
      </c>
      <c r="C3" s="246" t="s">
        <v>295</v>
      </c>
    </row>
    <row r="4" spans="2:3" x14ac:dyDescent="0.25">
      <c r="B4" s="242">
        <f>B28</f>
        <v>42612</v>
      </c>
      <c r="C4" s="243">
        <v>0</v>
      </c>
    </row>
    <row r="5" spans="2:3" ht="18" x14ac:dyDescent="0.25">
      <c r="B5" s="244">
        <v>42674</v>
      </c>
      <c r="C5" s="245">
        <v>30000000</v>
      </c>
    </row>
    <row r="6" spans="2:3" ht="18" x14ac:dyDescent="0.25">
      <c r="B6" s="244">
        <v>42681</v>
      </c>
      <c r="C6" s="245">
        <v>50000000</v>
      </c>
    </row>
    <row r="7" spans="2:3" ht="18" x14ac:dyDescent="0.25">
      <c r="B7" s="244">
        <v>42709</v>
      </c>
      <c r="C7" s="245">
        <v>26700000</v>
      </c>
    </row>
    <row r="8" spans="2:3" ht="18" x14ac:dyDescent="0.25">
      <c r="B8" s="244">
        <v>42716</v>
      </c>
      <c r="C8" s="245">
        <v>30000000</v>
      </c>
    </row>
    <row r="9" spans="2:3" ht="18" x14ac:dyDescent="0.25">
      <c r="B9" s="244">
        <v>42729</v>
      </c>
      <c r="C9" s="245">
        <v>7100000</v>
      </c>
    </row>
    <row r="10" spans="2:3" ht="18" x14ac:dyDescent="0.25">
      <c r="B10" s="244">
        <v>42772</v>
      </c>
      <c r="C10" s="245">
        <v>15000000</v>
      </c>
    </row>
    <row r="11" spans="2:3" ht="18" x14ac:dyDescent="0.25">
      <c r="B11" s="244">
        <v>42807</v>
      </c>
      <c r="C11" s="245">
        <v>21700000</v>
      </c>
    </row>
    <row r="12" spans="2:3" ht="18" x14ac:dyDescent="0.25">
      <c r="B12" s="244">
        <v>42904</v>
      </c>
      <c r="C12" s="245">
        <v>10000000</v>
      </c>
    </row>
    <row r="13" spans="2:3" ht="18" x14ac:dyDescent="0.25">
      <c r="B13" s="244">
        <v>42909</v>
      </c>
      <c r="C13" s="245">
        <v>23800000</v>
      </c>
    </row>
    <row r="14" spans="2:3" ht="18" x14ac:dyDescent="0.25">
      <c r="B14" s="244">
        <v>43066</v>
      </c>
      <c r="C14" s="245">
        <v>7200000</v>
      </c>
    </row>
    <row r="15" spans="2:3" ht="18" x14ac:dyDescent="0.25">
      <c r="B15" s="244">
        <v>43072</v>
      </c>
      <c r="C15" s="245">
        <v>64700000</v>
      </c>
    </row>
    <row r="16" spans="2:3" ht="18" x14ac:dyDescent="0.25">
      <c r="B16" s="244">
        <v>43073</v>
      </c>
      <c r="C16" s="245">
        <v>30000000</v>
      </c>
    </row>
    <row r="17" spans="1:13" ht="18" x14ac:dyDescent="0.25">
      <c r="B17" s="244">
        <v>43080</v>
      </c>
      <c r="C17" s="245">
        <v>27200000</v>
      </c>
    </row>
    <row r="18" spans="1:13" ht="18" x14ac:dyDescent="0.25">
      <c r="B18" s="244">
        <v>43087</v>
      </c>
      <c r="C18" s="245">
        <v>31300000</v>
      </c>
    </row>
    <row r="19" spans="1:13" ht="18" x14ac:dyDescent="0.25">
      <c r="B19" s="244">
        <v>43105</v>
      </c>
      <c r="C19" s="245">
        <v>23600000</v>
      </c>
    </row>
    <row r="20" spans="1:13" ht="18" x14ac:dyDescent="0.25">
      <c r="B20" s="244">
        <v>43112</v>
      </c>
      <c r="C20" s="245">
        <v>15000000</v>
      </c>
    </row>
    <row r="21" spans="1:13" ht="18" x14ac:dyDescent="0.25">
      <c r="B21" s="244">
        <v>43121</v>
      </c>
      <c r="C21" s="245">
        <v>35200000</v>
      </c>
    </row>
    <row r="22" spans="1:13" ht="18" x14ac:dyDescent="0.25">
      <c r="B22" s="244">
        <v>43127</v>
      </c>
      <c r="C22" s="245">
        <v>50000000</v>
      </c>
    </row>
    <row r="23" spans="1:13" ht="18" x14ac:dyDescent="0.25">
      <c r="B23" s="244">
        <v>43133</v>
      </c>
      <c r="C23" s="245">
        <v>40000000</v>
      </c>
    </row>
    <row r="24" spans="1:13" ht="17" thickBot="1" x14ac:dyDescent="0.3"/>
    <row r="25" spans="1:13" x14ac:dyDescent="0.25">
      <c r="B25" s="248" t="s">
        <v>296</v>
      </c>
    </row>
    <row r="26" spans="1:13" ht="17" thickBot="1" x14ac:dyDescent="0.3">
      <c r="B26" s="249">
        <v>3</v>
      </c>
    </row>
    <row r="27" spans="1:13" ht="17" thickBot="1" x14ac:dyDescent="0.3">
      <c r="A27" s="119" t="s">
        <v>290</v>
      </c>
      <c r="B27" s="315" t="s">
        <v>30</v>
      </c>
      <c r="C27" s="316" t="s">
        <v>249</v>
      </c>
      <c r="D27" s="316" t="s">
        <v>250</v>
      </c>
      <c r="E27" s="316" t="s">
        <v>251</v>
      </c>
      <c r="F27" s="316" t="s">
        <v>330</v>
      </c>
      <c r="G27" s="316" t="s">
        <v>331</v>
      </c>
      <c r="H27" s="316" t="s">
        <v>252</v>
      </c>
      <c r="I27" s="316" t="s">
        <v>254</v>
      </c>
      <c r="J27" s="317" t="s">
        <v>255</v>
      </c>
      <c r="K27" s="67"/>
      <c r="L27" s="369" t="s">
        <v>30</v>
      </c>
      <c r="M27" s="369" t="s">
        <v>355</v>
      </c>
    </row>
    <row r="28" spans="1:13" x14ac:dyDescent="0.25">
      <c r="A28" s="229">
        <f>基础资产现金流!I2</f>
        <v>42612</v>
      </c>
      <c r="B28" s="229">
        <f>基础资产现金流!I2</f>
        <v>42612</v>
      </c>
      <c r="C28" s="215">
        <v>0</v>
      </c>
      <c r="D28" s="215">
        <f t="shared" ref="D28:D36" si="0">F95</f>
        <v>0</v>
      </c>
      <c r="E28" s="215">
        <f t="shared" ref="E28:E36" si="1">F114</f>
        <v>0</v>
      </c>
      <c r="F28" s="215">
        <f t="shared" ref="F28:F36" si="2">F135</f>
        <v>0</v>
      </c>
      <c r="G28" s="215">
        <f t="shared" ref="G28:G36" si="3">F154</f>
        <v>0</v>
      </c>
      <c r="H28" s="215">
        <f t="shared" ref="H28:H36" si="4">K74</f>
        <v>0</v>
      </c>
      <c r="I28" s="215">
        <f>C28-SUM(D28:H28)</f>
        <v>0</v>
      </c>
      <c r="J28" s="216">
        <v>0</v>
      </c>
      <c r="L28" s="97">
        <f>B28</f>
        <v>42612</v>
      </c>
      <c r="M28" s="376">
        <f>SUM(D28:H28)</f>
        <v>0</v>
      </c>
    </row>
    <row r="29" spans="1:13" x14ac:dyDescent="0.25">
      <c r="A29" s="94">
        <v>42674</v>
      </c>
      <c r="B29" s="94">
        <f>A29+$B$26</f>
        <v>42677</v>
      </c>
      <c r="C29" s="129">
        <f>SUMPRODUCT((基础资产现金流!$B$2:$B$138-B28&gt;0)*(基础资产现金流!$B$2:$B$138-B29&lt;=0)*(基础资产现金流!$H$2:$H$138))</f>
        <v>30993362.75</v>
      </c>
      <c r="D29" s="129">
        <f t="shared" si="0"/>
        <v>30267123.289999999</v>
      </c>
      <c r="E29" s="129">
        <f t="shared" si="1"/>
        <v>0</v>
      </c>
      <c r="F29" s="129">
        <f t="shared" si="2"/>
        <v>0</v>
      </c>
      <c r="G29" s="129">
        <f t="shared" si="3"/>
        <v>0</v>
      </c>
      <c r="H29" s="129">
        <f t="shared" si="4"/>
        <v>690460.27</v>
      </c>
      <c r="I29" s="129">
        <f>C29-SUM(D29:H29)</f>
        <v>35779.190000001341</v>
      </c>
      <c r="J29" s="130">
        <f>I29+J28</f>
        <v>35779.190000001341</v>
      </c>
      <c r="L29" s="97">
        <f t="shared" ref="L29:L38" si="5">B29</f>
        <v>42677</v>
      </c>
      <c r="M29" s="376">
        <f t="shared" ref="M29:M37" si="6">SUM(D29:H29)</f>
        <v>30957583.559999999</v>
      </c>
    </row>
    <row r="30" spans="1:13" x14ac:dyDescent="0.25">
      <c r="A30" s="94">
        <v>42681</v>
      </c>
      <c r="B30" s="94">
        <f t="shared" ref="B30:B38" si="7">A30+$B$26</f>
        <v>42684</v>
      </c>
      <c r="C30" s="129">
        <f>SUMPRODUCT((基础资产现金流!$B$2:$B$138-B29&gt;0)*(基础资产现金流!$B$2:$B$138-B30&lt;=0)*(基础资产现金流!$H$2:$H$138))</f>
        <v>51020821.920000002</v>
      </c>
      <c r="D30" s="129">
        <f t="shared" si="0"/>
        <v>50493150.68</v>
      </c>
      <c r="E30" s="129">
        <f t="shared" si="1"/>
        <v>0</v>
      </c>
      <c r="F30" s="129">
        <f t="shared" si="2"/>
        <v>0</v>
      </c>
      <c r="G30" s="129">
        <f t="shared" si="3"/>
        <v>0</v>
      </c>
      <c r="H30" s="129">
        <f t="shared" si="4"/>
        <v>70214.789999999994</v>
      </c>
      <c r="I30" s="129">
        <f t="shared" ref="I30:I38" si="8">C30-SUM(D30:H30)</f>
        <v>457456.45000000298</v>
      </c>
      <c r="J30" s="130">
        <f t="shared" ref="J30:J37" si="9">I30+J29</f>
        <v>493235.64000000432</v>
      </c>
      <c r="L30" s="97">
        <f t="shared" si="5"/>
        <v>42684</v>
      </c>
      <c r="M30" s="376">
        <f t="shared" si="6"/>
        <v>50563365.469999999</v>
      </c>
    </row>
    <row r="31" spans="1:13" x14ac:dyDescent="0.25">
      <c r="A31" s="94">
        <v>42729</v>
      </c>
      <c r="B31" s="94">
        <f t="shared" si="7"/>
        <v>42732</v>
      </c>
      <c r="C31" s="129">
        <f>SUMPRODUCT((基础资产现金流!$B$2:$B$138-B30&gt;0)*(基础资产现金流!$B$2:$B$138-B31&lt;=0)*(基础资产现金流!$H$2:$H$138))</f>
        <v>69449635.319999993</v>
      </c>
      <c r="D31" s="129">
        <f t="shared" si="0"/>
        <v>64848767.119999997</v>
      </c>
      <c r="E31" s="129">
        <f t="shared" si="1"/>
        <v>0</v>
      </c>
      <c r="F31" s="129">
        <f t="shared" si="2"/>
        <v>0</v>
      </c>
      <c r="G31" s="129">
        <f t="shared" si="3"/>
        <v>0</v>
      </c>
      <c r="H31" s="129">
        <f t="shared" si="4"/>
        <v>864130.40999999992</v>
      </c>
      <c r="I31" s="129">
        <f t="shared" si="8"/>
        <v>3736737.7899999991</v>
      </c>
      <c r="J31" s="130">
        <f t="shared" si="9"/>
        <v>4229973.4300000034</v>
      </c>
      <c r="L31" s="97">
        <f t="shared" si="5"/>
        <v>42732</v>
      </c>
      <c r="M31" s="376">
        <f t="shared" si="6"/>
        <v>65712897.529999994</v>
      </c>
    </row>
    <row r="32" spans="1:13" x14ac:dyDescent="0.25">
      <c r="A32" s="94">
        <v>42772</v>
      </c>
      <c r="B32" s="94">
        <f t="shared" si="7"/>
        <v>42775</v>
      </c>
      <c r="C32" s="129">
        <f>SUMPRODUCT((基础资产现金流!$B$2:$B$138-B31&gt;0)*(基础资产现金流!$B$2:$B$138-B32&lt;=0)*(基础资产现金流!$H$2:$H$138))</f>
        <v>19967733.150000002</v>
      </c>
      <c r="D32" s="129">
        <f t="shared" si="0"/>
        <v>15334931.51</v>
      </c>
      <c r="E32" s="129">
        <f t="shared" si="1"/>
        <v>0</v>
      </c>
      <c r="F32" s="129">
        <f t="shared" si="2"/>
        <v>0</v>
      </c>
      <c r="G32" s="129">
        <f t="shared" si="3"/>
        <v>0</v>
      </c>
      <c r="H32" s="129">
        <f t="shared" si="4"/>
        <v>334792.11</v>
      </c>
      <c r="I32" s="129">
        <f t="shared" si="8"/>
        <v>4298009.5300000031</v>
      </c>
      <c r="J32" s="130">
        <f t="shared" si="9"/>
        <v>8527982.9600000065</v>
      </c>
      <c r="L32" s="97">
        <f t="shared" si="5"/>
        <v>42775</v>
      </c>
      <c r="M32" s="376">
        <f t="shared" si="6"/>
        <v>15669723.619999999</v>
      </c>
    </row>
    <row r="33" spans="1:17" x14ac:dyDescent="0.25">
      <c r="A33" s="94">
        <v>42807</v>
      </c>
      <c r="B33" s="94">
        <f t="shared" si="7"/>
        <v>42810</v>
      </c>
      <c r="C33" s="129">
        <f>SUMPRODUCT((基础资产现金流!$B$2:$B$138-B32&gt;0)*(基础资产现金流!$B$2:$B$138-B33&lt;=0)*(基础资产现金流!$H$2:$H$138))</f>
        <v>22143921.100000001</v>
      </c>
      <c r="D33" s="129">
        <f t="shared" si="0"/>
        <v>22288575.34</v>
      </c>
      <c r="E33" s="129">
        <f t="shared" si="1"/>
        <v>0</v>
      </c>
      <c r="F33" s="129">
        <f t="shared" si="2"/>
        <v>0</v>
      </c>
      <c r="G33" s="129">
        <f t="shared" si="3"/>
        <v>8683520.5500000007</v>
      </c>
      <c r="H33" s="129">
        <f t="shared" si="4"/>
        <v>262149.05</v>
      </c>
      <c r="I33" s="129">
        <f t="shared" si="8"/>
        <v>-9090323.8399999999</v>
      </c>
      <c r="J33" s="130">
        <f t="shared" si="9"/>
        <v>-562340.87999999337</v>
      </c>
      <c r="L33" s="97">
        <f t="shared" si="5"/>
        <v>42810</v>
      </c>
      <c r="M33" s="376">
        <f t="shared" si="6"/>
        <v>31234244.940000001</v>
      </c>
    </row>
    <row r="34" spans="1:17" x14ac:dyDescent="0.25">
      <c r="A34" s="94">
        <v>42909</v>
      </c>
      <c r="B34" s="94">
        <f t="shared" si="7"/>
        <v>42912</v>
      </c>
      <c r="C34" s="129">
        <f>SUMPRODUCT((基础资产现金流!$B$2:$B$138-B33&gt;0)*(基础资产现金流!$B$2:$B$138-B34&lt;=0)*(基础资产现金流!$H$2:$H$138))</f>
        <v>38096643.830000006</v>
      </c>
      <c r="D34" s="129">
        <f t="shared" si="0"/>
        <v>35189041.100000001</v>
      </c>
      <c r="E34" s="129">
        <f t="shared" si="1"/>
        <v>0</v>
      </c>
      <c r="F34" s="129">
        <f t="shared" si="2"/>
        <v>0</v>
      </c>
      <c r="G34" s="129">
        <f t="shared" si="3"/>
        <v>0</v>
      </c>
      <c r="H34" s="129">
        <f t="shared" si="4"/>
        <v>720315.62</v>
      </c>
      <c r="I34" s="129">
        <f t="shared" si="8"/>
        <v>2187287.1100000069</v>
      </c>
      <c r="J34" s="130">
        <f t="shared" si="9"/>
        <v>1624946.2300000135</v>
      </c>
      <c r="L34" s="97">
        <f t="shared" si="5"/>
        <v>42912</v>
      </c>
      <c r="M34" s="376">
        <f t="shared" si="6"/>
        <v>35909356.719999999</v>
      </c>
    </row>
    <row r="35" spans="1:17" x14ac:dyDescent="0.25">
      <c r="A35" s="94">
        <v>43072</v>
      </c>
      <c r="B35" s="94">
        <f t="shared" si="7"/>
        <v>43075</v>
      </c>
      <c r="C35" s="129">
        <f>SUMPRODUCT((基础资产现金流!$B$2:$B$138-B34&gt;0)*(基础资产现金流!$B$2:$B$138-B35&lt;=0)*(基础资产现金流!$H$2:$H$138))</f>
        <v>109542500</v>
      </c>
      <c r="D35" s="129">
        <f t="shared" si="0"/>
        <v>108362972.59999999</v>
      </c>
      <c r="E35" s="129">
        <f t="shared" si="1"/>
        <v>0</v>
      </c>
      <c r="F35" s="129">
        <f t="shared" si="2"/>
        <v>0</v>
      </c>
      <c r="G35" s="129">
        <f t="shared" si="3"/>
        <v>0</v>
      </c>
      <c r="H35" s="129">
        <f t="shared" si="4"/>
        <v>1042414.03</v>
      </c>
      <c r="I35" s="129">
        <f t="shared" si="8"/>
        <v>137113.37000000477</v>
      </c>
      <c r="J35" s="130">
        <f t="shared" si="9"/>
        <v>1762059.6000000183</v>
      </c>
      <c r="L35" s="97">
        <f t="shared" si="5"/>
        <v>43075</v>
      </c>
      <c r="M35" s="376">
        <f t="shared" si="6"/>
        <v>109405386.63</v>
      </c>
    </row>
    <row r="36" spans="1:17" x14ac:dyDescent="0.25">
      <c r="A36" s="94">
        <v>43087</v>
      </c>
      <c r="B36" s="94">
        <f t="shared" si="7"/>
        <v>43090</v>
      </c>
      <c r="C36" s="129">
        <f>SUMPRODUCT((基础资产现金流!$B$2:$B$138-B35&gt;0)*(基础资产现金流!$B$2:$B$138-B36&lt;=0)*(基础资产现金流!$H$2:$H$138))</f>
        <v>61704102.739999995</v>
      </c>
      <c r="D36" s="129">
        <f t="shared" si="0"/>
        <v>57322794.520000003</v>
      </c>
      <c r="E36" s="129">
        <f t="shared" si="1"/>
        <v>0</v>
      </c>
      <c r="F36" s="129">
        <f t="shared" si="2"/>
        <v>0</v>
      </c>
      <c r="G36" s="129">
        <f t="shared" si="3"/>
        <v>0</v>
      </c>
      <c r="H36" s="129">
        <f t="shared" si="4"/>
        <v>65776.429999999993</v>
      </c>
      <c r="I36" s="129">
        <f t="shared" si="8"/>
        <v>4315531.7899999917</v>
      </c>
      <c r="J36" s="130">
        <f t="shared" si="9"/>
        <v>6077591.3900000099</v>
      </c>
      <c r="L36" s="97">
        <f t="shared" si="5"/>
        <v>43090</v>
      </c>
      <c r="M36" s="376">
        <f t="shared" si="6"/>
        <v>57388570.950000003</v>
      </c>
    </row>
    <row r="37" spans="1:17" x14ac:dyDescent="0.25">
      <c r="A37" s="94">
        <v>43112</v>
      </c>
      <c r="B37" s="94">
        <f>B36</f>
        <v>43090</v>
      </c>
      <c r="C37" s="129">
        <f>SUMPRODUCT((基础资产现金流!$B$2:$B$138-B36&gt;0)*(基础资产现金流!$B$2:$B$138-B37&lt;=0)*(基础资产现金流!$H$2:$H$138))</f>
        <v>0</v>
      </c>
      <c r="D37" s="129">
        <f t="shared" ref="D37:D38" si="10">F104</f>
        <v>0</v>
      </c>
      <c r="E37" s="129">
        <f t="shared" ref="E37:E38" si="11">F123</f>
        <v>0</v>
      </c>
      <c r="F37" s="129">
        <f t="shared" ref="F37:F38" si="12">F144</f>
        <v>0</v>
      </c>
      <c r="G37" s="129">
        <f t="shared" ref="G37:G38" si="13">F163</f>
        <v>0</v>
      </c>
      <c r="H37" s="129">
        <f t="shared" ref="H37:H38" si="14">K83</f>
        <v>0</v>
      </c>
      <c r="I37" s="129">
        <f t="shared" si="8"/>
        <v>0</v>
      </c>
      <c r="J37" s="130">
        <f t="shared" si="9"/>
        <v>6077591.3900000099</v>
      </c>
      <c r="L37" s="97">
        <f t="shared" si="5"/>
        <v>43090</v>
      </c>
      <c r="M37" s="376">
        <f t="shared" si="6"/>
        <v>0</v>
      </c>
    </row>
    <row r="38" spans="1:17" ht="17" thickBot="1" x14ac:dyDescent="0.3">
      <c r="A38" s="230">
        <v>43133</v>
      </c>
      <c r="B38" s="94">
        <f t="shared" si="7"/>
        <v>43136</v>
      </c>
      <c r="C38" s="129">
        <f>SUMPRODUCT((基础资产现金流!$B$2:$B$138-B37&gt;0)*(基础资产现金流!$B$2:$B$138-B38&lt;=0)*(基础资产现金流!$H$2:$H$138))</f>
        <v>175954931.50999999</v>
      </c>
      <c r="D38" s="129">
        <f t="shared" si="10"/>
        <v>0</v>
      </c>
      <c r="E38" s="129">
        <f t="shared" si="11"/>
        <v>0</v>
      </c>
      <c r="F38" s="129">
        <f t="shared" si="12"/>
        <v>0</v>
      </c>
      <c r="G38" s="129">
        <f t="shared" si="13"/>
        <v>182797109.59</v>
      </c>
      <c r="H38" s="129">
        <f t="shared" si="14"/>
        <v>152896.43</v>
      </c>
      <c r="I38" s="129">
        <f t="shared" si="8"/>
        <v>-6995074.5100000203</v>
      </c>
      <c r="J38" s="130">
        <f>I38+J37</f>
        <v>-917483.12000001036</v>
      </c>
      <c r="L38" s="97">
        <f t="shared" si="5"/>
        <v>43136</v>
      </c>
      <c r="M38" s="376">
        <f>SUM(D38:H38)+J38</f>
        <v>182032522.90000001</v>
      </c>
    </row>
    <row r="39" spans="1:17" ht="17" thickBot="1" x14ac:dyDescent="0.3">
      <c r="B39" s="226"/>
      <c r="C39" s="227">
        <f t="shared" ref="C39:H39" si="15">SUM(C28:C38)</f>
        <v>578873652.32000005</v>
      </c>
      <c r="D39" s="227">
        <f t="shared" si="15"/>
        <v>384107356.15999997</v>
      </c>
      <c r="E39" s="227">
        <f t="shared" si="15"/>
        <v>0</v>
      </c>
      <c r="F39" s="227">
        <f t="shared" si="15"/>
        <v>0</v>
      </c>
      <c r="G39" s="227">
        <f t="shared" si="15"/>
        <v>191480630.14000002</v>
      </c>
      <c r="H39" s="227">
        <f t="shared" si="15"/>
        <v>4203149.1400000006</v>
      </c>
      <c r="I39" s="227">
        <f>C39-SUM(D39:H39)</f>
        <v>-917483.11999988556</v>
      </c>
      <c r="J39" s="228"/>
      <c r="M39" s="376">
        <f>SUM(M28:M38)</f>
        <v>578873652.32000005</v>
      </c>
    </row>
    <row r="40" spans="1:17" x14ac:dyDescent="0.25">
      <c r="B40" s="67"/>
      <c r="C40" s="67"/>
      <c r="D40" s="67"/>
      <c r="E40" s="247"/>
      <c r="F40" s="67"/>
      <c r="G40" s="67"/>
      <c r="H40" s="67"/>
      <c r="I40" s="67"/>
      <c r="J40" s="67"/>
    </row>
    <row r="41" spans="1:17" ht="17" thickBot="1" x14ac:dyDescent="0.3">
      <c r="B41" s="67"/>
      <c r="C41" s="67"/>
      <c r="D41" s="67"/>
      <c r="E41" s="67"/>
      <c r="F41" s="67"/>
      <c r="G41" s="67"/>
      <c r="H41" s="67"/>
      <c r="I41" s="67"/>
      <c r="J41" s="67"/>
      <c r="K41" s="67"/>
      <c r="L41" s="67"/>
    </row>
    <row r="42" spans="1:17" ht="17" thickBot="1" x14ac:dyDescent="0.3">
      <c r="B42" s="318" t="s">
        <v>237</v>
      </c>
      <c r="C42" s="319" t="s">
        <v>238</v>
      </c>
      <c r="D42" s="319" t="s">
        <v>187</v>
      </c>
      <c r="E42" s="319" t="s">
        <v>299</v>
      </c>
      <c r="F42" s="319" t="s">
        <v>56</v>
      </c>
      <c r="G42" s="319" t="s">
        <v>247</v>
      </c>
      <c r="H42" s="320" t="s">
        <v>256</v>
      </c>
      <c r="I42" s="67" t="s">
        <v>287</v>
      </c>
      <c r="J42" s="67" t="s">
        <v>268</v>
      </c>
      <c r="K42" s="67" t="s">
        <v>289</v>
      </c>
      <c r="L42" s="67" t="s">
        <v>286</v>
      </c>
    </row>
    <row r="43" spans="1:17" x14ac:dyDescent="0.25">
      <c r="B43" s="131" t="s">
        <v>234</v>
      </c>
      <c r="C43" s="84">
        <v>370000000</v>
      </c>
      <c r="D43" s="132">
        <f>ROUND(C43/$C$47,4)</f>
        <v>0.68710000000000004</v>
      </c>
      <c r="E43" s="133">
        <v>0.05</v>
      </c>
      <c r="F43" s="134">
        <v>365</v>
      </c>
      <c r="G43" s="135">
        <f>E106</f>
        <v>14107356.16</v>
      </c>
      <c r="H43" s="136">
        <f>C43+G43</f>
        <v>384107356.16000003</v>
      </c>
      <c r="I43" s="81">
        <f>B28</f>
        <v>42612</v>
      </c>
      <c r="J43" s="81">
        <f>B36</f>
        <v>43090</v>
      </c>
      <c r="K43" s="67" t="s">
        <v>288</v>
      </c>
      <c r="L43" s="67"/>
    </row>
    <row r="44" spans="1:17" x14ac:dyDescent="0.25">
      <c r="B44" s="137" t="s">
        <v>235</v>
      </c>
      <c r="C44" s="85">
        <v>0</v>
      </c>
      <c r="D44" s="138">
        <f>ROUND(C44/$C$47,4)</f>
        <v>0</v>
      </c>
      <c r="E44" s="139">
        <v>6.7000000000000004E-2</v>
      </c>
      <c r="F44" s="88">
        <f>F43</f>
        <v>365</v>
      </c>
      <c r="G44" s="68">
        <f>E125</f>
        <v>0</v>
      </c>
      <c r="H44" s="90">
        <f>C44+G44</f>
        <v>0</v>
      </c>
      <c r="I44" s="81">
        <f>B28</f>
        <v>42612</v>
      </c>
      <c r="J44" s="81">
        <f>B38</f>
        <v>43136</v>
      </c>
      <c r="K44" s="80">
        <f>C44*E44*(J44-I44)/F44</f>
        <v>0</v>
      </c>
      <c r="L44" s="220">
        <f>G44-K44</f>
        <v>0</v>
      </c>
    </row>
    <row r="45" spans="1:17" x14ac:dyDescent="0.25">
      <c r="B45" s="137"/>
      <c r="C45" s="85">
        <v>0</v>
      </c>
      <c r="D45" s="138">
        <f>ROUND(C45/$C$47,4)</f>
        <v>0</v>
      </c>
      <c r="E45" s="139">
        <v>0.08</v>
      </c>
      <c r="F45" s="88">
        <f>F44</f>
        <v>365</v>
      </c>
      <c r="G45" s="68">
        <f>E146</f>
        <v>0</v>
      </c>
      <c r="H45" s="90">
        <f>C45+G45</f>
        <v>0</v>
      </c>
      <c r="I45" s="81">
        <f>B28</f>
        <v>42612</v>
      </c>
      <c r="J45" s="81">
        <f>B38</f>
        <v>43136</v>
      </c>
      <c r="K45" s="80">
        <f t="shared" ref="K45:K46" si="16">C45*E45*(J45-I45)/F45</f>
        <v>0</v>
      </c>
      <c r="L45" s="220">
        <f t="shared" ref="L45:L46" si="17">G45-K45</f>
        <v>0</v>
      </c>
    </row>
    <row r="46" spans="1:17" ht="17" thickBot="1" x14ac:dyDescent="0.3">
      <c r="B46" s="140" t="s">
        <v>217</v>
      </c>
      <c r="C46" s="141">
        <f>C47-C43-C44</f>
        <v>168500000</v>
      </c>
      <c r="D46" s="142">
        <f>ROUND(C46/$C$47,4)</f>
        <v>0.31290000000000001</v>
      </c>
      <c r="E46" s="143">
        <f>ROUND(G46*F46/(B38-B28)/C46,6)</f>
        <v>9.1206999999999996E-2</v>
      </c>
      <c r="F46" s="144">
        <f>F45</f>
        <v>365</v>
      </c>
      <c r="G46" s="127">
        <f>J38+G39-C46</f>
        <v>22063147.020000011</v>
      </c>
      <c r="H46" s="128">
        <f>C46+G46</f>
        <v>190563147.02000001</v>
      </c>
      <c r="I46" s="81">
        <f>B28</f>
        <v>42612</v>
      </c>
      <c r="J46" s="81">
        <f>B38</f>
        <v>43136</v>
      </c>
      <c r="K46" s="80">
        <f t="shared" si="16"/>
        <v>22063098.241095889</v>
      </c>
      <c r="L46" s="220">
        <f t="shared" si="17"/>
        <v>48.778904121369123</v>
      </c>
      <c r="O46" s="95"/>
      <c r="P46" s="223"/>
      <c r="Q46" s="95"/>
    </row>
    <row r="47" spans="1:17" x14ac:dyDescent="0.25">
      <c r="B47" s="67"/>
      <c r="C47" s="80">
        <f>统计!T24</f>
        <v>538500000</v>
      </c>
      <c r="D47" s="145">
        <f>SUM(D43:D46)</f>
        <v>1</v>
      </c>
      <c r="E47" s="67"/>
      <c r="F47" s="67"/>
      <c r="G47" s="82">
        <f>SUM(G43:G46)</f>
        <v>36170503.180000007</v>
      </c>
      <c r="H47" s="82">
        <f>SUM(H43:H46)</f>
        <v>574670503.18000007</v>
      </c>
      <c r="I47" s="67"/>
      <c r="J47" s="67"/>
      <c r="K47" s="67"/>
      <c r="L47" s="67"/>
      <c r="O47" s="96"/>
      <c r="P47" s="223"/>
      <c r="Q47" s="96"/>
    </row>
    <row r="48" spans="1:17" x14ac:dyDescent="0.25">
      <c r="B48" s="67"/>
      <c r="C48" s="67"/>
      <c r="D48" s="67"/>
      <c r="E48" s="67"/>
      <c r="F48" s="67"/>
      <c r="G48" s="82" t="s">
        <v>286</v>
      </c>
      <c r="H48" s="220">
        <f>H47+D65-统计!V24-统计!T24</f>
        <v>0</v>
      </c>
      <c r="I48" s="67"/>
      <c r="J48" s="67"/>
      <c r="K48" s="67" t="s">
        <v>312</v>
      </c>
      <c r="L48" s="67" t="s">
        <v>247</v>
      </c>
      <c r="M48" s="292" t="s">
        <v>311</v>
      </c>
    </row>
    <row r="49" spans="2:13" x14ac:dyDescent="0.25">
      <c r="B49" s="67"/>
      <c r="C49" s="67"/>
      <c r="D49" s="67"/>
      <c r="E49" s="67"/>
      <c r="F49" s="67"/>
      <c r="G49" s="82"/>
      <c r="H49" s="220"/>
      <c r="I49" s="67"/>
      <c r="J49" s="67"/>
      <c r="K49" s="82">
        <f>C46*0.9</f>
        <v>151650000</v>
      </c>
      <c r="L49" s="80">
        <f>K49*(J45-I45)/F45*E45</f>
        <v>17416898.630136985</v>
      </c>
      <c r="M49" s="223">
        <f>E45</f>
        <v>0.08</v>
      </c>
    </row>
    <row r="50" spans="2:13" x14ac:dyDescent="0.25">
      <c r="B50" s="67"/>
      <c r="C50" s="67"/>
      <c r="D50" s="67"/>
      <c r="E50" s="67"/>
      <c r="F50" s="82"/>
      <c r="G50" s="82"/>
      <c r="H50" s="220"/>
      <c r="I50" s="67"/>
      <c r="J50" s="67"/>
      <c r="K50" s="82">
        <f>C46*0.1</f>
        <v>16850000</v>
      </c>
      <c r="L50" s="82">
        <f>G46-L49</f>
        <v>4646248.3898630254</v>
      </c>
      <c r="M50" s="120">
        <f>L50*F46/(J46-I46)/K50</f>
        <v>0.19207201647903643</v>
      </c>
    </row>
    <row r="51" spans="2:13" x14ac:dyDescent="0.25">
      <c r="B51" s="67"/>
      <c r="C51" s="67"/>
      <c r="D51" s="67"/>
      <c r="E51" s="67"/>
      <c r="F51" s="82">
        <f>C44*E44</f>
        <v>0</v>
      </c>
      <c r="G51" s="82"/>
      <c r="H51" s="220"/>
      <c r="I51" s="67"/>
      <c r="J51" s="67"/>
      <c r="K51" s="67"/>
      <c r="L51" s="67"/>
      <c r="M51" s="292"/>
    </row>
    <row r="52" spans="2:13" x14ac:dyDescent="0.25">
      <c r="B52" s="88" t="s">
        <v>352</v>
      </c>
      <c r="C52" s="88"/>
      <c r="D52" s="67"/>
      <c r="E52" s="67"/>
      <c r="F52" s="82">
        <f>C45*E45</f>
        <v>0</v>
      </c>
      <c r="G52" s="82"/>
      <c r="H52" s="220"/>
      <c r="I52" s="67"/>
      <c r="J52" s="67"/>
      <c r="K52" s="67"/>
      <c r="L52" s="67"/>
      <c r="M52" s="292"/>
    </row>
    <row r="53" spans="2:13" x14ac:dyDescent="0.25">
      <c r="B53" s="88" t="s">
        <v>353</v>
      </c>
      <c r="C53" s="68">
        <f>C44+C45</f>
        <v>0</v>
      </c>
      <c r="D53" s="67"/>
      <c r="E53" s="67"/>
      <c r="F53" s="82">
        <f>F52+F51</f>
        <v>0</v>
      </c>
      <c r="G53" s="82"/>
      <c r="H53" s="220"/>
      <c r="I53" s="67"/>
      <c r="J53" s="67"/>
      <c r="K53" s="67"/>
      <c r="L53" s="67"/>
      <c r="M53" s="292"/>
    </row>
    <row r="54" spans="2:13" x14ac:dyDescent="0.25">
      <c r="B54" s="88" t="s">
        <v>371</v>
      </c>
      <c r="C54" s="68">
        <f>C46</f>
        <v>168500000</v>
      </c>
      <c r="D54" s="67"/>
      <c r="E54" s="67"/>
      <c r="F54" s="420" t="e">
        <f>F53/(C45+C44)</f>
        <v>#DIV/0!</v>
      </c>
      <c r="G54" s="82"/>
      <c r="H54" s="220"/>
      <c r="I54" s="67"/>
      <c r="J54" s="67"/>
      <c r="K54" s="67"/>
      <c r="L54" s="67"/>
      <c r="M54" s="292"/>
    </row>
    <row r="55" spans="2:13" x14ac:dyDescent="0.25">
      <c r="B55" s="67" t="s">
        <v>83</v>
      </c>
      <c r="C55" s="82">
        <f>SUM(C53:C54)</f>
        <v>168500000</v>
      </c>
      <c r="D55" s="67"/>
      <c r="E55" s="67"/>
      <c r="F55" s="67"/>
      <c r="G55" s="82"/>
      <c r="H55" s="220"/>
      <c r="I55" s="67"/>
      <c r="J55" s="67"/>
      <c r="K55" s="67"/>
      <c r="L55" s="67"/>
      <c r="M55" s="292"/>
    </row>
    <row r="56" spans="2:13" x14ac:dyDescent="0.25">
      <c r="B56" s="67"/>
      <c r="C56" s="67"/>
      <c r="D56" s="67"/>
      <c r="E56" s="67"/>
      <c r="F56" s="67"/>
      <c r="G56" s="82"/>
      <c r="H56" s="220"/>
      <c r="I56" s="67"/>
      <c r="J56" s="67"/>
      <c r="K56" s="67"/>
      <c r="L56" s="67"/>
      <c r="M56" s="292"/>
    </row>
    <row r="57" spans="2:13" x14ac:dyDescent="0.25">
      <c r="B57" s="67"/>
      <c r="C57" s="67"/>
      <c r="D57" s="67"/>
      <c r="E57" s="67"/>
      <c r="F57" s="67"/>
      <c r="G57" s="82"/>
      <c r="H57" s="220"/>
      <c r="I57" s="67"/>
      <c r="J57" s="67"/>
      <c r="K57" s="67"/>
      <c r="L57" s="67"/>
      <c r="M57" s="292"/>
    </row>
    <row r="58" spans="2:13" x14ac:dyDescent="0.25">
      <c r="B58" s="321" t="s">
        <v>243</v>
      </c>
      <c r="C58" s="322" t="s">
        <v>257</v>
      </c>
      <c r="D58" s="321" t="s">
        <v>238</v>
      </c>
      <c r="E58" s="67"/>
      <c r="F58" s="67"/>
      <c r="G58" s="67"/>
      <c r="H58" s="67"/>
      <c r="I58" s="67"/>
      <c r="J58" s="67"/>
    </row>
    <row r="59" spans="2:13" x14ac:dyDescent="0.25">
      <c r="B59" s="158" t="s">
        <v>241</v>
      </c>
      <c r="C59" s="159" t="s">
        <v>258</v>
      </c>
      <c r="D59" s="160">
        <v>180000</v>
      </c>
      <c r="E59" s="67"/>
      <c r="F59" s="67"/>
      <c r="G59" s="67"/>
      <c r="H59" s="67"/>
      <c r="I59" s="67"/>
      <c r="J59" s="67"/>
    </row>
    <row r="60" spans="2:13" x14ac:dyDescent="0.25">
      <c r="B60" s="158" t="s">
        <v>242</v>
      </c>
      <c r="C60" s="159" t="s">
        <v>259</v>
      </c>
      <c r="D60" s="160">
        <v>250000</v>
      </c>
      <c r="E60" s="67"/>
      <c r="F60" s="67"/>
      <c r="G60" s="67"/>
      <c r="H60" s="67"/>
      <c r="I60" s="67"/>
      <c r="J60" s="67"/>
      <c r="K60" s="67"/>
      <c r="L60" s="67"/>
    </row>
    <row r="61" spans="2:13" x14ac:dyDescent="0.25">
      <c r="B61" s="161" t="s">
        <v>420</v>
      </c>
      <c r="C61" s="162">
        <v>2.0000000000000001E-4</v>
      </c>
      <c r="D61" s="163">
        <f>G85</f>
        <v>104809.69999999998</v>
      </c>
      <c r="E61" s="80"/>
      <c r="F61" s="67"/>
      <c r="G61" s="67"/>
      <c r="H61" s="67"/>
      <c r="I61" s="67"/>
      <c r="J61" s="67"/>
      <c r="K61" s="67"/>
      <c r="L61" s="67"/>
    </row>
    <row r="62" spans="2:13" x14ac:dyDescent="0.25">
      <c r="B62" s="158" t="s">
        <v>421</v>
      </c>
      <c r="C62" s="164">
        <v>2E-3</v>
      </c>
      <c r="D62" s="163">
        <f>H85</f>
        <v>1048096.98</v>
      </c>
      <c r="E62" s="80"/>
      <c r="F62" s="67"/>
      <c r="G62" s="67"/>
      <c r="H62" s="67"/>
      <c r="I62" s="67"/>
      <c r="J62" s="67"/>
      <c r="K62" s="67"/>
      <c r="L62" s="67"/>
    </row>
    <row r="63" spans="2:13" x14ac:dyDescent="0.25">
      <c r="B63" s="158" t="s">
        <v>396</v>
      </c>
      <c r="C63" s="164"/>
      <c r="D63" s="160"/>
      <c r="E63" s="80"/>
      <c r="F63" s="82"/>
      <c r="G63" s="67"/>
      <c r="H63" s="67"/>
      <c r="I63" s="67"/>
      <c r="J63" s="67"/>
      <c r="K63" s="67"/>
      <c r="L63" s="67"/>
    </row>
    <row r="64" spans="2:13" x14ac:dyDescent="0.25">
      <c r="B64" s="158" t="s">
        <v>246</v>
      </c>
      <c r="C64" s="164">
        <v>5.0000000000000001E-3</v>
      </c>
      <c r="D64" s="163">
        <f>I85</f>
        <v>2620242.46</v>
      </c>
      <c r="E64" s="80"/>
      <c r="F64" s="67"/>
      <c r="G64" s="67"/>
      <c r="H64" s="67"/>
      <c r="I64" s="67"/>
      <c r="J64" s="67"/>
      <c r="K64" s="67"/>
      <c r="L64" s="67"/>
    </row>
    <row r="65" spans="1:12" x14ac:dyDescent="0.25">
      <c r="B65" s="67"/>
      <c r="C65" s="145"/>
      <c r="D65" s="82">
        <f>SUM(D59:D64)</f>
        <v>4203149.1399999997</v>
      </c>
      <c r="E65" s="67"/>
      <c r="F65" s="67"/>
      <c r="G65" s="80"/>
      <c r="H65" s="67"/>
      <c r="I65" s="67"/>
      <c r="J65" s="67"/>
      <c r="K65" s="67"/>
      <c r="L65" s="67"/>
    </row>
    <row r="66" spans="1:12" x14ac:dyDescent="0.25">
      <c r="B66" s="67"/>
      <c r="C66" s="145"/>
      <c r="D66" s="82"/>
      <c r="E66" s="67"/>
      <c r="F66" s="67"/>
      <c r="G66" s="80"/>
      <c r="H66" s="67"/>
      <c r="I66" s="67"/>
      <c r="J66" s="67"/>
      <c r="K66" s="67"/>
      <c r="L66" s="67"/>
    </row>
    <row r="67" spans="1:12" x14ac:dyDescent="0.25">
      <c r="B67" s="67"/>
      <c r="C67" s="145"/>
      <c r="D67" s="82"/>
      <c r="E67" s="67"/>
      <c r="F67" s="67"/>
      <c r="G67" s="80"/>
      <c r="H67" s="67"/>
      <c r="I67" s="67"/>
      <c r="J67" s="67"/>
      <c r="K67" s="67"/>
      <c r="L67" s="67"/>
    </row>
    <row r="68" spans="1:12" x14ac:dyDescent="0.25">
      <c r="B68" s="67"/>
      <c r="C68" s="145"/>
      <c r="D68" s="82"/>
      <c r="E68" s="67"/>
      <c r="F68" s="67"/>
      <c r="G68" s="80"/>
      <c r="H68" s="67"/>
      <c r="I68" s="67"/>
      <c r="J68" s="67"/>
      <c r="K68" s="67"/>
      <c r="L68" s="67"/>
    </row>
    <row r="69" spans="1:12" x14ac:dyDescent="0.25">
      <c r="B69" s="67"/>
      <c r="C69" s="145"/>
      <c r="D69" s="82"/>
      <c r="E69" s="67"/>
      <c r="F69" s="67"/>
      <c r="G69" s="80"/>
      <c r="H69" s="67"/>
      <c r="I69" s="67"/>
      <c r="J69" s="67"/>
      <c r="K69" s="67"/>
      <c r="L69" s="67"/>
    </row>
    <row r="70" spans="1:12" x14ac:dyDescent="0.25">
      <c r="B70" s="67"/>
      <c r="C70" s="145"/>
      <c r="D70" s="82"/>
      <c r="E70" s="67"/>
      <c r="F70" s="67"/>
      <c r="G70" s="80"/>
      <c r="H70" s="67"/>
      <c r="I70" s="67"/>
      <c r="J70" s="67"/>
      <c r="K70" s="67"/>
      <c r="L70" s="67"/>
    </row>
    <row r="71" spans="1:12" x14ac:dyDescent="0.25">
      <c r="B71" s="506" t="s">
        <v>253</v>
      </c>
      <c r="C71" s="506"/>
      <c r="D71" s="506"/>
      <c r="E71" s="506"/>
      <c r="F71" s="506"/>
      <c r="G71" s="506"/>
      <c r="H71" s="506"/>
      <c r="I71" s="506"/>
      <c r="J71" s="506"/>
      <c r="K71" s="506"/>
      <c r="L71" s="506"/>
    </row>
    <row r="72" spans="1:12" ht="17" thickBot="1" x14ac:dyDescent="0.3">
      <c r="B72" s="67"/>
      <c r="C72" s="67"/>
      <c r="D72" s="67"/>
      <c r="E72" s="67"/>
      <c r="F72" s="67"/>
      <c r="G72" s="250">
        <f>C61</f>
        <v>2.0000000000000001E-4</v>
      </c>
      <c r="H72" s="251">
        <f>C62</f>
        <v>2E-3</v>
      </c>
      <c r="I72" s="251">
        <f>C64</f>
        <v>5.0000000000000001E-3</v>
      </c>
      <c r="J72" s="251">
        <f>C63</f>
        <v>0</v>
      </c>
      <c r="K72" s="67"/>
      <c r="L72" s="67"/>
    </row>
    <row r="73" spans="1:12" ht="17" thickBot="1" x14ac:dyDescent="0.3">
      <c r="B73" s="323" t="str">
        <f t="shared" ref="B73:B83" si="18">B27</f>
        <v>日期</v>
      </c>
      <c r="C73" s="324" t="s">
        <v>244</v>
      </c>
      <c r="D73" s="324" t="s">
        <v>245</v>
      </c>
      <c r="E73" s="324" t="str">
        <f>B59</f>
        <v>律师费</v>
      </c>
      <c r="F73" s="324" t="str">
        <f>B60</f>
        <v>评级费</v>
      </c>
      <c r="G73" s="324" t="str">
        <f>B61</f>
        <v>海通汇利1号保管费</v>
      </c>
      <c r="H73" s="324" t="str">
        <f>B62</f>
        <v>海通 SPV 管理费</v>
      </c>
      <c r="I73" s="324" t="str">
        <f>B64</f>
        <v>资产服务机构（万向信托）</v>
      </c>
      <c r="J73" s="324" t="str">
        <f>B63</f>
        <v>锦石通道费及国泰君安费用</v>
      </c>
      <c r="K73" s="324" t="s">
        <v>83</v>
      </c>
      <c r="L73" s="325" t="s">
        <v>248</v>
      </c>
    </row>
    <row r="74" spans="1:12" x14ac:dyDescent="0.25">
      <c r="A74" s="97"/>
      <c r="B74" s="146">
        <f t="shared" si="18"/>
        <v>42612</v>
      </c>
      <c r="C74" s="135">
        <f>C47</f>
        <v>538500000</v>
      </c>
      <c r="D74" s="135">
        <f>D95+D114+D135+D154</f>
        <v>0</v>
      </c>
      <c r="E74" s="84">
        <v>0</v>
      </c>
      <c r="F74" s="84">
        <v>0</v>
      </c>
      <c r="G74" s="84">
        <v>0</v>
      </c>
      <c r="H74" s="84">
        <v>0</v>
      </c>
      <c r="I74" s="84">
        <v>0</v>
      </c>
      <c r="J74" s="84">
        <v>0</v>
      </c>
      <c r="K74" s="84">
        <v>0</v>
      </c>
      <c r="L74" s="147">
        <v>0</v>
      </c>
    </row>
    <row r="75" spans="1:12" x14ac:dyDescent="0.25">
      <c r="A75" s="97"/>
      <c r="B75" s="146">
        <f t="shared" si="18"/>
        <v>42677</v>
      </c>
      <c r="C75" s="68">
        <f>C74-D74</f>
        <v>538500000</v>
      </c>
      <c r="D75" s="135">
        <f>D96+D115+D136+D155</f>
        <v>30000000</v>
      </c>
      <c r="E75" s="85">
        <v>0</v>
      </c>
      <c r="F75" s="85">
        <v>0</v>
      </c>
      <c r="G75" s="85">
        <f t="shared" ref="G75:G84" si="19">ROUND($C75*G$72*($B75-$B74)/$F$43,2)</f>
        <v>19179.45</v>
      </c>
      <c r="H75" s="85">
        <f t="shared" ref="H75:I75" si="20">ROUND($C75*H$72*($B75-$B74)/$F$43,2)</f>
        <v>191794.52</v>
      </c>
      <c r="I75" s="85">
        <f t="shared" si="20"/>
        <v>479486.3</v>
      </c>
      <c r="J75" s="84">
        <v>0</v>
      </c>
      <c r="K75" s="85">
        <f t="shared" ref="K75:K84" si="21">SUM(E75:J75)</f>
        <v>690460.27</v>
      </c>
      <c r="L75" s="79">
        <f>K75+L74</f>
        <v>690460.27</v>
      </c>
    </row>
    <row r="76" spans="1:12" x14ac:dyDescent="0.25">
      <c r="A76" s="97"/>
      <c r="B76" s="146">
        <f t="shared" si="18"/>
        <v>42684</v>
      </c>
      <c r="C76" s="68">
        <f t="shared" ref="C76:C84" si="22">C75-D75</f>
        <v>508500000</v>
      </c>
      <c r="D76" s="135">
        <f t="shared" ref="D76:D84" si="23">D97+D116+D137+D156</f>
        <v>50000000</v>
      </c>
      <c r="E76" s="85">
        <v>0</v>
      </c>
      <c r="F76" s="85">
        <v>0</v>
      </c>
      <c r="G76" s="85">
        <f t="shared" si="19"/>
        <v>1950.41</v>
      </c>
      <c r="H76" s="85">
        <f t="shared" ref="H76:H84" si="24">ROUND($C76*H$72*($B76-$B75)/$F$43,2)</f>
        <v>19504.11</v>
      </c>
      <c r="I76" s="85">
        <f t="shared" ref="I76:I84" si="25">ROUND($C76*I$72*($B76-$B75)/$F$43,2)</f>
        <v>48760.27</v>
      </c>
      <c r="J76" s="84">
        <v>0</v>
      </c>
      <c r="K76" s="85">
        <f t="shared" si="21"/>
        <v>70214.789999999994</v>
      </c>
      <c r="L76" s="79">
        <f t="shared" ref="L76:L84" si="26">K76+L75</f>
        <v>760675.06</v>
      </c>
    </row>
    <row r="77" spans="1:12" x14ac:dyDescent="0.25">
      <c r="A77" s="97"/>
      <c r="B77" s="146">
        <f t="shared" si="18"/>
        <v>42732</v>
      </c>
      <c r="C77" s="68">
        <f t="shared" si="22"/>
        <v>458500000</v>
      </c>
      <c r="D77" s="135">
        <f t="shared" si="23"/>
        <v>63800000</v>
      </c>
      <c r="E77" s="85">
        <f>D59</f>
        <v>180000</v>
      </c>
      <c r="F77" s="85">
        <f>D60</f>
        <v>250000</v>
      </c>
      <c r="G77" s="85">
        <f t="shared" si="19"/>
        <v>12059.18</v>
      </c>
      <c r="H77" s="85">
        <f t="shared" si="24"/>
        <v>120591.78</v>
      </c>
      <c r="I77" s="85">
        <f t="shared" si="25"/>
        <v>301479.45</v>
      </c>
      <c r="J77" s="84">
        <v>0</v>
      </c>
      <c r="K77" s="85">
        <f t="shared" si="21"/>
        <v>864130.40999999992</v>
      </c>
      <c r="L77" s="79">
        <f t="shared" si="26"/>
        <v>1624805.47</v>
      </c>
    </row>
    <row r="78" spans="1:12" x14ac:dyDescent="0.25">
      <c r="A78" s="97"/>
      <c r="B78" s="146">
        <f t="shared" si="18"/>
        <v>42775</v>
      </c>
      <c r="C78" s="68">
        <f t="shared" si="22"/>
        <v>394700000</v>
      </c>
      <c r="D78" s="135">
        <f t="shared" si="23"/>
        <v>15000000</v>
      </c>
      <c r="E78" s="85">
        <v>0</v>
      </c>
      <c r="F78" s="85">
        <v>0</v>
      </c>
      <c r="G78" s="85">
        <f t="shared" si="19"/>
        <v>9299.7800000000007</v>
      </c>
      <c r="H78" s="85">
        <f t="shared" si="24"/>
        <v>92997.81</v>
      </c>
      <c r="I78" s="85">
        <f t="shared" si="25"/>
        <v>232494.52</v>
      </c>
      <c r="J78" s="84">
        <v>0</v>
      </c>
      <c r="K78" s="85">
        <f t="shared" si="21"/>
        <v>334792.11</v>
      </c>
      <c r="L78" s="79">
        <f t="shared" si="26"/>
        <v>1959597.58</v>
      </c>
    </row>
    <row r="79" spans="1:12" x14ac:dyDescent="0.25">
      <c r="A79" s="97"/>
      <c r="B79" s="146">
        <f t="shared" si="18"/>
        <v>42810</v>
      </c>
      <c r="C79" s="68">
        <f t="shared" si="22"/>
        <v>379700000</v>
      </c>
      <c r="D79" s="135">
        <f t="shared" si="23"/>
        <v>21700000</v>
      </c>
      <c r="E79" s="85">
        <v>0</v>
      </c>
      <c r="F79" s="85">
        <v>0</v>
      </c>
      <c r="G79" s="85">
        <f t="shared" si="19"/>
        <v>7281.92</v>
      </c>
      <c r="H79" s="85">
        <f t="shared" si="24"/>
        <v>72819.179999999993</v>
      </c>
      <c r="I79" s="85">
        <f t="shared" si="25"/>
        <v>182047.95</v>
      </c>
      <c r="J79" s="84">
        <f>ROUND($C$55*$C$63*(B79-B74)/$F$46,2)</f>
        <v>0</v>
      </c>
      <c r="K79" s="85">
        <f t="shared" si="21"/>
        <v>262149.05</v>
      </c>
      <c r="L79" s="79">
        <f t="shared" si="26"/>
        <v>2221746.63</v>
      </c>
    </row>
    <row r="80" spans="1:12" x14ac:dyDescent="0.25">
      <c r="A80" s="97"/>
      <c r="B80" s="146">
        <f t="shared" si="18"/>
        <v>42912</v>
      </c>
      <c r="C80" s="68">
        <f t="shared" si="22"/>
        <v>358000000</v>
      </c>
      <c r="D80" s="135">
        <f t="shared" si="23"/>
        <v>33800000</v>
      </c>
      <c r="E80" s="85">
        <v>0</v>
      </c>
      <c r="F80" s="85">
        <v>0</v>
      </c>
      <c r="G80" s="85">
        <f t="shared" si="19"/>
        <v>20008.77</v>
      </c>
      <c r="H80" s="85">
        <f t="shared" si="24"/>
        <v>200087.67</v>
      </c>
      <c r="I80" s="85">
        <f t="shared" si="25"/>
        <v>500219.18</v>
      </c>
      <c r="J80" s="84">
        <v>0</v>
      </c>
      <c r="K80" s="85">
        <f t="shared" si="21"/>
        <v>720315.62</v>
      </c>
      <c r="L80" s="79">
        <f t="shared" si="26"/>
        <v>2942062.25</v>
      </c>
    </row>
    <row r="81" spans="1:12" x14ac:dyDescent="0.25">
      <c r="A81" s="97"/>
      <c r="B81" s="146">
        <f t="shared" si="18"/>
        <v>43075</v>
      </c>
      <c r="C81" s="68">
        <f t="shared" si="22"/>
        <v>324200000</v>
      </c>
      <c r="D81" s="135">
        <f t="shared" si="23"/>
        <v>101900000</v>
      </c>
      <c r="E81" s="85">
        <v>0</v>
      </c>
      <c r="F81" s="85">
        <v>0</v>
      </c>
      <c r="G81" s="85">
        <f t="shared" si="19"/>
        <v>28955.95</v>
      </c>
      <c r="H81" s="85">
        <f t="shared" si="24"/>
        <v>289559.45</v>
      </c>
      <c r="I81" s="85">
        <f t="shared" si="25"/>
        <v>723898.63</v>
      </c>
      <c r="J81" s="84">
        <v>0</v>
      </c>
      <c r="K81" s="85">
        <f t="shared" si="21"/>
        <v>1042414.03</v>
      </c>
      <c r="L81" s="79">
        <f t="shared" si="26"/>
        <v>3984476.2800000003</v>
      </c>
    </row>
    <row r="82" spans="1:12" x14ac:dyDescent="0.25">
      <c r="A82" s="97"/>
      <c r="B82" s="146">
        <f t="shared" si="18"/>
        <v>43090</v>
      </c>
      <c r="C82" s="68">
        <f t="shared" si="22"/>
        <v>222300000</v>
      </c>
      <c r="D82" s="135">
        <f t="shared" si="23"/>
        <v>53800000</v>
      </c>
      <c r="E82" s="85">
        <v>0</v>
      </c>
      <c r="F82" s="85">
        <v>0</v>
      </c>
      <c r="G82" s="85">
        <f t="shared" si="19"/>
        <v>1827.12</v>
      </c>
      <c r="H82" s="85">
        <f t="shared" si="24"/>
        <v>18271.23</v>
      </c>
      <c r="I82" s="85">
        <f t="shared" si="25"/>
        <v>45678.080000000002</v>
      </c>
      <c r="J82" s="84">
        <v>0</v>
      </c>
      <c r="K82" s="85">
        <f t="shared" si="21"/>
        <v>65776.429999999993</v>
      </c>
      <c r="L82" s="79">
        <f t="shared" si="26"/>
        <v>4050252.7100000004</v>
      </c>
    </row>
    <row r="83" spans="1:12" ht="18" customHeight="1" x14ac:dyDescent="0.25">
      <c r="A83" s="97"/>
      <c r="B83" s="146">
        <f t="shared" si="18"/>
        <v>43090</v>
      </c>
      <c r="C83" s="68">
        <f t="shared" si="22"/>
        <v>168500000</v>
      </c>
      <c r="D83" s="135">
        <f t="shared" si="23"/>
        <v>0</v>
      </c>
      <c r="E83" s="85">
        <v>0</v>
      </c>
      <c r="F83" s="85">
        <v>0</v>
      </c>
      <c r="G83" s="85">
        <f t="shared" si="19"/>
        <v>0</v>
      </c>
      <c r="H83" s="85">
        <f t="shared" si="24"/>
        <v>0</v>
      </c>
      <c r="I83" s="85">
        <f t="shared" si="25"/>
        <v>0</v>
      </c>
      <c r="J83" s="84">
        <v>0</v>
      </c>
      <c r="K83" s="85">
        <f t="shared" si="21"/>
        <v>0</v>
      </c>
      <c r="L83" s="79">
        <f t="shared" si="26"/>
        <v>4050252.7100000004</v>
      </c>
    </row>
    <row r="84" spans="1:12" ht="17" thickBot="1" x14ac:dyDescent="0.3">
      <c r="A84" s="97"/>
      <c r="B84" s="146">
        <f t="shared" ref="B84" si="27">B38</f>
        <v>43136</v>
      </c>
      <c r="C84" s="68">
        <f t="shared" si="22"/>
        <v>168500000</v>
      </c>
      <c r="D84" s="135">
        <f t="shared" si="23"/>
        <v>168500000</v>
      </c>
      <c r="E84" s="148">
        <v>0</v>
      </c>
      <c r="F84" s="148">
        <v>0</v>
      </c>
      <c r="G84" s="85">
        <f t="shared" si="19"/>
        <v>4247.12</v>
      </c>
      <c r="H84" s="85">
        <f t="shared" si="24"/>
        <v>42471.23</v>
      </c>
      <c r="I84" s="85">
        <f t="shared" si="25"/>
        <v>106178.08</v>
      </c>
      <c r="J84" s="84">
        <f>ROUND($C$55*$C$63*(B84-B79)/$F$46,2)</f>
        <v>0</v>
      </c>
      <c r="K84" s="85">
        <f t="shared" si="21"/>
        <v>152896.43</v>
      </c>
      <c r="L84" s="79">
        <f t="shared" si="26"/>
        <v>4203149.1400000006</v>
      </c>
    </row>
    <row r="85" spans="1:12" ht="17" thickBot="1" x14ac:dyDescent="0.3">
      <c r="B85" s="411" t="s">
        <v>83</v>
      </c>
      <c r="C85" s="149"/>
      <c r="D85" s="150">
        <f>SUM(D74:D84)</f>
        <v>538500000</v>
      </c>
      <c r="E85" s="151">
        <f>SUM(E74:E84)</f>
        <v>180000</v>
      </c>
      <c r="F85" s="151">
        <f>SUM(F74:F84)</f>
        <v>250000</v>
      </c>
      <c r="G85" s="151">
        <f t="shared" ref="G85:K85" si="28">SUM(G74:G84)</f>
        <v>104809.69999999998</v>
      </c>
      <c r="H85" s="151">
        <f t="shared" si="28"/>
        <v>1048096.98</v>
      </c>
      <c r="I85" s="151">
        <f t="shared" si="28"/>
        <v>2620242.46</v>
      </c>
      <c r="J85" s="151">
        <f t="shared" si="28"/>
        <v>0</v>
      </c>
      <c r="K85" s="151">
        <f t="shared" si="28"/>
        <v>4203149.1400000006</v>
      </c>
      <c r="L85" s="152"/>
    </row>
    <row r="86" spans="1:12" x14ac:dyDescent="0.25">
      <c r="B86" s="97"/>
      <c r="G86" s="96"/>
      <c r="I86" s="95"/>
    </row>
    <row r="92" spans="1:12" x14ac:dyDescent="0.25">
      <c r="B92" s="511" t="str">
        <f>B43</f>
        <v>优先A级</v>
      </c>
      <c r="C92" s="511"/>
      <c r="D92" s="511"/>
      <c r="E92" s="511"/>
      <c r="F92" s="511"/>
      <c r="G92" s="511"/>
      <c r="I92" s="93" t="s">
        <v>239</v>
      </c>
      <c r="J92" s="95">
        <v>21822424.650000002</v>
      </c>
    </row>
    <row r="93" spans="1:12" ht="17" thickBot="1" x14ac:dyDescent="0.3">
      <c r="J93" s="95"/>
    </row>
    <row r="94" spans="1:12" ht="17" thickBot="1" x14ac:dyDescent="0.3">
      <c r="B94" s="110" t="str">
        <f t="shared" ref="B94:B104" si="29">B27</f>
        <v>日期</v>
      </c>
      <c r="C94" s="98" t="s">
        <v>52</v>
      </c>
      <c r="D94" s="98" t="s">
        <v>229</v>
      </c>
      <c r="E94" s="98" t="s">
        <v>228</v>
      </c>
      <c r="F94" s="98" t="s">
        <v>230</v>
      </c>
      <c r="G94" s="99" t="s">
        <v>231</v>
      </c>
    </row>
    <row r="95" spans="1:12" x14ac:dyDescent="0.25">
      <c r="A95" s="92"/>
      <c r="B95" s="92">
        <f t="shared" si="29"/>
        <v>42612</v>
      </c>
      <c r="C95" s="100">
        <f>C43</f>
        <v>370000000</v>
      </c>
      <c r="D95" s="101">
        <v>0</v>
      </c>
      <c r="E95" s="102">
        <v>0</v>
      </c>
      <c r="F95" s="102">
        <v>0</v>
      </c>
      <c r="G95" s="103">
        <v>0</v>
      </c>
      <c r="I95" s="389" t="s">
        <v>367</v>
      </c>
      <c r="J95" s="389" t="s">
        <v>369</v>
      </c>
    </row>
    <row r="96" spans="1:12" x14ac:dyDescent="0.25">
      <c r="A96" s="92"/>
      <c r="B96" s="92">
        <f t="shared" si="29"/>
        <v>42677</v>
      </c>
      <c r="C96" s="104">
        <f>C95-D95</f>
        <v>370000000</v>
      </c>
      <c r="D96" s="105">
        <f>SUMPRODUCT((基础资产现金流!$B$2:$B$138-B95&gt;0)*(基础资产现金流!$B$2:$B$138-B96&lt;=0)*(基础资产现金流!$F$2:$F$138))</f>
        <v>30000000</v>
      </c>
      <c r="E96" s="106">
        <f t="shared" ref="E96:E105" si="30">ROUND(D96*$E$43*(B96-$B$95)/$F$43,2)</f>
        <v>267123.28999999998</v>
      </c>
      <c r="F96" s="106">
        <f t="shared" ref="F96:F105" si="31">D96+E96</f>
        <v>30267123.289999999</v>
      </c>
      <c r="G96" s="107">
        <f>F96+G95</f>
        <v>30267123.289999999</v>
      </c>
      <c r="I96" s="390">
        <f>(B96-$B$95)/30.5</f>
        <v>2.1311475409836067</v>
      </c>
      <c r="J96" s="96">
        <f>I96*D96</f>
        <v>63934426.229508199</v>
      </c>
    </row>
    <row r="97" spans="1:10" x14ac:dyDescent="0.25">
      <c r="A97" s="92"/>
      <c r="B97" s="92">
        <f t="shared" si="29"/>
        <v>42684</v>
      </c>
      <c r="C97" s="104">
        <f t="shared" ref="C97:C105" si="32">C96-D96</f>
        <v>340000000</v>
      </c>
      <c r="D97" s="105">
        <f>SUMPRODUCT((基础资产现金流!$B$2:$B$138-B96&gt;0)*(基础资产现金流!$B$2:$B$138-B97&lt;=0)*(基础资产现金流!$F$2:$F$138))</f>
        <v>50000000</v>
      </c>
      <c r="E97" s="106">
        <f t="shared" si="30"/>
        <v>493150.68</v>
      </c>
      <c r="F97" s="106">
        <f t="shared" si="31"/>
        <v>50493150.68</v>
      </c>
      <c r="G97" s="107">
        <f t="shared" ref="G97:G103" si="33">F97+G96</f>
        <v>80760273.969999999</v>
      </c>
      <c r="I97" s="390">
        <f t="shared" ref="I97:I103" si="34">(B97-$B$95)/30.5</f>
        <v>2.360655737704918</v>
      </c>
      <c r="J97" s="96">
        <f t="shared" ref="J97:J103" si="35">I97*D97</f>
        <v>118032786.8852459</v>
      </c>
    </row>
    <row r="98" spans="1:10" x14ac:dyDescent="0.25">
      <c r="A98" s="92"/>
      <c r="B98" s="92">
        <f t="shared" si="29"/>
        <v>42732</v>
      </c>
      <c r="C98" s="104">
        <f t="shared" si="32"/>
        <v>290000000</v>
      </c>
      <c r="D98" s="105">
        <f>SUMPRODUCT((基础资产现金流!$B$2:$B$138-B97&gt;0)*(基础资产现金流!$B$2:$B$138-B98&lt;=0)*(基础资产现金流!$F$2:$F$138))</f>
        <v>63800000</v>
      </c>
      <c r="E98" s="106">
        <f t="shared" si="30"/>
        <v>1048767.1200000001</v>
      </c>
      <c r="F98" s="106">
        <f t="shared" si="31"/>
        <v>64848767.119999997</v>
      </c>
      <c r="G98" s="107">
        <f t="shared" si="33"/>
        <v>145609041.09</v>
      </c>
      <c r="I98" s="390">
        <f t="shared" si="34"/>
        <v>3.9344262295081966</v>
      </c>
      <c r="J98" s="96">
        <f t="shared" si="35"/>
        <v>251016393.44262296</v>
      </c>
    </row>
    <row r="99" spans="1:10" x14ac:dyDescent="0.25">
      <c r="A99" s="92"/>
      <c r="B99" s="92">
        <f t="shared" si="29"/>
        <v>42775</v>
      </c>
      <c r="C99" s="104">
        <f t="shared" si="32"/>
        <v>226200000</v>
      </c>
      <c r="D99" s="105">
        <f>SUMPRODUCT((基础资产现金流!$B$2:$B$138-B98&gt;0)*(基础资产现金流!$B$2:$B$138-B99&lt;=0)*(基础资产现金流!$F$2:$F$138))</f>
        <v>15000000</v>
      </c>
      <c r="E99" s="106">
        <f t="shared" si="30"/>
        <v>334931.51</v>
      </c>
      <c r="F99" s="106">
        <f t="shared" si="31"/>
        <v>15334931.51</v>
      </c>
      <c r="G99" s="107">
        <f t="shared" si="33"/>
        <v>160943972.59999999</v>
      </c>
      <c r="I99" s="390">
        <f t="shared" si="34"/>
        <v>5.3442622950819674</v>
      </c>
      <c r="J99" s="96">
        <f t="shared" si="35"/>
        <v>80163934.426229507</v>
      </c>
    </row>
    <row r="100" spans="1:10" x14ac:dyDescent="0.25">
      <c r="A100" s="92"/>
      <c r="B100" s="92">
        <f t="shared" si="29"/>
        <v>42810</v>
      </c>
      <c r="C100" s="104">
        <f t="shared" si="32"/>
        <v>211200000</v>
      </c>
      <c r="D100" s="105">
        <f>SUMPRODUCT((基础资产现金流!$B$2:$B$138-B99&gt;0)*(基础资产现金流!$B$2:$B$138-B100&lt;=0)*(基础资产现金流!$F$2:$F$138))</f>
        <v>21700000</v>
      </c>
      <c r="E100" s="106">
        <f t="shared" si="30"/>
        <v>588575.34</v>
      </c>
      <c r="F100" s="106">
        <f t="shared" si="31"/>
        <v>22288575.34</v>
      </c>
      <c r="G100" s="107">
        <f t="shared" si="33"/>
        <v>183232547.94</v>
      </c>
      <c r="I100" s="390">
        <f t="shared" si="34"/>
        <v>6.4918032786885247</v>
      </c>
      <c r="J100" s="96">
        <f t="shared" si="35"/>
        <v>140872131.14754099</v>
      </c>
    </row>
    <row r="101" spans="1:10" x14ac:dyDescent="0.25">
      <c r="A101" s="92"/>
      <c r="B101" s="92">
        <f t="shared" si="29"/>
        <v>42912</v>
      </c>
      <c r="C101" s="104">
        <f t="shared" si="32"/>
        <v>189500000</v>
      </c>
      <c r="D101" s="105">
        <f>SUMPRODUCT((基础资产现金流!$B$2:$B$138-B100&gt;0)*(基础资产现金流!$B$2:$B$138-B101&lt;=0)*(基础资产现金流!$F$2:$F$138))</f>
        <v>33800000</v>
      </c>
      <c r="E101" s="106">
        <f t="shared" si="30"/>
        <v>1389041.1</v>
      </c>
      <c r="F101" s="106">
        <f t="shared" si="31"/>
        <v>35189041.100000001</v>
      </c>
      <c r="G101" s="107">
        <f t="shared" si="33"/>
        <v>218421589.03999999</v>
      </c>
      <c r="I101" s="390">
        <f t="shared" si="34"/>
        <v>9.8360655737704921</v>
      </c>
      <c r="J101" s="96">
        <f t="shared" si="35"/>
        <v>332459016.39344263</v>
      </c>
    </row>
    <row r="102" spans="1:10" x14ac:dyDescent="0.25">
      <c r="A102" s="92"/>
      <c r="B102" s="92">
        <f t="shared" si="29"/>
        <v>43075</v>
      </c>
      <c r="C102" s="104">
        <f t="shared" si="32"/>
        <v>155700000</v>
      </c>
      <c r="D102" s="105">
        <f>SUMPRODUCT((基础资产现金流!$B$2:$B$138-B101&gt;0)*(基础资产现金流!$B$2:$B$138-B102&lt;=0)*(基础资产现金流!$F$2:$F$138))</f>
        <v>101900000</v>
      </c>
      <c r="E102" s="106">
        <f t="shared" si="30"/>
        <v>6462972.5999999996</v>
      </c>
      <c r="F102" s="106">
        <f t="shared" si="31"/>
        <v>108362972.59999999</v>
      </c>
      <c r="G102" s="107">
        <f t="shared" si="33"/>
        <v>326784561.63999999</v>
      </c>
      <c r="I102" s="390">
        <f t="shared" si="34"/>
        <v>15.180327868852459</v>
      </c>
      <c r="J102" s="96">
        <f t="shared" si="35"/>
        <v>1546875409.8360655</v>
      </c>
    </row>
    <row r="103" spans="1:10" x14ac:dyDescent="0.25">
      <c r="A103" s="92"/>
      <c r="B103" s="92">
        <f t="shared" si="29"/>
        <v>43090</v>
      </c>
      <c r="C103" s="104">
        <f t="shared" si="32"/>
        <v>53800000</v>
      </c>
      <c r="D103" s="105">
        <f>C103</f>
        <v>53800000</v>
      </c>
      <c r="E103" s="106">
        <f t="shared" si="30"/>
        <v>3522794.52</v>
      </c>
      <c r="F103" s="106">
        <f t="shared" si="31"/>
        <v>57322794.520000003</v>
      </c>
      <c r="G103" s="107">
        <f t="shared" si="33"/>
        <v>384107356.15999997</v>
      </c>
      <c r="I103" s="390">
        <f t="shared" si="34"/>
        <v>15.672131147540984</v>
      </c>
      <c r="J103" s="96">
        <f t="shared" si="35"/>
        <v>843160655.73770499</v>
      </c>
    </row>
    <row r="104" spans="1:10" x14ac:dyDescent="0.25">
      <c r="A104" s="92"/>
      <c r="B104" s="92">
        <f t="shared" si="29"/>
        <v>43090</v>
      </c>
      <c r="C104" s="104">
        <f t="shared" si="32"/>
        <v>0</v>
      </c>
      <c r="D104" s="105">
        <v>0</v>
      </c>
      <c r="E104" s="106">
        <f t="shared" si="30"/>
        <v>0</v>
      </c>
      <c r="F104" s="106">
        <f t="shared" si="31"/>
        <v>0</v>
      </c>
      <c r="G104" s="107">
        <v>0</v>
      </c>
      <c r="I104" s="389" t="s">
        <v>368</v>
      </c>
      <c r="J104" s="96">
        <f>SUM(J96:J103)/D106</f>
        <v>9.1257155516171924</v>
      </c>
    </row>
    <row r="105" spans="1:10" ht="17" thickBot="1" x14ac:dyDescent="0.3">
      <c r="A105" s="92"/>
      <c r="B105" s="92">
        <f t="shared" ref="B105" si="36">B38</f>
        <v>43136</v>
      </c>
      <c r="C105" s="104">
        <f t="shared" si="32"/>
        <v>0</v>
      </c>
      <c r="D105" s="105">
        <v>0</v>
      </c>
      <c r="E105" s="106">
        <f t="shared" si="30"/>
        <v>0</v>
      </c>
      <c r="F105" s="106">
        <f t="shared" si="31"/>
        <v>0</v>
      </c>
      <c r="G105" s="107">
        <v>0</v>
      </c>
    </row>
    <row r="106" spans="1:10" ht="17" thickBot="1" x14ac:dyDescent="0.3">
      <c r="B106" s="509" t="s">
        <v>83</v>
      </c>
      <c r="C106" s="510"/>
      <c r="D106" s="108">
        <f>SUM(D95:D105)</f>
        <v>370000000</v>
      </c>
      <c r="E106" s="108">
        <f>SUM(E95:E105)</f>
        <v>14107356.16</v>
      </c>
      <c r="F106" s="108">
        <f>SUM(F95:F105)</f>
        <v>384107356.15999997</v>
      </c>
      <c r="G106" s="109"/>
    </row>
    <row r="108" spans="1:10" x14ac:dyDescent="0.25">
      <c r="B108" s="120"/>
    </row>
    <row r="111" spans="1:10" x14ac:dyDescent="0.25">
      <c r="B111" s="512" t="str">
        <f>B44</f>
        <v>优先B级</v>
      </c>
      <c r="C111" s="512"/>
      <c r="D111" s="512"/>
      <c r="E111" s="512"/>
      <c r="F111" s="512"/>
      <c r="G111" s="512"/>
    </row>
    <row r="112" spans="1:10" ht="17" thickBot="1" x14ac:dyDescent="0.3"/>
    <row r="113" spans="1:10" ht="17" thickBot="1" x14ac:dyDescent="0.3">
      <c r="B113" s="110" t="str">
        <f t="shared" ref="B113:B123" si="37">B27</f>
        <v>日期</v>
      </c>
      <c r="C113" s="98" t="s">
        <v>52</v>
      </c>
      <c r="D113" s="98" t="s">
        <v>229</v>
      </c>
      <c r="E113" s="98" t="s">
        <v>228</v>
      </c>
      <c r="F113" s="98" t="s">
        <v>230</v>
      </c>
      <c r="G113" s="99" t="s">
        <v>231</v>
      </c>
      <c r="I113" s="91" t="s">
        <v>240</v>
      </c>
      <c r="J113" s="95">
        <v>5375342.4657534249</v>
      </c>
    </row>
    <row r="114" spans="1:10" x14ac:dyDescent="0.25">
      <c r="A114" s="92"/>
      <c r="B114" s="92">
        <f t="shared" si="37"/>
        <v>42612</v>
      </c>
      <c r="C114" s="100">
        <f>C44</f>
        <v>0</v>
      </c>
      <c r="D114" s="101">
        <v>0</v>
      </c>
      <c r="E114" s="102">
        <v>0</v>
      </c>
      <c r="F114" s="102">
        <f>D114+E114</f>
        <v>0</v>
      </c>
      <c r="G114" s="103">
        <v>0</v>
      </c>
      <c r="J114" s="95" t="e">
        <f>C44*E44*(#REF!-B114)/F44</f>
        <v>#REF!</v>
      </c>
    </row>
    <row r="115" spans="1:10" x14ac:dyDescent="0.25">
      <c r="A115" s="92"/>
      <c r="B115" s="92">
        <f t="shared" si="37"/>
        <v>42677</v>
      </c>
      <c r="C115" s="104">
        <f>C114-D114</f>
        <v>0</v>
      </c>
      <c r="D115" s="105">
        <v>0</v>
      </c>
      <c r="E115" s="106">
        <v>0</v>
      </c>
      <c r="F115" s="106">
        <f t="shared" ref="F115:F124" si="38">D115+E115</f>
        <v>0</v>
      </c>
      <c r="G115" s="107">
        <f>F115+G114</f>
        <v>0</v>
      </c>
      <c r="J115" s="93">
        <v>5375342.4699999997</v>
      </c>
    </row>
    <row r="116" spans="1:10" x14ac:dyDescent="0.25">
      <c r="A116" s="92"/>
      <c r="B116" s="92">
        <f t="shared" si="37"/>
        <v>42684</v>
      </c>
      <c r="C116" s="104">
        <f t="shared" ref="C116:C124" si="39">C115-D115</f>
        <v>0</v>
      </c>
      <c r="D116" s="105">
        <v>0</v>
      </c>
      <c r="E116" s="106">
        <v>0</v>
      </c>
      <c r="F116" s="106">
        <f t="shared" si="38"/>
        <v>0</v>
      </c>
      <c r="G116" s="107">
        <f t="shared" ref="G116:G124" si="40">F116+G115</f>
        <v>0</v>
      </c>
    </row>
    <row r="117" spans="1:10" x14ac:dyDescent="0.25">
      <c r="A117" s="92"/>
      <c r="B117" s="92">
        <f t="shared" si="37"/>
        <v>42732</v>
      </c>
      <c r="C117" s="104">
        <f t="shared" si="39"/>
        <v>0</v>
      </c>
      <c r="D117" s="105">
        <v>0</v>
      </c>
      <c r="E117" s="106">
        <f>ROUND($C$44*$E$44*(B117-B114)/$F$44,2)</f>
        <v>0</v>
      </c>
      <c r="F117" s="106">
        <f t="shared" si="38"/>
        <v>0</v>
      </c>
      <c r="G117" s="107">
        <f t="shared" si="40"/>
        <v>0</v>
      </c>
    </row>
    <row r="118" spans="1:10" x14ac:dyDescent="0.25">
      <c r="A118" s="92"/>
      <c r="B118" s="92">
        <f t="shared" si="37"/>
        <v>42775</v>
      </c>
      <c r="C118" s="104">
        <f t="shared" si="39"/>
        <v>0</v>
      </c>
      <c r="D118" s="105">
        <v>0</v>
      </c>
      <c r="E118" s="106">
        <v>0</v>
      </c>
      <c r="F118" s="106">
        <f t="shared" si="38"/>
        <v>0</v>
      </c>
      <c r="G118" s="107">
        <f t="shared" si="40"/>
        <v>0</v>
      </c>
    </row>
    <row r="119" spans="1:10" x14ac:dyDescent="0.25">
      <c r="A119" s="92"/>
      <c r="B119" s="92">
        <f t="shared" si="37"/>
        <v>42810</v>
      </c>
      <c r="C119" s="104">
        <f t="shared" si="39"/>
        <v>0</v>
      </c>
      <c r="D119" s="105">
        <v>0</v>
      </c>
      <c r="E119" s="106">
        <v>0</v>
      </c>
      <c r="F119" s="106">
        <f t="shared" si="38"/>
        <v>0</v>
      </c>
      <c r="G119" s="107">
        <f t="shared" si="40"/>
        <v>0</v>
      </c>
    </row>
    <row r="120" spans="1:10" x14ac:dyDescent="0.25">
      <c r="A120" s="92"/>
      <c r="B120" s="92">
        <f t="shared" si="37"/>
        <v>42912</v>
      </c>
      <c r="C120" s="104">
        <f t="shared" si="39"/>
        <v>0</v>
      </c>
      <c r="D120" s="105">
        <v>0</v>
      </c>
      <c r="E120" s="106">
        <f>ROUND($C$44*$E$44*(B120-B117)/$F$44,2)</f>
        <v>0</v>
      </c>
      <c r="F120" s="106">
        <f t="shared" si="38"/>
        <v>0</v>
      </c>
      <c r="G120" s="107">
        <f t="shared" si="40"/>
        <v>0</v>
      </c>
    </row>
    <row r="121" spans="1:10" x14ac:dyDescent="0.25">
      <c r="A121" s="92"/>
      <c r="B121" s="92">
        <f t="shared" si="37"/>
        <v>43075</v>
      </c>
      <c r="C121" s="104">
        <f t="shared" si="39"/>
        <v>0</v>
      </c>
      <c r="D121" s="105">
        <v>0</v>
      </c>
      <c r="E121" s="106">
        <v>0</v>
      </c>
      <c r="F121" s="106">
        <f t="shared" si="38"/>
        <v>0</v>
      </c>
      <c r="G121" s="107">
        <f t="shared" si="40"/>
        <v>0</v>
      </c>
    </row>
    <row r="122" spans="1:10" x14ac:dyDescent="0.25">
      <c r="A122" s="92"/>
      <c r="B122" s="92">
        <f t="shared" si="37"/>
        <v>43090</v>
      </c>
      <c r="C122" s="104">
        <f t="shared" si="39"/>
        <v>0</v>
      </c>
      <c r="D122" s="105">
        <v>0</v>
      </c>
      <c r="E122" s="106">
        <f>ROUND($C$44*$E$44*(B122-B120)/$F$44,2)</f>
        <v>0</v>
      </c>
      <c r="F122" s="106">
        <f t="shared" si="38"/>
        <v>0</v>
      </c>
      <c r="G122" s="107">
        <f t="shared" si="40"/>
        <v>0</v>
      </c>
    </row>
    <row r="123" spans="1:10" x14ac:dyDescent="0.25">
      <c r="A123" s="92"/>
      <c r="B123" s="92">
        <f t="shared" si="37"/>
        <v>43090</v>
      </c>
      <c r="C123" s="104">
        <f t="shared" si="39"/>
        <v>0</v>
      </c>
      <c r="D123" s="105">
        <v>0</v>
      </c>
      <c r="E123" s="106">
        <v>0</v>
      </c>
      <c r="F123" s="106">
        <f t="shared" si="38"/>
        <v>0</v>
      </c>
      <c r="G123" s="107">
        <f t="shared" si="40"/>
        <v>0</v>
      </c>
    </row>
    <row r="124" spans="1:10" ht="17" thickBot="1" x14ac:dyDescent="0.3">
      <c r="A124" s="92"/>
      <c r="B124" s="92">
        <f t="shared" ref="B124" si="41">B38</f>
        <v>43136</v>
      </c>
      <c r="C124" s="104">
        <f t="shared" si="39"/>
        <v>0</v>
      </c>
      <c r="D124" s="105">
        <f>C124</f>
        <v>0</v>
      </c>
      <c r="E124" s="106">
        <f>ROUND($C$44*$E$44*(B124-B122)/$F$44,2)</f>
        <v>0</v>
      </c>
      <c r="F124" s="106">
        <f t="shared" si="38"/>
        <v>0</v>
      </c>
      <c r="G124" s="107">
        <f t="shared" si="40"/>
        <v>0</v>
      </c>
    </row>
    <row r="125" spans="1:10" ht="17" thickBot="1" x14ac:dyDescent="0.3">
      <c r="B125" s="509" t="s">
        <v>83</v>
      </c>
      <c r="C125" s="510"/>
      <c r="D125" s="108">
        <f>SUM(D114:D124)</f>
        <v>0</v>
      </c>
      <c r="E125" s="108">
        <f>SUM(E114:E124)</f>
        <v>0</v>
      </c>
      <c r="F125" s="108">
        <f>SUM(F114:F124)</f>
        <v>0</v>
      </c>
      <c r="G125" s="109"/>
    </row>
    <row r="132" spans="1:7" x14ac:dyDescent="0.25">
      <c r="B132" s="513">
        <f>B45</f>
        <v>0</v>
      </c>
      <c r="C132" s="513"/>
      <c r="D132" s="513"/>
      <c r="E132" s="513"/>
      <c r="F132" s="513"/>
      <c r="G132" s="513"/>
    </row>
    <row r="133" spans="1:7" ht="17" thickBot="1" x14ac:dyDescent="0.3"/>
    <row r="134" spans="1:7" ht="17" thickBot="1" x14ac:dyDescent="0.3">
      <c r="B134" s="110" t="str">
        <f t="shared" ref="B134:B144" si="42">B27</f>
        <v>日期</v>
      </c>
      <c r="C134" s="98" t="s">
        <v>52</v>
      </c>
      <c r="D134" s="98" t="s">
        <v>229</v>
      </c>
      <c r="E134" s="98" t="s">
        <v>228</v>
      </c>
      <c r="F134" s="98" t="s">
        <v>230</v>
      </c>
      <c r="G134" s="99" t="s">
        <v>231</v>
      </c>
    </row>
    <row r="135" spans="1:7" x14ac:dyDescent="0.25">
      <c r="A135" s="92"/>
      <c r="B135" s="92">
        <f t="shared" si="42"/>
        <v>42612</v>
      </c>
      <c r="C135" s="100">
        <f>C45</f>
        <v>0</v>
      </c>
      <c r="D135" s="101">
        <v>0</v>
      </c>
      <c r="E135" s="102">
        <v>0</v>
      </c>
      <c r="F135" s="102">
        <f>D135+E135</f>
        <v>0</v>
      </c>
      <c r="G135" s="103">
        <v>0</v>
      </c>
    </row>
    <row r="136" spans="1:7" x14ac:dyDescent="0.25">
      <c r="A136" s="126"/>
      <c r="B136" s="92">
        <f t="shared" si="42"/>
        <v>42677</v>
      </c>
      <c r="C136" s="104">
        <f>C135-D135</f>
        <v>0</v>
      </c>
      <c r="D136" s="105">
        <v>0</v>
      </c>
      <c r="E136" s="106">
        <v>0</v>
      </c>
      <c r="F136" s="102">
        <f t="shared" ref="F136:F145" si="43">D136+E136</f>
        <v>0</v>
      </c>
      <c r="G136" s="107">
        <f>F136+G135</f>
        <v>0</v>
      </c>
    </row>
    <row r="137" spans="1:7" x14ac:dyDescent="0.25">
      <c r="A137" s="126"/>
      <c r="B137" s="92">
        <f t="shared" si="42"/>
        <v>42684</v>
      </c>
      <c r="C137" s="104">
        <f t="shared" ref="C137:C145" si="44">C136-D136</f>
        <v>0</v>
      </c>
      <c r="D137" s="105">
        <v>0</v>
      </c>
      <c r="E137" s="106">
        <v>0</v>
      </c>
      <c r="F137" s="102">
        <f t="shared" si="43"/>
        <v>0</v>
      </c>
      <c r="G137" s="107">
        <f t="shared" ref="G137:G145" si="45">F137+G136</f>
        <v>0</v>
      </c>
    </row>
    <row r="138" spans="1:7" x14ac:dyDescent="0.25">
      <c r="A138" s="126"/>
      <c r="B138" s="92">
        <f t="shared" si="42"/>
        <v>42732</v>
      </c>
      <c r="C138" s="104">
        <f t="shared" si="44"/>
        <v>0</v>
      </c>
      <c r="D138" s="105">
        <v>0</v>
      </c>
      <c r="E138" s="106">
        <f>C138*$E$45*(B138-B135)/$F$45</f>
        <v>0</v>
      </c>
      <c r="F138" s="102">
        <f t="shared" si="43"/>
        <v>0</v>
      </c>
      <c r="G138" s="107">
        <f t="shared" si="45"/>
        <v>0</v>
      </c>
    </row>
    <row r="139" spans="1:7" x14ac:dyDescent="0.25">
      <c r="A139" s="126"/>
      <c r="B139" s="92">
        <f t="shared" si="42"/>
        <v>42775</v>
      </c>
      <c r="C139" s="104">
        <f t="shared" si="44"/>
        <v>0</v>
      </c>
      <c r="D139" s="105">
        <v>0</v>
      </c>
      <c r="E139" s="106">
        <v>0</v>
      </c>
      <c r="F139" s="102">
        <f t="shared" si="43"/>
        <v>0</v>
      </c>
      <c r="G139" s="107">
        <f t="shared" si="45"/>
        <v>0</v>
      </c>
    </row>
    <row r="140" spans="1:7" x14ac:dyDescent="0.25">
      <c r="A140" s="126"/>
      <c r="B140" s="92">
        <f t="shared" si="42"/>
        <v>42810</v>
      </c>
      <c r="C140" s="104">
        <f t="shared" si="44"/>
        <v>0</v>
      </c>
      <c r="D140" s="105">
        <v>0</v>
      </c>
      <c r="E140" s="106">
        <v>0</v>
      </c>
      <c r="F140" s="102">
        <f t="shared" si="43"/>
        <v>0</v>
      </c>
      <c r="G140" s="107">
        <f t="shared" si="45"/>
        <v>0</v>
      </c>
    </row>
    <row r="141" spans="1:7" x14ac:dyDescent="0.25">
      <c r="A141" s="126"/>
      <c r="B141" s="92">
        <f t="shared" si="42"/>
        <v>42912</v>
      </c>
      <c r="C141" s="104">
        <f t="shared" si="44"/>
        <v>0</v>
      </c>
      <c r="D141" s="105">
        <v>0</v>
      </c>
      <c r="E141" s="106">
        <f>C141*$E$45*(B141-B138)/$F$45</f>
        <v>0</v>
      </c>
      <c r="F141" s="102">
        <f t="shared" si="43"/>
        <v>0</v>
      </c>
      <c r="G141" s="107">
        <f t="shared" si="45"/>
        <v>0</v>
      </c>
    </row>
    <row r="142" spans="1:7" x14ac:dyDescent="0.25">
      <c r="A142" s="126"/>
      <c r="B142" s="92">
        <f t="shared" si="42"/>
        <v>43075</v>
      </c>
      <c r="C142" s="104">
        <f t="shared" si="44"/>
        <v>0</v>
      </c>
      <c r="D142" s="105">
        <v>0</v>
      </c>
      <c r="E142" s="106">
        <v>0</v>
      </c>
      <c r="F142" s="102">
        <f t="shared" si="43"/>
        <v>0</v>
      </c>
      <c r="G142" s="107">
        <f t="shared" si="45"/>
        <v>0</v>
      </c>
    </row>
    <row r="143" spans="1:7" x14ac:dyDescent="0.25">
      <c r="A143" s="126"/>
      <c r="B143" s="92">
        <f t="shared" si="42"/>
        <v>43090</v>
      </c>
      <c r="C143" s="104">
        <f t="shared" si="44"/>
        <v>0</v>
      </c>
      <c r="D143" s="105">
        <v>0</v>
      </c>
      <c r="E143" s="106">
        <f>C143*$E$45*(B143-B141)/$F$45</f>
        <v>0</v>
      </c>
      <c r="F143" s="102">
        <f t="shared" si="43"/>
        <v>0</v>
      </c>
      <c r="G143" s="107">
        <f t="shared" si="45"/>
        <v>0</v>
      </c>
    </row>
    <row r="144" spans="1:7" x14ac:dyDescent="0.25">
      <c r="A144" s="126"/>
      <c r="B144" s="92">
        <f t="shared" si="42"/>
        <v>43090</v>
      </c>
      <c r="C144" s="104">
        <f t="shared" si="44"/>
        <v>0</v>
      </c>
      <c r="D144" s="105">
        <v>0</v>
      </c>
      <c r="E144" s="106">
        <v>0</v>
      </c>
      <c r="F144" s="102">
        <f t="shared" si="43"/>
        <v>0</v>
      </c>
      <c r="G144" s="107">
        <f t="shared" si="45"/>
        <v>0</v>
      </c>
    </row>
    <row r="145" spans="1:9" ht="17" thickBot="1" x14ac:dyDescent="0.3">
      <c r="A145" s="126"/>
      <c r="B145" s="92">
        <f t="shared" ref="B145" si="46">B38</f>
        <v>43136</v>
      </c>
      <c r="C145" s="104">
        <f t="shared" si="44"/>
        <v>0</v>
      </c>
      <c r="D145" s="105">
        <f>C145</f>
        <v>0</v>
      </c>
      <c r="E145" s="106">
        <f>C145*$E$45*(B145-B143)/$F$45</f>
        <v>0</v>
      </c>
      <c r="F145" s="102">
        <f t="shared" si="43"/>
        <v>0</v>
      </c>
      <c r="G145" s="107">
        <f t="shared" si="45"/>
        <v>0</v>
      </c>
    </row>
    <row r="146" spans="1:9" ht="17" thickBot="1" x14ac:dyDescent="0.3">
      <c r="B146" s="509" t="s">
        <v>83</v>
      </c>
      <c r="C146" s="510"/>
      <c r="D146" s="108">
        <f>SUM(D135:D145)</f>
        <v>0</v>
      </c>
      <c r="E146" s="108">
        <f>SUM(E135:E145)</f>
        <v>0</v>
      </c>
      <c r="F146" s="108">
        <f>SUM(F135:F145)</f>
        <v>0</v>
      </c>
      <c r="G146" s="109">
        <v>0</v>
      </c>
    </row>
    <row r="151" spans="1:9" x14ac:dyDescent="0.25">
      <c r="B151" s="507" t="str">
        <f>B46</f>
        <v>次级</v>
      </c>
      <c r="C151" s="508"/>
      <c r="D151" s="508"/>
      <c r="E151" s="508"/>
      <c r="F151" s="508"/>
      <c r="G151" s="508"/>
    </row>
    <row r="152" spans="1:9" ht="17" thickBot="1" x14ac:dyDescent="0.3"/>
    <row r="153" spans="1:9" ht="17" thickBot="1" x14ac:dyDescent="0.3">
      <c r="B153" s="110" t="str">
        <f t="shared" ref="B153:B163" si="47">B27</f>
        <v>日期</v>
      </c>
      <c r="C153" s="98" t="s">
        <v>52</v>
      </c>
      <c r="D153" s="98" t="s">
        <v>229</v>
      </c>
      <c r="E153" s="98" t="s">
        <v>228</v>
      </c>
      <c r="F153" s="98" t="s">
        <v>230</v>
      </c>
      <c r="G153" s="99" t="s">
        <v>231</v>
      </c>
      <c r="I153" s="224" t="s">
        <v>291</v>
      </c>
    </row>
    <row r="154" spans="1:9" x14ac:dyDescent="0.25">
      <c r="B154" s="92">
        <f t="shared" si="47"/>
        <v>42612</v>
      </c>
      <c r="C154" s="100">
        <f>C46</f>
        <v>168500000</v>
      </c>
      <c r="D154" s="101">
        <v>0</v>
      </c>
      <c r="E154" s="102">
        <v>0</v>
      </c>
      <c r="F154" s="102">
        <f>D154+E154</f>
        <v>0</v>
      </c>
      <c r="G154" s="103">
        <v>0</v>
      </c>
      <c r="I154" s="225">
        <v>9.5000000000000001E-2</v>
      </c>
    </row>
    <row r="155" spans="1:9" x14ac:dyDescent="0.25">
      <c r="B155" s="92">
        <f t="shared" si="47"/>
        <v>42677</v>
      </c>
      <c r="C155" s="104">
        <f>C154-D154</f>
        <v>168500000</v>
      </c>
      <c r="D155" s="105">
        <v>0</v>
      </c>
      <c r="E155" s="106">
        <v>0</v>
      </c>
      <c r="F155" s="102">
        <f t="shared" ref="F155:F164" si="48">D155+E155</f>
        <v>0</v>
      </c>
      <c r="G155" s="107">
        <f>F155+G154</f>
        <v>0</v>
      </c>
    </row>
    <row r="156" spans="1:9" x14ac:dyDescent="0.25">
      <c r="B156" s="92">
        <f t="shared" si="47"/>
        <v>42684</v>
      </c>
      <c r="C156" s="104">
        <f t="shared" ref="C156:C164" si="49">C155-D155</f>
        <v>168500000</v>
      </c>
      <c r="D156" s="105">
        <v>0</v>
      </c>
      <c r="E156" s="106">
        <v>0</v>
      </c>
      <c r="F156" s="102">
        <f t="shared" si="48"/>
        <v>0</v>
      </c>
      <c r="G156" s="107">
        <f t="shared" ref="G156:G164" si="50">F156+G155</f>
        <v>0</v>
      </c>
    </row>
    <row r="157" spans="1:9" x14ac:dyDescent="0.25">
      <c r="B157" s="92">
        <f t="shared" si="47"/>
        <v>42732</v>
      </c>
      <c r="C157" s="104">
        <f t="shared" si="49"/>
        <v>168500000</v>
      </c>
      <c r="D157" s="105">
        <v>0</v>
      </c>
      <c r="E157" s="106">
        <v>0</v>
      </c>
      <c r="F157" s="102">
        <f t="shared" si="48"/>
        <v>0</v>
      </c>
      <c r="G157" s="107">
        <f t="shared" si="50"/>
        <v>0</v>
      </c>
    </row>
    <row r="158" spans="1:9" x14ac:dyDescent="0.25">
      <c r="B158" s="92">
        <f t="shared" si="47"/>
        <v>42775</v>
      </c>
      <c r="C158" s="104">
        <f t="shared" si="49"/>
        <v>168500000</v>
      </c>
      <c r="D158" s="105">
        <v>0</v>
      </c>
      <c r="E158" s="106">
        <v>0</v>
      </c>
      <c r="F158" s="102">
        <f t="shared" si="48"/>
        <v>0</v>
      </c>
      <c r="G158" s="107">
        <f t="shared" si="50"/>
        <v>0</v>
      </c>
    </row>
    <row r="159" spans="1:9" x14ac:dyDescent="0.25">
      <c r="B159" s="92">
        <f t="shared" si="47"/>
        <v>42810</v>
      </c>
      <c r="C159" s="104">
        <f t="shared" si="49"/>
        <v>168500000</v>
      </c>
      <c r="D159" s="105">
        <v>0</v>
      </c>
      <c r="E159" s="106">
        <f>ROUND($C$46*$I$154*(B159-B154)/$F$46,2)</f>
        <v>8683520.5500000007</v>
      </c>
      <c r="F159" s="102">
        <f t="shared" si="48"/>
        <v>8683520.5500000007</v>
      </c>
      <c r="G159" s="107">
        <f t="shared" si="50"/>
        <v>8683520.5500000007</v>
      </c>
    </row>
    <row r="160" spans="1:9" x14ac:dyDescent="0.25">
      <c r="B160" s="92">
        <f t="shared" si="47"/>
        <v>42912</v>
      </c>
      <c r="C160" s="104">
        <f t="shared" si="49"/>
        <v>168500000</v>
      </c>
      <c r="D160" s="105">
        <v>0</v>
      </c>
      <c r="E160" s="106">
        <v>0</v>
      </c>
      <c r="F160" s="102">
        <f t="shared" si="48"/>
        <v>0</v>
      </c>
      <c r="G160" s="107">
        <f t="shared" si="50"/>
        <v>8683520.5500000007</v>
      </c>
    </row>
    <row r="161" spans="2:7" x14ac:dyDescent="0.25">
      <c r="B161" s="92">
        <f t="shared" si="47"/>
        <v>43075</v>
      </c>
      <c r="C161" s="104">
        <f t="shared" si="49"/>
        <v>168500000</v>
      </c>
      <c r="D161" s="105">
        <v>0</v>
      </c>
      <c r="E161" s="106">
        <v>0</v>
      </c>
      <c r="F161" s="102">
        <f t="shared" si="48"/>
        <v>0</v>
      </c>
      <c r="G161" s="107">
        <f t="shared" si="50"/>
        <v>8683520.5500000007</v>
      </c>
    </row>
    <row r="162" spans="2:7" x14ac:dyDescent="0.25">
      <c r="B162" s="92">
        <f t="shared" si="47"/>
        <v>43090</v>
      </c>
      <c r="C162" s="104">
        <f t="shared" si="49"/>
        <v>168500000</v>
      </c>
      <c r="D162" s="105">
        <v>0</v>
      </c>
      <c r="E162" s="106">
        <v>0</v>
      </c>
      <c r="F162" s="102">
        <f t="shared" si="48"/>
        <v>0</v>
      </c>
      <c r="G162" s="107">
        <f t="shared" si="50"/>
        <v>8683520.5500000007</v>
      </c>
    </row>
    <row r="163" spans="2:7" x14ac:dyDescent="0.25">
      <c r="B163" s="92">
        <f t="shared" si="47"/>
        <v>43090</v>
      </c>
      <c r="C163" s="104">
        <f t="shared" si="49"/>
        <v>168500000</v>
      </c>
      <c r="D163" s="105">
        <v>0</v>
      </c>
      <c r="E163" s="106">
        <v>0</v>
      </c>
      <c r="F163" s="102">
        <f t="shared" si="48"/>
        <v>0</v>
      </c>
      <c r="G163" s="107">
        <f t="shared" si="50"/>
        <v>8683520.5500000007</v>
      </c>
    </row>
    <row r="164" spans="2:7" ht="17" thickBot="1" x14ac:dyDescent="0.3">
      <c r="B164" s="92">
        <f t="shared" ref="B164" si="51">B38</f>
        <v>43136</v>
      </c>
      <c r="C164" s="104">
        <f t="shared" si="49"/>
        <v>168500000</v>
      </c>
      <c r="D164" s="105">
        <f>C164</f>
        <v>168500000</v>
      </c>
      <c r="E164" s="106">
        <f>ROUND($C$46*$I$154*(B164-B159)/$F$46,2)</f>
        <v>14297109.59</v>
      </c>
      <c r="F164" s="102">
        <f t="shared" si="48"/>
        <v>182797109.59</v>
      </c>
      <c r="G164" s="107">
        <f t="shared" si="50"/>
        <v>191480630.14000002</v>
      </c>
    </row>
    <row r="165" spans="2:7" ht="17" thickBot="1" x14ac:dyDescent="0.3">
      <c r="B165" s="509" t="s">
        <v>83</v>
      </c>
      <c r="C165" s="510"/>
      <c r="D165" s="108">
        <f>SUM(D154:D164)</f>
        <v>168500000</v>
      </c>
      <c r="E165" s="108">
        <f>SUM(E154:E164)</f>
        <v>22980630.140000001</v>
      </c>
      <c r="F165" s="108">
        <f>SUM(F154:F164)</f>
        <v>191480630.14000002</v>
      </c>
      <c r="G165" s="109"/>
    </row>
  </sheetData>
  <mergeCells count="9">
    <mergeCell ref="B71:L71"/>
    <mergeCell ref="B151:G151"/>
    <mergeCell ref="B165:C165"/>
    <mergeCell ref="B106:C106"/>
    <mergeCell ref="B92:G92"/>
    <mergeCell ref="B111:G111"/>
    <mergeCell ref="B125:C125"/>
    <mergeCell ref="B132:G132"/>
    <mergeCell ref="B146:C146"/>
  </mergeCells>
  <phoneticPr fontId="32"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workbookViewId="0">
      <selection sqref="A1:AN2"/>
    </sheetView>
  </sheetViews>
  <sheetFormatPr baseColWidth="10" defaultRowHeight="18" x14ac:dyDescent="0.25"/>
  <cols>
    <col min="1" max="1" width="30" customWidth="1"/>
    <col min="2" max="2" width="13.42578125" customWidth="1"/>
    <col min="3" max="3" width="26.28515625" customWidth="1"/>
    <col min="4" max="4" width="11.7109375" customWidth="1"/>
    <col min="5" max="5" width="22.85546875" customWidth="1"/>
    <col min="6" max="6" width="23.7109375" customWidth="1"/>
    <col min="7" max="8" width="11.7109375" customWidth="1"/>
    <col min="9" max="9" width="15.140625" customWidth="1"/>
    <col min="10" max="10" width="19.140625" customWidth="1"/>
    <col min="11" max="11" width="14" customWidth="1"/>
    <col min="12" max="12" width="20.7109375" customWidth="1"/>
    <col min="13" max="13" width="15.5703125" customWidth="1"/>
    <col min="14" max="14" width="20.5703125" customWidth="1"/>
    <col min="15" max="15" width="23.7109375" customWidth="1"/>
    <col min="17" max="17" width="22" customWidth="1"/>
    <col min="18" max="18" width="25.42578125" customWidth="1"/>
    <col min="20" max="20" width="20.28515625" customWidth="1"/>
    <col min="21" max="21" width="23.7109375" customWidth="1"/>
    <col min="22" max="22" width="22" customWidth="1"/>
    <col min="23" max="23" width="25.42578125" customWidth="1"/>
    <col min="25" max="25" width="22" customWidth="1"/>
    <col min="26" max="26" width="11.7109375" customWidth="1"/>
    <col min="27" max="27" width="16.85546875" customWidth="1"/>
    <col min="29" max="29" width="15.140625" customWidth="1"/>
    <col min="30" max="30" width="11.7109375" customWidth="1"/>
    <col min="31" max="31" width="15.140625" customWidth="1"/>
    <col min="33" max="33" width="30.5703125" customWidth="1"/>
    <col min="34" max="34" width="13.42578125" customWidth="1"/>
    <col min="35" max="35" width="16" customWidth="1"/>
    <col min="37" max="37" width="30.5703125" customWidth="1"/>
    <col min="39" max="39" width="14.140625" customWidth="1"/>
    <col min="40" max="40" width="14" customWidth="1"/>
  </cols>
  <sheetData>
    <row r="1" spans="1:40" x14ac:dyDescent="0.25">
      <c r="A1" t="s">
        <v>0</v>
      </c>
      <c r="B1" t="s">
        <v>41</v>
      </c>
      <c r="C1" t="s">
        <v>429</v>
      </c>
      <c r="D1" t="s">
        <v>33</v>
      </c>
      <c r="E1" t="s">
        <v>430</v>
      </c>
      <c r="F1" t="s">
        <v>431</v>
      </c>
      <c r="G1" t="s">
        <v>43</v>
      </c>
      <c r="H1" t="s">
        <v>44</v>
      </c>
      <c r="I1" t="s">
        <v>47</v>
      </c>
      <c r="J1" t="s">
        <v>400</v>
      </c>
      <c r="K1" t="s">
        <v>401</v>
      </c>
      <c r="L1" t="s">
        <v>402</v>
      </c>
      <c r="M1" t="s">
        <v>399</v>
      </c>
      <c r="N1" t="s">
        <v>80</v>
      </c>
      <c r="O1" t="s">
        <v>48</v>
      </c>
      <c r="P1" t="s">
        <v>1</v>
      </c>
      <c r="Q1" t="s">
        <v>45</v>
      </c>
      <c r="R1" t="s">
        <v>46</v>
      </c>
      <c r="S1" t="s">
        <v>34</v>
      </c>
      <c r="T1" t="s">
        <v>398</v>
      </c>
      <c r="U1" t="s">
        <v>84</v>
      </c>
      <c r="V1" t="s">
        <v>35</v>
      </c>
      <c r="W1" t="s">
        <v>349</v>
      </c>
      <c r="X1" t="s">
        <v>350</v>
      </c>
      <c r="Y1" t="s">
        <v>264</v>
      </c>
      <c r="Z1" t="s">
        <v>113</v>
      </c>
      <c r="AA1" t="s">
        <v>432</v>
      </c>
      <c r="AB1" t="s">
        <v>433</v>
      </c>
      <c r="AC1" t="s">
        <v>115</v>
      </c>
      <c r="AD1" t="s">
        <v>36</v>
      </c>
      <c r="AE1" t="s">
        <v>346</v>
      </c>
      <c r="AF1" t="s">
        <v>134</v>
      </c>
      <c r="AG1" t="s">
        <v>39</v>
      </c>
      <c r="AH1" t="s">
        <v>37</v>
      </c>
      <c r="AI1" t="s">
        <v>38</v>
      </c>
      <c r="AJ1" t="s">
        <v>40</v>
      </c>
      <c r="AK1" t="s">
        <v>42</v>
      </c>
      <c r="AL1" t="s">
        <v>434</v>
      </c>
      <c r="AM1" t="s">
        <v>435</v>
      </c>
      <c r="AN1" t="s">
        <v>436</v>
      </c>
    </row>
    <row r="2" spans="1:40" ht="360" x14ac:dyDescent="0.25">
      <c r="A2" t="s">
        <v>27</v>
      </c>
      <c r="B2">
        <v>1</v>
      </c>
      <c r="C2">
        <v>751200000</v>
      </c>
      <c r="D2">
        <v>24</v>
      </c>
      <c r="E2">
        <v>469500000</v>
      </c>
      <c r="F2">
        <v>15</v>
      </c>
      <c r="G2" s="464">
        <v>42356</v>
      </c>
      <c r="H2" s="464">
        <v>43087</v>
      </c>
      <c r="I2">
        <v>7.4999999999999997E-2</v>
      </c>
      <c r="J2">
        <v>7.0000000000000007E-2</v>
      </c>
      <c r="K2">
        <v>203664.38</v>
      </c>
      <c r="L2">
        <v>7.4999999999999997E-2</v>
      </c>
      <c r="M2">
        <v>0</v>
      </c>
      <c r="N2">
        <v>365</v>
      </c>
      <c r="P2" t="s">
        <v>437</v>
      </c>
      <c r="Q2">
        <v>500000000</v>
      </c>
      <c r="S2" s="464">
        <v>42612</v>
      </c>
      <c r="T2">
        <v>31300000</v>
      </c>
      <c r="U2">
        <v>4701431.51</v>
      </c>
      <c r="V2">
        <v>3054965.75</v>
      </c>
      <c r="W2">
        <v>4701431.51</v>
      </c>
      <c r="X2">
        <v>0</v>
      </c>
      <c r="Y2">
        <v>3054965.75</v>
      </c>
      <c r="Z2" s="464">
        <v>42735</v>
      </c>
      <c r="AA2">
        <v>791075.34</v>
      </c>
      <c r="AB2" t="s">
        <v>92</v>
      </c>
      <c r="AC2">
        <v>12</v>
      </c>
      <c r="AD2" t="s">
        <v>197</v>
      </c>
      <c r="AE2" t="s">
        <v>347</v>
      </c>
      <c r="AG2" t="s">
        <v>106</v>
      </c>
      <c r="AH2" t="s">
        <v>99</v>
      </c>
      <c r="AI2" t="s">
        <v>99</v>
      </c>
      <c r="AJ2" t="s">
        <v>196</v>
      </c>
      <c r="AK2" t="s">
        <v>67</v>
      </c>
      <c r="AL2" s="465" t="s">
        <v>100</v>
      </c>
      <c r="AM2">
        <v>475</v>
      </c>
      <c r="AN2">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187"/>
  <sheetViews>
    <sheetView showGridLines="0" topLeftCell="A15" workbookViewId="0">
      <selection activeCell="F41" sqref="F41"/>
    </sheetView>
  </sheetViews>
  <sheetFormatPr baseColWidth="10" defaultColWidth="8.7109375" defaultRowHeight="14" x14ac:dyDescent="0.2"/>
  <cols>
    <col min="1" max="1" width="8.7109375" style="67"/>
    <col min="2" max="2" width="12" style="67" customWidth="1"/>
    <col min="3" max="3" width="6.140625" style="67" customWidth="1"/>
    <col min="4" max="4" width="6.42578125" style="67" customWidth="1"/>
    <col min="5" max="5" width="18.5703125" style="67" customWidth="1"/>
    <col min="6" max="6" width="18.140625" style="67" customWidth="1"/>
    <col min="7" max="7" width="10.7109375" style="67" customWidth="1"/>
    <col min="8" max="8" width="15.7109375" style="67" bestFit="1" customWidth="1"/>
    <col min="9" max="9" width="16.85546875" style="67" bestFit="1" customWidth="1"/>
    <col min="10" max="10" width="16" style="67" customWidth="1"/>
    <col min="11" max="11" width="17.42578125" style="67" customWidth="1"/>
    <col min="12" max="12" width="11.7109375" style="67" customWidth="1"/>
    <col min="13" max="13" width="18.5703125" style="67" customWidth="1"/>
    <col min="14" max="15" width="17.85546875" style="67" customWidth="1"/>
    <col min="16" max="17" width="17.85546875" style="67" bestFit="1" customWidth="1"/>
    <col min="18" max="22" width="17.85546875" style="67" customWidth="1"/>
    <col min="23" max="23" width="26.140625" style="67" customWidth="1"/>
    <col min="24" max="24" width="32.28515625" style="67" bestFit="1" customWidth="1"/>
    <col min="25" max="25" width="32.28515625" style="67" customWidth="1"/>
    <col min="26" max="26" width="32.28515625" style="67" bestFit="1" customWidth="1"/>
    <col min="27" max="27" width="15.7109375" style="67" customWidth="1"/>
    <col min="28" max="28" width="20.7109375" style="67" bestFit="1" customWidth="1"/>
    <col min="29" max="29" width="17.85546875" style="67" bestFit="1" customWidth="1"/>
    <col min="30" max="30" width="20.7109375" style="67" bestFit="1" customWidth="1"/>
    <col min="31" max="31" width="17.85546875" style="67" bestFit="1" customWidth="1"/>
    <col min="32" max="32" width="20.7109375" style="67" bestFit="1" customWidth="1"/>
    <col min="33" max="33" width="34.140625" style="67" bestFit="1" customWidth="1"/>
    <col min="34" max="34" width="17.85546875" style="67" bestFit="1" customWidth="1"/>
    <col min="35" max="35" width="32.28515625" style="67" bestFit="1" customWidth="1"/>
    <col min="36" max="36" width="20.7109375" style="67" bestFit="1" customWidth="1"/>
    <col min="37" max="37" width="17.85546875" style="67" bestFit="1" customWidth="1"/>
    <col min="38" max="38" width="20.7109375" style="67" bestFit="1" customWidth="1"/>
    <col min="39" max="40" width="17.85546875" style="67" bestFit="1" customWidth="1"/>
    <col min="41" max="41" width="32.28515625" style="67" bestFit="1" customWidth="1"/>
    <col min="42" max="42" width="20.7109375" style="67" bestFit="1" customWidth="1"/>
    <col min="43" max="43" width="15.7109375" style="67" bestFit="1" customWidth="1"/>
    <col min="44" max="16384" width="8.7109375" style="67"/>
  </cols>
  <sheetData>
    <row r="3" spans="2:6" ht="19" thickBot="1" x14ac:dyDescent="0.3">
      <c r="B3" s="88"/>
      <c r="C3" s="89" t="s">
        <v>213</v>
      </c>
      <c r="D3" s="88"/>
      <c r="E3"/>
      <c r="F3"/>
    </row>
    <row r="4" spans="2:6" ht="19" thickBot="1" x14ac:dyDescent="0.3">
      <c r="B4" s="285" t="s">
        <v>121</v>
      </c>
      <c r="C4" s="286" t="s">
        <v>131</v>
      </c>
      <c r="D4" s="287" t="s">
        <v>132</v>
      </c>
      <c r="E4"/>
      <c r="F4"/>
    </row>
    <row r="5" spans="2:6" ht="18" x14ac:dyDescent="0.25">
      <c r="B5" s="116" t="s">
        <v>87</v>
      </c>
      <c r="C5" s="415">
        <v>1</v>
      </c>
      <c r="D5" s="112">
        <v>4.5454545454545456E-2</v>
      </c>
      <c r="E5"/>
      <c r="F5"/>
    </row>
    <row r="6" spans="2:6" ht="18" x14ac:dyDescent="0.25">
      <c r="B6" s="117" t="s">
        <v>93</v>
      </c>
      <c r="C6" s="416">
        <v>3</v>
      </c>
      <c r="D6" s="69">
        <v>0.13636363636363635</v>
      </c>
      <c r="E6"/>
      <c r="F6"/>
    </row>
    <row r="7" spans="2:6" ht="18" x14ac:dyDescent="0.25">
      <c r="B7" s="117" t="s">
        <v>89</v>
      </c>
      <c r="C7" s="416">
        <v>1</v>
      </c>
      <c r="D7" s="69">
        <v>4.5454545454545456E-2</v>
      </c>
      <c r="E7"/>
      <c r="F7"/>
    </row>
    <row r="8" spans="2:6" ht="18" x14ac:dyDescent="0.25">
      <c r="B8" s="117" t="s">
        <v>73</v>
      </c>
      <c r="C8" s="416">
        <v>4</v>
      </c>
      <c r="D8" s="69">
        <v>0.18181818181818182</v>
      </c>
      <c r="E8"/>
      <c r="F8"/>
    </row>
    <row r="9" spans="2:6" ht="18" x14ac:dyDescent="0.25">
      <c r="B9" s="117" t="s">
        <v>95</v>
      </c>
      <c r="C9" s="416">
        <v>1</v>
      </c>
      <c r="D9" s="69">
        <v>4.5454545454545456E-2</v>
      </c>
      <c r="E9"/>
      <c r="F9"/>
    </row>
    <row r="10" spans="2:6" ht="18" x14ac:dyDescent="0.25">
      <c r="B10" s="117" t="s">
        <v>64</v>
      </c>
      <c r="C10" s="416">
        <v>7</v>
      </c>
      <c r="D10" s="69">
        <v>0.31818181818181818</v>
      </c>
      <c r="E10"/>
      <c r="F10"/>
    </row>
    <row r="11" spans="2:6" ht="18" x14ac:dyDescent="0.25">
      <c r="B11" s="117" t="s">
        <v>61</v>
      </c>
      <c r="C11" s="416">
        <v>2</v>
      </c>
      <c r="D11" s="69">
        <v>9.0909090909090912E-2</v>
      </c>
      <c r="E11"/>
      <c r="F11"/>
    </row>
    <row r="12" spans="2:6" ht="18" x14ac:dyDescent="0.25">
      <c r="B12" s="117" t="s">
        <v>99</v>
      </c>
      <c r="C12" s="416">
        <v>1</v>
      </c>
      <c r="D12" s="69">
        <v>4.5454545454545456E-2</v>
      </c>
      <c r="E12"/>
      <c r="F12"/>
    </row>
    <row r="13" spans="2:6" ht="18" x14ac:dyDescent="0.25">
      <c r="B13" s="117" t="s">
        <v>204</v>
      </c>
      <c r="C13" s="416">
        <v>1</v>
      </c>
      <c r="D13" s="69">
        <v>4.5454545454545456E-2</v>
      </c>
      <c r="E13"/>
      <c r="F13"/>
    </row>
    <row r="14" spans="2:6" ht="19" thickBot="1" x14ac:dyDescent="0.3">
      <c r="B14" s="118" t="s">
        <v>208</v>
      </c>
      <c r="C14" s="416">
        <v>1</v>
      </c>
      <c r="D14" s="69">
        <v>4.5454545454545456E-2</v>
      </c>
      <c r="E14"/>
      <c r="F14"/>
    </row>
    <row r="15" spans="2:6" ht="19" thickBot="1" x14ac:dyDescent="0.3">
      <c r="B15" s="115" t="s">
        <v>83</v>
      </c>
      <c r="C15" s="417">
        <v>22</v>
      </c>
      <c r="D15" s="86">
        <v>1</v>
      </c>
      <c r="E15"/>
      <c r="F15"/>
    </row>
    <row r="17" spans="2:6" ht="19" thickBot="1" x14ac:dyDescent="0.3">
      <c r="B17" s="88"/>
      <c r="C17" s="89" t="s">
        <v>213</v>
      </c>
      <c r="D17" s="88"/>
      <c r="E17"/>
      <c r="F17"/>
    </row>
    <row r="18" spans="2:6" ht="19" thickBot="1" x14ac:dyDescent="0.3">
      <c r="B18" s="285" t="s">
        <v>120</v>
      </c>
      <c r="C18" s="286" t="s">
        <v>131</v>
      </c>
      <c r="D18" s="287" t="s">
        <v>132</v>
      </c>
      <c r="E18"/>
      <c r="F18"/>
    </row>
    <row r="19" spans="2:6" ht="18" x14ac:dyDescent="0.25">
      <c r="B19" s="116" t="s">
        <v>91</v>
      </c>
      <c r="C19" s="415">
        <v>1</v>
      </c>
      <c r="D19" s="112">
        <v>4.5454545454545456E-2</v>
      </c>
      <c r="E19"/>
      <c r="F19"/>
    </row>
    <row r="20" spans="2:6" ht="18" x14ac:dyDescent="0.25">
      <c r="B20" s="117" t="s">
        <v>65</v>
      </c>
      <c r="C20" s="416">
        <v>6</v>
      </c>
      <c r="D20" s="69">
        <v>0.27272727272727271</v>
      </c>
      <c r="E20"/>
      <c r="F20"/>
    </row>
    <row r="21" spans="2:6" ht="18" x14ac:dyDescent="0.25">
      <c r="B21" s="117" t="s">
        <v>110</v>
      </c>
      <c r="C21" s="416">
        <v>1</v>
      </c>
      <c r="D21" s="69">
        <v>4.5454545454545456E-2</v>
      </c>
      <c r="E21"/>
      <c r="F21"/>
    </row>
    <row r="22" spans="2:6" ht="18" x14ac:dyDescent="0.25">
      <c r="B22" s="117" t="s">
        <v>69</v>
      </c>
      <c r="C22" s="416">
        <v>2</v>
      </c>
      <c r="D22" s="69">
        <v>9.0909090909090912E-2</v>
      </c>
      <c r="E22"/>
      <c r="F22"/>
    </row>
    <row r="23" spans="2:6" ht="18" x14ac:dyDescent="0.25">
      <c r="B23" s="117" t="s">
        <v>88</v>
      </c>
      <c r="C23" s="416">
        <v>1</v>
      </c>
      <c r="D23" s="69">
        <v>4.5454545454545456E-2</v>
      </c>
      <c r="E23"/>
      <c r="F23"/>
    </row>
    <row r="24" spans="2:6" ht="18" x14ac:dyDescent="0.25">
      <c r="B24" s="117" t="s">
        <v>94</v>
      </c>
      <c r="C24" s="416">
        <v>1</v>
      </c>
      <c r="D24" s="69">
        <v>4.5454545454545456E-2</v>
      </c>
      <c r="E24"/>
      <c r="F24"/>
    </row>
    <row r="25" spans="2:6" ht="18" x14ac:dyDescent="0.25">
      <c r="B25" s="117" t="s">
        <v>111</v>
      </c>
      <c r="C25" s="416">
        <v>1</v>
      </c>
      <c r="D25" s="69">
        <v>4.5454545454545456E-2</v>
      </c>
      <c r="E25"/>
      <c r="F25"/>
    </row>
    <row r="26" spans="2:6" ht="18" x14ac:dyDescent="0.25">
      <c r="B26" s="117" t="s">
        <v>101</v>
      </c>
      <c r="C26" s="416">
        <v>1</v>
      </c>
      <c r="D26" s="69">
        <v>4.5454545454545456E-2</v>
      </c>
      <c r="E26"/>
      <c r="F26"/>
    </row>
    <row r="27" spans="2:6" ht="18" x14ac:dyDescent="0.25">
      <c r="B27" s="117" t="s">
        <v>90</v>
      </c>
      <c r="C27" s="416">
        <v>1</v>
      </c>
      <c r="D27" s="69">
        <v>4.5454545454545456E-2</v>
      </c>
      <c r="E27"/>
      <c r="F27"/>
    </row>
    <row r="28" spans="2:6" ht="18" x14ac:dyDescent="0.25">
      <c r="B28" s="117" t="s">
        <v>86</v>
      </c>
      <c r="C28" s="416">
        <v>1</v>
      </c>
      <c r="D28" s="69">
        <v>4.5454545454545456E-2</v>
      </c>
      <c r="E28"/>
      <c r="F28"/>
    </row>
    <row r="29" spans="2:6" ht="18" x14ac:dyDescent="0.25">
      <c r="B29" s="117" t="s">
        <v>74</v>
      </c>
      <c r="C29" s="416">
        <v>1</v>
      </c>
      <c r="D29" s="69">
        <v>4.5454545454545456E-2</v>
      </c>
      <c r="E29"/>
      <c r="F29"/>
    </row>
    <row r="30" spans="2:6" ht="18" x14ac:dyDescent="0.25">
      <c r="B30" s="117" t="s">
        <v>99</v>
      </c>
      <c r="C30" s="416">
        <v>1</v>
      </c>
      <c r="D30" s="69">
        <v>4.5454545454545456E-2</v>
      </c>
      <c r="E30"/>
      <c r="F30"/>
    </row>
    <row r="31" spans="2:6" ht="18" x14ac:dyDescent="0.25">
      <c r="B31" s="117" t="s">
        <v>98</v>
      </c>
      <c r="C31" s="416">
        <v>1</v>
      </c>
      <c r="D31" s="69">
        <v>4.5454545454545456E-2</v>
      </c>
      <c r="E31"/>
      <c r="F31"/>
    </row>
    <row r="32" spans="2:6" ht="18" x14ac:dyDescent="0.25">
      <c r="B32" s="117" t="s">
        <v>203</v>
      </c>
      <c r="C32" s="416">
        <v>1</v>
      </c>
      <c r="D32" s="69">
        <v>4.5454545454545456E-2</v>
      </c>
      <c r="E32"/>
      <c r="F32"/>
    </row>
    <row r="33" spans="2:6" ht="18" x14ac:dyDescent="0.25">
      <c r="B33" s="117" t="s">
        <v>205</v>
      </c>
      <c r="C33" s="416">
        <v>1</v>
      </c>
      <c r="D33" s="69">
        <v>4.5454545454545456E-2</v>
      </c>
      <c r="E33"/>
      <c r="F33"/>
    </row>
    <row r="34" spans="2:6" ht="19" thickBot="1" x14ac:dyDescent="0.3">
      <c r="B34" s="118" t="s">
        <v>209</v>
      </c>
      <c r="C34" s="416">
        <v>1</v>
      </c>
      <c r="D34" s="69">
        <v>4.5454545454545456E-2</v>
      </c>
      <c r="E34"/>
      <c r="F34"/>
    </row>
    <row r="35" spans="2:6" ht="19" thickBot="1" x14ac:dyDescent="0.3">
      <c r="B35" s="125" t="s">
        <v>83</v>
      </c>
      <c r="C35" s="417">
        <v>22</v>
      </c>
      <c r="D35" s="86">
        <v>1</v>
      </c>
      <c r="E35"/>
      <c r="F35"/>
    </row>
    <row r="39" spans="2:6" ht="19" thickBot="1" x14ac:dyDescent="0.3">
      <c r="B39" s="88"/>
      <c r="C39" s="89" t="s">
        <v>213</v>
      </c>
      <c r="D39" s="88"/>
      <c r="E39" s="88"/>
      <c r="F39"/>
    </row>
    <row r="40" spans="2:6" ht="19" thickBot="1" x14ac:dyDescent="0.3">
      <c r="B40" s="285" t="s">
        <v>119</v>
      </c>
      <c r="C40" s="286" t="s">
        <v>131</v>
      </c>
      <c r="D40" s="287" t="s">
        <v>132</v>
      </c>
      <c r="E40" s="88" t="s">
        <v>438</v>
      </c>
      <c r="F40"/>
    </row>
    <row r="41" spans="2:6" ht="18" x14ac:dyDescent="0.25">
      <c r="B41" s="116" t="s">
        <v>106</v>
      </c>
      <c r="C41" s="415">
        <v>1</v>
      </c>
      <c r="D41" s="467">
        <v>4.5454545454545456E-2</v>
      </c>
      <c r="E41" s="470">
        <v>31300000</v>
      </c>
      <c r="F41">
        <f>GETPIVOTDATA("Sum of 本资产打包金额（元）",$B$39,"借款人行业（基建、房地产、工商）","工商")/GETPIVOTDATA("Sum of 本资产打包金额（元）",$B$39)</f>
        <v>5.8124419684308266E-2</v>
      </c>
    </row>
    <row r="42" spans="2:6" ht="19" thickBot="1" x14ac:dyDescent="0.3">
      <c r="B42" s="118" t="s">
        <v>63</v>
      </c>
      <c r="C42" s="416">
        <v>21</v>
      </c>
      <c r="D42" s="468">
        <v>0.95454545454545459</v>
      </c>
      <c r="E42" s="90">
        <v>507200000</v>
      </c>
      <c r="F42"/>
    </row>
    <row r="43" spans="2:6" ht="19" thickBot="1" x14ac:dyDescent="0.3">
      <c r="B43" s="115" t="s">
        <v>83</v>
      </c>
      <c r="C43" s="417">
        <v>22</v>
      </c>
      <c r="D43" s="469">
        <v>1</v>
      </c>
      <c r="E43" s="471">
        <v>538500000</v>
      </c>
      <c r="F43"/>
    </row>
    <row r="56" spans="2:6" ht="19" thickBot="1" x14ac:dyDescent="0.3">
      <c r="B56" s="88"/>
      <c r="C56" s="89" t="s">
        <v>213</v>
      </c>
      <c r="D56" s="88"/>
      <c r="E56"/>
      <c r="F56"/>
    </row>
    <row r="57" spans="2:6" ht="19" thickBot="1" x14ac:dyDescent="0.3">
      <c r="B57" s="288" t="s">
        <v>122</v>
      </c>
      <c r="C57" s="289" t="s">
        <v>131</v>
      </c>
      <c r="D57" s="290" t="s">
        <v>132</v>
      </c>
      <c r="E57"/>
      <c r="F57"/>
    </row>
    <row r="58" spans="2:6" ht="19" thickBot="1" x14ac:dyDescent="0.3">
      <c r="B58" s="124" t="s">
        <v>124</v>
      </c>
      <c r="C58" s="415">
        <v>22</v>
      </c>
      <c r="D58" s="112">
        <v>1</v>
      </c>
      <c r="E58"/>
      <c r="F58"/>
    </row>
    <row r="59" spans="2:6" ht="19" thickBot="1" x14ac:dyDescent="0.3">
      <c r="B59" s="115" t="s">
        <v>83</v>
      </c>
      <c r="C59" s="417">
        <v>22</v>
      </c>
      <c r="D59" s="86">
        <v>1</v>
      </c>
      <c r="E59"/>
      <c r="F59"/>
    </row>
    <row r="63" spans="2:6" ht="19" thickBot="1" x14ac:dyDescent="0.3">
      <c r="B63" s="88"/>
      <c r="C63" s="89" t="s">
        <v>213</v>
      </c>
      <c r="D63" s="88"/>
      <c r="E63"/>
      <c r="F63"/>
    </row>
    <row r="64" spans="2:6" ht="19" thickBot="1" x14ac:dyDescent="0.3">
      <c r="B64" s="288" t="s">
        <v>126</v>
      </c>
      <c r="C64" s="289" t="s">
        <v>131</v>
      </c>
      <c r="D64" s="290" t="s">
        <v>132</v>
      </c>
      <c r="E64"/>
      <c r="F64"/>
    </row>
    <row r="65" spans="2:7" ht="18" x14ac:dyDescent="0.25">
      <c r="B65" s="111" t="s">
        <v>125</v>
      </c>
      <c r="C65" s="415">
        <v>11</v>
      </c>
      <c r="D65" s="112">
        <v>0.5</v>
      </c>
      <c r="E65"/>
      <c r="F65"/>
    </row>
    <row r="66" spans="2:7" ht="19" thickBot="1" x14ac:dyDescent="0.3">
      <c r="B66" s="114" t="s">
        <v>124</v>
      </c>
      <c r="C66" s="416">
        <v>11</v>
      </c>
      <c r="D66" s="69">
        <v>0.5</v>
      </c>
      <c r="E66"/>
      <c r="F66"/>
    </row>
    <row r="67" spans="2:7" ht="19" thickBot="1" x14ac:dyDescent="0.3">
      <c r="B67" s="115" t="s">
        <v>83</v>
      </c>
      <c r="C67" s="417">
        <v>22</v>
      </c>
      <c r="D67" s="86">
        <v>1</v>
      </c>
      <c r="E67"/>
      <c r="F67"/>
    </row>
    <row r="70" spans="2:7" ht="19" thickBot="1" x14ac:dyDescent="0.3">
      <c r="B70" s="88"/>
      <c r="C70" s="89" t="s">
        <v>213</v>
      </c>
      <c r="D70" s="88"/>
      <c r="E70"/>
      <c r="F70"/>
    </row>
    <row r="71" spans="2:7" ht="19" thickBot="1" x14ac:dyDescent="0.3">
      <c r="B71" s="288" t="s">
        <v>128</v>
      </c>
      <c r="C71" s="289" t="s">
        <v>131</v>
      </c>
      <c r="D71" s="290" t="s">
        <v>132</v>
      </c>
      <c r="E71"/>
      <c r="F71"/>
    </row>
    <row r="72" spans="2:7" ht="18" x14ac:dyDescent="0.25">
      <c r="B72" s="111" t="s">
        <v>130</v>
      </c>
      <c r="C72" s="415">
        <v>5</v>
      </c>
      <c r="D72" s="112">
        <v>0.22727272727272727</v>
      </c>
      <c r="E72"/>
      <c r="F72"/>
    </row>
    <row r="73" spans="2:7" ht="18" x14ac:dyDescent="0.25">
      <c r="B73" s="113" t="s">
        <v>226</v>
      </c>
      <c r="C73" s="416">
        <v>11</v>
      </c>
      <c r="D73" s="69">
        <v>0.5</v>
      </c>
      <c r="E73"/>
      <c r="F73"/>
    </row>
    <row r="74" spans="2:7" ht="19" thickBot="1" x14ac:dyDescent="0.3">
      <c r="B74" s="114" t="s">
        <v>227</v>
      </c>
      <c r="C74" s="416">
        <v>6</v>
      </c>
      <c r="D74" s="69">
        <v>0.27272727272727271</v>
      </c>
      <c r="E74"/>
      <c r="F74"/>
    </row>
    <row r="75" spans="2:7" ht="19" thickBot="1" x14ac:dyDescent="0.3">
      <c r="B75" s="115" t="s">
        <v>83</v>
      </c>
      <c r="C75" s="417">
        <v>22</v>
      </c>
      <c r="D75" s="86">
        <v>1</v>
      </c>
      <c r="E75"/>
      <c r="F75"/>
    </row>
    <row r="76" spans="2:7" x14ac:dyDescent="0.2">
      <c r="B76" s="70"/>
      <c r="C76" s="71"/>
      <c r="D76" s="72"/>
      <c r="E76" s="73"/>
      <c r="F76" s="72"/>
    </row>
    <row r="77" spans="2:7" ht="19" thickBot="1" x14ac:dyDescent="0.3">
      <c r="B77" s="88"/>
      <c r="C77" s="88"/>
      <c r="D77" s="88"/>
      <c r="E77"/>
      <c r="F77"/>
      <c r="G77" s="74"/>
    </row>
    <row r="78" spans="2:7" ht="18" x14ac:dyDescent="0.25">
      <c r="B78" s="422"/>
      <c r="C78" s="423"/>
      <c r="D78" s="424"/>
      <c r="E78"/>
      <c r="F78"/>
    </row>
    <row r="79" spans="2:7" ht="18" x14ac:dyDescent="0.25">
      <c r="B79" s="137"/>
      <c r="C79" s="88"/>
      <c r="D79" s="425"/>
      <c r="E79"/>
      <c r="F79"/>
    </row>
    <row r="80" spans="2:7" ht="18" x14ac:dyDescent="0.25">
      <c r="B80" s="137"/>
      <c r="C80" s="88"/>
      <c r="D80" s="425"/>
      <c r="E80"/>
      <c r="F80"/>
    </row>
    <row r="81" spans="2:13" ht="18" x14ac:dyDescent="0.25">
      <c r="B81" s="137"/>
      <c r="C81" s="88"/>
      <c r="D81" s="425"/>
      <c r="E81"/>
      <c r="F81"/>
    </row>
    <row r="82" spans="2:13" ht="18" x14ac:dyDescent="0.25">
      <c r="B82" s="137"/>
      <c r="C82" s="88"/>
      <c r="D82" s="425"/>
      <c r="E82"/>
      <c r="F82"/>
    </row>
    <row r="83" spans="2:13" ht="18" x14ac:dyDescent="0.25">
      <c r="B83" s="137"/>
      <c r="C83" s="88"/>
      <c r="D83" s="425"/>
      <c r="E83"/>
      <c r="F83"/>
    </row>
    <row r="84" spans="2:13" ht="18" x14ac:dyDescent="0.25">
      <c r="B84" s="137"/>
      <c r="C84" s="88"/>
      <c r="D84" s="425"/>
      <c r="E84"/>
      <c r="F84"/>
    </row>
    <row r="85" spans="2:13" ht="18" x14ac:dyDescent="0.25">
      <c r="B85" s="137"/>
      <c r="C85" s="88"/>
      <c r="D85" s="425"/>
      <c r="E85"/>
      <c r="F85"/>
    </row>
    <row r="86" spans="2:13" ht="18" x14ac:dyDescent="0.25">
      <c r="B86" s="137"/>
      <c r="C86" s="88"/>
      <c r="D86" s="425"/>
      <c r="E86"/>
      <c r="F86"/>
    </row>
    <row r="87" spans="2:13" ht="18" x14ac:dyDescent="0.25">
      <c r="B87" s="137"/>
      <c r="C87" s="88"/>
      <c r="D87" s="425"/>
      <c r="E87"/>
      <c r="F87"/>
    </row>
    <row r="88" spans="2:13" x14ac:dyDescent="0.2">
      <c r="B88" s="137"/>
      <c r="C88" s="88"/>
      <c r="D88" s="425"/>
    </row>
    <row r="89" spans="2:13" ht="15" thickBot="1" x14ac:dyDescent="0.25">
      <c r="B89" s="140"/>
      <c r="C89" s="144"/>
      <c r="D89" s="426"/>
      <c r="E89" s="73"/>
      <c r="F89" s="72"/>
    </row>
    <row r="90" spans="2:13" x14ac:dyDescent="0.2">
      <c r="B90" s="88"/>
      <c r="C90" s="89" t="s">
        <v>213</v>
      </c>
      <c r="D90" s="88"/>
      <c r="E90" s="421"/>
      <c r="F90" s="75"/>
    </row>
    <row r="91" spans="2:13" x14ac:dyDescent="0.2">
      <c r="B91" s="414" t="s">
        <v>30</v>
      </c>
      <c r="C91" s="414" t="s">
        <v>221</v>
      </c>
      <c r="D91" s="414" t="s">
        <v>222</v>
      </c>
      <c r="E91" s="414" t="s">
        <v>223</v>
      </c>
      <c r="F91" s="418" t="s">
        <v>224</v>
      </c>
      <c r="H91" s="76" t="s">
        <v>332</v>
      </c>
      <c r="I91" s="77"/>
      <c r="J91" s="78"/>
      <c r="M91" s="67" t="s">
        <v>406</v>
      </c>
    </row>
    <row r="92" spans="2:13" x14ac:dyDescent="0.2">
      <c r="B92" s="412">
        <v>42610</v>
      </c>
      <c r="C92" s="68">
        <v>0</v>
      </c>
      <c r="D92" s="68">
        <v>246575.34999999998</v>
      </c>
      <c r="E92" s="68">
        <v>246575.34999999998</v>
      </c>
      <c r="F92" s="85">
        <f>E92</f>
        <v>246575.34999999998</v>
      </c>
      <c r="G92" s="67">
        <f>IFERROR(VLOOKUP(B92,投资者收益测算表!$M$28:$O$38,3,0),0)</f>
        <v>0</v>
      </c>
      <c r="H92" s="80">
        <f>SUMPRODUCT((基础资产现金流!$B$2:$B$138-B89&gt;0)*(基础资产现金流!$B$2:$B$138-B92&lt;=0)*(基础资产现金流!$F$2:$F$138))</f>
        <v>0</v>
      </c>
      <c r="I92" s="80">
        <f>SUMPRODUCT((基础资产现金流!$B$2:$B$138-B89&gt;0)*(基础资产现金流!$B$2:$B$138-B92&lt;=0)*(基础资产现金流!$G$2:$G$138))</f>
        <v>30215709.280000005</v>
      </c>
      <c r="J92" s="82">
        <f>H92+I92</f>
        <v>30215709.280000005</v>
      </c>
      <c r="K92" s="82">
        <f>J92</f>
        <v>30215709.280000005</v>
      </c>
      <c r="M92" s="82">
        <f>K92-F92</f>
        <v>29969133.930000003</v>
      </c>
    </row>
    <row r="93" spans="2:13" x14ac:dyDescent="0.2">
      <c r="B93" s="412">
        <v>42633</v>
      </c>
      <c r="C93" s="68">
        <v>0</v>
      </c>
      <c r="D93" s="68">
        <v>80876.710000000006</v>
      </c>
      <c r="E93" s="68">
        <v>80876.710000000006</v>
      </c>
      <c r="F93" s="85">
        <f>F92+E93</f>
        <v>327452.06</v>
      </c>
      <c r="G93" s="67">
        <f>IFERROR(VLOOKUP(B93,投资者收益测算表!$M$28:$O$38,3,0),0)</f>
        <v>0</v>
      </c>
      <c r="H93" s="80">
        <f>SUMPRODUCT((基础资产现金流!$B$2:$B$138-B92&gt;0)*(基础资产现金流!$B$2:$B$138-B93&lt;=0)*(基础资产现金流!$F$2:$F$138))</f>
        <v>0</v>
      </c>
      <c r="I93" s="80">
        <f>SUMPRODUCT((基础资产现金流!$B$2:$B$138-B92&gt;0)*(基础资产现金流!$B$2:$B$138-B93&lt;=0)*(基础资产现金流!$G$2:$G$138))</f>
        <v>20263754.529999994</v>
      </c>
      <c r="J93" s="82">
        <f t="shared" ref="J93:J130" si="0">H93+I93</f>
        <v>20263754.529999994</v>
      </c>
      <c r="K93" s="82">
        <f>J93+K92</f>
        <v>50479463.810000002</v>
      </c>
      <c r="M93" s="82">
        <f t="shared" ref="M93:M130" si="1">K93-F93</f>
        <v>50152011.75</v>
      </c>
    </row>
    <row r="94" spans="2:13" x14ac:dyDescent="0.2">
      <c r="B94" s="412">
        <v>42634</v>
      </c>
      <c r="C94" s="68">
        <v>0</v>
      </c>
      <c r="D94" s="68">
        <v>181232.88</v>
      </c>
      <c r="E94" s="68">
        <v>181232.88</v>
      </c>
      <c r="F94" s="85">
        <f t="shared" ref="F94:F130" si="2">F93+E94</f>
        <v>508684.94</v>
      </c>
      <c r="G94" s="67">
        <f>IFERROR(VLOOKUP(B94,投资者收益测算表!$M$28:$O$38,3,0),0)</f>
        <v>0</v>
      </c>
      <c r="H94" s="80">
        <f>SUMPRODUCT((基础资产现金流!$B$2:$B$138-B93&gt;0)*(基础资产现金流!$B$2:$B$138-B94&lt;=0)*(基础资产现金流!$F$2:$F$138))</f>
        <v>0</v>
      </c>
      <c r="I94" s="80">
        <f>SUMPRODUCT((基础资产现金流!$B$2:$B$138-B93&gt;0)*(基础资产现金流!$B$2:$B$138-B94&lt;=0)*(基础资产现金流!$G$2:$G$138))</f>
        <v>94931.51</v>
      </c>
      <c r="J94" s="82">
        <f t="shared" si="0"/>
        <v>94931.51</v>
      </c>
      <c r="K94" s="82">
        <f>J94+K93</f>
        <v>50574395.32</v>
      </c>
      <c r="M94" s="82">
        <f t="shared" si="1"/>
        <v>50065710.380000003</v>
      </c>
    </row>
    <row r="95" spans="2:13" x14ac:dyDescent="0.2">
      <c r="B95" s="412">
        <v>42638</v>
      </c>
      <c r="C95" s="68">
        <v>0</v>
      </c>
      <c r="D95" s="68">
        <v>212885.48</v>
      </c>
      <c r="E95" s="68">
        <v>212885.48</v>
      </c>
      <c r="F95" s="85">
        <f t="shared" si="2"/>
        <v>721570.42</v>
      </c>
      <c r="G95" s="67">
        <f>IFERROR(VLOOKUP(B95,投资者收益测算表!$M$28:$O$38,3,0),0)</f>
        <v>0</v>
      </c>
      <c r="H95" s="80">
        <f>SUMPRODUCT((基础资产现金流!$B$2:$B$138-B94&gt;0)*(基础资产现金流!$B$2:$B$138-B95&lt;=0)*(基础资产现金流!$F$2:$F$138))</f>
        <v>0</v>
      </c>
      <c r="I95" s="80">
        <f>SUMPRODUCT((基础资产现金流!$B$2:$B$138-B94&gt;0)*(基础资产现金流!$B$2:$B$138-B95&lt;=0)*(基础资产现金流!$G$2:$G$138))</f>
        <v>120326.58</v>
      </c>
      <c r="J95" s="82">
        <f t="shared" si="0"/>
        <v>120326.58</v>
      </c>
      <c r="K95" s="82">
        <f t="shared" ref="K95:K130" si="3">J95+K94</f>
        <v>50694721.899999999</v>
      </c>
      <c r="L95" s="83"/>
      <c r="M95" s="82">
        <f t="shared" si="1"/>
        <v>49973151.479999997</v>
      </c>
    </row>
    <row r="96" spans="2:13" x14ac:dyDescent="0.2">
      <c r="B96" s="412">
        <v>42659</v>
      </c>
      <c r="C96" s="68">
        <v>0</v>
      </c>
      <c r="D96" s="68">
        <v>99233.42</v>
      </c>
      <c r="E96" s="68">
        <v>99233.42</v>
      </c>
      <c r="F96" s="85">
        <f t="shared" si="2"/>
        <v>820803.84000000008</v>
      </c>
      <c r="G96" s="67">
        <f>IFERROR(VLOOKUP(B96,投资者收益测算表!$M$28:$O$38,3,0),0)</f>
        <v>0</v>
      </c>
      <c r="H96" s="80">
        <f>SUMPRODUCT((基础资产现金流!$B$2:$B$138-B95&gt;0)*(基础资产现金流!$B$2:$B$138-B96&lt;=0)*(基础资产现金流!$F$2:$F$138))</f>
        <v>0</v>
      </c>
      <c r="I96" s="80">
        <f>SUMPRODUCT((基础资产现金流!$B$2:$B$138-B95&gt;0)*(基础资产现金流!$B$2:$B$138-B96&lt;=0)*(基础资产现金流!$G$2:$G$138))</f>
        <v>69611.509999999995</v>
      </c>
      <c r="J96" s="82">
        <f t="shared" si="0"/>
        <v>69611.509999999995</v>
      </c>
      <c r="K96" s="82">
        <f t="shared" si="3"/>
        <v>50764333.409999996</v>
      </c>
      <c r="L96" s="83"/>
      <c r="M96" s="82">
        <f t="shared" si="1"/>
        <v>49943529.569999993</v>
      </c>
    </row>
    <row r="97" spans="2:13" x14ac:dyDescent="0.2">
      <c r="B97" s="412">
        <v>42672</v>
      </c>
      <c r="C97" s="68">
        <v>0</v>
      </c>
      <c r="D97" s="68">
        <v>155616.44</v>
      </c>
      <c r="E97" s="68">
        <v>155616.44</v>
      </c>
      <c r="F97" s="85">
        <f t="shared" si="2"/>
        <v>976420.28</v>
      </c>
      <c r="G97" s="67">
        <f>IFERROR(VLOOKUP(B97,投资者收益测算表!$M$28:$O$38,3,0),0)</f>
        <v>0</v>
      </c>
      <c r="H97" s="80">
        <f>SUMPRODUCT((基础资产现金流!$B$2:$B$138-B96&gt;0)*(基础资产现金流!$B$2:$B$138-B97&lt;=0)*(基础资产现金流!$F$2:$F$138))</f>
        <v>0</v>
      </c>
      <c r="I97" s="80">
        <f>SUMPRODUCT((基础资产现金流!$B$2:$B$138-B96&gt;0)*(基础资产现金流!$B$2:$B$138-B97&lt;=0)*(基础资产现金流!$G$2:$G$138))</f>
        <v>116712.33</v>
      </c>
      <c r="J97" s="82">
        <f t="shared" si="0"/>
        <v>116712.33</v>
      </c>
      <c r="K97" s="82">
        <f t="shared" si="3"/>
        <v>50881045.739999995</v>
      </c>
      <c r="L97" s="83"/>
      <c r="M97" s="82">
        <f t="shared" si="1"/>
        <v>49904625.459999993</v>
      </c>
    </row>
    <row r="98" spans="2:13" x14ac:dyDescent="0.2">
      <c r="B98" s="412">
        <v>42674</v>
      </c>
      <c r="C98" s="68">
        <v>30000000</v>
      </c>
      <c r="D98" s="68">
        <v>727890.41</v>
      </c>
      <c r="E98" s="68">
        <v>30727890.41</v>
      </c>
      <c r="F98" s="85">
        <f t="shared" si="2"/>
        <v>31704310.690000001</v>
      </c>
      <c r="G98" s="67">
        <f>IFERROR(VLOOKUP(B98,投资者收益测算表!$M$28:$O$38,3,0),0)</f>
        <v>0</v>
      </c>
      <c r="H98" s="80">
        <f>SUMPRODUCT((基础资产现金流!$B$2:$B$138-B97&gt;0)*(基础资产现金流!$B$2:$B$138-B98&lt;=0)*(基础资产现金流!$F$2:$F$138))</f>
        <v>30000000</v>
      </c>
      <c r="I98" s="80">
        <f>SUMPRODUCT((基础资产现金流!$B$2:$B$138-B97&gt;0)*(基础资产现金流!$B$2:$B$138-B98&lt;=0)*(基础资产现金流!$G$2:$G$138))</f>
        <v>550356.16</v>
      </c>
      <c r="J98" s="82">
        <f t="shared" si="0"/>
        <v>30550356.16</v>
      </c>
      <c r="K98" s="82">
        <f t="shared" si="3"/>
        <v>81431401.899999991</v>
      </c>
      <c r="L98" s="83"/>
      <c r="M98" s="82">
        <f t="shared" si="1"/>
        <v>49727091.209999993</v>
      </c>
    </row>
    <row r="99" spans="2:13" x14ac:dyDescent="0.2">
      <c r="B99" s="412">
        <v>42681</v>
      </c>
      <c r="C99" s="68">
        <v>50000000</v>
      </c>
      <c r="D99" s="68">
        <v>1316712.33</v>
      </c>
      <c r="E99" s="68">
        <v>51316712.329999998</v>
      </c>
      <c r="F99" s="85">
        <f t="shared" si="2"/>
        <v>83021023.019999996</v>
      </c>
      <c r="G99" s="67">
        <f>IFERROR(VLOOKUP(B99,投资者收益测算表!$M$28:$O$38,3,0),0)</f>
        <v>0</v>
      </c>
      <c r="H99" s="80">
        <f>SUMPRODUCT((基础资产现金流!$B$2:$B$138-B98&gt;0)*(基础资产现金流!$B$2:$B$138-B99&lt;=0)*(基础资产现金流!$F$2:$F$138))</f>
        <v>50000000</v>
      </c>
      <c r="I99" s="80">
        <f>SUMPRODUCT((基础资产现金流!$B$2:$B$138-B98&gt;0)*(基础资产现金流!$B$2:$B$138-B99&lt;=0)*(基础资产现金流!$G$2:$G$138))</f>
        <v>1020821.92</v>
      </c>
      <c r="J99" s="82">
        <f t="shared" si="0"/>
        <v>51020821.920000002</v>
      </c>
      <c r="K99" s="82">
        <f t="shared" si="3"/>
        <v>132452223.81999999</v>
      </c>
      <c r="M99" s="82">
        <f t="shared" si="1"/>
        <v>49431200.799999997</v>
      </c>
    </row>
    <row r="100" spans="2:13" x14ac:dyDescent="0.2">
      <c r="B100" s="412">
        <v>42701</v>
      </c>
      <c r="C100" s="68">
        <v>0</v>
      </c>
      <c r="D100" s="68">
        <v>161260.26999999999</v>
      </c>
      <c r="E100" s="68">
        <v>161260.26999999999</v>
      </c>
      <c r="F100" s="85">
        <f t="shared" si="2"/>
        <v>83182283.289999992</v>
      </c>
      <c r="G100" s="67">
        <f>IFERROR(VLOOKUP(B100,投资者收益测算表!$M$28:$O$38,3,0),0)</f>
        <v>0</v>
      </c>
      <c r="H100" s="80">
        <f>SUMPRODUCT((基础资产现金流!$B$2:$B$138-B99&gt;0)*(基础资产现金流!$B$2:$B$138-B100&lt;=0)*(基础资产现金流!$F$2:$F$138))</f>
        <v>0</v>
      </c>
      <c r="I100" s="80">
        <f>SUMPRODUCT((基础资产现金流!$B$2:$B$138-B99&gt;0)*(基础资产现金流!$B$2:$B$138-B100&lt;=0)*(基础资产现金流!$G$2:$G$138))</f>
        <v>131671.23000000001</v>
      </c>
      <c r="J100" s="82">
        <f t="shared" si="0"/>
        <v>131671.23000000001</v>
      </c>
      <c r="K100" s="82">
        <f t="shared" si="3"/>
        <v>132583895.05</v>
      </c>
      <c r="M100" s="82">
        <f t="shared" si="1"/>
        <v>49401611.760000005</v>
      </c>
    </row>
    <row r="101" spans="2:13" x14ac:dyDescent="0.2">
      <c r="B101" s="412">
        <v>42702</v>
      </c>
      <c r="C101" s="68">
        <v>0</v>
      </c>
      <c r="D101" s="68">
        <v>1260273.97</v>
      </c>
      <c r="E101" s="68">
        <v>1260273.97</v>
      </c>
      <c r="F101" s="85">
        <f t="shared" si="2"/>
        <v>84442557.25999999</v>
      </c>
      <c r="G101" s="67">
        <f>IFERROR(VLOOKUP(B101,投资者收益测算表!$M$28:$O$38,3,0),0)</f>
        <v>0</v>
      </c>
      <c r="H101" s="80">
        <f>SUMPRODUCT((基础资产现金流!$B$2:$B$138-B100&gt;0)*(基础资产现金流!$B$2:$B$138-B101&lt;=0)*(基础资产现金流!$F$2:$F$138))</f>
        <v>0</v>
      </c>
      <c r="I101" s="80">
        <f>SUMPRODUCT((基础资产现金流!$B$2:$B$138-B100&gt;0)*(基础资产现金流!$B$2:$B$138-B101&lt;=0)*(基础资产现金流!$G$2:$G$138))</f>
        <v>1232876.71</v>
      </c>
      <c r="J101" s="82">
        <f t="shared" si="0"/>
        <v>1232876.71</v>
      </c>
      <c r="K101" s="82">
        <f t="shared" si="3"/>
        <v>133816771.75999999</v>
      </c>
      <c r="M101" s="82">
        <f t="shared" si="1"/>
        <v>49374214.5</v>
      </c>
    </row>
    <row r="102" spans="2:13" x14ac:dyDescent="0.2">
      <c r="B102" s="412">
        <v>42707</v>
      </c>
      <c r="C102" s="68">
        <v>0</v>
      </c>
      <c r="D102" s="68">
        <v>1528869.8599999999</v>
      </c>
      <c r="E102" s="68">
        <v>1528869.8599999999</v>
      </c>
      <c r="F102" s="85">
        <f t="shared" si="2"/>
        <v>85971427.11999999</v>
      </c>
      <c r="G102" s="67">
        <f>IFERROR(VLOOKUP(B102,投资者收益测算表!$M$28:$O$38,3,0),0)</f>
        <v>0</v>
      </c>
      <c r="H102" s="80">
        <f>SUMPRODUCT((基础资产现金流!$B$2:$B$138-B101&gt;0)*(基础资产现金流!$B$2:$B$138-B102&lt;=0)*(基础资产现金流!$F$2:$F$138))</f>
        <v>0</v>
      </c>
      <c r="I102" s="80">
        <f>SUMPRODUCT((基础资产现金流!$B$2:$B$138-B101&gt;0)*(基础资产现金流!$B$2:$B$138-B102&lt;=0)*(基础资产现金流!$G$2:$G$138))</f>
        <v>1262979.45</v>
      </c>
      <c r="J102" s="82">
        <f t="shared" si="0"/>
        <v>1262979.45</v>
      </c>
      <c r="K102" s="82">
        <f t="shared" si="3"/>
        <v>135079751.20999998</v>
      </c>
      <c r="M102" s="82">
        <f t="shared" si="1"/>
        <v>49108324.089999989</v>
      </c>
    </row>
    <row r="103" spans="2:13" x14ac:dyDescent="0.2">
      <c r="B103" s="412">
        <v>42708</v>
      </c>
      <c r="C103" s="68">
        <v>0</v>
      </c>
      <c r="D103" s="68">
        <v>715068.49</v>
      </c>
      <c r="E103" s="68">
        <v>715068.49</v>
      </c>
      <c r="F103" s="85">
        <f t="shared" si="2"/>
        <v>86686495.609999985</v>
      </c>
      <c r="G103" s="67">
        <f>IFERROR(VLOOKUP(B103,投资者收益测算表!$M$28:$O$38,3,0),0)</f>
        <v>0</v>
      </c>
      <c r="H103" s="80">
        <f>SUMPRODUCT((基础资产现金流!$B$2:$B$138-B102&gt;0)*(基础资产现金流!$B$2:$B$138-B103&lt;=0)*(基础资产现金流!$F$2:$F$138))</f>
        <v>0</v>
      </c>
      <c r="I103" s="80">
        <f>SUMPRODUCT((基础资产现金流!$B$2:$B$138-B102&gt;0)*(基础资产现金流!$B$2:$B$138-B103&lt;=0)*(基础资产现金流!$G$2:$G$138))</f>
        <v>591780.81999999995</v>
      </c>
      <c r="J103" s="82">
        <f t="shared" si="0"/>
        <v>591780.81999999995</v>
      </c>
      <c r="K103" s="82">
        <f t="shared" si="3"/>
        <v>135671532.02999997</v>
      </c>
      <c r="M103" s="82">
        <f t="shared" si="1"/>
        <v>48985036.419999987</v>
      </c>
    </row>
    <row r="104" spans="2:13" x14ac:dyDescent="0.2">
      <c r="B104" s="412">
        <v>42709</v>
      </c>
      <c r="C104" s="68">
        <v>26700000</v>
      </c>
      <c r="D104" s="68">
        <v>270304.65000000002</v>
      </c>
      <c r="E104" s="68">
        <v>26970304.649999999</v>
      </c>
      <c r="F104" s="85">
        <f t="shared" si="2"/>
        <v>113656800.25999999</v>
      </c>
      <c r="G104" s="67">
        <f>IFERROR(VLOOKUP(B104,投资者收益测算表!$M$28:$O$38,3,0),0)</f>
        <v>0</v>
      </c>
      <c r="H104" s="80">
        <f>SUMPRODUCT((基础资产现金流!$B$2:$B$138-B103&gt;0)*(基础资产现金流!$B$2:$B$138-B104&lt;=0)*(基础资产现金流!$F$2:$F$138))</f>
        <v>26700000</v>
      </c>
      <c r="I104" s="80">
        <f>SUMPRODUCT((基础资产现金流!$B$2:$B$138-B103&gt;0)*(基础资产现金流!$B$2:$B$138-B104&lt;=0)*(基础资产现金流!$G$2:$G$138))</f>
        <v>230655.34</v>
      </c>
      <c r="J104" s="82">
        <f t="shared" si="0"/>
        <v>26930655.34</v>
      </c>
      <c r="K104" s="82">
        <f t="shared" si="3"/>
        <v>162602187.36999997</v>
      </c>
      <c r="M104" s="82">
        <f t="shared" si="1"/>
        <v>48945387.109999985</v>
      </c>
    </row>
    <row r="105" spans="2:13" x14ac:dyDescent="0.2">
      <c r="B105" s="412">
        <v>42715</v>
      </c>
      <c r="C105" s="68">
        <v>0</v>
      </c>
      <c r="D105" s="68">
        <v>687452.05</v>
      </c>
      <c r="E105" s="68">
        <v>687452.05</v>
      </c>
      <c r="F105" s="85">
        <f t="shared" si="2"/>
        <v>114344252.30999999</v>
      </c>
      <c r="G105" s="67">
        <f>IFERROR(VLOOKUP(B105,投资者收益测算表!$M$28:$O$38,3,0),0)</f>
        <v>0</v>
      </c>
      <c r="H105" s="80">
        <f>SUMPRODUCT((基础资产现金流!$B$2:$B$138-B104&gt;0)*(基础资产现金流!$B$2:$B$138-B105&lt;=0)*(基础资产现金流!$F$2:$F$138))</f>
        <v>0</v>
      </c>
      <c r="I105" s="80">
        <f>SUMPRODUCT((基础资产现金流!$B$2:$B$138-B104&gt;0)*(基础资产现金流!$B$2:$B$138-B105&lt;=0)*(基础资产现金流!$G$2:$G$138))</f>
        <v>575671.23</v>
      </c>
      <c r="J105" s="82">
        <f t="shared" si="0"/>
        <v>575671.23</v>
      </c>
      <c r="K105" s="82">
        <f t="shared" si="3"/>
        <v>163177858.59999996</v>
      </c>
      <c r="M105" s="82">
        <f t="shared" si="1"/>
        <v>48833606.289999977</v>
      </c>
    </row>
    <row r="106" spans="2:13" x14ac:dyDescent="0.2">
      <c r="B106" s="412">
        <v>42716</v>
      </c>
      <c r="C106" s="68">
        <v>30000000</v>
      </c>
      <c r="D106" s="68">
        <v>115068.49</v>
      </c>
      <c r="E106" s="68">
        <v>30115068.489999998</v>
      </c>
      <c r="F106" s="85">
        <f t="shared" si="2"/>
        <v>144459320.79999998</v>
      </c>
      <c r="G106" s="67">
        <f>IFERROR(VLOOKUP(B106,投资者收益测算表!$M$28:$O$38,3,0),0)</f>
        <v>0</v>
      </c>
      <c r="H106" s="80">
        <f>SUMPRODUCT((基础资产现金流!$B$2:$B$138-B105&gt;0)*(基础资产现金流!$B$2:$B$138-B106&lt;=0)*(基础资产现金流!$F$2:$F$138))</f>
        <v>30000000</v>
      </c>
      <c r="I106" s="80">
        <f>SUMPRODUCT((基础资产现金流!$B$2:$B$138-B105&gt;0)*(基础资产现金流!$B$2:$B$138-B106&lt;=0)*(基础资产现金流!$G$2:$G$138))</f>
        <v>115068.49</v>
      </c>
      <c r="J106" s="82">
        <f t="shared" si="0"/>
        <v>30115068.489999998</v>
      </c>
      <c r="K106" s="82">
        <f t="shared" si="3"/>
        <v>193292927.08999997</v>
      </c>
      <c r="M106" s="82">
        <f t="shared" si="1"/>
        <v>48833606.289999992</v>
      </c>
    </row>
    <row r="107" spans="2:13" x14ac:dyDescent="0.2">
      <c r="B107" s="412">
        <v>42724</v>
      </c>
      <c r="C107" s="68">
        <v>0</v>
      </c>
      <c r="D107" s="68">
        <v>688569.86</v>
      </c>
      <c r="E107" s="68">
        <v>688569.86</v>
      </c>
      <c r="F107" s="85">
        <f t="shared" si="2"/>
        <v>145147890.66</v>
      </c>
      <c r="G107" s="67">
        <f>IFERROR(VLOOKUP(B107,投资者收益测算表!$M$28:$O$38,3,0),0)</f>
        <v>0</v>
      </c>
      <c r="H107" s="80">
        <f>SUMPRODUCT((基础资产现金流!$B$2:$B$138-B106&gt;0)*(基础资产现金流!$B$2:$B$138-B107&lt;=0)*(基础资产现金流!$F$2:$F$138))</f>
        <v>0</v>
      </c>
      <c r="I107" s="80">
        <f>SUMPRODUCT((基础资产现金流!$B$2:$B$138-B106&gt;0)*(基础资产现金流!$B$2:$B$138-B107&lt;=0)*(基础资产现金流!$G$2:$G$138))</f>
        <v>584241.1</v>
      </c>
      <c r="J107" s="82">
        <f t="shared" si="0"/>
        <v>584241.1</v>
      </c>
      <c r="K107" s="82">
        <f t="shared" si="3"/>
        <v>193877168.18999997</v>
      </c>
      <c r="M107" s="82">
        <f t="shared" si="1"/>
        <v>48729277.529999971</v>
      </c>
    </row>
    <row r="108" spans="2:13" x14ac:dyDescent="0.2">
      <c r="B108" s="412">
        <v>42725</v>
      </c>
      <c r="C108" s="68">
        <v>0</v>
      </c>
      <c r="D108" s="68">
        <v>392671.23</v>
      </c>
      <c r="E108" s="68">
        <v>392671.23</v>
      </c>
      <c r="F108" s="85">
        <f t="shared" si="2"/>
        <v>145540561.88999999</v>
      </c>
      <c r="G108" s="67">
        <f>IFERROR(VLOOKUP(B108,投资者收益测算表!$M$28:$O$38,3,0),0)</f>
        <v>0</v>
      </c>
      <c r="H108" s="80">
        <f>SUMPRODUCT((基础资产现金流!$B$2:$B$138-B107&gt;0)*(基础资产现金流!$B$2:$B$138-B108&lt;=0)*(基础资产现金流!$F$2:$F$138))</f>
        <v>0</v>
      </c>
      <c r="I108" s="80">
        <f>SUMPRODUCT((基础资产现金流!$B$2:$B$138-B107&gt;0)*(基础资产现金流!$B$2:$B$138-B108&lt;=0)*(基础资产现金流!$G$2:$G$138))</f>
        <v>392671.23</v>
      </c>
      <c r="J108" s="82">
        <f t="shared" si="0"/>
        <v>392671.23</v>
      </c>
      <c r="K108" s="82">
        <f t="shared" si="3"/>
        <v>194269839.41999996</v>
      </c>
      <c r="M108" s="82">
        <f t="shared" si="1"/>
        <v>48729277.529999971</v>
      </c>
    </row>
    <row r="109" spans="2:13" x14ac:dyDescent="0.2">
      <c r="B109" s="412">
        <v>42729</v>
      </c>
      <c r="C109" s="68">
        <v>7100000</v>
      </c>
      <c r="D109" s="68">
        <v>532019.72</v>
      </c>
      <c r="E109" s="68">
        <v>7632019.7199999997</v>
      </c>
      <c r="F109" s="85">
        <f t="shared" si="2"/>
        <v>153172581.60999998</v>
      </c>
      <c r="G109" s="67">
        <f>IFERROR(VLOOKUP(B109,投资者收益测算表!$M$28:$O$38,3,0),0)</f>
        <v>0</v>
      </c>
      <c r="H109" s="80">
        <f>SUMPRODUCT((基础资产现金流!$B$2:$B$138-B108&gt;0)*(基础资产现金流!$B$2:$B$138-B109&lt;=0)*(基础资产现金流!$F$2:$F$138))</f>
        <v>7100000</v>
      </c>
      <c r="I109" s="80">
        <f>SUMPRODUCT((基础资产现金流!$B$2:$B$138-B108&gt;0)*(基础资产现金流!$B$2:$B$138-B109&lt;=0)*(基础资产现金流!$G$2:$G$138))</f>
        <v>532019.72</v>
      </c>
      <c r="J109" s="82">
        <f t="shared" si="0"/>
        <v>7632019.7199999997</v>
      </c>
      <c r="K109" s="82">
        <f t="shared" si="3"/>
        <v>201901859.13999996</v>
      </c>
      <c r="M109" s="82">
        <f t="shared" si="1"/>
        <v>48729277.529999971</v>
      </c>
    </row>
    <row r="110" spans="2:13" x14ac:dyDescent="0.2">
      <c r="B110" s="412">
        <v>42740</v>
      </c>
      <c r="C110" s="68">
        <v>0</v>
      </c>
      <c r="D110" s="68">
        <v>727267.95</v>
      </c>
      <c r="E110" s="68">
        <v>727267.95</v>
      </c>
      <c r="F110" s="85">
        <f t="shared" si="2"/>
        <v>153899849.55999997</v>
      </c>
      <c r="G110" s="67">
        <f>IFERROR(VLOOKUP(B110,投资者收益测算表!$M$28:$O$38,3,0),0)</f>
        <v>0</v>
      </c>
      <c r="H110" s="80">
        <f>SUMPRODUCT((基础资产现金流!$B$2:$B$138-B109&gt;0)*(基础资产现金流!$B$2:$B$138-B110&lt;=0)*(基础资产现金流!$F$2:$F$138))</f>
        <v>0</v>
      </c>
      <c r="I110" s="80">
        <f>SUMPRODUCT((基础资产现金流!$B$2:$B$138-B109&gt;0)*(基础资产现金流!$B$2:$B$138-B110&lt;=0)*(基础资产现金流!$G$2:$G$138))</f>
        <v>628988.49</v>
      </c>
      <c r="J110" s="82">
        <f t="shared" si="0"/>
        <v>628988.49</v>
      </c>
      <c r="K110" s="82">
        <f t="shared" si="3"/>
        <v>202530847.62999997</v>
      </c>
      <c r="M110" s="82">
        <f t="shared" si="1"/>
        <v>48630998.069999993</v>
      </c>
    </row>
    <row r="111" spans="2:13" x14ac:dyDescent="0.2">
      <c r="B111" s="412">
        <v>42751</v>
      </c>
      <c r="C111" s="68">
        <v>0</v>
      </c>
      <c r="D111" s="68">
        <v>136260.82</v>
      </c>
      <c r="E111" s="68">
        <v>136260.82</v>
      </c>
      <c r="F111" s="85">
        <f t="shared" si="2"/>
        <v>154036110.37999997</v>
      </c>
      <c r="G111" s="67">
        <f>IFERROR(VLOOKUP(B111,投资者收益测算表!$M$28:$O$38,3,0),0)</f>
        <v>0</v>
      </c>
      <c r="H111" s="80">
        <f>SUMPRODUCT((基础资产现金流!$B$2:$B$138-B110&gt;0)*(基础资产现金流!$B$2:$B$138-B111&lt;=0)*(基础资产现金流!$F$2:$F$138))</f>
        <v>0</v>
      </c>
      <c r="I111" s="80">
        <f>SUMPRODUCT((基础资产现金流!$B$2:$B$138-B110&gt;0)*(基础资产现金流!$B$2:$B$138-B111&lt;=0)*(基础资产现金流!$G$2:$G$138))</f>
        <v>136260.82</v>
      </c>
      <c r="J111" s="82">
        <f t="shared" si="0"/>
        <v>136260.82</v>
      </c>
      <c r="K111" s="82">
        <f t="shared" si="3"/>
        <v>202667108.44999996</v>
      </c>
      <c r="M111" s="82">
        <f t="shared" si="1"/>
        <v>48630998.069999993</v>
      </c>
    </row>
    <row r="112" spans="2:13" x14ac:dyDescent="0.2">
      <c r="B112" s="412">
        <v>42756</v>
      </c>
      <c r="C112" s="68">
        <v>0</v>
      </c>
      <c r="D112" s="68">
        <v>1296903.01</v>
      </c>
      <c r="E112" s="68">
        <v>1296903.01</v>
      </c>
      <c r="F112" s="85">
        <f t="shared" si="2"/>
        <v>155333013.38999996</v>
      </c>
      <c r="G112" s="67">
        <f>IFERROR(VLOOKUP(B112,投资者收益测算表!$M$28:$O$38,3,0),0)</f>
        <v>0</v>
      </c>
      <c r="H112" s="80">
        <f>SUMPRODUCT((基础资产现金流!$B$2:$B$138-B111&gt;0)*(基础资产现金流!$B$2:$B$138-B112&lt;=0)*(基础资产现金流!$F$2:$F$138))</f>
        <v>0</v>
      </c>
      <c r="I112" s="80">
        <f>SUMPRODUCT((基础资产现金流!$B$2:$B$138-B111&gt;0)*(基础资产现金流!$B$2:$B$138-B112&lt;=0)*(基础资产现金流!$G$2:$G$138))</f>
        <v>1138744.1100000001</v>
      </c>
      <c r="J112" s="82">
        <f t="shared" si="0"/>
        <v>1138744.1100000001</v>
      </c>
      <c r="K112" s="82">
        <f t="shared" si="3"/>
        <v>203805852.55999997</v>
      </c>
      <c r="M112" s="82">
        <f t="shared" si="1"/>
        <v>48472839.170000017</v>
      </c>
    </row>
    <row r="113" spans="2:13" x14ac:dyDescent="0.2">
      <c r="B113" s="412">
        <v>42762</v>
      </c>
      <c r="C113" s="68">
        <v>0</v>
      </c>
      <c r="D113" s="68">
        <v>1769863.01</v>
      </c>
      <c r="E113" s="68">
        <v>1769863.01</v>
      </c>
      <c r="F113" s="85">
        <f t="shared" si="2"/>
        <v>157102876.39999995</v>
      </c>
      <c r="G113" s="67">
        <f>IFERROR(VLOOKUP(B113,投资者收益测算表!$M$28:$O$38,3,0),0)</f>
        <v>0</v>
      </c>
      <c r="H113" s="80">
        <f>SUMPRODUCT((基础资产现金流!$B$2:$B$138-B112&gt;0)*(基础资产现金流!$B$2:$B$138-B113&lt;=0)*(基础资产现金流!$F$2:$F$138))</f>
        <v>0</v>
      </c>
      <c r="I113" s="80">
        <f>SUMPRODUCT((基础资产现金流!$B$2:$B$138-B112&gt;0)*(基础资产现金流!$B$2:$B$138-B113&lt;=0)*(基础资产现金流!$G$2:$G$138))</f>
        <v>1561643.84</v>
      </c>
      <c r="J113" s="82">
        <f t="shared" si="0"/>
        <v>1561643.84</v>
      </c>
      <c r="K113" s="82">
        <f t="shared" si="3"/>
        <v>205367496.39999998</v>
      </c>
      <c r="M113" s="82">
        <f t="shared" si="1"/>
        <v>48264620.00000003</v>
      </c>
    </row>
    <row r="114" spans="2:13" x14ac:dyDescent="0.2">
      <c r="B114" s="412">
        <v>42768</v>
      </c>
      <c r="C114" s="68">
        <v>0</v>
      </c>
      <c r="D114" s="68">
        <v>1465863.01</v>
      </c>
      <c r="E114" s="68">
        <v>1465863.01</v>
      </c>
      <c r="F114" s="85">
        <f t="shared" si="2"/>
        <v>158568739.40999994</v>
      </c>
      <c r="G114" s="67">
        <f>IFERROR(VLOOKUP(B114,投资者收益测算表!$M$28:$O$38,3,0),0)</f>
        <v>0</v>
      </c>
      <c r="H114" s="80">
        <f>SUMPRODUCT((基础资产现金流!$B$2:$B$138-B113&gt;0)*(基础资产现金流!$B$2:$B$138-B114&lt;=0)*(基础资产现金流!$F$2:$F$138))</f>
        <v>0</v>
      </c>
      <c r="I114" s="80">
        <f>SUMPRODUCT((基础资产现金流!$B$2:$B$138-B113&gt;0)*(基础资产现金流!$B$2:$B$138-B114&lt;=0)*(基础资产现金流!$G$2:$G$138))</f>
        <v>1299287.67</v>
      </c>
      <c r="J114" s="82">
        <f t="shared" si="0"/>
        <v>1299287.67</v>
      </c>
      <c r="K114" s="82">
        <f t="shared" si="3"/>
        <v>206666784.06999996</v>
      </c>
      <c r="M114" s="82">
        <f t="shared" si="1"/>
        <v>48098044.660000026</v>
      </c>
    </row>
    <row r="115" spans="2:13" x14ac:dyDescent="0.2">
      <c r="B115" s="412">
        <v>42772</v>
      </c>
      <c r="C115" s="68">
        <v>15000000</v>
      </c>
      <c r="D115" s="68">
        <v>202808.22</v>
      </c>
      <c r="E115" s="68">
        <v>15202808.220000001</v>
      </c>
      <c r="F115" s="85">
        <f t="shared" si="2"/>
        <v>173771547.62999994</v>
      </c>
      <c r="G115" s="67">
        <f>IFERROR(VLOOKUP(B115,投资者收益测算表!$M$28:$O$38,3,0),0)</f>
        <v>0</v>
      </c>
      <c r="H115" s="80">
        <f>SUMPRODUCT((基础资产现金流!$B$2:$B$138-B114&gt;0)*(基础资产现金流!$B$2:$B$138-B115&lt;=0)*(基础资产现金流!$F$2:$F$138))</f>
        <v>15000000</v>
      </c>
      <c r="I115" s="80">
        <f>SUMPRODUCT((基础资产现金流!$B$2:$B$138-B114&gt;0)*(基础资产现金流!$B$2:$B$138-B115&lt;=0)*(基础资产现金流!$G$2:$G$138))</f>
        <v>202808.22</v>
      </c>
      <c r="J115" s="82">
        <f t="shared" si="0"/>
        <v>15202808.220000001</v>
      </c>
      <c r="K115" s="82">
        <f t="shared" si="3"/>
        <v>221869592.28999996</v>
      </c>
      <c r="M115" s="82">
        <f t="shared" si="1"/>
        <v>48098044.660000026</v>
      </c>
    </row>
    <row r="116" spans="2:13" x14ac:dyDescent="0.2">
      <c r="B116" s="412">
        <v>42807</v>
      </c>
      <c r="C116" s="68">
        <v>21700000</v>
      </c>
      <c r="D116" s="68">
        <v>443921.1</v>
      </c>
      <c r="E116" s="68">
        <v>22143921.100000001</v>
      </c>
      <c r="F116" s="85">
        <f t="shared" si="2"/>
        <v>195915468.72999993</v>
      </c>
      <c r="G116" s="67">
        <f>IFERROR(VLOOKUP(B116,投资者收益测算表!$M$28:$O$38,3,0),0)</f>
        <v>0</v>
      </c>
      <c r="H116" s="80">
        <f>SUMPRODUCT((基础资产现金流!$B$2:$B$138-B115&gt;0)*(基础资产现金流!$B$2:$B$138-B116&lt;=0)*(基础资产现金流!$F$2:$F$138))</f>
        <v>21700000</v>
      </c>
      <c r="I116" s="80">
        <f>SUMPRODUCT((基础资产现金流!$B$2:$B$138-B115&gt;0)*(基础资产现金流!$B$2:$B$138-B116&lt;=0)*(基础资产现金流!$G$2:$G$138))</f>
        <v>443921.1</v>
      </c>
      <c r="J116" s="82">
        <f t="shared" si="0"/>
        <v>22143921.100000001</v>
      </c>
      <c r="K116" s="82">
        <f t="shared" si="3"/>
        <v>244013513.38999996</v>
      </c>
      <c r="M116" s="82">
        <f t="shared" si="1"/>
        <v>48098044.660000026</v>
      </c>
    </row>
    <row r="117" spans="2:13" x14ac:dyDescent="0.2">
      <c r="B117" s="412">
        <v>42904</v>
      </c>
      <c r="C117" s="68">
        <v>10000000</v>
      </c>
      <c r="D117" s="68">
        <v>534575.34</v>
      </c>
      <c r="E117" s="68">
        <v>10534575.34</v>
      </c>
      <c r="F117" s="85">
        <f t="shared" si="2"/>
        <v>206450044.06999993</v>
      </c>
      <c r="G117" s="67">
        <f>IFERROR(VLOOKUP(B117,投资者收益测算表!$M$28:$O$38,3,0),0)</f>
        <v>0</v>
      </c>
      <c r="H117" s="80">
        <f>SUMPRODUCT((基础资产现金流!$B$2:$B$138-B116&gt;0)*(基础资产现金流!$B$2:$B$138-B117&lt;=0)*(基础资产现金流!$F$2:$F$138))</f>
        <v>10000000</v>
      </c>
      <c r="I117" s="80">
        <f>SUMPRODUCT((基础资产现金流!$B$2:$B$138-B116&gt;0)*(基础资产现金流!$B$2:$B$138-B117&lt;=0)*(基础资产现金流!$G$2:$G$138))</f>
        <v>534575.34</v>
      </c>
      <c r="J117" s="82">
        <f t="shared" si="0"/>
        <v>10534575.34</v>
      </c>
      <c r="K117" s="82">
        <f t="shared" si="3"/>
        <v>254548088.72999996</v>
      </c>
      <c r="M117" s="82">
        <f t="shared" si="1"/>
        <v>48098044.660000026</v>
      </c>
    </row>
    <row r="118" spans="2:13" x14ac:dyDescent="0.2">
      <c r="B118" s="412">
        <v>42906</v>
      </c>
      <c r="C118" s="68">
        <v>0</v>
      </c>
      <c r="D118" s="68">
        <v>2987301.37</v>
      </c>
      <c r="E118" s="68">
        <v>2987301.37</v>
      </c>
      <c r="F118" s="85">
        <f t="shared" si="2"/>
        <v>209437345.43999994</v>
      </c>
      <c r="G118" s="67">
        <f>IFERROR(VLOOKUP(B118,投资者收益测算表!$M$28:$O$38,3,0),0)</f>
        <v>0</v>
      </c>
      <c r="H118" s="80">
        <f>SUMPRODUCT((基础资产现金流!$B$2:$B$138-B117&gt;0)*(基础资产现金流!$B$2:$B$138-B118&lt;=0)*(基础资产现金流!$F$2:$F$138))</f>
        <v>0</v>
      </c>
      <c r="I118" s="80">
        <f>SUMPRODUCT((基础资产现金流!$B$2:$B$138-B117&gt;0)*(基础资产现金流!$B$2:$B$138-B118&lt;=0)*(基础资产现金流!$G$2:$G$138))</f>
        <v>2797027.39</v>
      </c>
      <c r="J118" s="82">
        <f t="shared" si="0"/>
        <v>2797027.39</v>
      </c>
      <c r="K118" s="82">
        <f t="shared" si="3"/>
        <v>257345116.11999995</v>
      </c>
      <c r="M118" s="82">
        <f t="shared" si="1"/>
        <v>47907770.680000007</v>
      </c>
    </row>
    <row r="119" spans="2:13" x14ac:dyDescent="0.2">
      <c r="B119" s="412">
        <v>42909</v>
      </c>
      <c r="C119" s="68">
        <v>23800000</v>
      </c>
      <c r="D119" s="68">
        <v>965041.1</v>
      </c>
      <c r="E119" s="68">
        <v>24765041.100000001</v>
      </c>
      <c r="F119" s="85">
        <f t="shared" si="2"/>
        <v>234202386.53999993</v>
      </c>
      <c r="G119" s="67">
        <f>IFERROR(VLOOKUP(B119,投资者收益测算表!$M$28:$O$38,3,0),0)</f>
        <v>0</v>
      </c>
      <c r="H119" s="80">
        <f>SUMPRODUCT((基础资产现金流!$B$2:$B$138-B118&gt;0)*(基础资产现金流!$B$2:$B$138-B119&lt;=0)*(基础资产现金流!$F$2:$F$138))</f>
        <v>23800000</v>
      </c>
      <c r="I119" s="80">
        <f>SUMPRODUCT((基础资产现金流!$B$2:$B$138-B118&gt;0)*(基础资产现金流!$B$2:$B$138-B119&lt;=0)*(基础资产现金流!$G$2:$G$138))</f>
        <v>965041.1</v>
      </c>
      <c r="J119" s="82">
        <f t="shared" si="0"/>
        <v>24765041.100000001</v>
      </c>
      <c r="K119" s="82">
        <f t="shared" si="3"/>
        <v>282110157.21999997</v>
      </c>
      <c r="M119" s="82">
        <f t="shared" si="1"/>
        <v>47907770.680000037</v>
      </c>
    </row>
    <row r="120" spans="2:13" x14ac:dyDescent="0.2">
      <c r="B120" s="412">
        <v>43066</v>
      </c>
      <c r="C120" s="68">
        <v>7200000</v>
      </c>
      <c r="D120" s="68">
        <v>540000</v>
      </c>
      <c r="E120" s="68">
        <v>7740000</v>
      </c>
      <c r="F120" s="85">
        <f t="shared" si="2"/>
        <v>241942386.53999993</v>
      </c>
      <c r="G120" s="67">
        <f>IFERROR(VLOOKUP(B120,投资者收益测算表!$M$28:$O$38,3,0),0)</f>
        <v>0</v>
      </c>
      <c r="H120" s="80">
        <f>SUMPRODUCT((基础资产现金流!$B$2:$B$138-B119&gt;0)*(基础资产现金流!$B$2:$B$138-B120&lt;=0)*(基础资产现金流!$F$2:$F$138))</f>
        <v>7200000</v>
      </c>
      <c r="I120" s="80">
        <f>SUMPRODUCT((基础资产现金流!$B$2:$B$138-B119&gt;0)*(基础资产现金流!$B$2:$B$138-B120&lt;=0)*(基础资产现金流!$G$2:$G$138))</f>
        <v>540000</v>
      </c>
      <c r="J120" s="82">
        <f t="shared" si="0"/>
        <v>7740000</v>
      </c>
      <c r="K120" s="82">
        <f t="shared" si="3"/>
        <v>289850157.21999997</v>
      </c>
      <c r="M120" s="82">
        <f t="shared" si="1"/>
        <v>47907770.680000037</v>
      </c>
    </row>
    <row r="121" spans="2:13" x14ac:dyDescent="0.2">
      <c r="B121" s="412">
        <v>43072</v>
      </c>
      <c r="C121" s="68">
        <v>64700000</v>
      </c>
      <c r="D121" s="68">
        <v>4852500</v>
      </c>
      <c r="E121" s="68">
        <v>69552500</v>
      </c>
      <c r="F121" s="85">
        <f t="shared" si="2"/>
        <v>311494886.53999996</v>
      </c>
      <c r="G121" s="67">
        <f>IFERROR(VLOOKUP(B121,投资者收益测算表!$M$28:$O$38,3,0),0)</f>
        <v>0</v>
      </c>
      <c r="H121" s="80">
        <f>SUMPRODUCT((基础资产现金流!$B$2:$B$138-B120&gt;0)*(基础资产现金流!$B$2:$B$138-B121&lt;=0)*(基础资产现金流!$F$2:$F$138))</f>
        <v>64700000</v>
      </c>
      <c r="I121" s="80">
        <f>SUMPRODUCT((基础资产现金流!$B$2:$B$138-B120&gt;0)*(基础资产现金流!$B$2:$B$138-B121&lt;=0)*(基础资产现金流!$G$2:$G$138))</f>
        <v>4852500</v>
      </c>
      <c r="J121" s="82">
        <f t="shared" si="0"/>
        <v>69552500</v>
      </c>
      <c r="K121" s="82">
        <f t="shared" si="3"/>
        <v>359402657.21999997</v>
      </c>
      <c r="M121" s="82">
        <f t="shared" si="1"/>
        <v>47907770.680000007</v>
      </c>
    </row>
    <row r="122" spans="2:13" x14ac:dyDescent="0.2">
      <c r="B122" s="412">
        <v>43073</v>
      </c>
      <c r="C122" s="68">
        <v>30000000</v>
      </c>
      <c r="D122" s="68">
        <v>2250000</v>
      </c>
      <c r="E122" s="68">
        <v>32250000</v>
      </c>
      <c r="F122" s="85">
        <f t="shared" si="2"/>
        <v>343744886.53999996</v>
      </c>
      <c r="G122" s="67">
        <f>IFERROR(VLOOKUP(B122,投资者收益测算表!$M$28:$O$38,3,0),0)</f>
        <v>0</v>
      </c>
      <c r="H122" s="80">
        <f>SUMPRODUCT((基础资产现金流!$B$2:$B$138-B121&gt;0)*(基础资产现金流!$B$2:$B$138-B122&lt;=0)*(基础资产现金流!$F$2:$F$138))</f>
        <v>30000000</v>
      </c>
      <c r="I122" s="80">
        <f>SUMPRODUCT((基础资产现金流!$B$2:$B$138-B121&gt;0)*(基础资产现金流!$B$2:$B$138-B122&lt;=0)*(基础资产现金流!$G$2:$G$138))</f>
        <v>2250000</v>
      </c>
      <c r="J122" s="82">
        <f t="shared" si="0"/>
        <v>32250000</v>
      </c>
      <c r="K122" s="82">
        <f t="shared" si="3"/>
        <v>391652657.21999997</v>
      </c>
      <c r="M122" s="82">
        <f t="shared" si="1"/>
        <v>47907770.680000007</v>
      </c>
    </row>
    <row r="123" spans="2:13" x14ac:dyDescent="0.2">
      <c r="B123" s="412">
        <v>43080</v>
      </c>
      <c r="C123" s="68">
        <v>27200000</v>
      </c>
      <c r="D123" s="68">
        <v>2040000</v>
      </c>
      <c r="E123" s="68">
        <v>29240000</v>
      </c>
      <c r="F123" s="85">
        <f t="shared" si="2"/>
        <v>372984886.53999996</v>
      </c>
      <c r="G123" s="67">
        <f>IFERROR(VLOOKUP(B123,投资者收益测算表!$M$28:$O$38,3,0),0)</f>
        <v>0</v>
      </c>
      <c r="H123" s="80">
        <f>SUMPRODUCT((基础资产现金流!$B$2:$B$138-B122&gt;0)*(基础资产现金流!$B$2:$B$138-B123&lt;=0)*(基础资产现金流!$F$2:$F$138))</f>
        <v>27200000</v>
      </c>
      <c r="I123" s="80">
        <f>SUMPRODUCT((基础资产现金流!$B$2:$B$138-B122&gt;0)*(基础资产现金流!$B$2:$B$138-B123&lt;=0)*(基础资产现金流!$G$2:$G$138))</f>
        <v>2040000</v>
      </c>
      <c r="J123" s="82">
        <f t="shared" si="0"/>
        <v>29240000</v>
      </c>
      <c r="K123" s="82">
        <f t="shared" si="3"/>
        <v>420892657.21999997</v>
      </c>
      <c r="M123" s="82">
        <f t="shared" si="1"/>
        <v>47907770.680000007</v>
      </c>
    </row>
    <row r="124" spans="2:13" x14ac:dyDescent="0.2">
      <c r="B124" s="412">
        <v>43087</v>
      </c>
      <c r="C124" s="68">
        <v>31300000</v>
      </c>
      <c r="D124" s="68">
        <v>1164102.74</v>
      </c>
      <c r="E124" s="68">
        <v>32464102.739999998</v>
      </c>
      <c r="F124" s="85">
        <f t="shared" si="2"/>
        <v>405448989.27999997</v>
      </c>
      <c r="G124" s="67">
        <f>IFERROR(VLOOKUP(B124,投资者收益测算表!$M$28:$O$38,3,0),0)</f>
        <v>0</v>
      </c>
      <c r="H124" s="80">
        <f>SUMPRODUCT((基础资产现金流!$B$2:$B$138-B123&gt;0)*(基础资产现金流!$B$2:$B$138-B124&lt;=0)*(基础资产现金流!$F$2:$F$138))</f>
        <v>31300000</v>
      </c>
      <c r="I124" s="80">
        <f>SUMPRODUCT((基础资产现金流!$B$2:$B$138-B123&gt;0)*(基础资产现金流!$B$2:$B$138-B124&lt;=0)*(基础资产现金流!$G$2:$G$138))</f>
        <v>1164102.74</v>
      </c>
      <c r="J124" s="82">
        <f t="shared" si="0"/>
        <v>32464102.739999998</v>
      </c>
      <c r="K124" s="82">
        <f t="shared" si="3"/>
        <v>453356759.95999998</v>
      </c>
      <c r="M124" s="82">
        <f t="shared" si="1"/>
        <v>47907770.680000007</v>
      </c>
    </row>
    <row r="125" spans="2:13" x14ac:dyDescent="0.2">
      <c r="B125" s="412">
        <v>43105</v>
      </c>
      <c r="C125" s="68">
        <v>23600000</v>
      </c>
      <c r="D125" s="68">
        <v>1793600</v>
      </c>
      <c r="E125" s="68">
        <v>25393600</v>
      </c>
      <c r="F125" s="85">
        <f t="shared" si="2"/>
        <v>430842589.27999997</v>
      </c>
      <c r="G125" s="67">
        <f>IFERROR(VLOOKUP(B125,投资者收益测算表!$M$28:$O$38,3,0),0)</f>
        <v>0</v>
      </c>
      <c r="H125" s="80">
        <f>SUMPRODUCT((基础资产现金流!$B$2:$B$138-B124&gt;0)*(基础资产现金流!$B$2:$B$138-B125&lt;=0)*(基础资产现金流!$F$2:$F$138))</f>
        <v>23600000</v>
      </c>
      <c r="I125" s="80">
        <f>SUMPRODUCT((基础资产现金流!$B$2:$B$138-B124&gt;0)*(基础资产现金流!$B$2:$B$138-B125&lt;=0)*(基础资产现金流!$G$2:$G$138))</f>
        <v>1793600</v>
      </c>
      <c r="J125" s="82">
        <f t="shared" si="0"/>
        <v>25393600</v>
      </c>
      <c r="K125" s="82">
        <f t="shared" si="3"/>
        <v>478750359.95999998</v>
      </c>
      <c r="M125" s="82">
        <f t="shared" si="1"/>
        <v>47907770.680000007</v>
      </c>
    </row>
    <row r="126" spans="2:13" x14ac:dyDescent="0.2">
      <c r="B126" s="412">
        <v>43112</v>
      </c>
      <c r="C126" s="68">
        <v>15000000</v>
      </c>
      <c r="D126" s="68">
        <v>634931.51</v>
      </c>
      <c r="E126" s="68">
        <v>15634931.51</v>
      </c>
      <c r="F126" s="85">
        <f t="shared" si="2"/>
        <v>446477520.78999996</v>
      </c>
      <c r="G126" s="67">
        <f>IFERROR(VLOOKUP(B126,投资者收益测算表!$M$28:$O$38,3,0),0)</f>
        <v>0</v>
      </c>
      <c r="H126" s="80">
        <f>SUMPRODUCT((基础资产现金流!$B$2:$B$138-B125&gt;0)*(基础资产现金流!$B$2:$B$138-B126&lt;=0)*(基础资产现金流!$F$2:$F$138))</f>
        <v>15000000</v>
      </c>
      <c r="I126" s="80">
        <f>SUMPRODUCT((基础资产现金流!$B$2:$B$138-B125&gt;0)*(基础资产现金流!$B$2:$B$138-B126&lt;=0)*(基础资产现金流!$G$2:$G$138))</f>
        <v>634931.51</v>
      </c>
      <c r="J126" s="82">
        <f t="shared" si="0"/>
        <v>15634931.51</v>
      </c>
      <c r="K126" s="82">
        <f t="shared" si="3"/>
        <v>494385291.46999997</v>
      </c>
      <c r="M126" s="82">
        <f t="shared" si="1"/>
        <v>47907770.680000007</v>
      </c>
    </row>
    <row r="127" spans="2:13" x14ac:dyDescent="0.2">
      <c r="B127" s="412">
        <v>43121</v>
      </c>
      <c r="C127" s="68">
        <v>35200000</v>
      </c>
      <c r="D127" s="68">
        <v>2886400</v>
      </c>
      <c r="E127" s="68">
        <v>38086400</v>
      </c>
      <c r="F127" s="85">
        <f t="shared" si="2"/>
        <v>484563920.78999996</v>
      </c>
      <c r="G127" s="67">
        <f>IFERROR(VLOOKUP(B127,投资者收益测算表!$M$28:$O$38,3,0),0)</f>
        <v>0</v>
      </c>
      <c r="H127" s="80">
        <f>SUMPRODUCT((基础资产现金流!$B$2:$B$138-B126&gt;0)*(基础资产现金流!$B$2:$B$138-B127&lt;=0)*(基础资产现金流!$F$2:$F$138))</f>
        <v>35200000</v>
      </c>
      <c r="I127" s="80">
        <f>SUMPRODUCT((基础资产现金流!$B$2:$B$138-B126&gt;0)*(基础资产现金流!$B$2:$B$138-B127&lt;=0)*(基础资产现金流!$G$2:$G$138))</f>
        <v>2886400</v>
      </c>
      <c r="J127" s="82">
        <f t="shared" si="0"/>
        <v>38086400</v>
      </c>
      <c r="K127" s="82">
        <f t="shared" si="3"/>
        <v>532471691.46999997</v>
      </c>
      <c r="M127" s="82">
        <f t="shared" si="1"/>
        <v>47907770.680000007</v>
      </c>
    </row>
    <row r="128" spans="2:13" x14ac:dyDescent="0.2">
      <c r="B128" s="412">
        <v>43127</v>
      </c>
      <c r="C128" s="68">
        <v>50000000</v>
      </c>
      <c r="D128" s="68">
        <v>3800000</v>
      </c>
      <c r="E128" s="68">
        <v>53800000</v>
      </c>
      <c r="F128" s="85">
        <f t="shared" si="2"/>
        <v>538363920.78999996</v>
      </c>
      <c r="G128" s="67">
        <f>IFERROR(VLOOKUP(B128,投资者收益测算表!$M$28:$O$38,3,0),0)</f>
        <v>0</v>
      </c>
      <c r="H128" s="80">
        <f>SUMPRODUCT((基础资产现金流!$B$2:$B$138-B127&gt;0)*(基础资产现金流!$B$2:$B$138-B128&lt;=0)*(基础资产现金流!$F$2:$F$138))</f>
        <v>50000000</v>
      </c>
      <c r="I128" s="80">
        <f>SUMPRODUCT((基础资产现金流!$B$2:$B$138-B127&gt;0)*(基础资产现金流!$B$2:$B$138-B128&lt;=0)*(基础资产现金流!$G$2:$G$138))</f>
        <v>3800000</v>
      </c>
      <c r="J128" s="82">
        <f t="shared" si="0"/>
        <v>53800000</v>
      </c>
      <c r="K128" s="82">
        <f t="shared" si="3"/>
        <v>586271691.47000003</v>
      </c>
      <c r="M128" s="82">
        <f t="shared" si="1"/>
        <v>47907770.680000067</v>
      </c>
    </row>
    <row r="129" spans="2:13" x14ac:dyDescent="0.2">
      <c r="B129" s="412">
        <v>43133</v>
      </c>
      <c r="C129" s="68">
        <v>40000000</v>
      </c>
      <c r="D129" s="68">
        <v>3040000</v>
      </c>
      <c r="E129" s="68">
        <v>43040000</v>
      </c>
      <c r="F129" s="85">
        <f t="shared" si="2"/>
        <v>581403920.78999996</v>
      </c>
      <c r="G129" s="67">
        <f>IFERROR(VLOOKUP(B129,投资者收益测算表!$M$28:$O$38,3,0),0)</f>
        <v>0</v>
      </c>
      <c r="H129" s="80">
        <f>SUMPRODUCT((基础资产现金流!$B$2:$B$138-B128&gt;0)*(基础资产现金流!$B$2:$B$138-B129&lt;=0)*(基础资产现金流!$F$2:$F$138))</f>
        <v>40000000</v>
      </c>
      <c r="I129" s="80">
        <f>SUMPRODUCT((基础资产现金流!$B$2:$B$138-B128&gt;0)*(基础资产现金流!$B$2:$B$138-B129&lt;=0)*(基础资产现金流!$G$2:$G$138))</f>
        <v>3040000</v>
      </c>
      <c r="J129" s="82">
        <f t="shared" si="0"/>
        <v>43040000</v>
      </c>
      <c r="K129" s="82">
        <f t="shared" si="3"/>
        <v>629311691.47000003</v>
      </c>
      <c r="M129" s="82">
        <f t="shared" si="1"/>
        <v>47907770.680000067</v>
      </c>
    </row>
    <row r="130" spans="2:13" x14ac:dyDescent="0.2">
      <c r="B130" s="413" t="s">
        <v>83</v>
      </c>
      <c r="C130" s="68">
        <v>538500000</v>
      </c>
      <c r="D130" s="68">
        <v>42903920.790000007</v>
      </c>
      <c r="E130" s="68">
        <v>581403920.78999996</v>
      </c>
      <c r="F130" s="85">
        <f t="shared" si="2"/>
        <v>1162807841.5799999</v>
      </c>
      <c r="G130" s="67">
        <f>IFERROR(VLOOKUP(B130,投资者收益测算表!$M$28:$O$38,3,0),0)</f>
        <v>0</v>
      </c>
      <c r="H130" s="80" t="e">
        <f>SUMPRODUCT((基础资产现金流!$B$2:$B$138-B129&gt;0)*(基础资产现金流!$B$2:$B$138-B130&lt;=0)*(基础资产现金流!$F$2:$F$138))</f>
        <v>#VALUE!</v>
      </c>
      <c r="I130" s="80" t="e">
        <f>SUMPRODUCT((基础资产现金流!$B$2:$B$138-B129&gt;0)*(基础资产现金流!$B$2:$B$138-B130&lt;=0)*(基础资产现金流!$G$2:$G$138))</f>
        <v>#VALUE!</v>
      </c>
      <c r="J130" s="82" t="e">
        <f t="shared" si="0"/>
        <v>#VALUE!</v>
      </c>
      <c r="K130" s="82" t="e">
        <f t="shared" si="3"/>
        <v>#VALUE!</v>
      </c>
      <c r="M130" s="82" t="e">
        <f t="shared" si="1"/>
        <v>#VALUE!</v>
      </c>
    </row>
    <row r="131" spans="2:13" ht="18" x14ac:dyDescent="0.25">
      <c r="B131"/>
      <c r="C131"/>
      <c r="D131"/>
      <c r="E131"/>
      <c r="F131" s="85"/>
      <c r="H131" s="80"/>
      <c r="I131" s="80"/>
      <c r="J131" s="82"/>
      <c r="K131" s="82"/>
    </row>
    <row r="132" spans="2:13" ht="18" x14ac:dyDescent="0.25">
      <c r="B132"/>
      <c r="C132"/>
      <c r="D132"/>
      <c r="E132"/>
      <c r="F132" s="79"/>
      <c r="H132" s="80"/>
      <c r="I132" s="80"/>
      <c r="J132" s="82"/>
      <c r="K132" s="82"/>
    </row>
    <row r="133" spans="2:13" ht="18" x14ac:dyDescent="0.25">
      <c r="B133"/>
      <c r="C133"/>
      <c r="D133"/>
      <c r="E133"/>
      <c r="F133" s="79"/>
      <c r="H133" s="80"/>
      <c r="I133" s="80"/>
      <c r="J133" s="82"/>
      <c r="K133" s="82"/>
    </row>
    <row r="134" spans="2:13" ht="18" x14ac:dyDescent="0.25">
      <c r="B134"/>
      <c r="C134"/>
      <c r="D134"/>
      <c r="E134"/>
      <c r="F134" s="79"/>
      <c r="H134" s="80"/>
      <c r="I134" s="80"/>
      <c r="J134" s="82"/>
      <c r="K134" s="82"/>
    </row>
    <row r="135" spans="2:13" ht="18" x14ac:dyDescent="0.25">
      <c r="B135"/>
      <c r="C135"/>
      <c r="D135"/>
      <c r="E135"/>
      <c r="F135" s="79"/>
      <c r="H135" s="80"/>
      <c r="I135" s="80"/>
      <c r="J135" s="82"/>
      <c r="K135" s="82"/>
    </row>
    <row r="136" spans="2:13" ht="19" thickBot="1" x14ac:dyDescent="0.3">
      <c r="B136"/>
      <c r="C136"/>
      <c r="D136"/>
      <c r="E136"/>
      <c r="F136" s="374"/>
      <c r="H136" s="375"/>
      <c r="I136" s="375"/>
      <c r="J136" s="398"/>
      <c r="K136" s="80"/>
    </row>
    <row r="137" spans="2:13" ht="18" x14ac:dyDescent="0.25">
      <c r="B137"/>
      <c r="C137"/>
      <c r="D137"/>
      <c r="E137"/>
      <c r="F137" s="80"/>
      <c r="H137" s="375"/>
      <c r="I137" s="375"/>
      <c r="J137" s="80"/>
      <c r="K137" s="80"/>
    </row>
    <row r="138" spans="2:13" ht="18" x14ac:dyDescent="0.25">
      <c r="B138"/>
      <c r="C138"/>
      <c r="D138"/>
      <c r="E138"/>
      <c r="F138" s="80"/>
      <c r="H138" s="82"/>
      <c r="I138" s="82"/>
      <c r="J138" s="80"/>
    </row>
    <row r="139" spans="2:13" ht="18" x14ac:dyDescent="0.25">
      <c r="B139"/>
      <c r="C139"/>
      <c r="D139"/>
      <c r="E139"/>
      <c r="F139" s="80"/>
      <c r="H139" s="82"/>
      <c r="I139" s="82"/>
    </row>
    <row r="140" spans="2:13" ht="18" x14ac:dyDescent="0.25">
      <c r="B140"/>
      <c r="C140"/>
      <c r="D140"/>
      <c r="E140"/>
      <c r="F140" s="80"/>
      <c r="H140" s="82"/>
      <c r="I140" s="82"/>
    </row>
    <row r="141" spans="2:13" ht="18" x14ac:dyDescent="0.25">
      <c r="B141"/>
      <c r="C141"/>
      <c r="D141"/>
      <c r="E141"/>
      <c r="F141" s="80"/>
      <c r="H141" s="82"/>
      <c r="I141" s="82"/>
    </row>
    <row r="142" spans="2:13" ht="18" x14ac:dyDescent="0.25">
      <c r="B142" s="377" t="s">
        <v>30</v>
      </c>
      <c r="C142" s="377" t="s">
        <v>356</v>
      </c>
      <c r="D142"/>
      <c r="E142"/>
      <c r="F142" s="80"/>
      <c r="H142" s="82"/>
      <c r="I142" s="82"/>
    </row>
    <row r="143" spans="2:13" ht="18" x14ac:dyDescent="0.25">
      <c r="B143" s="373">
        <v>42677</v>
      </c>
      <c r="C143" s="182">
        <v>31252224.66</v>
      </c>
      <c r="D143"/>
      <c r="E143"/>
      <c r="F143" s="80"/>
    </row>
    <row r="144" spans="2:13" ht="18" x14ac:dyDescent="0.25">
      <c r="B144" s="373">
        <v>42684</v>
      </c>
      <c r="C144" s="182">
        <v>50700351.780000001</v>
      </c>
      <c r="D144"/>
      <c r="E144"/>
    </row>
    <row r="145" spans="2:5" ht="18" x14ac:dyDescent="0.25">
      <c r="B145" s="373">
        <v>42732</v>
      </c>
      <c r="C145" s="182">
        <v>66787144.099999994</v>
      </c>
      <c r="D145"/>
      <c r="E145"/>
    </row>
    <row r="146" spans="2:5" ht="18" x14ac:dyDescent="0.25">
      <c r="B146" s="373">
        <v>42775</v>
      </c>
      <c r="C146" s="182">
        <v>15710819.51</v>
      </c>
      <c r="D146"/>
      <c r="E146"/>
    </row>
    <row r="147" spans="2:5" ht="18" x14ac:dyDescent="0.25">
      <c r="B147" s="373">
        <v>42810</v>
      </c>
      <c r="C147" s="182">
        <v>30108420.829999998</v>
      </c>
      <c r="D147"/>
      <c r="E147"/>
    </row>
    <row r="148" spans="2:5" ht="18" x14ac:dyDescent="0.25">
      <c r="B148" s="373">
        <v>42912</v>
      </c>
      <c r="C148" s="182">
        <v>37158397.82</v>
      </c>
      <c r="D148"/>
      <c r="E148"/>
    </row>
    <row r="149" spans="2:5" ht="18" x14ac:dyDescent="0.25">
      <c r="B149" s="373">
        <v>43075</v>
      </c>
      <c r="C149" s="182">
        <v>109684564.71000001</v>
      </c>
      <c r="D149"/>
      <c r="E149"/>
    </row>
    <row r="150" spans="2:5" ht="18" x14ac:dyDescent="0.25">
      <c r="B150" s="373">
        <v>43090</v>
      </c>
      <c r="C150" s="182">
        <v>58679557.25</v>
      </c>
      <c r="D150"/>
      <c r="E150"/>
    </row>
    <row r="151" spans="2:5" ht="18" x14ac:dyDescent="0.25">
      <c r="B151" s="373">
        <v>43136</v>
      </c>
      <c r="C151" s="182">
        <v>181322440.12999997</v>
      </c>
      <c r="D151"/>
      <c r="E151"/>
    </row>
    <row r="152" spans="2:5" ht="18" x14ac:dyDescent="0.25">
      <c r="B152" s="373">
        <v>42592</v>
      </c>
      <c r="C152" s="182">
        <v>0</v>
      </c>
      <c r="D152"/>
      <c r="E152"/>
    </row>
    <row r="153" spans="2:5" ht="18" x14ac:dyDescent="0.25">
      <c r="B153" s="373" t="s">
        <v>83</v>
      </c>
      <c r="C153" s="182">
        <v>581403920.78999996</v>
      </c>
      <c r="D153"/>
      <c r="E153"/>
    </row>
    <row r="154" spans="2:5" ht="18" x14ac:dyDescent="0.25">
      <c r="B154"/>
      <c r="C154"/>
      <c r="D154"/>
      <c r="E154"/>
    </row>
    <row r="155" spans="2:5" ht="18" x14ac:dyDescent="0.25">
      <c r="B155"/>
      <c r="C155"/>
      <c r="D155"/>
      <c r="E155"/>
    </row>
    <row r="156" spans="2:5" ht="18" x14ac:dyDescent="0.25">
      <c r="B156"/>
      <c r="C156"/>
      <c r="D156"/>
      <c r="E156"/>
    </row>
    <row r="157" spans="2:5" ht="18" x14ac:dyDescent="0.25">
      <c r="B157"/>
      <c r="C157"/>
      <c r="D157"/>
      <c r="E157"/>
    </row>
    <row r="158" spans="2:5" ht="18" x14ac:dyDescent="0.25">
      <c r="B158"/>
      <c r="C158"/>
      <c r="D158"/>
      <c r="E158"/>
    </row>
    <row r="159" spans="2:5" ht="18" x14ac:dyDescent="0.25">
      <c r="B159"/>
      <c r="C159"/>
      <c r="D159"/>
      <c r="E159"/>
    </row>
    <row r="160" spans="2:5" ht="18" x14ac:dyDescent="0.25">
      <c r="B160"/>
      <c r="C160"/>
      <c r="D160"/>
      <c r="E160"/>
    </row>
    <row r="161" spans="2:5" ht="18" x14ac:dyDescent="0.25">
      <c r="B161"/>
      <c r="C161"/>
      <c r="D161"/>
      <c r="E161"/>
    </row>
    <row r="162" spans="2:5" ht="18" x14ac:dyDescent="0.25">
      <c r="B162"/>
      <c r="C162"/>
      <c r="D162"/>
      <c r="E162"/>
    </row>
    <row r="163" spans="2:5" ht="18" x14ac:dyDescent="0.25">
      <c r="B163"/>
      <c r="C163"/>
      <c r="D163"/>
      <c r="E163"/>
    </row>
    <row r="164" spans="2:5" ht="18" x14ac:dyDescent="0.25">
      <c r="B164"/>
      <c r="C164"/>
      <c r="D164"/>
      <c r="E164"/>
    </row>
    <row r="165" spans="2:5" ht="18" x14ac:dyDescent="0.25">
      <c r="B165"/>
      <c r="C165"/>
      <c r="D165"/>
      <c r="E165"/>
    </row>
    <row r="166" spans="2:5" ht="18" x14ac:dyDescent="0.25">
      <c r="B166"/>
      <c r="C166"/>
      <c r="D166"/>
      <c r="E166"/>
    </row>
    <row r="167" spans="2:5" ht="18" x14ac:dyDescent="0.25">
      <c r="B167"/>
      <c r="C167"/>
      <c r="D167"/>
      <c r="E167"/>
    </row>
    <row r="168" spans="2:5" ht="18" x14ac:dyDescent="0.25">
      <c r="B168"/>
      <c r="C168"/>
      <c r="D168"/>
      <c r="E168"/>
    </row>
    <row r="169" spans="2:5" ht="18" x14ac:dyDescent="0.25">
      <c r="B169"/>
      <c r="C169"/>
      <c r="D169"/>
      <c r="E169"/>
    </row>
    <row r="170" spans="2:5" ht="18" x14ac:dyDescent="0.25">
      <c r="B170"/>
      <c r="C170"/>
      <c r="D170"/>
      <c r="E170"/>
    </row>
    <row r="171" spans="2:5" ht="18" x14ac:dyDescent="0.25">
      <c r="B171"/>
      <c r="C171"/>
      <c r="D171"/>
      <c r="E171"/>
    </row>
    <row r="172" spans="2:5" ht="18" x14ac:dyDescent="0.25">
      <c r="B172"/>
      <c r="C172"/>
      <c r="D172"/>
      <c r="E172"/>
    </row>
    <row r="173" spans="2:5" ht="18" x14ac:dyDescent="0.25">
      <c r="B173"/>
      <c r="C173"/>
      <c r="D173"/>
      <c r="E173"/>
    </row>
    <row r="174" spans="2:5" ht="18" x14ac:dyDescent="0.25">
      <c r="B174"/>
      <c r="C174"/>
      <c r="D174"/>
      <c r="E174"/>
    </row>
    <row r="175" spans="2:5" ht="18" x14ac:dyDescent="0.25">
      <c r="B175"/>
      <c r="C175"/>
      <c r="D175"/>
      <c r="E175"/>
    </row>
    <row r="176" spans="2:5" ht="18" x14ac:dyDescent="0.25">
      <c r="B176"/>
      <c r="C176"/>
      <c r="D176"/>
      <c r="E176"/>
    </row>
    <row r="177" spans="2:5" ht="18" x14ac:dyDescent="0.25">
      <c r="B177"/>
      <c r="C177"/>
      <c r="D177"/>
      <c r="E177"/>
    </row>
    <row r="178" spans="2:5" ht="18" x14ac:dyDescent="0.25">
      <c r="B178"/>
      <c r="C178"/>
      <c r="D178"/>
      <c r="E178"/>
    </row>
    <row r="179" spans="2:5" ht="18" x14ac:dyDescent="0.25">
      <c r="B179"/>
      <c r="C179"/>
      <c r="D179"/>
      <c r="E179"/>
    </row>
    <row r="180" spans="2:5" ht="18" x14ac:dyDescent="0.25">
      <c r="B180"/>
      <c r="C180"/>
      <c r="D180"/>
      <c r="E180"/>
    </row>
    <row r="181" spans="2:5" ht="18" x14ac:dyDescent="0.25">
      <c r="B181"/>
      <c r="C181"/>
      <c r="D181"/>
      <c r="E181"/>
    </row>
    <row r="182" spans="2:5" ht="18" x14ac:dyDescent="0.25">
      <c r="B182"/>
      <c r="C182"/>
      <c r="D182"/>
      <c r="E182"/>
    </row>
    <row r="183" spans="2:5" ht="18" x14ac:dyDescent="0.25">
      <c r="B183"/>
      <c r="C183"/>
      <c r="D183"/>
      <c r="E183"/>
    </row>
    <row r="184" spans="2:5" ht="18" x14ac:dyDescent="0.25">
      <c r="B184"/>
      <c r="C184"/>
      <c r="D184"/>
      <c r="E184"/>
    </row>
    <row r="185" spans="2:5" ht="18" x14ac:dyDescent="0.25">
      <c r="B185"/>
      <c r="C185"/>
      <c r="D185"/>
      <c r="E185"/>
    </row>
    <row r="186" spans="2:5" ht="18" x14ac:dyDescent="0.25">
      <c r="B186"/>
      <c r="C186"/>
      <c r="D186"/>
      <c r="E186"/>
    </row>
    <row r="187" spans="2:5" ht="18" x14ac:dyDescent="0.25">
      <c r="B187"/>
      <c r="C187"/>
      <c r="D187"/>
      <c r="E187"/>
    </row>
  </sheetData>
  <phoneticPr fontId="32" type="noConversion"/>
  <pageMargins left="0.7" right="0.7" top="0.75" bottom="0.75" header="0.3" footer="0.3"/>
  <pageSetup paperSize="9"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4:F74"/>
  <sheetViews>
    <sheetView workbookViewId="0">
      <selection activeCell="E52" sqref="E52"/>
    </sheetView>
  </sheetViews>
  <sheetFormatPr baseColWidth="10" defaultRowHeight="16" x14ac:dyDescent="0.25"/>
  <cols>
    <col min="1" max="1" width="10.7109375" style="369"/>
    <col min="2" max="2" width="10.85546875" style="369" bestFit="1" customWidth="1"/>
    <col min="3" max="3" width="12.140625" style="369" bestFit="1" customWidth="1"/>
    <col min="4" max="4" width="14.5703125" style="369" bestFit="1" customWidth="1"/>
    <col min="5" max="5" width="12.85546875" style="369" customWidth="1"/>
    <col min="6" max="6" width="15.42578125" style="369" customWidth="1"/>
    <col min="7" max="16384" width="10.7109375" style="369"/>
  </cols>
  <sheetData>
    <row r="4" spans="2:6" x14ac:dyDescent="0.25">
      <c r="E4" s="386" t="s">
        <v>358</v>
      </c>
      <c r="F4" s="388">
        <v>3</v>
      </c>
    </row>
    <row r="5" spans="2:6" x14ac:dyDescent="0.25">
      <c r="E5" s="386" t="s">
        <v>261</v>
      </c>
      <c r="F5" s="387">
        <v>0.03</v>
      </c>
    </row>
    <row r="7" spans="2:6" x14ac:dyDescent="0.25">
      <c r="C7" s="369" t="s">
        <v>357</v>
      </c>
      <c r="D7" s="369" t="s">
        <v>356</v>
      </c>
      <c r="E7" s="386" t="s">
        <v>265</v>
      </c>
    </row>
    <row r="8" spans="2:6" x14ac:dyDescent="0.25">
      <c r="B8" s="385">
        <v>42518</v>
      </c>
      <c r="C8" s="381">
        <v>41095.89</v>
      </c>
      <c r="D8" s="381"/>
      <c r="E8" s="380">
        <f>C8-D8</f>
        <v>41095.89</v>
      </c>
    </row>
    <row r="9" spans="2:6" x14ac:dyDescent="0.25">
      <c r="B9" s="385">
        <v>42526</v>
      </c>
      <c r="C9" s="381">
        <v>21807.119999999999</v>
      </c>
      <c r="D9" s="381"/>
      <c r="E9" s="380">
        <f>E8+C9-D9</f>
        <v>62903.009999999995</v>
      </c>
      <c r="F9" s="380">
        <f>IF(B9-B8&gt;$F$4,E8*$F$5*(B9-B8)/365,0)</f>
        <v>27.021955068493153</v>
      </c>
    </row>
    <row r="10" spans="2:6" x14ac:dyDescent="0.25">
      <c r="B10" s="385">
        <v>42541</v>
      </c>
      <c r="C10" s="381">
        <v>247356.16999999998</v>
      </c>
      <c r="D10" s="381"/>
      <c r="E10" s="380">
        <f t="shared" ref="E10:E62" si="0">E9+C10-D10</f>
        <v>310259.18</v>
      </c>
      <c r="F10" s="380">
        <f t="shared" ref="F10:F62" si="1">IF(B10-B9&gt;$F$4,E9*$F$5*(B10-B9)/365,0)</f>
        <v>77.551656164383559</v>
      </c>
    </row>
    <row r="11" spans="2:6" x14ac:dyDescent="0.25">
      <c r="B11" s="385">
        <v>42542</v>
      </c>
      <c r="C11" s="381">
        <v>116506.85</v>
      </c>
      <c r="D11" s="381"/>
      <c r="E11" s="380">
        <f t="shared" si="0"/>
        <v>426766.03</v>
      </c>
      <c r="F11" s="380">
        <f t="shared" si="1"/>
        <v>0</v>
      </c>
    </row>
    <row r="12" spans="2:6" x14ac:dyDescent="0.25">
      <c r="B12" s="385">
        <v>42546</v>
      </c>
      <c r="C12" s="381">
        <v>143466.29999999999</v>
      </c>
      <c r="D12" s="381"/>
      <c r="E12" s="380">
        <f t="shared" si="0"/>
        <v>570232.33000000007</v>
      </c>
      <c r="F12" s="380">
        <f t="shared" si="1"/>
        <v>140.30664000000002</v>
      </c>
    </row>
    <row r="13" spans="2:6" x14ac:dyDescent="0.25">
      <c r="B13" s="385">
        <v>42567</v>
      </c>
      <c r="C13" s="381">
        <v>77016.990000000005</v>
      </c>
      <c r="D13" s="381"/>
      <c r="E13" s="380">
        <f t="shared" si="0"/>
        <v>647249.32000000007</v>
      </c>
      <c r="F13" s="380">
        <f t="shared" si="1"/>
        <v>984.23662438356166</v>
      </c>
    </row>
    <row r="14" spans="2:6" x14ac:dyDescent="0.25">
      <c r="B14" s="385">
        <v>42580</v>
      </c>
      <c r="C14" s="381">
        <v>126438.36</v>
      </c>
      <c r="D14" s="381"/>
      <c r="E14" s="380">
        <f t="shared" si="0"/>
        <v>773687.68</v>
      </c>
      <c r="F14" s="380">
        <f t="shared" si="1"/>
        <v>691.5814652054795</v>
      </c>
    </row>
    <row r="15" spans="2:6" x14ac:dyDescent="0.25">
      <c r="B15" s="385">
        <v>42610</v>
      </c>
      <c r="C15" s="381">
        <v>1260273.97</v>
      </c>
      <c r="D15" s="381"/>
      <c r="E15" s="380">
        <f t="shared" si="0"/>
        <v>2033961.65</v>
      </c>
      <c r="F15" s="380">
        <f t="shared" si="1"/>
        <v>1907.7230465753426</v>
      </c>
    </row>
    <row r="16" spans="2:6" x14ac:dyDescent="0.25">
      <c r="B16" s="385">
        <v>42633</v>
      </c>
      <c r="C16" s="381">
        <v>232767.12</v>
      </c>
      <c r="D16" s="381"/>
      <c r="E16" s="380">
        <f t="shared" si="0"/>
        <v>2266728.77</v>
      </c>
      <c r="F16" s="380">
        <f t="shared" si="1"/>
        <v>3845.023393150685</v>
      </c>
    </row>
    <row r="17" spans="2:6" x14ac:dyDescent="0.25">
      <c r="B17" s="385">
        <v>42634</v>
      </c>
      <c r="C17" s="381">
        <v>396986.3</v>
      </c>
      <c r="D17" s="381"/>
      <c r="E17" s="380">
        <f t="shared" si="0"/>
        <v>2663715.0699999998</v>
      </c>
      <c r="F17" s="380">
        <f t="shared" si="1"/>
        <v>0</v>
      </c>
    </row>
    <row r="18" spans="2:6" x14ac:dyDescent="0.25">
      <c r="B18" s="385">
        <v>42638</v>
      </c>
      <c r="C18" s="381">
        <v>425770.96</v>
      </c>
      <c r="D18" s="381"/>
      <c r="E18" s="380">
        <f t="shared" si="0"/>
        <v>3089486.03</v>
      </c>
      <c r="F18" s="380">
        <f t="shared" si="1"/>
        <v>875.74194082191775</v>
      </c>
    </row>
    <row r="19" spans="2:6" x14ac:dyDescent="0.25">
      <c r="B19" s="385">
        <v>42659</v>
      </c>
      <c r="C19" s="381">
        <v>136260.82</v>
      </c>
      <c r="D19" s="381"/>
      <c r="E19" s="380">
        <f t="shared" si="0"/>
        <v>3225746.8499999996</v>
      </c>
      <c r="F19" s="380">
        <f t="shared" si="1"/>
        <v>5332.5375312328761</v>
      </c>
    </row>
    <row r="20" spans="2:6" x14ac:dyDescent="0.25">
      <c r="B20" s="385">
        <v>42672</v>
      </c>
      <c r="C20" s="381">
        <v>178958.9</v>
      </c>
      <c r="D20" s="381"/>
      <c r="E20" s="380">
        <f t="shared" si="0"/>
        <v>3404705.7499999995</v>
      </c>
      <c r="F20" s="380">
        <f t="shared" si="1"/>
        <v>3446.6884150684928</v>
      </c>
    </row>
    <row r="21" spans="2:6" x14ac:dyDescent="0.25">
      <c r="B21" s="385">
        <v>42674</v>
      </c>
      <c r="C21" s="381">
        <v>31411397.260000002</v>
      </c>
      <c r="D21" s="381"/>
      <c r="E21" s="380">
        <f t="shared" si="0"/>
        <v>34816103.009999998</v>
      </c>
      <c r="F21" s="380">
        <f t="shared" si="1"/>
        <v>0</v>
      </c>
    </row>
    <row r="22" spans="2:6" x14ac:dyDescent="0.25">
      <c r="B22" s="385">
        <v>42677</v>
      </c>
      <c r="C22" s="382"/>
      <c r="D22" s="381">
        <v>32386592.880000003</v>
      </c>
      <c r="E22" s="380">
        <f t="shared" si="0"/>
        <v>2429510.1299999952</v>
      </c>
      <c r="F22" s="380">
        <f t="shared" si="1"/>
        <v>0</v>
      </c>
    </row>
    <row r="23" spans="2:6" x14ac:dyDescent="0.25">
      <c r="B23" s="385">
        <v>42681</v>
      </c>
      <c r="C23" s="381">
        <v>52455890.409999996</v>
      </c>
      <c r="D23" s="381"/>
      <c r="E23" s="380">
        <f t="shared" si="0"/>
        <v>54885400.539999992</v>
      </c>
      <c r="F23" s="380">
        <f t="shared" si="1"/>
        <v>798.74305643835453</v>
      </c>
    </row>
    <row r="24" spans="2:6" x14ac:dyDescent="0.25">
      <c r="B24" s="385">
        <v>42684</v>
      </c>
      <c r="C24" s="382"/>
      <c r="D24" s="381">
        <v>51227749.039999999</v>
      </c>
      <c r="E24" s="380">
        <f t="shared" si="0"/>
        <v>3657651.4999999925</v>
      </c>
      <c r="F24" s="380">
        <f t="shared" si="1"/>
        <v>0</v>
      </c>
    </row>
    <row r="25" spans="2:6" x14ac:dyDescent="0.25">
      <c r="B25" s="385">
        <v>42701</v>
      </c>
      <c r="C25" s="381">
        <v>275178.08</v>
      </c>
      <c r="D25" s="381"/>
      <c r="E25" s="380">
        <f t="shared" si="0"/>
        <v>3932829.5799999926</v>
      </c>
      <c r="F25" s="380">
        <f t="shared" si="1"/>
        <v>5110.6911369862901</v>
      </c>
    </row>
    <row r="26" spans="2:6" x14ac:dyDescent="0.25">
      <c r="B26" s="385">
        <v>42702</v>
      </c>
      <c r="C26" s="381">
        <v>1260273.97</v>
      </c>
      <c r="D26" s="381"/>
      <c r="E26" s="380">
        <f t="shared" si="0"/>
        <v>5193103.5499999924</v>
      </c>
      <c r="F26" s="380">
        <f t="shared" si="1"/>
        <v>0</v>
      </c>
    </row>
    <row r="27" spans="2:6" x14ac:dyDescent="0.25">
      <c r="B27" s="385">
        <v>42707</v>
      </c>
      <c r="C27" s="381">
        <v>2552547.9500000002</v>
      </c>
      <c r="D27" s="381"/>
      <c r="E27" s="380">
        <f t="shared" si="0"/>
        <v>7745651.4999999925</v>
      </c>
      <c r="F27" s="380">
        <f t="shared" si="1"/>
        <v>2134.1521438356131</v>
      </c>
    </row>
    <row r="28" spans="2:6" x14ac:dyDescent="0.25">
      <c r="B28" s="385">
        <v>42708</v>
      </c>
      <c r="C28" s="381">
        <v>1189726.03</v>
      </c>
      <c r="D28" s="381"/>
      <c r="E28" s="380">
        <f t="shared" si="0"/>
        <v>8935377.5299999919</v>
      </c>
      <c r="F28" s="380">
        <f t="shared" si="1"/>
        <v>0</v>
      </c>
    </row>
    <row r="29" spans="2:6" x14ac:dyDescent="0.25">
      <c r="B29" s="385">
        <v>42709</v>
      </c>
      <c r="C29" s="381">
        <v>27101147.390000001</v>
      </c>
      <c r="D29" s="381"/>
      <c r="E29" s="380">
        <f t="shared" si="0"/>
        <v>36036524.919999994</v>
      </c>
      <c r="F29" s="380">
        <f t="shared" si="1"/>
        <v>0</v>
      </c>
    </row>
    <row r="30" spans="2:6" x14ac:dyDescent="0.25">
      <c r="B30" s="385">
        <v>42715</v>
      </c>
      <c r="C30" s="381">
        <v>1117808.22</v>
      </c>
      <c r="D30" s="381"/>
      <c r="E30" s="380">
        <f t="shared" si="0"/>
        <v>37154333.139999993</v>
      </c>
      <c r="F30" s="380">
        <f t="shared" si="1"/>
        <v>17771.436946849313</v>
      </c>
    </row>
    <row r="31" spans="2:6" x14ac:dyDescent="0.25">
      <c r="B31" s="385">
        <v>42716</v>
      </c>
      <c r="C31" s="381">
        <v>30115068.489999998</v>
      </c>
      <c r="D31" s="381"/>
      <c r="E31" s="380">
        <f t="shared" si="0"/>
        <v>67269401.629999995</v>
      </c>
      <c r="F31" s="380">
        <f t="shared" si="1"/>
        <v>0</v>
      </c>
    </row>
    <row r="32" spans="2:6" x14ac:dyDescent="0.25">
      <c r="B32" s="385">
        <v>42724</v>
      </c>
      <c r="C32" s="381">
        <v>1090235.6200000001</v>
      </c>
      <c r="D32" s="381"/>
      <c r="E32" s="380">
        <f t="shared" si="0"/>
        <v>68359637.25</v>
      </c>
      <c r="F32" s="380">
        <f t="shared" si="1"/>
        <v>44231.935318356162</v>
      </c>
    </row>
    <row r="33" spans="2:6" x14ac:dyDescent="0.25">
      <c r="B33" s="385">
        <v>42725</v>
      </c>
      <c r="C33" s="381">
        <v>392671.23</v>
      </c>
      <c r="D33" s="381"/>
      <c r="E33" s="380">
        <f t="shared" si="0"/>
        <v>68752308.480000004</v>
      </c>
      <c r="F33" s="380">
        <f t="shared" si="1"/>
        <v>0</v>
      </c>
    </row>
    <row r="34" spans="2:6" x14ac:dyDescent="0.25">
      <c r="B34" s="385">
        <v>42729</v>
      </c>
      <c r="C34" s="381">
        <v>7632019.7199999997</v>
      </c>
      <c r="D34" s="381"/>
      <c r="E34" s="380">
        <f t="shared" si="0"/>
        <v>76384328.200000003</v>
      </c>
      <c r="F34" s="380">
        <f t="shared" si="1"/>
        <v>22603.498678356165</v>
      </c>
    </row>
    <row r="35" spans="2:6" x14ac:dyDescent="0.25">
      <c r="B35" s="385">
        <v>42732</v>
      </c>
      <c r="C35" s="382"/>
      <c r="D35" s="381">
        <v>71795785.202328756</v>
      </c>
      <c r="E35" s="380">
        <f t="shared" si="0"/>
        <v>4588542.9976712465</v>
      </c>
      <c r="F35" s="380">
        <f t="shared" si="1"/>
        <v>0</v>
      </c>
    </row>
    <row r="36" spans="2:6" x14ac:dyDescent="0.25">
      <c r="B36" s="385">
        <v>42740</v>
      </c>
      <c r="C36" s="381">
        <v>1105643.8400000001</v>
      </c>
      <c r="D36" s="381"/>
      <c r="E36" s="380">
        <f t="shared" si="0"/>
        <v>5694186.8376712464</v>
      </c>
      <c r="F36" s="380">
        <f t="shared" si="1"/>
        <v>3017.1241628523267</v>
      </c>
    </row>
    <row r="37" spans="2:6" x14ac:dyDescent="0.25">
      <c r="B37" s="385">
        <v>42751</v>
      </c>
      <c r="C37" s="381">
        <v>136260.82</v>
      </c>
      <c r="D37" s="381"/>
      <c r="E37" s="380">
        <f t="shared" si="0"/>
        <v>5830447.6576712467</v>
      </c>
      <c r="F37" s="380">
        <f t="shared" si="1"/>
        <v>5148.1689217301682</v>
      </c>
    </row>
    <row r="38" spans="2:6" x14ac:dyDescent="0.25">
      <c r="B38" s="385">
        <v>42756</v>
      </c>
      <c r="C38" s="381">
        <v>1905814.79</v>
      </c>
      <c r="D38" s="381"/>
      <c r="E38" s="380">
        <f t="shared" si="0"/>
        <v>7736262.4476712467</v>
      </c>
      <c r="F38" s="380">
        <f t="shared" si="1"/>
        <v>2396.0743798648959</v>
      </c>
    </row>
    <row r="39" spans="2:6" x14ac:dyDescent="0.25">
      <c r="B39" s="385">
        <v>42762</v>
      </c>
      <c r="C39" s="381">
        <v>2571506.85</v>
      </c>
      <c r="D39" s="381"/>
      <c r="E39" s="380">
        <f t="shared" si="0"/>
        <v>10307769.297671247</v>
      </c>
      <c r="F39" s="380">
        <f t="shared" si="1"/>
        <v>3815.1431248789709</v>
      </c>
    </row>
    <row r="40" spans="2:6" x14ac:dyDescent="0.25">
      <c r="B40" s="385">
        <v>42768</v>
      </c>
      <c r="C40" s="381">
        <v>2107178.08</v>
      </c>
      <c r="D40" s="381"/>
      <c r="E40" s="380">
        <f t="shared" si="0"/>
        <v>12414947.377671247</v>
      </c>
      <c r="F40" s="380">
        <f t="shared" si="1"/>
        <v>5083.2834892625324</v>
      </c>
    </row>
    <row r="41" spans="2:6" x14ac:dyDescent="0.25">
      <c r="B41" s="385">
        <v>42772</v>
      </c>
      <c r="C41" s="381">
        <v>15202808.220000001</v>
      </c>
      <c r="D41" s="381"/>
      <c r="E41" s="380">
        <f t="shared" si="0"/>
        <v>27617755.597671248</v>
      </c>
      <c r="F41" s="380">
        <f t="shared" si="1"/>
        <v>4081.6265351247935</v>
      </c>
    </row>
    <row r="42" spans="2:6" x14ac:dyDescent="0.25">
      <c r="B42" s="385">
        <v>42775</v>
      </c>
      <c r="C42" s="382"/>
      <c r="D42" s="381">
        <v>15869038.68</v>
      </c>
      <c r="E42" s="380">
        <f t="shared" si="0"/>
        <v>11748716.917671248</v>
      </c>
      <c r="F42" s="380">
        <f t="shared" si="1"/>
        <v>0</v>
      </c>
    </row>
    <row r="43" spans="2:6" x14ac:dyDescent="0.25">
      <c r="B43" s="385">
        <v>42807</v>
      </c>
      <c r="C43" s="381">
        <v>22143921.100000001</v>
      </c>
      <c r="D43" s="381"/>
      <c r="E43" s="380">
        <f t="shared" si="0"/>
        <v>33892638.01767125</v>
      </c>
      <c r="F43" s="380">
        <f t="shared" si="1"/>
        <v>30900.734906751775</v>
      </c>
    </row>
    <row r="44" spans="2:6" x14ac:dyDescent="0.25">
      <c r="B44" s="385">
        <v>42810</v>
      </c>
      <c r="C44" s="382"/>
      <c r="D44" s="381">
        <v>27478649.039999999</v>
      </c>
      <c r="E44" s="380">
        <f t="shared" si="0"/>
        <v>6413988.9776712507</v>
      </c>
      <c r="F44" s="380">
        <f t="shared" si="1"/>
        <v>0</v>
      </c>
    </row>
    <row r="45" spans="2:6" x14ac:dyDescent="0.25">
      <c r="B45" s="385">
        <v>42904</v>
      </c>
      <c r="C45" s="381">
        <v>10534575.34</v>
      </c>
      <c r="D45" s="381"/>
      <c r="E45" s="380">
        <f t="shared" si="0"/>
        <v>16948564.317671251</v>
      </c>
      <c r="F45" s="380">
        <f t="shared" si="1"/>
        <v>49554.654567213496</v>
      </c>
    </row>
    <row r="46" spans="2:6" x14ac:dyDescent="0.25">
      <c r="B46" s="385">
        <v>42906</v>
      </c>
      <c r="C46" s="381">
        <v>3472500</v>
      </c>
      <c r="D46" s="381"/>
      <c r="E46" s="380">
        <f t="shared" si="0"/>
        <v>20421064.317671251</v>
      </c>
      <c r="F46" s="380">
        <f t="shared" si="1"/>
        <v>0</v>
      </c>
    </row>
    <row r="47" spans="2:6" x14ac:dyDescent="0.25">
      <c r="B47" s="385">
        <v>42909</v>
      </c>
      <c r="C47" s="381">
        <v>24765041.100000001</v>
      </c>
      <c r="D47" s="381"/>
      <c r="E47" s="380">
        <f t="shared" si="0"/>
        <v>45186105.417671248</v>
      </c>
      <c r="F47" s="380">
        <f t="shared" si="1"/>
        <v>0</v>
      </c>
    </row>
    <row r="48" spans="2:6" x14ac:dyDescent="0.25">
      <c r="B48" s="385">
        <v>42912</v>
      </c>
      <c r="C48" s="382"/>
      <c r="D48" s="381">
        <v>40684397.810410962</v>
      </c>
      <c r="E48" s="380">
        <f t="shared" si="0"/>
        <v>4501707.6072602868</v>
      </c>
      <c r="F48" s="380">
        <f t="shared" si="1"/>
        <v>0</v>
      </c>
    </row>
    <row r="49" spans="2:6" x14ac:dyDescent="0.25">
      <c r="B49" s="385">
        <v>43066</v>
      </c>
      <c r="C49" s="381">
        <v>7740000</v>
      </c>
      <c r="D49" s="381"/>
      <c r="E49" s="380">
        <f t="shared" si="0"/>
        <v>12241707.607260287</v>
      </c>
      <c r="F49" s="380">
        <f t="shared" si="1"/>
        <v>56980.518206965811</v>
      </c>
    </row>
    <row r="50" spans="2:6" x14ac:dyDescent="0.25">
      <c r="B50" s="385">
        <v>43072</v>
      </c>
      <c r="C50" s="381">
        <v>69552500</v>
      </c>
      <c r="D50" s="381"/>
      <c r="E50" s="380">
        <f t="shared" si="0"/>
        <v>81794207.607260287</v>
      </c>
      <c r="F50" s="380">
        <f t="shared" si="1"/>
        <v>6037.0064912516482</v>
      </c>
    </row>
    <row r="51" spans="2:6" x14ac:dyDescent="0.25">
      <c r="B51" s="385">
        <v>43073</v>
      </c>
      <c r="C51" s="381">
        <v>32250000</v>
      </c>
      <c r="D51" s="381"/>
      <c r="E51" s="380">
        <f t="shared" si="0"/>
        <v>114044207.60726029</v>
      </c>
      <c r="F51" s="380">
        <f t="shared" si="1"/>
        <v>0</v>
      </c>
    </row>
    <row r="52" spans="2:6" x14ac:dyDescent="0.25">
      <c r="B52" s="385">
        <v>43075</v>
      </c>
      <c r="C52" s="382"/>
      <c r="D52" s="381">
        <v>110759400.34</v>
      </c>
      <c r="E52" s="380">
        <f t="shared" si="0"/>
        <v>3284807.2672602832</v>
      </c>
      <c r="F52" s="380">
        <f t="shared" si="1"/>
        <v>0</v>
      </c>
    </row>
    <row r="53" spans="2:6" x14ac:dyDescent="0.25">
      <c r="B53" s="385">
        <v>43080</v>
      </c>
      <c r="C53" s="381">
        <v>29240000</v>
      </c>
      <c r="D53" s="381"/>
      <c r="E53" s="380">
        <f t="shared" si="0"/>
        <v>32524807.267260283</v>
      </c>
      <c r="F53" s="380">
        <f t="shared" si="1"/>
        <v>1349.9207947645</v>
      </c>
    </row>
    <row r="54" spans="2:6" x14ac:dyDescent="0.25">
      <c r="B54" s="385">
        <v>43087</v>
      </c>
      <c r="C54" s="381">
        <v>32464102.739999998</v>
      </c>
      <c r="D54" s="381"/>
      <c r="E54" s="380">
        <f t="shared" si="0"/>
        <v>64988910.007260278</v>
      </c>
      <c r="F54" s="380">
        <f t="shared" si="1"/>
        <v>18712.902811300439</v>
      </c>
    </row>
    <row r="55" spans="2:6" x14ac:dyDescent="0.25">
      <c r="B55" s="385">
        <v>43090</v>
      </c>
      <c r="C55" s="382"/>
      <c r="D55" s="381">
        <v>62381299.722739734</v>
      </c>
      <c r="E55" s="380">
        <f t="shared" si="0"/>
        <v>2607610.2845205441</v>
      </c>
      <c r="F55" s="380">
        <f t="shared" si="1"/>
        <v>0</v>
      </c>
    </row>
    <row r="56" spans="2:6" x14ac:dyDescent="0.25">
      <c r="B56" s="385">
        <v>43105</v>
      </c>
      <c r="C56" s="381">
        <v>25393600</v>
      </c>
      <c r="D56" s="381"/>
      <c r="E56" s="380">
        <f t="shared" si="0"/>
        <v>28001210.284520544</v>
      </c>
      <c r="F56" s="380">
        <f t="shared" si="1"/>
        <v>3214.861994614369</v>
      </c>
    </row>
    <row r="57" spans="2:6" x14ac:dyDescent="0.25">
      <c r="B57" s="385">
        <v>43112</v>
      </c>
      <c r="C57" s="381">
        <v>15634931.51</v>
      </c>
      <c r="D57" s="381"/>
      <c r="E57" s="380">
        <f t="shared" si="0"/>
        <v>43636141.794520542</v>
      </c>
      <c r="F57" s="380">
        <f t="shared" si="1"/>
        <v>16110.285369176203</v>
      </c>
    </row>
    <row r="58" spans="2:6" x14ac:dyDescent="0.25">
      <c r="B58" s="385">
        <v>43115</v>
      </c>
      <c r="C58" s="382"/>
      <c r="D58" s="381">
        <v>83095.899999999994</v>
      </c>
      <c r="E58" s="380">
        <f t="shared" si="0"/>
        <v>43553045.894520544</v>
      </c>
      <c r="F58" s="380">
        <f t="shared" si="1"/>
        <v>0</v>
      </c>
    </row>
    <row r="59" spans="2:6" x14ac:dyDescent="0.25">
      <c r="B59" s="385">
        <v>43121</v>
      </c>
      <c r="C59" s="381">
        <v>38086400</v>
      </c>
      <c r="D59" s="381"/>
      <c r="E59" s="380">
        <f t="shared" si="0"/>
        <v>81639445.894520551</v>
      </c>
      <c r="F59" s="380">
        <f t="shared" si="1"/>
        <v>21478.214413736157</v>
      </c>
    </row>
    <row r="60" spans="2:6" x14ac:dyDescent="0.25">
      <c r="B60" s="385">
        <v>43127</v>
      </c>
      <c r="C60" s="381">
        <v>53800000</v>
      </c>
      <c r="D60" s="381"/>
      <c r="E60" s="380">
        <f t="shared" si="0"/>
        <v>135439445.89452055</v>
      </c>
      <c r="F60" s="380">
        <f t="shared" si="1"/>
        <v>40260.548660311499</v>
      </c>
    </row>
    <row r="61" spans="2:6" x14ac:dyDescent="0.25">
      <c r="B61" s="385">
        <v>43133</v>
      </c>
      <c r="C61" s="381">
        <v>43040000</v>
      </c>
      <c r="D61" s="381"/>
      <c r="E61" s="380">
        <f t="shared" si="0"/>
        <v>178479445.89452055</v>
      </c>
      <c r="F61" s="380">
        <f t="shared" si="1"/>
        <v>66792.055509626574</v>
      </c>
    </row>
    <row r="62" spans="2:6" x14ac:dyDescent="0.25">
      <c r="B62" s="385">
        <v>43136</v>
      </c>
      <c r="C62" s="382"/>
      <c r="D62" s="381">
        <v>178479445.89452052</v>
      </c>
      <c r="E62" s="380">
        <f t="shared" si="0"/>
        <v>0</v>
      </c>
      <c r="F62" s="380">
        <f t="shared" si="1"/>
        <v>0</v>
      </c>
    </row>
    <row r="63" spans="2:6" x14ac:dyDescent="0.25">
      <c r="B63" s="383"/>
      <c r="C63" s="380">
        <f>SUM(C8:C62)</f>
        <v>591145454.50999999</v>
      </c>
      <c r="D63" s="384">
        <f>SUM(D8:D62)</f>
        <v>591145454.50999999</v>
      </c>
      <c r="E63" s="380"/>
    </row>
    <row r="64" spans="2:6" x14ac:dyDescent="0.25">
      <c r="B64" s="378"/>
      <c r="D64" s="379"/>
    </row>
    <row r="65" spans="2:2" x14ac:dyDescent="0.25">
      <c r="B65" s="378"/>
    </row>
    <row r="66" spans="2:2" x14ac:dyDescent="0.25">
      <c r="B66" s="378"/>
    </row>
    <row r="67" spans="2:2" x14ac:dyDescent="0.25">
      <c r="B67" s="378"/>
    </row>
    <row r="68" spans="2:2" x14ac:dyDescent="0.25">
      <c r="B68" s="378"/>
    </row>
    <row r="69" spans="2:2" x14ac:dyDescent="0.25">
      <c r="B69" s="378"/>
    </row>
    <row r="70" spans="2:2" x14ac:dyDescent="0.25">
      <c r="B70" s="378"/>
    </row>
    <row r="71" spans="2:2" x14ac:dyDescent="0.25">
      <c r="B71" s="378"/>
    </row>
    <row r="72" spans="2:2" x14ac:dyDescent="0.25">
      <c r="B72" s="378"/>
    </row>
    <row r="73" spans="2:2" x14ac:dyDescent="0.25">
      <c r="B73" s="378"/>
    </row>
    <row r="74" spans="2:2" x14ac:dyDescent="0.25">
      <c r="B74" s="378"/>
    </row>
  </sheetData>
  <sortState ref="B1:D55">
    <sortCondition ref="B1"/>
  </sortState>
  <phoneticPr fontId="42" type="noConversion"/>
  <pageMargins left="0.7" right="0.7" top="0.75" bottom="0.75" header="0.3" footer="0.3"/>
  <pageSetup paperSize="9" scale="80" orientation="portrait" horizontalDpi="0" verticalDpi="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enableFormatConditionsCalculation="0">
    <tabColor theme="5" tint="-0.499984740745262"/>
  </sheetPr>
  <dimension ref="A1:I139"/>
  <sheetViews>
    <sheetView tabSelected="1" workbookViewId="0">
      <pane xSplit="1" ySplit="1" topLeftCell="B2" activePane="bottomRight" state="frozen"/>
      <selection pane="topRight" activeCell="B1" sqref="B1"/>
      <selection pane="bottomLeft" activeCell="A2" sqref="A2"/>
      <selection pane="bottomRight" activeCell="C22" sqref="C22"/>
    </sheetView>
  </sheetViews>
  <sheetFormatPr baseColWidth="10" defaultColWidth="10.7109375" defaultRowHeight="17" x14ac:dyDescent="0.25"/>
  <cols>
    <col min="1" max="1" width="31.7109375" style="6" bestFit="1" customWidth="1"/>
    <col min="2" max="2" width="18" style="10" customWidth="1"/>
    <col min="3" max="3" width="21.5703125" style="11" bestFit="1" customWidth="1"/>
    <col min="4" max="4" width="12.85546875" style="6" bestFit="1" customWidth="1"/>
    <col min="5" max="5" width="13.28515625" style="6" customWidth="1"/>
    <col min="6" max="6" width="17.42578125" style="6" customWidth="1"/>
    <col min="7" max="8" width="20.28515625" style="6" customWidth="1"/>
    <col min="9" max="9" width="20.140625" style="6" customWidth="1"/>
    <col min="10" max="16384" width="10.7109375" style="6"/>
  </cols>
  <sheetData>
    <row r="1" spans="1:9" x14ac:dyDescent="0.25">
      <c r="A1" s="7" t="s">
        <v>50</v>
      </c>
      <c r="B1" s="8" t="s">
        <v>51</v>
      </c>
      <c r="C1" s="210" t="s">
        <v>52</v>
      </c>
      <c r="D1" s="7" t="s">
        <v>55</v>
      </c>
      <c r="E1" s="7" t="s">
        <v>56</v>
      </c>
      <c r="F1" s="7" t="s">
        <v>53</v>
      </c>
      <c r="G1" s="7" t="s">
        <v>54</v>
      </c>
      <c r="H1" s="7" t="s">
        <v>133</v>
      </c>
      <c r="I1" s="9" t="s">
        <v>34</v>
      </c>
    </row>
    <row r="2" spans="1:9" x14ac:dyDescent="0.25">
      <c r="A2" s="6" t="s">
        <v>22</v>
      </c>
      <c r="B2" s="10">
        <v>42335</v>
      </c>
      <c r="C2" s="11">
        <f>VLOOKUP(A2,统计!A:V,COLUMN(统计!T1),0)</f>
        <v>7200000</v>
      </c>
      <c r="D2" s="12">
        <f>VLOOKUP(A2,统计!A:V,COLUMN(统计!I1),0)</f>
        <v>7.4999999999999997E-2</v>
      </c>
      <c r="E2" s="13">
        <f>VLOOKUP(A2,统计!A:V,COLUMN(统计!N1),0)</f>
        <v>365</v>
      </c>
      <c r="F2" s="211">
        <f t="shared" ref="F2:F58" si="0">IF(A2=A3,0,C2)</f>
        <v>0</v>
      </c>
      <c r="G2" s="211">
        <f>IF(A2=A1,ROUND(C2*D2*(B2-B1)/E2,2),0)</f>
        <v>0</v>
      </c>
      <c r="H2" s="211">
        <f t="shared" ref="H2:H58" si="1">SUM(F2:G2)</f>
        <v>0</v>
      </c>
      <c r="I2" s="14">
        <v>42612</v>
      </c>
    </row>
    <row r="3" spans="1:9" hidden="1" x14ac:dyDescent="0.25">
      <c r="A3" s="15" t="str">
        <f>A2</f>
        <v>万信-磐石024号001</v>
      </c>
      <c r="B3" s="16">
        <f>$I$2</f>
        <v>42612</v>
      </c>
      <c r="C3" s="66">
        <f>VLOOKUP(A3,统计!A:V,COLUMN(统计!T2),0)</f>
        <v>7200000</v>
      </c>
      <c r="D3" s="394">
        <f>VLOOKUP(A3,统计!A:V,COLUMN(统计!I2),0)</f>
        <v>7.4999999999999997E-2</v>
      </c>
      <c r="E3" s="395">
        <f>VLOOKUP(A3,统计!A:V,COLUMN(统计!N2),0)</f>
        <v>365</v>
      </c>
      <c r="F3" s="212">
        <f t="shared" si="0"/>
        <v>0</v>
      </c>
      <c r="G3" s="212">
        <f>IF(A3=A2,ROUND(C3*D3*(B3-B2)/E3,2),0)</f>
        <v>409808.22</v>
      </c>
      <c r="H3" s="212">
        <f t="shared" si="1"/>
        <v>409808.22</v>
      </c>
      <c r="I3" s="6" t="str">
        <f>IF(AND(A3=A4,B3&gt;B4),"日期需调整！","")</f>
        <v/>
      </c>
    </row>
    <row r="4" spans="1:9" x14ac:dyDescent="0.25">
      <c r="A4" s="6" t="str">
        <f>A2</f>
        <v>万信-磐石024号001</v>
      </c>
      <c r="B4" s="10">
        <v>42701</v>
      </c>
      <c r="C4" s="11">
        <f>VLOOKUP(A4,统计!A:V,COLUMN(统计!T3),0)</f>
        <v>7200000</v>
      </c>
      <c r="D4" s="12">
        <f>VLOOKUP(A4,统计!A:V,COLUMN(统计!I3),0)</f>
        <v>7.4999999999999997E-2</v>
      </c>
      <c r="E4" s="13">
        <f>VLOOKUP(A4,统计!A:V,COLUMN(统计!N3),0)</f>
        <v>365</v>
      </c>
      <c r="F4" s="211">
        <f t="shared" si="0"/>
        <v>0</v>
      </c>
      <c r="G4" s="211">
        <f t="shared" ref="G4:G58" si="2">IF(A4=A3,ROUND(C4*D4*(B4-B3)/E4,2),0)</f>
        <v>131671.23000000001</v>
      </c>
      <c r="H4" s="211">
        <f t="shared" si="1"/>
        <v>131671.23000000001</v>
      </c>
      <c r="I4" s="6" t="str">
        <f t="shared" ref="I4:I67" si="3">IF(AND(A4=A5,B4&gt;B5),"日期需调整！","")</f>
        <v/>
      </c>
    </row>
    <row r="5" spans="1:9" x14ac:dyDescent="0.25">
      <c r="A5" s="6" t="str">
        <f>A4</f>
        <v>万信-磐石024号001</v>
      </c>
      <c r="B5" s="10">
        <v>43066</v>
      </c>
      <c r="C5" s="11">
        <f>VLOOKUP(A5,统计!A:V,COLUMN(统计!T4),0)</f>
        <v>7200000</v>
      </c>
      <c r="D5" s="12">
        <f>VLOOKUP(A5,统计!A:V,COLUMN(统计!I4),0)</f>
        <v>7.4999999999999997E-2</v>
      </c>
      <c r="E5" s="13">
        <f>VLOOKUP(A5,统计!A:V,COLUMN(统计!N4),0)</f>
        <v>365</v>
      </c>
      <c r="F5" s="211">
        <f t="shared" si="0"/>
        <v>7200000</v>
      </c>
      <c r="G5" s="211">
        <f t="shared" si="2"/>
        <v>540000</v>
      </c>
      <c r="H5" s="211">
        <f t="shared" si="1"/>
        <v>7740000</v>
      </c>
      <c r="I5" s="6" t="str">
        <f t="shared" si="3"/>
        <v/>
      </c>
    </row>
    <row r="6" spans="1:9" x14ac:dyDescent="0.25">
      <c r="A6" s="6" t="s">
        <v>23</v>
      </c>
      <c r="B6" s="10">
        <v>42341</v>
      </c>
      <c r="C6" s="11">
        <f>VLOOKUP(A6,统计!A:V,COLUMN(统计!T5),0)</f>
        <v>39200000</v>
      </c>
      <c r="D6" s="12">
        <f>VLOOKUP(A6,统计!A:V,COLUMN(统计!I5),0)</f>
        <v>7.4999999999999997E-2</v>
      </c>
      <c r="E6" s="13">
        <f>VLOOKUP(A6,统计!A:V,COLUMN(统计!N5),0)</f>
        <v>365</v>
      </c>
      <c r="F6" s="211">
        <f t="shared" si="0"/>
        <v>0</v>
      </c>
      <c r="G6" s="211">
        <f t="shared" si="2"/>
        <v>0</v>
      </c>
      <c r="H6" s="211">
        <f t="shared" si="1"/>
        <v>0</v>
      </c>
      <c r="I6" s="6" t="str">
        <f t="shared" si="3"/>
        <v/>
      </c>
    </row>
    <row r="7" spans="1:9" hidden="1" x14ac:dyDescent="0.25">
      <c r="A7" s="15" t="str">
        <f>A6</f>
        <v>万信-磐石025号001</v>
      </c>
      <c r="B7" s="16">
        <f>$I$2</f>
        <v>42612</v>
      </c>
      <c r="C7" s="66">
        <f>VLOOKUP(A7,统计!A:V,COLUMN(统计!T6),0)</f>
        <v>39200000</v>
      </c>
      <c r="D7" s="394">
        <f>VLOOKUP(A7,统计!A:V,COLUMN(统计!I6),0)</f>
        <v>7.4999999999999997E-2</v>
      </c>
      <c r="E7" s="395">
        <f>VLOOKUP(A7,统计!A:V,COLUMN(统计!N6),0)</f>
        <v>365</v>
      </c>
      <c r="F7" s="212">
        <f t="shared" si="0"/>
        <v>0</v>
      </c>
      <c r="G7" s="212">
        <f t="shared" si="2"/>
        <v>2182849.3199999998</v>
      </c>
      <c r="H7" s="212">
        <f t="shared" si="1"/>
        <v>2182849.3199999998</v>
      </c>
      <c r="I7" s="6" t="str">
        <f t="shared" si="3"/>
        <v/>
      </c>
    </row>
    <row r="8" spans="1:9" x14ac:dyDescent="0.25">
      <c r="A8" s="6" t="str">
        <f>A6</f>
        <v>万信-磐石025号001</v>
      </c>
      <c r="B8" s="10">
        <v>42707</v>
      </c>
      <c r="C8" s="11">
        <f>VLOOKUP(A8,统计!A:V,COLUMN(统计!T7),0)</f>
        <v>39200000</v>
      </c>
      <c r="D8" s="12">
        <f>VLOOKUP(A8,统计!A:V,COLUMN(统计!I7),0)</f>
        <v>7.4999999999999997E-2</v>
      </c>
      <c r="E8" s="13">
        <f>VLOOKUP(A8,统计!A:V,COLUMN(统计!N7),0)</f>
        <v>365</v>
      </c>
      <c r="F8" s="211">
        <f t="shared" si="0"/>
        <v>0</v>
      </c>
      <c r="G8" s="211">
        <f t="shared" si="2"/>
        <v>765205.48</v>
      </c>
      <c r="H8" s="211">
        <f t="shared" si="1"/>
        <v>765205.48</v>
      </c>
      <c r="I8" s="6" t="str">
        <f t="shared" si="3"/>
        <v/>
      </c>
    </row>
    <row r="9" spans="1:9" x14ac:dyDescent="0.25">
      <c r="A9" s="6" t="str">
        <f>A8</f>
        <v>万信-磐石025号001</v>
      </c>
      <c r="B9" s="10">
        <v>43072</v>
      </c>
      <c r="C9" s="11">
        <f>VLOOKUP(A9,统计!A:V,COLUMN(统计!T8),0)</f>
        <v>39200000</v>
      </c>
      <c r="D9" s="12">
        <f>VLOOKUP(A9,统计!A:V,COLUMN(统计!I8),0)</f>
        <v>7.4999999999999997E-2</v>
      </c>
      <c r="E9" s="13">
        <f>VLOOKUP(A9,统计!A:V,COLUMN(统计!N8),0)</f>
        <v>365</v>
      </c>
      <c r="F9" s="211">
        <f t="shared" si="0"/>
        <v>39200000</v>
      </c>
      <c r="G9" s="211">
        <f t="shared" si="2"/>
        <v>2940000</v>
      </c>
      <c r="H9" s="211">
        <f t="shared" si="1"/>
        <v>42140000</v>
      </c>
      <c r="I9" s="6" t="str">
        <f t="shared" si="3"/>
        <v/>
      </c>
    </row>
    <row r="10" spans="1:9" x14ac:dyDescent="0.25">
      <c r="A10" s="6" t="s">
        <v>24</v>
      </c>
      <c r="B10" s="10">
        <v>42341</v>
      </c>
      <c r="C10" s="11">
        <f>VLOOKUP(A10,统计!A:V,COLUMN(统计!T9),0)</f>
        <v>25500000</v>
      </c>
      <c r="D10" s="12">
        <f>VLOOKUP(A10,统计!A:V,COLUMN(统计!I9),0)</f>
        <v>7.4999999999999997E-2</v>
      </c>
      <c r="E10" s="13">
        <f>VLOOKUP(A10,统计!A:V,COLUMN(统计!N9),0)</f>
        <v>365</v>
      </c>
      <c r="F10" s="211">
        <f t="shared" si="0"/>
        <v>0</v>
      </c>
      <c r="G10" s="211">
        <f t="shared" si="2"/>
        <v>0</v>
      </c>
      <c r="H10" s="211">
        <f t="shared" si="1"/>
        <v>0</v>
      </c>
      <c r="I10" s="6" t="str">
        <f t="shared" si="3"/>
        <v/>
      </c>
    </row>
    <row r="11" spans="1:9" hidden="1" x14ac:dyDescent="0.25">
      <c r="A11" s="15" t="str">
        <f>A10</f>
        <v>万信-磐石026号001</v>
      </c>
      <c r="B11" s="16">
        <f>$I$2</f>
        <v>42612</v>
      </c>
      <c r="C11" s="66">
        <f>VLOOKUP(A11,统计!A:V,COLUMN(统计!T10),0)</f>
        <v>25500000</v>
      </c>
      <c r="D11" s="394">
        <f>VLOOKUP(A11,统计!A:V,COLUMN(统计!I10),0)</f>
        <v>7.4999999999999997E-2</v>
      </c>
      <c r="E11" s="395">
        <f>VLOOKUP(A11,统计!A:V,COLUMN(统计!N10),0)</f>
        <v>365</v>
      </c>
      <c r="F11" s="212">
        <f t="shared" si="0"/>
        <v>0</v>
      </c>
      <c r="G11" s="212">
        <f t="shared" si="2"/>
        <v>1419965.75</v>
      </c>
      <c r="H11" s="212">
        <f t="shared" si="1"/>
        <v>1419965.75</v>
      </c>
      <c r="I11" s="6" t="str">
        <f t="shared" si="3"/>
        <v/>
      </c>
    </row>
    <row r="12" spans="1:9" x14ac:dyDescent="0.25">
      <c r="A12" s="6" t="str">
        <f>A10</f>
        <v>万信-磐石026号001</v>
      </c>
      <c r="B12" s="10">
        <v>42707</v>
      </c>
      <c r="C12" s="11">
        <f>VLOOKUP(A12,统计!A:V,COLUMN(统计!T11),0)</f>
        <v>25500000</v>
      </c>
      <c r="D12" s="12">
        <f>VLOOKUP(A12,统计!A:V,COLUMN(统计!I11),0)</f>
        <v>7.4999999999999997E-2</v>
      </c>
      <c r="E12" s="13">
        <f>VLOOKUP(A12,统计!A:V,COLUMN(统计!N11),0)</f>
        <v>365</v>
      </c>
      <c r="F12" s="211">
        <f t="shared" si="0"/>
        <v>0</v>
      </c>
      <c r="G12" s="211">
        <f t="shared" si="2"/>
        <v>497773.97</v>
      </c>
      <c r="H12" s="211">
        <f t="shared" si="1"/>
        <v>497773.97</v>
      </c>
      <c r="I12" s="6" t="str">
        <f t="shared" si="3"/>
        <v/>
      </c>
    </row>
    <row r="13" spans="1:9" x14ac:dyDescent="0.25">
      <c r="A13" s="6" t="str">
        <f>A12</f>
        <v>万信-磐石026号001</v>
      </c>
      <c r="B13" s="10">
        <v>43072</v>
      </c>
      <c r="C13" s="11">
        <f>VLOOKUP(A13,统计!A:V,COLUMN(统计!T12),0)</f>
        <v>25500000</v>
      </c>
      <c r="D13" s="12">
        <f>VLOOKUP(A13,统计!A:V,COLUMN(统计!I12),0)</f>
        <v>7.4999999999999997E-2</v>
      </c>
      <c r="E13" s="13">
        <f>VLOOKUP(A13,统计!A:V,COLUMN(统计!N12),0)</f>
        <v>365</v>
      </c>
      <c r="F13" s="211">
        <f t="shared" si="0"/>
        <v>25500000</v>
      </c>
      <c r="G13" s="211">
        <f t="shared" si="2"/>
        <v>1912500</v>
      </c>
      <c r="H13" s="211">
        <f t="shared" si="1"/>
        <v>27412500</v>
      </c>
      <c r="I13" s="6" t="str">
        <f t="shared" si="3"/>
        <v/>
      </c>
    </row>
    <row r="14" spans="1:9" x14ac:dyDescent="0.25">
      <c r="A14" s="6" t="s">
        <v>25</v>
      </c>
      <c r="B14" s="10">
        <v>42342</v>
      </c>
      <c r="C14" s="11">
        <f>VLOOKUP(A14,统计!A:V,COLUMN(统计!T13),0)</f>
        <v>30000000</v>
      </c>
      <c r="D14" s="12">
        <f>VLOOKUP(A14,统计!A:V,COLUMN(统计!I13),0)</f>
        <v>7.4999999999999997E-2</v>
      </c>
      <c r="E14" s="13">
        <f>VLOOKUP(A14,统计!A:V,COLUMN(统计!N13),0)</f>
        <v>365</v>
      </c>
      <c r="F14" s="211">
        <f t="shared" si="0"/>
        <v>0</v>
      </c>
      <c r="G14" s="211">
        <f t="shared" si="2"/>
        <v>0</v>
      </c>
      <c r="H14" s="211">
        <f t="shared" si="1"/>
        <v>0</v>
      </c>
      <c r="I14" s="6" t="str">
        <f t="shared" si="3"/>
        <v/>
      </c>
    </row>
    <row r="15" spans="1:9" hidden="1" x14ac:dyDescent="0.25">
      <c r="A15" s="15" t="str">
        <f>A14</f>
        <v>万信-磐石027号001</v>
      </c>
      <c r="B15" s="16">
        <f>$I$2</f>
        <v>42612</v>
      </c>
      <c r="C15" s="66">
        <f>VLOOKUP(A15,统计!A:V,COLUMN(统计!T14),0)</f>
        <v>30000000</v>
      </c>
      <c r="D15" s="394">
        <f>VLOOKUP(A15,统计!A:V,COLUMN(统计!I14),0)</f>
        <v>7.4999999999999997E-2</v>
      </c>
      <c r="E15" s="395">
        <f>VLOOKUP(A15,统计!A:V,COLUMN(统计!N14),0)</f>
        <v>365</v>
      </c>
      <c r="F15" s="212">
        <f t="shared" si="0"/>
        <v>0</v>
      </c>
      <c r="G15" s="212">
        <f t="shared" si="2"/>
        <v>1664383.56</v>
      </c>
      <c r="H15" s="212">
        <f t="shared" si="1"/>
        <v>1664383.56</v>
      </c>
      <c r="I15" s="6" t="str">
        <f t="shared" si="3"/>
        <v/>
      </c>
    </row>
    <row r="16" spans="1:9" x14ac:dyDescent="0.25">
      <c r="A16" s="6" t="str">
        <f>A14</f>
        <v>万信-磐石027号001</v>
      </c>
      <c r="B16" s="10">
        <v>42708</v>
      </c>
      <c r="C16" s="11">
        <f>VLOOKUP(A16,统计!A:V,COLUMN(统计!T15),0)</f>
        <v>30000000</v>
      </c>
      <c r="D16" s="12">
        <f>VLOOKUP(A16,统计!A:V,COLUMN(统计!I15),0)</f>
        <v>7.4999999999999997E-2</v>
      </c>
      <c r="E16" s="13">
        <f>VLOOKUP(A16,统计!A:V,COLUMN(统计!N15),0)</f>
        <v>365</v>
      </c>
      <c r="F16" s="211">
        <f t="shared" si="0"/>
        <v>0</v>
      </c>
      <c r="G16" s="211">
        <f t="shared" si="2"/>
        <v>591780.81999999995</v>
      </c>
      <c r="H16" s="211">
        <f t="shared" si="1"/>
        <v>591780.81999999995</v>
      </c>
      <c r="I16" s="6" t="str">
        <f t="shared" si="3"/>
        <v/>
      </c>
    </row>
    <row r="17" spans="1:9" x14ac:dyDescent="0.25">
      <c r="A17" s="6" t="str">
        <f>A16</f>
        <v>万信-磐石027号001</v>
      </c>
      <c r="B17" s="10">
        <v>43073</v>
      </c>
      <c r="C17" s="11">
        <f>VLOOKUP(A17,统计!A:V,COLUMN(统计!T16),0)</f>
        <v>30000000</v>
      </c>
      <c r="D17" s="12">
        <f>VLOOKUP(A17,统计!A:V,COLUMN(统计!I16),0)</f>
        <v>7.4999999999999997E-2</v>
      </c>
      <c r="E17" s="13">
        <f>VLOOKUP(A17,统计!A:V,COLUMN(统计!N16),0)</f>
        <v>365</v>
      </c>
      <c r="F17" s="211">
        <f t="shared" ref="F17:F24" si="4">IF(A17=A18,0,C17)</f>
        <v>30000000</v>
      </c>
      <c r="G17" s="211">
        <f t="shared" ref="G17:G24" si="5">IF(A17=A16,ROUND(C17*D17*(B17-B16)/E17,2),0)</f>
        <v>2250000</v>
      </c>
      <c r="H17" s="211">
        <f t="shared" ref="H17:H24" si="6">SUM(F17:G17)</f>
        <v>32250000</v>
      </c>
      <c r="I17" s="6" t="str">
        <f t="shared" si="3"/>
        <v/>
      </c>
    </row>
    <row r="18" spans="1:9" x14ac:dyDescent="0.25">
      <c r="A18" s="6" t="s">
        <v>27</v>
      </c>
      <c r="B18" s="10">
        <v>42356</v>
      </c>
      <c r="C18" s="11">
        <f>VLOOKUP(A18,统计!A:V,COLUMN(统计!T17),0)</f>
        <v>31300000</v>
      </c>
      <c r="D18" s="12">
        <f>VLOOKUP(A18,统计!A:V,COLUMN(统计!I17),0)</f>
        <v>7.4999999999999997E-2</v>
      </c>
      <c r="E18" s="13">
        <f>VLOOKUP(A18,统计!A:V,COLUMN(统计!N17),0)</f>
        <v>365</v>
      </c>
      <c r="F18" s="211">
        <f t="shared" si="4"/>
        <v>0</v>
      </c>
      <c r="G18" s="211">
        <f t="shared" si="5"/>
        <v>0</v>
      </c>
      <c r="H18" s="211">
        <f t="shared" si="6"/>
        <v>0</v>
      </c>
      <c r="I18" s="6" t="str">
        <f t="shared" si="3"/>
        <v/>
      </c>
    </row>
    <row r="19" spans="1:9" x14ac:dyDescent="0.25">
      <c r="A19" s="6" t="str">
        <f>A18</f>
        <v>万信-磐石028号001</v>
      </c>
      <c r="B19" s="10">
        <v>42541</v>
      </c>
      <c r="C19" s="11">
        <f>VLOOKUP(A19,统计!A:V,COLUMN(统计!T19),0)</f>
        <v>31300000</v>
      </c>
      <c r="D19" s="12">
        <f>VLOOKUP(A19,统计!A:V,COLUMN(统计!I19),0)</f>
        <v>7.4999999999999997E-2</v>
      </c>
      <c r="E19" s="13">
        <f>VLOOKUP(A19,统计!A:V,COLUMN(统计!N19),0)</f>
        <v>365</v>
      </c>
      <c r="F19" s="211">
        <f t="shared" si="4"/>
        <v>0</v>
      </c>
      <c r="G19" s="211">
        <f t="shared" si="5"/>
        <v>1189828.77</v>
      </c>
      <c r="H19" s="211">
        <f t="shared" si="6"/>
        <v>1189828.77</v>
      </c>
      <c r="I19" s="6" t="str">
        <f t="shared" si="3"/>
        <v/>
      </c>
    </row>
    <row r="20" spans="1:9" hidden="1" x14ac:dyDescent="0.25">
      <c r="A20" s="15" t="str">
        <f>A19</f>
        <v>万信-磐石028号001</v>
      </c>
      <c r="B20" s="16">
        <f>$I$2</f>
        <v>42612</v>
      </c>
      <c r="C20" s="66">
        <f>VLOOKUP(A20,统计!A:V,COLUMN(统计!T20),0)</f>
        <v>31300000</v>
      </c>
      <c r="D20" s="394">
        <f>VLOOKUP(A20,统计!A:V,COLUMN(统计!I20),0)</f>
        <v>7.4999999999999997E-2</v>
      </c>
      <c r="E20" s="395">
        <f>VLOOKUP(A20,统计!A:V,COLUMN(统计!N20),0)</f>
        <v>365</v>
      </c>
      <c r="F20" s="212">
        <f t="shared" si="4"/>
        <v>0</v>
      </c>
      <c r="G20" s="212">
        <f t="shared" si="5"/>
        <v>456636.99</v>
      </c>
      <c r="H20" s="212">
        <f t="shared" si="6"/>
        <v>456636.99</v>
      </c>
      <c r="I20" s="6" t="str">
        <f t="shared" si="3"/>
        <v/>
      </c>
    </row>
    <row r="21" spans="1:9" x14ac:dyDescent="0.25">
      <c r="A21" s="6" t="str">
        <f>A19</f>
        <v>万信-磐石028号001</v>
      </c>
      <c r="B21" s="10">
        <v>42906</v>
      </c>
      <c r="C21" s="11">
        <f>VLOOKUP(A21,统计!A:V,COLUMN(统计!T20),0)</f>
        <v>31300000</v>
      </c>
      <c r="D21" s="12">
        <f>VLOOKUP(A21,统计!A:V,COLUMN(统计!I20),0)</f>
        <v>7.4999999999999997E-2</v>
      </c>
      <c r="E21" s="13">
        <f>VLOOKUP(A21,统计!A:V,COLUMN(统计!N20),0)</f>
        <v>365</v>
      </c>
      <c r="F21" s="211">
        <f t="shared" si="4"/>
        <v>0</v>
      </c>
      <c r="G21" s="211">
        <f t="shared" si="5"/>
        <v>1890863.01</v>
      </c>
      <c r="H21" s="211">
        <f t="shared" si="6"/>
        <v>1890863.01</v>
      </c>
      <c r="I21" s="6" t="str">
        <f t="shared" si="3"/>
        <v/>
      </c>
    </row>
    <row r="22" spans="1:9" x14ac:dyDescent="0.25">
      <c r="A22" s="6" t="str">
        <f>A21</f>
        <v>万信-磐石028号001</v>
      </c>
      <c r="B22" s="10">
        <v>43087</v>
      </c>
      <c r="C22" s="11">
        <f>VLOOKUP(A22,统计!A:V,COLUMN(统计!T21),0)</f>
        <v>31300000</v>
      </c>
      <c r="D22" s="12">
        <f>VLOOKUP(A22,统计!A:V,COLUMN(统计!I21),0)</f>
        <v>7.4999999999999997E-2</v>
      </c>
      <c r="E22" s="13">
        <f>VLOOKUP(A22,统计!A:V,COLUMN(统计!N21),0)</f>
        <v>365</v>
      </c>
      <c r="F22" s="211">
        <f t="shared" si="4"/>
        <v>31300000</v>
      </c>
      <c r="G22" s="211">
        <f t="shared" si="5"/>
        <v>1164102.74</v>
      </c>
      <c r="H22" s="211">
        <f t="shared" si="6"/>
        <v>32464102.739999998</v>
      </c>
      <c r="I22" s="6" t="str">
        <f t="shared" si="3"/>
        <v/>
      </c>
    </row>
    <row r="23" spans="1:9" x14ac:dyDescent="0.25">
      <c r="A23" s="6" t="s">
        <v>26</v>
      </c>
      <c r="B23" s="10">
        <v>42349</v>
      </c>
      <c r="C23" s="11">
        <f>VLOOKUP(A23,统计!A:V,COLUMN(统计!T22),0)</f>
        <v>27200000</v>
      </c>
      <c r="D23" s="12">
        <f>VLOOKUP(A23,统计!A:V,COLUMN(统计!I22),0)</f>
        <v>7.4999999999999997E-2</v>
      </c>
      <c r="E23" s="13">
        <f>VLOOKUP(A23,统计!A:V,COLUMN(统计!N22),0)</f>
        <v>365</v>
      </c>
      <c r="F23" s="211">
        <f t="shared" si="4"/>
        <v>0</v>
      </c>
      <c r="G23" s="211">
        <f t="shared" si="5"/>
        <v>0</v>
      </c>
      <c r="H23" s="211">
        <f t="shared" si="6"/>
        <v>0</v>
      </c>
      <c r="I23" s="6" t="str">
        <f t="shared" si="3"/>
        <v/>
      </c>
    </row>
    <row r="24" spans="1:9" x14ac:dyDescent="0.25">
      <c r="A24" s="6" t="str">
        <f>A23</f>
        <v>万信-磐石030号001</v>
      </c>
      <c r="B24" s="10">
        <v>42359</v>
      </c>
      <c r="C24" s="11">
        <f>VLOOKUP(A24,统计!A:V,COLUMN(统计!T23),0)</f>
        <v>27200000</v>
      </c>
      <c r="D24" s="12">
        <f>VLOOKUP(A24,统计!A:V,COLUMN(统计!I23),0)</f>
        <v>7.4999999999999997E-2</v>
      </c>
      <c r="E24" s="13">
        <f>VLOOKUP(A24,统计!A:V,COLUMN(统计!N23),0)</f>
        <v>365</v>
      </c>
      <c r="F24" s="211">
        <f t="shared" si="4"/>
        <v>0</v>
      </c>
      <c r="G24" s="211">
        <f t="shared" si="5"/>
        <v>55890.41</v>
      </c>
      <c r="H24" s="211">
        <f t="shared" si="6"/>
        <v>55890.41</v>
      </c>
      <c r="I24" s="6" t="str">
        <f t="shared" si="3"/>
        <v/>
      </c>
    </row>
    <row r="25" spans="1:9" hidden="1" x14ac:dyDescent="0.25">
      <c r="A25" s="15" t="str">
        <f>A24</f>
        <v>万信-磐石030号001</v>
      </c>
      <c r="B25" s="16">
        <f>$I$2</f>
        <v>42612</v>
      </c>
      <c r="C25" s="66">
        <f>VLOOKUP(A25,统计!A:V,COLUMN(统计!T24),0)</f>
        <v>27200000</v>
      </c>
      <c r="D25" s="394">
        <f>VLOOKUP(A25,统计!A:V,COLUMN(统计!I24),0)</f>
        <v>7.4999999999999997E-2</v>
      </c>
      <c r="E25" s="395">
        <f>VLOOKUP(A25,统计!A:V,COLUMN(统计!N24),0)</f>
        <v>365</v>
      </c>
      <c r="F25" s="212">
        <f t="shared" si="0"/>
        <v>0</v>
      </c>
      <c r="G25" s="212">
        <f t="shared" si="2"/>
        <v>1414027.4</v>
      </c>
      <c r="H25" s="212">
        <f t="shared" si="1"/>
        <v>1414027.4</v>
      </c>
      <c r="I25" s="6" t="str">
        <f t="shared" si="3"/>
        <v/>
      </c>
    </row>
    <row r="26" spans="1:9" x14ac:dyDescent="0.25">
      <c r="A26" s="6" t="str">
        <f>A24</f>
        <v>万信-磐石030号001</v>
      </c>
      <c r="B26" s="10">
        <v>42715</v>
      </c>
      <c r="C26" s="11">
        <f>VLOOKUP(A26,统计!A:V,COLUMN(统计!T25),0)</f>
        <v>27200000</v>
      </c>
      <c r="D26" s="12">
        <f>VLOOKUP(A26,统计!A:V,COLUMN(统计!I25),0)</f>
        <v>7.4999999999999997E-2</v>
      </c>
      <c r="E26" s="13">
        <f>VLOOKUP(A26,统计!A:V,COLUMN(统计!N25),0)</f>
        <v>365</v>
      </c>
      <c r="F26" s="211">
        <f t="shared" si="0"/>
        <v>0</v>
      </c>
      <c r="G26" s="211">
        <f t="shared" si="2"/>
        <v>575671.23</v>
      </c>
      <c r="H26" s="211">
        <f t="shared" si="1"/>
        <v>575671.23</v>
      </c>
      <c r="I26" s="6" t="str">
        <f t="shared" si="3"/>
        <v/>
      </c>
    </row>
    <row r="27" spans="1:9" x14ac:dyDescent="0.25">
      <c r="A27" s="6" t="str">
        <f>A26</f>
        <v>万信-磐石030号001</v>
      </c>
      <c r="B27" s="10">
        <v>43080</v>
      </c>
      <c r="C27" s="11">
        <f>VLOOKUP(A27,统计!A:V,COLUMN(统计!T26),0)</f>
        <v>27200000</v>
      </c>
      <c r="D27" s="12">
        <f>VLOOKUP(A27,统计!A:V,COLUMN(统计!I26),0)</f>
        <v>7.4999999999999997E-2</v>
      </c>
      <c r="E27" s="13">
        <f>VLOOKUP(A27,统计!A:V,COLUMN(统计!N26),0)</f>
        <v>365</v>
      </c>
      <c r="F27" s="211">
        <f t="shared" si="0"/>
        <v>27200000</v>
      </c>
      <c r="G27" s="211">
        <f t="shared" si="2"/>
        <v>2040000</v>
      </c>
      <c r="H27" s="211">
        <f t="shared" si="1"/>
        <v>29240000</v>
      </c>
      <c r="I27" s="6" t="str">
        <f t="shared" si="3"/>
        <v/>
      </c>
    </row>
    <row r="28" spans="1:9" x14ac:dyDescent="0.25">
      <c r="A28" s="6" t="s">
        <v>32</v>
      </c>
      <c r="B28" s="10">
        <v>42356</v>
      </c>
      <c r="C28" s="11">
        <f>VLOOKUP(A28,统计!A:V,COLUMN(统计!T27),0)</f>
        <v>10000000</v>
      </c>
      <c r="D28" s="12">
        <f>VLOOKUP(A28,统计!A:V,COLUMN(统计!I27),0)</f>
        <v>7.1999999999999995E-2</v>
      </c>
      <c r="E28" s="13">
        <f>VLOOKUP(A28,统计!A:V,COLUMN(统计!N27),0)</f>
        <v>365</v>
      </c>
      <c r="F28" s="211">
        <f t="shared" si="0"/>
        <v>0</v>
      </c>
      <c r="G28" s="211">
        <f t="shared" si="2"/>
        <v>0</v>
      </c>
      <c r="H28" s="211">
        <f t="shared" si="1"/>
        <v>0</v>
      </c>
      <c r="I28" s="6" t="str">
        <f t="shared" si="3"/>
        <v/>
      </c>
    </row>
    <row r="29" spans="1:9" hidden="1" x14ac:dyDescent="0.25">
      <c r="A29" s="15" t="str">
        <f>A28</f>
        <v>万信-磐石035号002</v>
      </c>
      <c r="B29" s="16">
        <f>$I$2</f>
        <v>42612</v>
      </c>
      <c r="C29" s="66">
        <f>VLOOKUP(A29,统计!A:V,COLUMN(统计!T28),0)</f>
        <v>10000000</v>
      </c>
      <c r="D29" s="394">
        <f>VLOOKUP(A29,统计!A:V,COLUMN(统计!I28),0)</f>
        <v>7.1999999999999995E-2</v>
      </c>
      <c r="E29" s="395">
        <f>VLOOKUP(A29,统计!A:V,COLUMN(统计!N28),0)</f>
        <v>365</v>
      </c>
      <c r="F29" s="212">
        <f t="shared" si="0"/>
        <v>0</v>
      </c>
      <c r="G29" s="212">
        <f t="shared" si="2"/>
        <v>504986.3</v>
      </c>
      <c r="H29" s="212">
        <f t="shared" si="1"/>
        <v>504986.3</v>
      </c>
      <c r="I29" s="6" t="str">
        <f t="shared" si="3"/>
        <v/>
      </c>
    </row>
    <row r="30" spans="1:9" x14ac:dyDescent="0.25">
      <c r="A30" s="6" t="str">
        <f>A28</f>
        <v>万信-磐石035号002</v>
      </c>
      <c r="B30" s="10">
        <v>42633</v>
      </c>
      <c r="C30" s="11">
        <f>VLOOKUP(A30,统计!A:V,COLUMN(统计!T29),0)</f>
        <v>10000000</v>
      </c>
      <c r="D30" s="12">
        <f>VLOOKUP(A30,统计!A:V,COLUMN(统计!I29),0)</f>
        <v>7.1999999999999995E-2</v>
      </c>
      <c r="E30" s="13">
        <f>VLOOKUP(A30,统计!A:V,COLUMN(统计!N29),0)</f>
        <v>365</v>
      </c>
      <c r="F30" s="211">
        <f t="shared" si="0"/>
        <v>0</v>
      </c>
      <c r="G30" s="211">
        <f t="shared" si="2"/>
        <v>41424.660000000003</v>
      </c>
      <c r="H30" s="211">
        <f t="shared" si="1"/>
        <v>41424.660000000003</v>
      </c>
      <c r="I30" s="6" t="str">
        <f t="shared" si="3"/>
        <v/>
      </c>
    </row>
    <row r="31" spans="1:9" x14ac:dyDescent="0.25">
      <c r="A31" s="6" t="str">
        <f>A30</f>
        <v>万信-磐石035号002</v>
      </c>
      <c r="B31" s="10">
        <v>42904</v>
      </c>
      <c r="C31" s="11">
        <f>VLOOKUP(A31,统计!A:V,COLUMN(统计!T30),0)</f>
        <v>10000000</v>
      </c>
      <c r="D31" s="12">
        <f>VLOOKUP(A31,统计!A:V,COLUMN(统计!I30),0)</f>
        <v>7.1999999999999995E-2</v>
      </c>
      <c r="E31" s="13">
        <f>VLOOKUP(A31,统计!A:V,COLUMN(统计!N30),0)</f>
        <v>365</v>
      </c>
      <c r="F31" s="211">
        <f t="shared" si="0"/>
        <v>10000000</v>
      </c>
      <c r="G31" s="211">
        <f t="shared" si="2"/>
        <v>534575.34</v>
      </c>
      <c r="H31" s="211">
        <f t="shared" si="1"/>
        <v>10534575.34</v>
      </c>
      <c r="I31" s="6" t="str">
        <f t="shared" si="3"/>
        <v/>
      </c>
    </row>
    <row r="32" spans="1:9" x14ac:dyDescent="0.25">
      <c r="A32" s="6" t="s">
        <v>28</v>
      </c>
      <c r="B32" s="10">
        <v>42361</v>
      </c>
      <c r="C32" s="11">
        <f>VLOOKUP(A32,统计!A:V,COLUMN(统计!T31),0)</f>
        <v>23800000</v>
      </c>
      <c r="D32" s="12">
        <f>VLOOKUP(A32,统计!A:V,COLUMN(统计!I31),0)</f>
        <v>0.08</v>
      </c>
      <c r="E32" s="13">
        <f>VLOOKUP(A32,统计!A:V,COLUMN(统计!N31),0)</f>
        <v>365</v>
      </c>
      <c r="F32" s="211">
        <f t="shared" si="0"/>
        <v>0</v>
      </c>
      <c r="G32" s="211">
        <f t="shared" si="2"/>
        <v>0</v>
      </c>
      <c r="H32" s="211">
        <f t="shared" si="1"/>
        <v>0</v>
      </c>
      <c r="I32" s="6" t="str">
        <f t="shared" si="3"/>
        <v/>
      </c>
    </row>
    <row r="33" spans="1:9" hidden="1" x14ac:dyDescent="0.25">
      <c r="A33" s="15" t="str">
        <f>A32</f>
        <v>万信-磐石036号001</v>
      </c>
      <c r="B33" s="16">
        <f>$I$2</f>
        <v>42612</v>
      </c>
      <c r="C33" s="66">
        <f>VLOOKUP(A33,统计!A:V,COLUMN(统计!T32),0)</f>
        <v>23800000</v>
      </c>
      <c r="D33" s="394">
        <f>VLOOKUP(A33,统计!A:V,COLUMN(统计!I32),0)</f>
        <v>0.08</v>
      </c>
      <c r="E33" s="395">
        <f>VLOOKUP(A33,统计!A:V,COLUMN(统计!N32),0)</f>
        <v>365</v>
      </c>
      <c r="F33" s="212">
        <f t="shared" si="0"/>
        <v>0</v>
      </c>
      <c r="G33" s="212">
        <f t="shared" si="2"/>
        <v>1309326.03</v>
      </c>
      <c r="H33" s="212">
        <f t="shared" si="1"/>
        <v>1309326.03</v>
      </c>
      <c r="I33" s="6" t="str">
        <f t="shared" si="3"/>
        <v/>
      </c>
    </row>
    <row r="34" spans="1:9" x14ac:dyDescent="0.25">
      <c r="A34" s="6" t="str">
        <f>A32</f>
        <v>万信-磐石036号001</v>
      </c>
      <c r="B34" s="10">
        <v>42724</v>
      </c>
      <c r="C34" s="11">
        <f>VLOOKUP(A34,统计!A:V,COLUMN(统计!T33),0)</f>
        <v>23800000</v>
      </c>
      <c r="D34" s="12">
        <f>VLOOKUP(A34,统计!A:V,COLUMN(统计!I33),0)</f>
        <v>0.08</v>
      </c>
      <c r="E34" s="13">
        <f>VLOOKUP(A34,统计!A:V,COLUMN(统计!N33),0)</f>
        <v>365</v>
      </c>
      <c r="F34" s="211">
        <f t="shared" si="0"/>
        <v>0</v>
      </c>
      <c r="G34" s="211">
        <f t="shared" si="2"/>
        <v>584241.1</v>
      </c>
      <c r="H34" s="211">
        <f t="shared" si="1"/>
        <v>584241.1</v>
      </c>
      <c r="I34" s="6" t="str">
        <f t="shared" si="3"/>
        <v/>
      </c>
    </row>
    <row r="35" spans="1:9" x14ac:dyDescent="0.25">
      <c r="A35" s="6" t="str">
        <f>A34</f>
        <v>万信-磐石036号001</v>
      </c>
      <c r="B35" s="10">
        <v>42909</v>
      </c>
      <c r="C35" s="11">
        <f>VLOOKUP(A35,统计!A:V,COLUMN(统计!T34),0)</f>
        <v>23800000</v>
      </c>
      <c r="D35" s="12">
        <f>VLOOKUP(A35,统计!A:V,COLUMN(统计!I34),0)</f>
        <v>0.08</v>
      </c>
      <c r="E35" s="13">
        <f>VLOOKUP(A35,统计!A:V,COLUMN(统计!N34),0)</f>
        <v>365</v>
      </c>
      <c r="F35" s="211">
        <f t="shared" si="0"/>
        <v>23800000</v>
      </c>
      <c r="G35" s="211">
        <f t="shared" si="2"/>
        <v>965041.1</v>
      </c>
      <c r="H35" s="211">
        <f t="shared" si="1"/>
        <v>24765041.100000001</v>
      </c>
      <c r="I35" s="6" t="str">
        <f t="shared" si="3"/>
        <v/>
      </c>
    </row>
    <row r="36" spans="1:9" x14ac:dyDescent="0.25">
      <c r="A36" s="6" t="s">
        <v>58</v>
      </c>
      <c r="B36" s="10">
        <v>42374</v>
      </c>
      <c r="C36" s="11">
        <f>VLOOKUP(A36,统计!A:V,COLUMN(统计!T35),0)</f>
        <v>23600000</v>
      </c>
      <c r="D36" s="12">
        <f>VLOOKUP(A36,统计!A:V,COLUMN(统计!I35),0)</f>
        <v>7.5999999999999998E-2</v>
      </c>
      <c r="E36" s="13">
        <f>VLOOKUP(A36,统计!A:V,COLUMN(统计!N35),0)</f>
        <v>365</v>
      </c>
      <c r="F36" s="211">
        <f t="shared" si="0"/>
        <v>0</v>
      </c>
      <c r="G36" s="211">
        <f t="shared" si="2"/>
        <v>0</v>
      </c>
      <c r="H36" s="211">
        <f t="shared" si="1"/>
        <v>0</v>
      </c>
      <c r="I36" s="6" t="str">
        <f t="shared" si="3"/>
        <v/>
      </c>
    </row>
    <row r="37" spans="1:9" hidden="1" x14ac:dyDescent="0.25">
      <c r="A37" s="15" t="str">
        <f>A36</f>
        <v>万信-磐石037号001</v>
      </c>
      <c r="B37" s="16">
        <f>$I$2</f>
        <v>42612</v>
      </c>
      <c r="C37" s="66">
        <f>VLOOKUP(A37,统计!A:V,COLUMN(统计!T36),0)</f>
        <v>23600000</v>
      </c>
      <c r="D37" s="394">
        <f>VLOOKUP(A37,统计!A:V,COLUMN(统计!I36),0)</f>
        <v>7.5999999999999998E-2</v>
      </c>
      <c r="E37" s="395">
        <f>VLOOKUP(A37,统计!A:V,COLUMN(统计!N36),0)</f>
        <v>365</v>
      </c>
      <c r="F37" s="212">
        <f t="shared" si="0"/>
        <v>0</v>
      </c>
      <c r="G37" s="212">
        <f t="shared" si="2"/>
        <v>1169525.48</v>
      </c>
      <c r="H37" s="212">
        <f t="shared" si="1"/>
        <v>1169525.48</v>
      </c>
      <c r="I37" s="6" t="str">
        <f t="shared" si="3"/>
        <v/>
      </c>
    </row>
    <row r="38" spans="1:9" x14ac:dyDescent="0.25">
      <c r="A38" s="6" t="str">
        <f>A36</f>
        <v>万信-磐石037号001</v>
      </c>
      <c r="B38" s="10">
        <v>42740</v>
      </c>
      <c r="C38" s="11">
        <f>VLOOKUP(A38,统计!A:V,COLUMN(统计!T37),0)</f>
        <v>23600000</v>
      </c>
      <c r="D38" s="12">
        <f>VLOOKUP(A38,统计!A:V,COLUMN(统计!I37),0)</f>
        <v>7.5999999999999998E-2</v>
      </c>
      <c r="E38" s="13">
        <f>VLOOKUP(A38,统计!A:V,COLUMN(统计!N37),0)</f>
        <v>365</v>
      </c>
      <c r="F38" s="211">
        <f t="shared" si="0"/>
        <v>0</v>
      </c>
      <c r="G38" s="211">
        <f t="shared" si="2"/>
        <v>628988.49</v>
      </c>
      <c r="H38" s="211">
        <f t="shared" si="1"/>
        <v>628988.49</v>
      </c>
      <c r="I38" s="6" t="str">
        <f t="shared" si="3"/>
        <v/>
      </c>
    </row>
    <row r="39" spans="1:9" x14ac:dyDescent="0.25">
      <c r="A39" s="6" t="str">
        <f>A38</f>
        <v>万信-磐石037号001</v>
      </c>
      <c r="B39" s="10">
        <v>43105</v>
      </c>
      <c r="C39" s="11">
        <f>VLOOKUP(A39,统计!A:V,COLUMN(统计!T42),0)</f>
        <v>23600000</v>
      </c>
      <c r="D39" s="12">
        <f>VLOOKUP(A39,统计!A:V,COLUMN(统计!I42),0)</f>
        <v>7.5999999999999998E-2</v>
      </c>
      <c r="E39" s="13">
        <f>VLOOKUP(A39,统计!A:V,COLUMN(统计!N42),0)</f>
        <v>365</v>
      </c>
      <c r="F39" s="211">
        <f t="shared" ref="F39:F45" si="7">IF(A39=A40,0,C39)</f>
        <v>23600000</v>
      </c>
      <c r="G39" s="211">
        <f t="shared" ref="G39:G45" si="8">IF(A39=A38,ROUND(C39*D39*(B39-B38)/E39,2),0)</f>
        <v>1793600</v>
      </c>
      <c r="H39" s="211">
        <f t="shared" ref="H39:H45" si="9">SUM(F39:G39)</f>
        <v>25393600</v>
      </c>
      <c r="I39" s="6" t="str">
        <f t="shared" si="3"/>
        <v/>
      </c>
    </row>
    <row r="40" spans="1:9" x14ac:dyDescent="0.25">
      <c r="A40" s="6" t="s">
        <v>59</v>
      </c>
      <c r="B40" s="10">
        <v>42381</v>
      </c>
      <c r="C40" s="11">
        <f>VLOOKUP(A40,统计!A:V,COLUMN(统计!T43),0)</f>
        <v>15000000</v>
      </c>
      <c r="D40" s="12">
        <f>VLOOKUP(A40,统计!A:V,COLUMN(统计!I43),0)</f>
        <v>7.4999999999999997E-2</v>
      </c>
      <c r="E40" s="13">
        <f>VLOOKUP(A40,统计!A:V,COLUMN(统计!N43),0)</f>
        <v>365</v>
      </c>
      <c r="F40" s="211">
        <f t="shared" si="7"/>
        <v>0</v>
      </c>
      <c r="G40" s="211">
        <f t="shared" si="8"/>
        <v>0</v>
      </c>
      <c r="H40" s="211">
        <f t="shared" si="9"/>
        <v>0</v>
      </c>
      <c r="I40" s="6" t="str">
        <f t="shared" si="3"/>
        <v/>
      </c>
    </row>
    <row r="41" spans="1:9" x14ac:dyDescent="0.25">
      <c r="A41" s="6" t="str">
        <f>A40</f>
        <v>万信-磐石040号001</v>
      </c>
      <c r="B41" s="10">
        <v>42541</v>
      </c>
      <c r="C41" s="11">
        <f>VLOOKUP(A41,统计!A:V,COLUMN(统计!T45),0)</f>
        <v>15000000</v>
      </c>
      <c r="D41" s="12">
        <f>VLOOKUP(A41,统计!A:V,COLUMN(统计!I45),0)</f>
        <v>7.4999999999999997E-2</v>
      </c>
      <c r="E41" s="13">
        <f>VLOOKUP(A41,统计!A:V,COLUMN(统计!N45),0)</f>
        <v>365</v>
      </c>
      <c r="F41" s="211">
        <f t="shared" si="7"/>
        <v>0</v>
      </c>
      <c r="G41" s="211">
        <f t="shared" si="8"/>
        <v>493150.68</v>
      </c>
      <c r="H41" s="211">
        <f t="shared" si="9"/>
        <v>493150.68</v>
      </c>
      <c r="I41" s="6" t="str">
        <f t="shared" si="3"/>
        <v/>
      </c>
    </row>
    <row r="42" spans="1:9" hidden="1" x14ac:dyDescent="0.25">
      <c r="A42" s="15" t="str">
        <f>A41</f>
        <v>万信-磐石040号001</v>
      </c>
      <c r="B42" s="16">
        <f>$I$2</f>
        <v>42612</v>
      </c>
      <c r="C42" s="66">
        <f>VLOOKUP(A42,统计!A:V,COLUMN(统计!T46),0)</f>
        <v>15000000</v>
      </c>
      <c r="D42" s="394">
        <f>VLOOKUP(A42,统计!A:V,COLUMN(统计!I46),0)</f>
        <v>7.4999999999999997E-2</v>
      </c>
      <c r="E42" s="395">
        <f>VLOOKUP(A42,统计!A:V,COLUMN(统计!N46),0)</f>
        <v>365</v>
      </c>
      <c r="F42" s="212">
        <f t="shared" si="7"/>
        <v>0</v>
      </c>
      <c r="G42" s="212">
        <f t="shared" si="8"/>
        <v>218835.62</v>
      </c>
      <c r="H42" s="212">
        <f t="shared" si="9"/>
        <v>218835.62</v>
      </c>
      <c r="I42" s="6" t="str">
        <f t="shared" si="3"/>
        <v/>
      </c>
    </row>
    <row r="43" spans="1:9" x14ac:dyDescent="0.25">
      <c r="A43" s="6" t="str">
        <f>A41</f>
        <v>万信-磐石040号001</v>
      </c>
      <c r="B43" s="10">
        <v>42906</v>
      </c>
      <c r="C43" s="11">
        <f>VLOOKUP(A43,统计!A:V,COLUMN(统计!T46),0)</f>
        <v>15000000</v>
      </c>
      <c r="D43" s="12">
        <f>VLOOKUP(A43,统计!A:V,COLUMN(统计!I46),0)</f>
        <v>7.4999999999999997E-2</v>
      </c>
      <c r="E43" s="13">
        <f>VLOOKUP(A43,统计!A:V,COLUMN(统计!N46),0)</f>
        <v>365</v>
      </c>
      <c r="F43" s="211">
        <f t="shared" si="7"/>
        <v>0</v>
      </c>
      <c r="G43" s="211">
        <f t="shared" si="8"/>
        <v>906164.38</v>
      </c>
      <c r="H43" s="211">
        <f t="shared" si="9"/>
        <v>906164.38</v>
      </c>
      <c r="I43" s="6" t="str">
        <f t="shared" si="3"/>
        <v/>
      </c>
    </row>
    <row r="44" spans="1:9" x14ac:dyDescent="0.25">
      <c r="A44" s="6" t="str">
        <f>A43</f>
        <v>万信-磐石040号001</v>
      </c>
      <c r="B44" s="10">
        <v>43112</v>
      </c>
      <c r="C44" s="11">
        <f>VLOOKUP(A44,统计!A:V,COLUMN(统计!T47),0)</f>
        <v>15000000</v>
      </c>
      <c r="D44" s="12">
        <f>VLOOKUP(A44,统计!A:V,COLUMN(统计!I47),0)</f>
        <v>7.4999999999999997E-2</v>
      </c>
      <c r="E44" s="13">
        <f>VLOOKUP(A44,统计!A:V,COLUMN(统计!N47),0)</f>
        <v>365</v>
      </c>
      <c r="F44" s="211">
        <f t="shared" si="7"/>
        <v>15000000</v>
      </c>
      <c r="G44" s="211">
        <f t="shared" si="8"/>
        <v>634931.51</v>
      </c>
      <c r="H44" s="211">
        <f t="shared" si="9"/>
        <v>15634931.51</v>
      </c>
      <c r="I44" s="6" t="str">
        <f t="shared" si="3"/>
        <v/>
      </c>
    </row>
    <row r="45" spans="1:9" x14ac:dyDescent="0.25">
      <c r="A45" s="38" t="s">
        <v>195</v>
      </c>
      <c r="B45" s="4">
        <v>42390</v>
      </c>
      <c r="C45" s="11">
        <f>VLOOKUP(A45,统计!A:V,COLUMN(统计!T48),0)</f>
        <v>35200000</v>
      </c>
      <c r="D45" s="12">
        <f>VLOOKUP(A45,统计!A:V,COLUMN(统计!I48),0)</f>
        <v>8.2000000000000003E-2</v>
      </c>
      <c r="E45" s="13">
        <f>VLOOKUP(A45,统计!A:V,COLUMN(统计!N48),0)</f>
        <v>365</v>
      </c>
      <c r="F45" s="211">
        <f t="shared" si="7"/>
        <v>0</v>
      </c>
      <c r="G45" s="211">
        <f t="shared" si="8"/>
        <v>0</v>
      </c>
      <c r="H45" s="211">
        <f t="shared" si="9"/>
        <v>0</v>
      </c>
      <c r="I45" s="6" t="str">
        <f t="shared" si="3"/>
        <v/>
      </c>
    </row>
    <row r="46" spans="1:9" hidden="1" x14ac:dyDescent="0.25">
      <c r="A46" s="15" t="str">
        <f>A45</f>
        <v>万信-磐石041号001</v>
      </c>
      <c r="B46" s="16">
        <f>$I$2</f>
        <v>42612</v>
      </c>
      <c r="C46" s="66">
        <f>VLOOKUP(A46,统计!A:V,COLUMN(统计!T49),0)</f>
        <v>35200000</v>
      </c>
      <c r="D46" s="394">
        <f>VLOOKUP(A46,统计!A:V,COLUMN(统计!I49),0)</f>
        <v>8.2000000000000003E-2</v>
      </c>
      <c r="E46" s="395">
        <f>VLOOKUP(A46,统计!A:V,COLUMN(统计!N49),0)</f>
        <v>365</v>
      </c>
      <c r="F46" s="212">
        <f t="shared" si="0"/>
        <v>0</v>
      </c>
      <c r="G46" s="212">
        <f t="shared" si="2"/>
        <v>1755563.84</v>
      </c>
      <c r="H46" s="212">
        <f t="shared" si="1"/>
        <v>1755563.84</v>
      </c>
      <c r="I46" s="6" t="str">
        <f t="shared" si="3"/>
        <v/>
      </c>
    </row>
    <row r="47" spans="1:9" x14ac:dyDescent="0.25">
      <c r="A47" s="38" t="s">
        <v>195</v>
      </c>
      <c r="B47" s="10">
        <v>42756</v>
      </c>
      <c r="C47" s="11">
        <f>VLOOKUP(A47,统计!A:V,COLUMN(统计!T50),0)</f>
        <v>35200000</v>
      </c>
      <c r="D47" s="12">
        <f>VLOOKUP(A47,统计!A:V,COLUMN(统计!I50),0)</f>
        <v>8.2000000000000003E-2</v>
      </c>
      <c r="E47" s="13">
        <f>VLOOKUP(A47,统计!A:V,COLUMN(统计!N50),0)</f>
        <v>365</v>
      </c>
      <c r="F47" s="211">
        <f t="shared" si="0"/>
        <v>0</v>
      </c>
      <c r="G47" s="211">
        <f t="shared" si="2"/>
        <v>1138744.1100000001</v>
      </c>
      <c r="H47" s="211">
        <f t="shared" si="1"/>
        <v>1138744.1100000001</v>
      </c>
      <c r="I47" s="6" t="str">
        <f t="shared" si="3"/>
        <v/>
      </c>
    </row>
    <row r="48" spans="1:9" x14ac:dyDescent="0.25">
      <c r="A48" s="38" t="s">
        <v>195</v>
      </c>
      <c r="B48" s="10">
        <v>43121</v>
      </c>
      <c r="C48" s="11">
        <f>VLOOKUP(A48,统计!A:V,COLUMN(统计!T51),0)</f>
        <v>35200000</v>
      </c>
      <c r="D48" s="12">
        <f>VLOOKUP(A48,统计!A:V,COLUMN(统计!I51),0)</f>
        <v>8.2000000000000003E-2</v>
      </c>
      <c r="E48" s="13">
        <f>VLOOKUP(A48,统计!A:V,COLUMN(统计!N51),0)</f>
        <v>365</v>
      </c>
      <c r="F48" s="211">
        <f t="shared" si="0"/>
        <v>35200000</v>
      </c>
      <c r="G48" s="211">
        <f t="shared" si="2"/>
        <v>2886400</v>
      </c>
      <c r="H48" s="211">
        <f t="shared" si="1"/>
        <v>38086400</v>
      </c>
      <c r="I48" s="6" t="str">
        <f t="shared" si="3"/>
        <v/>
      </c>
    </row>
    <row r="49" spans="1:9" x14ac:dyDescent="0.25">
      <c r="A49" s="38" t="s">
        <v>191</v>
      </c>
      <c r="B49" s="10">
        <v>42402</v>
      </c>
      <c r="C49" s="11">
        <f>VLOOKUP(A49,统计!A:V,COLUMN(统计!T52),0)</f>
        <v>40000000</v>
      </c>
      <c r="D49" s="12">
        <f>VLOOKUP(A49,统计!A:V,COLUMN(统计!I52),0)</f>
        <v>7.5999999999999998E-2</v>
      </c>
      <c r="E49" s="13">
        <f>VLOOKUP(A49,统计!A:V,COLUMN(统计!N52),0)</f>
        <v>365</v>
      </c>
      <c r="F49" s="211">
        <f t="shared" si="0"/>
        <v>0</v>
      </c>
      <c r="G49" s="211">
        <f t="shared" si="2"/>
        <v>0</v>
      </c>
      <c r="H49" s="211">
        <f t="shared" si="1"/>
        <v>0</v>
      </c>
      <c r="I49" s="6" t="str">
        <f t="shared" si="3"/>
        <v/>
      </c>
    </row>
    <row r="50" spans="1:9" hidden="1" x14ac:dyDescent="0.25">
      <c r="A50" s="15" t="str">
        <f>A49</f>
        <v>万信-磐石042号001</v>
      </c>
      <c r="B50" s="16">
        <f>$I$2</f>
        <v>42612</v>
      </c>
      <c r="C50" s="66">
        <f>VLOOKUP(A50,统计!A:V,COLUMN(统计!T53),0)</f>
        <v>40000000</v>
      </c>
      <c r="D50" s="394">
        <f>VLOOKUP(A50,统计!A:V,COLUMN(统计!I53),0)</f>
        <v>7.5999999999999998E-2</v>
      </c>
      <c r="E50" s="395">
        <f>VLOOKUP(A50,统计!A:V,COLUMN(统计!N53),0)</f>
        <v>365</v>
      </c>
      <c r="F50" s="212">
        <f t="shared" si="0"/>
        <v>0</v>
      </c>
      <c r="G50" s="212">
        <f t="shared" si="2"/>
        <v>1749041.1</v>
      </c>
      <c r="H50" s="212">
        <f t="shared" si="1"/>
        <v>1749041.1</v>
      </c>
      <c r="I50" s="6" t="str">
        <f t="shared" si="3"/>
        <v/>
      </c>
    </row>
    <row r="51" spans="1:9" x14ac:dyDescent="0.25">
      <c r="A51" s="38" t="s">
        <v>191</v>
      </c>
      <c r="B51" s="10">
        <v>42768</v>
      </c>
      <c r="C51" s="11">
        <f>VLOOKUP(A51,统计!A:V,COLUMN(统计!T54),0)</f>
        <v>40000000</v>
      </c>
      <c r="D51" s="12">
        <f>VLOOKUP(A51,统计!A:V,COLUMN(统计!I54),0)</f>
        <v>7.5999999999999998E-2</v>
      </c>
      <c r="E51" s="13">
        <f>VLOOKUP(A51,统计!A:V,COLUMN(统计!N54),0)</f>
        <v>365</v>
      </c>
      <c r="F51" s="211">
        <f t="shared" si="0"/>
        <v>0</v>
      </c>
      <c r="G51" s="211">
        <f t="shared" si="2"/>
        <v>1299287.67</v>
      </c>
      <c r="H51" s="211">
        <f t="shared" si="1"/>
        <v>1299287.67</v>
      </c>
      <c r="I51" s="6" t="str">
        <f t="shared" si="3"/>
        <v/>
      </c>
    </row>
    <row r="52" spans="1:9" x14ac:dyDescent="0.25">
      <c r="A52" s="38" t="s">
        <v>191</v>
      </c>
      <c r="B52" s="10">
        <v>43133</v>
      </c>
      <c r="C52" s="11">
        <f>VLOOKUP(A52,统计!A:V,COLUMN(统计!T55),0)</f>
        <v>40000000</v>
      </c>
      <c r="D52" s="12">
        <f>VLOOKUP(A52,统计!A:V,COLUMN(统计!I55),0)</f>
        <v>7.5999999999999998E-2</v>
      </c>
      <c r="E52" s="13">
        <f>VLOOKUP(A52,统计!A:V,COLUMN(统计!N55),0)</f>
        <v>365</v>
      </c>
      <c r="F52" s="211">
        <f t="shared" si="0"/>
        <v>40000000</v>
      </c>
      <c r="G52" s="211">
        <f t="shared" si="2"/>
        <v>3040000</v>
      </c>
      <c r="H52" s="211">
        <f t="shared" si="1"/>
        <v>43040000</v>
      </c>
      <c r="I52" s="6" t="str">
        <f t="shared" si="3"/>
        <v/>
      </c>
    </row>
    <row r="53" spans="1:9" x14ac:dyDescent="0.25">
      <c r="A53" s="38" t="s">
        <v>194</v>
      </c>
      <c r="B53" s="4">
        <v>42396</v>
      </c>
      <c r="C53" s="11">
        <f>VLOOKUP(A53,统计!A:V,COLUMN(统计!T56),0)</f>
        <v>50000000</v>
      </c>
      <c r="D53" s="12">
        <f>VLOOKUP(A53,统计!A:V,COLUMN(统计!I56),0)</f>
        <v>7.5999999999999998E-2</v>
      </c>
      <c r="E53" s="13">
        <f>VLOOKUP(A53,统计!A:V,COLUMN(统计!N56),0)</f>
        <v>365</v>
      </c>
      <c r="F53" s="211">
        <f t="shared" si="0"/>
        <v>0</v>
      </c>
      <c r="G53" s="211">
        <f t="shared" si="2"/>
        <v>0</v>
      </c>
      <c r="H53" s="211">
        <f t="shared" si="1"/>
        <v>0</v>
      </c>
      <c r="I53" s="6" t="str">
        <f t="shared" si="3"/>
        <v/>
      </c>
    </row>
    <row r="54" spans="1:9" hidden="1" x14ac:dyDescent="0.25">
      <c r="A54" s="15" t="str">
        <f>A53</f>
        <v>万信-磐石043号001</v>
      </c>
      <c r="B54" s="16">
        <f>$I$2</f>
        <v>42612</v>
      </c>
      <c r="C54" s="66">
        <f>VLOOKUP(A54,统计!A:V,COLUMN(统计!T57),0)</f>
        <v>50000000</v>
      </c>
      <c r="D54" s="394">
        <f>VLOOKUP(A54,统计!A:V,COLUMN(统计!I57),0)</f>
        <v>7.5999999999999998E-2</v>
      </c>
      <c r="E54" s="395">
        <f>VLOOKUP(A54,统计!A:V,COLUMN(统计!N57),0)</f>
        <v>365</v>
      </c>
      <c r="F54" s="212">
        <f t="shared" si="0"/>
        <v>0</v>
      </c>
      <c r="G54" s="212">
        <f t="shared" si="2"/>
        <v>2248767.12</v>
      </c>
      <c r="H54" s="212">
        <f t="shared" si="1"/>
        <v>2248767.12</v>
      </c>
      <c r="I54" s="6" t="str">
        <f t="shared" si="3"/>
        <v/>
      </c>
    </row>
    <row r="55" spans="1:9" x14ac:dyDescent="0.25">
      <c r="A55" s="38" t="s">
        <v>194</v>
      </c>
      <c r="B55" s="4">
        <v>42762</v>
      </c>
      <c r="C55" s="11">
        <f>VLOOKUP(A55,统计!A:V,COLUMN(统计!T58),0)</f>
        <v>50000000</v>
      </c>
      <c r="D55" s="12">
        <f>VLOOKUP(A55,统计!A:V,COLUMN(统计!I58),0)</f>
        <v>7.5999999999999998E-2</v>
      </c>
      <c r="E55" s="13">
        <f>VLOOKUP(A55,统计!A:V,COLUMN(统计!N58),0)</f>
        <v>365</v>
      </c>
      <c r="F55" s="211">
        <f t="shared" si="0"/>
        <v>0</v>
      </c>
      <c r="G55" s="211">
        <f t="shared" si="2"/>
        <v>1561643.84</v>
      </c>
      <c r="H55" s="211">
        <f t="shared" si="1"/>
        <v>1561643.84</v>
      </c>
      <c r="I55" s="6" t="str">
        <f t="shared" si="3"/>
        <v/>
      </c>
    </row>
    <row r="56" spans="1:9" x14ac:dyDescent="0.25">
      <c r="A56" s="38" t="s">
        <v>194</v>
      </c>
      <c r="B56" s="4">
        <v>43127</v>
      </c>
      <c r="C56" s="11">
        <f>VLOOKUP(A56,统计!A:V,COLUMN(统计!T59),0)</f>
        <v>50000000</v>
      </c>
      <c r="D56" s="12">
        <f>VLOOKUP(A56,统计!A:V,COLUMN(统计!I59),0)</f>
        <v>7.5999999999999998E-2</v>
      </c>
      <c r="E56" s="13">
        <f>VLOOKUP(A56,统计!A:V,COLUMN(统计!N59),0)</f>
        <v>365</v>
      </c>
      <c r="F56" s="211">
        <f t="shared" si="0"/>
        <v>50000000</v>
      </c>
      <c r="G56" s="211">
        <f t="shared" si="2"/>
        <v>3800000</v>
      </c>
      <c r="H56" s="211">
        <f t="shared" si="1"/>
        <v>53800000</v>
      </c>
      <c r="I56" s="6" t="str">
        <f t="shared" si="3"/>
        <v/>
      </c>
    </row>
    <row r="57" spans="1:9" x14ac:dyDescent="0.25">
      <c r="A57" s="3" t="s">
        <v>19</v>
      </c>
      <c r="B57" s="10">
        <v>42076</v>
      </c>
      <c r="C57" s="11">
        <f>VLOOKUP(A57,统计!A:V,COLUMN(统计!T60),0)</f>
        <v>5300000</v>
      </c>
      <c r="D57" s="12">
        <f>VLOOKUP(A57,统计!A:V,COLUMN(统计!I60),0)</f>
        <v>0.10199999999999999</v>
      </c>
      <c r="E57" s="13">
        <f>VLOOKUP(A57,统计!A:V,COLUMN(统计!N60),0)</f>
        <v>365</v>
      </c>
      <c r="F57" s="211">
        <f t="shared" si="0"/>
        <v>0</v>
      </c>
      <c r="G57" s="211">
        <f t="shared" si="2"/>
        <v>0</v>
      </c>
      <c r="H57" s="211">
        <f t="shared" si="1"/>
        <v>0</v>
      </c>
      <c r="I57" s="6" t="str">
        <f t="shared" si="3"/>
        <v/>
      </c>
    </row>
    <row r="58" spans="1:9" x14ac:dyDescent="0.25">
      <c r="A58" s="6" t="str">
        <f>A57</f>
        <v>万信-基础设施建设信托基金019号001</v>
      </c>
      <c r="B58" s="10">
        <v>42110</v>
      </c>
      <c r="C58" s="11">
        <f>VLOOKUP(A58,统计!A:V,COLUMN(统计!T61),0)</f>
        <v>5300000</v>
      </c>
      <c r="D58" s="12">
        <f>VLOOKUP(A58,统计!A:V,COLUMN(统计!I61),0)</f>
        <v>0.10199999999999999</v>
      </c>
      <c r="E58" s="13">
        <f>VLOOKUP(A58,统计!A:V,COLUMN(统计!N61),0)</f>
        <v>365</v>
      </c>
      <c r="F58" s="211">
        <f t="shared" si="0"/>
        <v>0</v>
      </c>
      <c r="G58" s="211">
        <f t="shared" si="2"/>
        <v>50357.26</v>
      </c>
      <c r="H58" s="211">
        <f t="shared" si="1"/>
        <v>50357.26</v>
      </c>
      <c r="I58" s="6" t="str">
        <f t="shared" si="3"/>
        <v/>
      </c>
    </row>
    <row r="59" spans="1:9" x14ac:dyDescent="0.25">
      <c r="A59" s="6" t="str">
        <f t="shared" ref="A59:A120" si="10">A58</f>
        <v>万信-基础设施建设信托基金019号001</v>
      </c>
      <c r="B59" s="10">
        <v>42201</v>
      </c>
      <c r="C59" s="11">
        <f>VLOOKUP(A59,统计!A:V,COLUMN(统计!T62),0)</f>
        <v>5300000</v>
      </c>
      <c r="D59" s="12">
        <f>VLOOKUP(A59,统计!A:V,COLUMN(统计!I62),0)</f>
        <v>0.10199999999999999</v>
      </c>
      <c r="E59" s="13">
        <f>VLOOKUP(A59,统计!A:V,COLUMN(统计!N62),0)</f>
        <v>365</v>
      </c>
      <c r="F59" s="211">
        <f t="shared" ref="F59:F71" si="11">IF(A59=A60,0,C59)</f>
        <v>0</v>
      </c>
      <c r="G59" s="211">
        <f t="shared" ref="G59:G71" si="12">IF(A59=A58,ROUND(C59*D59*(B59-B58)/E59,2),0)</f>
        <v>134779.73000000001</v>
      </c>
      <c r="H59" s="211">
        <f t="shared" ref="H59:H71" si="13">SUM(F59:G59)</f>
        <v>134779.73000000001</v>
      </c>
      <c r="I59" s="6" t="str">
        <f t="shared" si="3"/>
        <v/>
      </c>
    </row>
    <row r="60" spans="1:9" x14ac:dyDescent="0.25">
      <c r="A60" s="6" t="str">
        <f t="shared" si="10"/>
        <v>万信-基础设施建设信托基金019号001</v>
      </c>
      <c r="B60" s="10">
        <v>42293</v>
      </c>
      <c r="C60" s="11">
        <f>VLOOKUP(A60,统计!A:V,COLUMN(统计!T63),0)</f>
        <v>5300000</v>
      </c>
      <c r="D60" s="12">
        <f>VLOOKUP(A60,统计!A:V,COLUMN(统计!I63),0)</f>
        <v>0.10199999999999999</v>
      </c>
      <c r="E60" s="13">
        <f>VLOOKUP(A60,统计!A:V,COLUMN(统计!N63),0)</f>
        <v>365</v>
      </c>
      <c r="F60" s="211">
        <f t="shared" si="11"/>
        <v>0</v>
      </c>
      <c r="G60" s="211">
        <f t="shared" si="12"/>
        <v>136260.82</v>
      </c>
      <c r="H60" s="211">
        <f t="shared" si="13"/>
        <v>136260.82</v>
      </c>
      <c r="I60" s="6" t="str">
        <f t="shared" si="3"/>
        <v/>
      </c>
    </row>
    <row r="61" spans="1:9" x14ac:dyDescent="0.25">
      <c r="A61" s="6" t="str">
        <f>A60</f>
        <v>万信-基础设施建设信托基金019号001</v>
      </c>
      <c r="B61" s="10">
        <v>42385</v>
      </c>
      <c r="C61" s="11">
        <f>VLOOKUP(A61,统计!A:V,COLUMN(统计!T64),0)</f>
        <v>5300000</v>
      </c>
      <c r="D61" s="12">
        <f>VLOOKUP(A61,统计!A:V,COLUMN(统计!I64),0)</f>
        <v>0.10199999999999999</v>
      </c>
      <c r="E61" s="13">
        <f>VLOOKUP(A61,统计!A:V,COLUMN(统计!N64),0)</f>
        <v>365</v>
      </c>
      <c r="F61" s="211">
        <f t="shared" ref="F61:F67" si="14">IF(A61=A62,0,C61)</f>
        <v>0</v>
      </c>
      <c r="G61" s="211">
        <f t="shared" ref="G61:G67" si="15">IF(A61=A60,ROUND(C61*D61*(B61-B60)/E61,2),0)</f>
        <v>136260.82</v>
      </c>
      <c r="H61" s="211">
        <f t="shared" ref="H61:H67" si="16">SUM(F61:G61)</f>
        <v>136260.82</v>
      </c>
      <c r="I61" s="6" t="str">
        <f t="shared" si="3"/>
        <v/>
      </c>
    </row>
    <row r="62" spans="1:9" x14ac:dyDescent="0.25">
      <c r="A62" s="6" t="str">
        <f>A61</f>
        <v>万信-基础设施建设信托基金019号001</v>
      </c>
      <c r="B62" s="10">
        <v>42476</v>
      </c>
      <c r="C62" s="11">
        <f>VLOOKUP(A62,统计!A:V,COLUMN(统计!T65),0)</f>
        <v>5300000</v>
      </c>
      <c r="D62" s="12">
        <f>VLOOKUP(A62,统计!A:V,COLUMN(统计!I65),0)</f>
        <v>0.10199999999999999</v>
      </c>
      <c r="E62" s="13">
        <f>VLOOKUP(A62,统计!A:V,COLUMN(统计!N65),0)</f>
        <v>365</v>
      </c>
      <c r="F62" s="211">
        <f t="shared" si="14"/>
        <v>0</v>
      </c>
      <c r="G62" s="211">
        <f t="shared" si="15"/>
        <v>134779.73000000001</v>
      </c>
      <c r="H62" s="211">
        <f t="shared" si="16"/>
        <v>134779.73000000001</v>
      </c>
      <c r="I62" s="6" t="str">
        <f t="shared" si="3"/>
        <v/>
      </c>
    </row>
    <row r="63" spans="1:9" x14ac:dyDescent="0.25">
      <c r="A63" s="6" t="str">
        <f>A62</f>
        <v>万信-基础设施建设信托基金019号001</v>
      </c>
      <c r="B63" s="10">
        <v>42567</v>
      </c>
      <c r="C63" s="11">
        <f>VLOOKUP(A63,统计!A:V,COLUMN(统计!T67),0)</f>
        <v>5300000</v>
      </c>
      <c r="D63" s="12">
        <f>VLOOKUP(A63,统计!A:V,COLUMN(统计!I67),0)</f>
        <v>0.10199999999999999</v>
      </c>
      <c r="E63" s="13">
        <f>VLOOKUP(A63,统计!A:V,COLUMN(统计!N67),0)</f>
        <v>365</v>
      </c>
      <c r="F63" s="211">
        <f t="shared" si="14"/>
        <v>0</v>
      </c>
      <c r="G63" s="211">
        <f t="shared" si="15"/>
        <v>134779.73000000001</v>
      </c>
      <c r="H63" s="211">
        <f t="shared" si="16"/>
        <v>134779.73000000001</v>
      </c>
      <c r="I63" s="6" t="str">
        <f t="shared" si="3"/>
        <v/>
      </c>
    </row>
    <row r="64" spans="1:9" hidden="1" x14ac:dyDescent="0.25">
      <c r="A64" s="15" t="str">
        <f>A63</f>
        <v>万信-基础设施建设信托基金019号001</v>
      </c>
      <c r="B64" s="16">
        <f>$I$2</f>
        <v>42612</v>
      </c>
      <c r="C64" s="66">
        <f>VLOOKUP(A64,统计!A:V,COLUMN(统计!T68),0)</f>
        <v>5300000</v>
      </c>
      <c r="D64" s="394">
        <f>VLOOKUP(A64,统计!A:V,COLUMN(统计!I68),0)</f>
        <v>0.10199999999999999</v>
      </c>
      <c r="E64" s="395">
        <f>VLOOKUP(A64,统计!A:V,COLUMN(统计!N68),0)</f>
        <v>365</v>
      </c>
      <c r="F64" s="212">
        <f t="shared" si="14"/>
        <v>0</v>
      </c>
      <c r="G64" s="212">
        <f t="shared" si="15"/>
        <v>66649.320000000007</v>
      </c>
      <c r="H64" s="212">
        <f t="shared" si="16"/>
        <v>66649.320000000007</v>
      </c>
      <c r="I64" s="6" t="str">
        <f t="shared" si="3"/>
        <v/>
      </c>
    </row>
    <row r="65" spans="1:9" x14ac:dyDescent="0.25">
      <c r="A65" s="6" t="str">
        <f>A63</f>
        <v>万信-基础设施建设信托基金019号001</v>
      </c>
      <c r="B65" s="10">
        <v>42659</v>
      </c>
      <c r="C65" s="11">
        <f>VLOOKUP(A65,统计!A:V,COLUMN(统计!T68),0)</f>
        <v>5300000</v>
      </c>
      <c r="D65" s="12">
        <f>VLOOKUP(A65,统计!A:V,COLUMN(统计!I68),0)</f>
        <v>0.10199999999999999</v>
      </c>
      <c r="E65" s="13">
        <f>VLOOKUP(A65,统计!A:V,COLUMN(统计!N68),0)</f>
        <v>365</v>
      </c>
      <c r="F65" s="211">
        <f t="shared" si="14"/>
        <v>0</v>
      </c>
      <c r="G65" s="211">
        <f t="shared" si="15"/>
        <v>69611.509999999995</v>
      </c>
      <c r="H65" s="211">
        <f t="shared" si="16"/>
        <v>69611.509999999995</v>
      </c>
      <c r="I65" s="6" t="str">
        <f t="shared" si="3"/>
        <v/>
      </c>
    </row>
    <row r="66" spans="1:9" x14ac:dyDescent="0.25">
      <c r="A66" s="6" t="str">
        <f>A65</f>
        <v>万信-基础设施建设信托基金019号001</v>
      </c>
      <c r="B66" s="10">
        <v>42751</v>
      </c>
      <c r="C66" s="11">
        <f>VLOOKUP(A66,统计!A:V,COLUMN(统计!T69),0)</f>
        <v>5300000</v>
      </c>
      <c r="D66" s="12">
        <f>VLOOKUP(A66,统计!A:V,COLUMN(统计!I69),0)</f>
        <v>0.10199999999999999</v>
      </c>
      <c r="E66" s="13">
        <f>VLOOKUP(A66,统计!A:V,COLUMN(统计!N69),0)</f>
        <v>365</v>
      </c>
      <c r="F66" s="211">
        <f t="shared" si="14"/>
        <v>0</v>
      </c>
      <c r="G66" s="211">
        <f t="shared" si="15"/>
        <v>136260.82</v>
      </c>
      <c r="H66" s="211">
        <f t="shared" si="16"/>
        <v>136260.82</v>
      </c>
      <c r="I66" s="6" t="str">
        <f t="shared" si="3"/>
        <v/>
      </c>
    </row>
    <row r="67" spans="1:9" x14ac:dyDescent="0.25">
      <c r="A67" s="6" t="str">
        <f>A66</f>
        <v>万信-基础设施建设信托基金019号001</v>
      </c>
      <c r="B67" s="10">
        <v>42807</v>
      </c>
      <c r="C67" s="11">
        <f>VLOOKUP(A67,统计!A:V,COLUMN(统计!T70),0)</f>
        <v>5300000</v>
      </c>
      <c r="D67" s="12">
        <f>VLOOKUP(A67,统计!A:V,COLUMN(统计!I70),0)</f>
        <v>0.10199999999999999</v>
      </c>
      <c r="E67" s="13">
        <f>VLOOKUP(A67,统计!A:V,COLUMN(统计!N70),0)</f>
        <v>365</v>
      </c>
      <c r="F67" s="211">
        <f t="shared" si="14"/>
        <v>5300000</v>
      </c>
      <c r="G67" s="211">
        <f t="shared" si="15"/>
        <v>82941.37</v>
      </c>
      <c r="H67" s="211">
        <f t="shared" si="16"/>
        <v>5382941.3700000001</v>
      </c>
      <c r="I67" s="6" t="str">
        <f t="shared" si="3"/>
        <v/>
      </c>
    </row>
    <row r="68" spans="1:9" x14ac:dyDescent="0.25">
      <c r="A68" s="3" t="s">
        <v>20</v>
      </c>
      <c r="B68" s="10">
        <v>42076</v>
      </c>
      <c r="C68" s="11">
        <f>VLOOKUP(A68,统计!A:V,COLUMN(统计!T71),0)</f>
        <v>16400000</v>
      </c>
      <c r="D68" s="12">
        <f>VLOOKUP(A68,统计!A:V,COLUMN(统计!I71),0)</f>
        <v>0.10299999999999999</v>
      </c>
      <c r="E68" s="13">
        <f>VLOOKUP(A68,统计!A:V,COLUMN(统计!N71),0)</f>
        <v>365</v>
      </c>
      <c r="F68" s="211">
        <f t="shared" si="11"/>
        <v>0</v>
      </c>
      <c r="G68" s="211">
        <f t="shared" si="12"/>
        <v>0</v>
      </c>
      <c r="H68" s="211">
        <f t="shared" si="13"/>
        <v>0</v>
      </c>
      <c r="I68" s="6" t="str">
        <f t="shared" ref="I68:I83" si="17">IF(AND(A68=A69,B68&gt;B69),"日期需调整！","")</f>
        <v/>
      </c>
    </row>
    <row r="69" spans="1:9" x14ac:dyDescent="0.25">
      <c r="A69" s="6" t="str">
        <f t="shared" si="10"/>
        <v>万信-基础设施建设信托基金020号001</v>
      </c>
      <c r="B69" s="10">
        <v>42088</v>
      </c>
      <c r="C69" s="11">
        <f>VLOOKUP(A69,统计!A:V,COLUMN(统计!T72),0)</f>
        <v>16400000</v>
      </c>
      <c r="D69" s="12">
        <f>VLOOKUP(A69,统计!A:V,COLUMN(统计!I72),0)</f>
        <v>0.10299999999999999</v>
      </c>
      <c r="E69" s="13">
        <f>VLOOKUP(A69,统计!A:V,COLUMN(统计!N72),0)</f>
        <v>365</v>
      </c>
      <c r="F69" s="211">
        <f t="shared" si="11"/>
        <v>0</v>
      </c>
      <c r="G69" s="211">
        <f t="shared" si="12"/>
        <v>55535.34</v>
      </c>
      <c r="H69" s="211">
        <f t="shared" si="13"/>
        <v>55535.34</v>
      </c>
      <c r="I69" s="6" t="str">
        <f t="shared" si="17"/>
        <v/>
      </c>
    </row>
    <row r="70" spans="1:9" x14ac:dyDescent="0.25">
      <c r="A70" s="6" t="str">
        <f t="shared" si="10"/>
        <v>万信-基础设施建设信托基金020号001</v>
      </c>
      <c r="B70" s="10">
        <v>42180</v>
      </c>
      <c r="C70" s="11">
        <f>VLOOKUP(A70,统计!A:V,COLUMN(统计!T73),0)</f>
        <v>16400000</v>
      </c>
      <c r="D70" s="12">
        <f>VLOOKUP(A70,统计!A:V,COLUMN(统计!I73),0)</f>
        <v>0.10299999999999999</v>
      </c>
      <c r="E70" s="13">
        <f>VLOOKUP(A70,统计!A:V,COLUMN(统计!N73),0)</f>
        <v>365</v>
      </c>
      <c r="F70" s="211">
        <f t="shared" si="11"/>
        <v>0</v>
      </c>
      <c r="G70" s="211">
        <f t="shared" si="12"/>
        <v>425770.96</v>
      </c>
      <c r="H70" s="211">
        <f t="shared" si="13"/>
        <v>425770.96</v>
      </c>
      <c r="I70" s="6" t="str">
        <f t="shared" si="17"/>
        <v/>
      </c>
    </row>
    <row r="71" spans="1:9" x14ac:dyDescent="0.25">
      <c r="A71" s="6" t="str">
        <f t="shared" si="10"/>
        <v>万信-基础设施建设信托基金020号001</v>
      </c>
      <c r="B71" s="10">
        <v>42272</v>
      </c>
      <c r="C71" s="11">
        <f>VLOOKUP(A71,统计!A:V,COLUMN(统计!T74),0)</f>
        <v>16400000</v>
      </c>
      <c r="D71" s="12">
        <f>VLOOKUP(A71,统计!A:V,COLUMN(统计!I74),0)</f>
        <v>0.10299999999999999</v>
      </c>
      <c r="E71" s="13">
        <f>VLOOKUP(A71,统计!A:V,COLUMN(统计!N74),0)</f>
        <v>365</v>
      </c>
      <c r="F71" s="211">
        <f t="shared" si="11"/>
        <v>0</v>
      </c>
      <c r="G71" s="211">
        <f t="shared" si="12"/>
        <v>425770.96</v>
      </c>
      <c r="H71" s="211">
        <f t="shared" si="13"/>
        <v>425770.96</v>
      </c>
      <c r="I71" s="6" t="str">
        <f t="shared" si="17"/>
        <v/>
      </c>
    </row>
    <row r="72" spans="1:9" x14ac:dyDescent="0.25">
      <c r="A72" s="6" t="str">
        <f>A71</f>
        <v>万信-基础设施建设信托基金020号001</v>
      </c>
      <c r="B72" s="10">
        <v>42363</v>
      </c>
      <c r="C72" s="11">
        <f>VLOOKUP(A72,统计!A:V,COLUMN(统计!T75),0)</f>
        <v>16400000</v>
      </c>
      <c r="D72" s="12">
        <f>VLOOKUP(A72,统计!A:V,COLUMN(统计!I75),0)</f>
        <v>0.10299999999999999</v>
      </c>
      <c r="E72" s="13">
        <f>VLOOKUP(A72,统计!A:V,COLUMN(统计!N75),0)</f>
        <v>365</v>
      </c>
      <c r="F72" s="211">
        <f t="shared" ref="F72:F76" si="18">IF(A72=A73,0,C72)</f>
        <v>0</v>
      </c>
      <c r="G72" s="211">
        <f t="shared" ref="G72:G76" si="19">IF(A72=A71,ROUND(C72*D72*(B72-B71)/E72,2),0)</f>
        <v>421143.01</v>
      </c>
      <c r="H72" s="211">
        <f t="shared" ref="H72:H76" si="20">SUM(F72:G72)</f>
        <v>421143.01</v>
      </c>
      <c r="I72" s="6" t="str">
        <f t="shared" si="17"/>
        <v/>
      </c>
    </row>
    <row r="73" spans="1:9" x14ac:dyDescent="0.25">
      <c r="A73" s="6" t="str">
        <f>A72</f>
        <v>万信-基础设施建设信托基金020号001</v>
      </c>
      <c r="B73" s="10">
        <v>42454</v>
      </c>
      <c r="C73" s="11">
        <f>VLOOKUP(A73,统计!A:V,COLUMN(统计!T76),0)</f>
        <v>16400000</v>
      </c>
      <c r="D73" s="12">
        <f>VLOOKUP(A73,统计!A:V,COLUMN(统计!I76),0)</f>
        <v>0.10299999999999999</v>
      </c>
      <c r="E73" s="13">
        <f>VLOOKUP(A73,统计!A:V,COLUMN(统计!N76),0)</f>
        <v>365</v>
      </c>
      <c r="F73" s="211">
        <f t="shared" si="18"/>
        <v>0</v>
      </c>
      <c r="G73" s="211">
        <f t="shared" si="19"/>
        <v>421143.01</v>
      </c>
      <c r="H73" s="211">
        <f t="shared" si="20"/>
        <v>421143.01</v>
      </c>
      <c r="I73" s="6" t="str">
        <f t="shared" si="17"/>
        <v/>
      </c>
    </row>
    <row r="74" spans="1:9" x14ac:dyDescent="0.25">
      <c r="A74" s="6" t="str">
        <f>A72</f>
        <v>万信-基础设施建设信托基金020号001</v>
      </c>
      <c r="B74" s="10">
        <v>42546</v>
      </c>
      <c r="C74" s="11">
        <f>VLOOKUP(A74,统计!A:V,COLUMN(统计!T78),0)</f>
        <v>16400000</v>
      </c>
      <c r="D74" s="12">
        <f>VLOOKUP(A74,统计!A:V,COLUMN(统计!I78),0)</f>
        <v>0.10299999999999999</v>
      </c>
      <c r="E74" s="13">
        <f>VLOOKUP(A74,统计!A:V,COLUMN(统计!N78),0)</f>
        <v>365</v>
      </c>
      <c r="F74" s="211">
        <f t="shared" si="18"/>
        <v>0</v>
      </c>
      <c r="G74" s="211">
        <f t="shared" si="19"/>
        <v>425770.96</v>
      </c>
      <c r="H74" s="211">
        <f t="shared" si="20"/>
        <v>425770.96</v>
      </c>
      <c r="I74" s="6" t="str">
        <f t="shared" si="17"/>
        <v/>
      </c>
    </row>
    <row r="75" spans="1:9" hidden="1" x14ac:dyDescent="0.25">
      <c r="A75" s="15" t="str">
        <f>A74</f>
        <v>万信-基础设施建设信托基金020号001</v>
      </c>
      <c r="B75" s="16">
        <f>$I$2</f>
        <v>42612</v>
      </c>
      <c r="C75" s="66">
        <f>VLOOKUP(A75,统计!A:V,COLUMN(统计!T79),0)</f>
        <v>16400000</v>
      </c>
      <c r="D75" s="394">
        <f>VLOOKUP(A75,统计!A:V,COLUMN(统计!I79),0)</f>
        <v>0.10299999999999999</v>
      </c>
      <c r="E75" s="395">
        <f>VLOOKUP(A75,统计!A:V,COLUMN(统计!N79),0)</f>
        <v>365</v>
      </c>
      <c r="F75" s="212">
        <f t="shared" si="18"/>
        <v>0</v>
      </c>
      <c r="G75" s="212">
        <f t="shared" si="19"/>
        <v>305444.38</v>
      </c>
      <c r="H75" s="212">
        <f t="shared" si="20"/>
        <v>305444.38</v>
      </c>
      <c r="I75" s="6" t="str">
        <f t="shared" si="17"/>
        <v/>
      </c>
    </row>
    <row r="76" spans="1:9" x14ac:dyDescent="0.25">
      <c r="A76" s="6" t="str">
        <f>A74</f>
        <v>万信-基础设施建设信托基金020号001</v>
      </c>
      <c r="B76" s="10">
        <v>42638</v>
      </c>
      <c r="C76" s="11">
        <f>VLOOKUP(A76,统计!A:V,COLUMN(统计!T79),0)</f>
        <v>16400000</v>
      </c>
      <c r="D76" s="12">
        <f>VLOOKUP(A76,统计!A:V,COLUMN(统计!I79),0)</f>
        <v>0.10299999999999999</v>
      </c>
      <c r="E76" s="13">
        <f>VLOOKUP(A76,统计!A:V,COLUMN(统计!N79),0)</f>
        <v>365</v>
      </c>
      <c r="F76" s="211">
        <f t="shared" si="18"/>
        <v>0</v>
      </c>
      <c r="G76" s="211">
        <f t="shared" si="19"/>
        <v>120326.58</v>
      </c>
      <c r="H76" s="211">
        <f t="shared" si="20"/>
        <v>120326.58</v>
      </c>
      <c r="I76" s="6" t="str">
        <f t="shared" si="17"/>
        <v/>
      </c>
    </row>
    <row r="77" spans="1:9" x14ac:dyDescent="0.25">
      <c r="A77" s="6" t="str">
        <f t="shared" si="10"/>
        <v>万信-基础设施建设信托基金020号001</v>
      </c>
      <c r="B77" s="10">
        <v>42729</v>
      </c>
      <c r="C77" s="11">
        <f>VLOOKUP(A77,统计!A:V,COLUMN(统计!T80),0)</f>
        <v>16400000</v>
      </c>
      <c r="D77" s="12">
        <f>VLOOKUP(A77,统计!A:V,COLUMN(统计!I80),0)</f>
        <v>0.10299999999999999</v>
      </c>
      <c r="E77" s="13">
        <f>VLOOKUP(A77,统计!A:V,COLUMN(统计!N80),0)</f>
        <v>365</v>
      </c>
      <c r="F77" s="211">
        <f t="shared" ref="F77:F80" si="21">IF(A77=A78,0,C77)</f>
        <v>0</v>
      </c>
      <c r="G77" s="211">
        <f t="shared" ref="G77:G104" si="22">IF(A77=A76,ROUND(C77*D77*(B77-B76)/E77,2),0)</f>
        <v>421143.01</v>
      </c>
      <c r="H77" s="211">
        <f t="shared" ref="H77:H92" si="23">SUM(F77:G77)</f>
        <v>421143.01</v>
      </c>
      <c r="I77" s="6" t="str">
        <f t="shared" si="17"/>
        <v/>
      </c>
    </row>
    <row r="78" spans="1:9" x14ac:dyDescent="0.25">
      <c r="A78" s="6" t="str">
        <f t="shared" si="10"/>
        <v>万信-基础设施建设信托基金020号001</v>
      </c>
      <c r="B78" s="10">
        <v>42807</v>
      </c>
      <c r="C78" s="11">
        <f>VLOOKUP(A78,统计!A:V,COLUMN(统计!T81),0)</f>
        <v>16400000</v>
      </c>
      <c r="D78" s="12">
        <f>VLOOKUP(A78,统计!A:V,COLUMN(统计!I81),0)</f>
        <v>0.10299999999999999</v>
      </c>
      <c r="E78" s="13">
        <f>VLOOKUP(A78,统计!A:V,COLUMN(统计!N81),0)</f>
        <v>365</v>
      </c>
      <c r="F78" s="211">
        <f t="shared" si="21"/>
        <v>16400000</v>
      </c>
      <c r="G78" s="211">
        <f t="shared" si="22"/>
        <v>360979.73</v>
      </c>
      <c r="H78" s="211">
        <f t="shared" si="23"/>
        <v>16760979.73</v>
      </c>
      <c r="I78" s="6" t="str">
        <f t="shared" si="17"/>
        <v/>
      </c>
    </row>
    <row r="79" spans="1:9" x14ac:dyDescent="0.25">
      <c r="A79" s="5" t="s">
        <v>17</v>
      </c>
      <c r="B79" s="4">
        <v>41978</v>
      </c>
      <c r="C79" s="11">
        <f>VLOOKUP(A79,统计!A:V,COLUMN(统计!T82),0)</f>
        <v>20000000</v>
      </c>
      <c r="D79" s="12">
        <f>VLOOKUP(A79,统计!A:V,COLUMN(统计!I82),0)</f>
        <v>0.1</v>
      </c>
      <c r="E79" s="13">
        <f>VLOOKUP(A79,统计!A:V,COLUMN(统计!N82),0)</f>
        <v>365</v>
      </c>
      <c r="F79" s="211">
        <f t="shared" si="21"/>
        <v>0</v>
      </c>
      <c r="G79" s="211">
        <f t="shared" si="22"/>
        <v>0</v>
      </c>
      <c r="H79" s="211">
        <f t="shared" si="23"/>
        <v>0</v>
      </c>
      <c r="I79" s="6" t="str">
        <f t="shared" si="17"/>
        <v/>
      </c>
    </row>
    <row r="80" spans="1:9" x14ac:dyDescent="0.25">
      <c r="A80" s="6" t="str">
        <f t="shared" si="10"/>
        <v>万信-基础设施建设信托基金023号001</v>
      </c>
      <c r="B80" s="10">
        <v>42063</v>
      </c>
      <c r="C80" s="11">
        <f>VLOOKUP(A80,统计!A:V,COLUMN(统计!T83),0)</f>
        <v>20000000</v>
      </c>
      <c r="D80" s="12">
        <f>VLOOKUP(A80,统计!A:V,COLUMN(统计!I83),0)</f>
        <v>0.1</v>
      </c>
      <c r="E80" s="13">
        <f>VLOOKUP(A80,统计!A:V,COLUMN(统计!N83),0)</f>
        <v>365</v>
      </c>
      <c r="F80" s="211">
        <f t="shared" si="21"/>
        <v>0</v>
      </c>
      <c r="G80" s="211">
        <f t="shared" si="22"/>
        <v>465753.42</v>
      </c>
      <c r="H80" s="211">
        <f t="shared" si="23"/>
        <v>465753.42</v>
      </c>
      <c r="I80" s="6" t="str">
        <f t="shared" si="17"/>
        <v/>
      </c>
    </row>
    <row r="81" spans="1:9" x14ac:dyDescent="0.25">
      <c r="A81" s="6" t="str">
        <f t="shared" si="10"/>
        <v>万信-基础设施建设信托基金023号001</v>
      </c>
      <c r="B81" s="4">
        <v>42152</v>
      </c>
      <c r="C81" s="11">
        <f>VLOOKUP(A81,统计!A:V,COLUMN(统计!T84),0)</f>
        <v>20000000</v>
      </c>
      <c r="D81" s="12">
        <f>VLOOKUP(A81,统计!A:V,COLUMN(统计!I84),0)</f>
        <v>0.1</v>
      </c>
      <c r="E81" s="13">
        <f>VLOOKUP(A81,统计!A:V,COLUMN(统计!N84),0)</f>
        <v>365</v>
      </c>
      <c r="F81" s="211">
        <f t="shared" ref="F81:F134" si="24">IF(A81=A82,0,C81)</f>
        <v>0</v>
      </c>
      <c r="G81" s="211">
        <f t="shared" si="22"/>
        <v>487671.23</v>
      </c>
      <c r="H81" s="211">
        <f t="shared" si="23"/>
        <v>487671.23</v>
      </c>
      <c r="I81" s="6" t="str">
        <f t="shared" si="17"/>
        <v/>
      </c>
    </row>
    <row r="82" spans="1:9" x14ac:dyDescent="0.25">
      <c r="A82" s="6" t="str">
        <f t="shared" si="10"/>
        <v>万信-基础设施建设信托基金023号001</v>
      </c>
      <c r="B82" s="10">
        <v>42244</v>
      </c>
      <c r="C82" s="11">
        <f>VLOOKUP(A82,统计!A:V,COLUMN(统计!T85),0)</f>
        <v>20000000</v>
      </c>
      <c r="D82" s="12">
        <f>VLOOKUP(A82,统计!A:V,COLUMN(统计!I85),0)</f>
        <v>0.1</v>
      </c>
      <c r="E82" s="13">
        <f>VLOOKUP(A82,统计!A:V,COLUMN(统计!N85),0)</f>
        <v>365</v>
      </c>
      <c r="F82" s="211">
        <f t="shared" si="24"/>
        <v>0</v>
      </c>
      <c r="G82" s="211">
        <f t="shared" si="22"/>
        <v>504109.59</v>
      </c>
      <c r="H82" s="211">
        <f t="shared" si="23"/>
        <v>504109.59</v>
      </c>
      <c r="I82" s="6" t="str">
        <f t="shared" si="17"/>
        <v/>
      </c>
    </row>
    <row r="83" spans="1:9" x14ac:dyDescent="0.25">
      <c r="A83" s="6" t="str">
        <f t="shared" si="10"/>
        <v>万信-基础设施建设信托基金023号001</v>
      </c>
      <c r="B83" s="4">
        <v>42336</v>
      </c>
      <c r="C83" s="11">
        <f>VLOOKUP(A83,统计!A:V,COLUMN(统计!T86),0)</f>
        <v>20000000</v>
      </c>
      <c r="D83" s="12">
        <f>VLOOKUP(A83,统计!A:V,COLUMN(统计!I86),0)</f>
        <v>0.1</v>
      </c>
      <c r="E83" s="13">
        <f>VLOOKUP(A83,统计!A:V,COLUMN(统计!N86),0)</f>
        <v>365</v>
      </c>
      <c r="F83" s="211">
        <f t="shared" si="24"/>
        <v>0</v>
      </c>
      <c r="G83" s="211">
        <f t="shared" si="22"/>
        <v>504109.59</v>
      </c>
      <c r="H83" s="211">
        <f t="shared" si="23"/>
        <v>504109.59</v>
      </c>
      <c r="I83" s="6" t="str">
        <f t="shared" si="17"/>
        <v/>
      </c>
    </row>
    <row r="84" spans="1:9" x14ac:dyDescent="0.25">
      <c r="A84" s="6" t="str">
        <f t="shared" si="10"/>
        <v>万信-基础设施建设信托基金023号001</v>
      </c>
      <c r="B84" s="10">
        <v>42428</v>
      </c>
      <c r="C84" s="11">
        <f>VLOOKUP(A84,统计!A:V,COLUMN(统计!T87),0)</f>
        <v>20000000</v>
      </c>
      <c r="D84" s="12">
        <f>VLOOKUP(A84,统计!A:V,COLUMN(统计!I87),0)</f>
        <v>0.1</v>
      </c>
      <c r="E84" s="13">
        <f>VLOOKUP(A84,统计!A:V,COLUMN(统计!N87),0)</f>
        <v>365</v>
      </c>
      <c r="F84" s="211">
        <f t="shared" ref="F84:F89" si="25">IF(A84=A85,0,C84)</f>
        <v>0</v>
      </c>
      <c r="G84" s="211">
        <f t="shared" ref="G84:G89" si="26">IF(A84=A83,ROUND(C84*D84*(B84-B83)/E84,2),0)</f>
        <v>504109.59</v>
      </c>
      <c r="H84" s="211">
        <f t="shared" ref="H84:H89" si="27">SUM(F84:G84)</f>
        <v>504109.59</v>
      </c>
      <c r="I84" s="6" t="str">
        <f t="shared" ref="I84:I89" si="28">IF(AND(A84=A85,B84&gt;B85),"日期需调整！","")</f>
        <v/>
      </c>
    </row>
    <row r="85" spans="1:9" x14ac:dyDescent="0.25">
      <c r="A85" s="6" t="str">
        <f>A84</f>
        <v>万信-基础设施建设信托基金023号001</v>
      </c>
      <c r="B85" s="4">
        <v>42518</v>
      </c>
      <c r="C85" s="11">
        <f>VLOOKUP(A85,统计!A:V,COLUMN(统计!T88),0)</f>
        <v>20000000</v>
      </c>
      <c r="D85" s="12">
        <f>VLOOKUP(A85,统计!A:V,COLUMN(统计!I88),0)</f>
        <v>0.1</v>
      </c>
      <c r="E85" s="13">
        <f>VLOOKUP(A85,统计!A:V,COLUMN(统计!N88),0)</f>
        <v>365</v>
      </c>
      <c r="F85" s="211">
        <f t="shared" si="25"/>
        <v>0</v>
      </c>
      <c r="G85" s="211">
        <f t="shared" si="26"/>
        <v>493150.68</v>
      </c>
      <c r="H85" s="211">
        <f t="shared" si="27"/>
        <v>493150.68</v>
      </c>
      <c r="I85" s="6" t="str">
        <f t="shared" si="28"/>
        <v/>
      </c>
    </row>
    <row r="86" spans="1:9" x14ac:dyDescent="0.25">
      <c r="A86" s="6" t="str">
        <f>A85</f>
        <v>万信-基础设施建设信托基金023号001</v>
      </c>
      <c r="B86" s="10">
        <v>42610</v>
      </c>
      <c r="C86" s="11">
        <f>VLOOKUP(A86,统计!A:V,COLUMN(统计!T90),0)</f>
        <v>20000000</v>
      </c>
      <c r="D86" s="12">
        <f>VLOOKUP(A86,统计!A:V,COLUMN(统计!I90),0)</f>
        <v>0.1</v>
      </c>
      <c r="E86" s="13">
        <f>VLOOKUP(A86,统计!A:V,COLUMN(统计!N90),0)</f>
        <v>365</v>
      </c>
      <c r="F86" s="211">
        <f t="shared" si="25"/>
        <v>0</v>
      </c>
      <c r="G86" s="211">
        <f t="shared" si="26"/>
        <v>504109.59</v>
      </c>
      <c r="H86" s="211">
        <f t="shared" si="27"/>
        <v>504109.59</v>
      </c>
      <c r="I86" s="6" t="str">
        <f t="shared" si="28"/>
        <v/>
      </c>
    </row>
    <row r="87" spans="1:9" hidden="1" x14ac:dyDescent="0.25">
      <c r="A87" s="15" t="str">
        <f>A86</f>
        <v>万信-基础设施建设信托基金023号001</v>
      </c>
      <c r="B87" s="16">
        <f>$I$2</f>
        <v>42612</v>
      </c>
      <c r="C87" s="66">
        <f>VLOOKUP(A87,统计!A:V,COLUMN(统计!T91),0)</f>
        <v>20000000</v>
      </c>
      <c r="D87" s="394">
        <f>VLOOKUP(A87,统计!A:V,COLUMN(统计!I91),0)</f>
        <v>0.1</v>
      </c>
      <c r="E87" s="395">
        <f>VLOOKUP(A87,统计!A:V,COLUMN(统计!N91),0)</f>
        <v>365</v>
      </c>
      <c r="F87" s="212">
        <f t="shared" si="25"/>
        <v>0</v>
      </c>
      <c r="G87" s="212">
        <f t="shared" si="26"/>
        <v>10958.9</v>
      </c>
      <c r="H87" s="212">
        <f t="shared" si="27"/>
        <v>10958.9</v>
      </c>
      <c r="I87" s="6" t="str">
        <f t="shared" si="28"/>
        <v/>
      </c>
    </row>
    <row r="88" spans="1:9" x14ac:dyDescent="0.25">
      <c r="A88" s="6" t="str">
        <f>A86</f>
        <v>万信-基础设施建设信托基金023号001</v>
      </c>
      <c r="B88" s="10">
        <v>42702</v>
      </c>
      <c r="C88" s="11">
        <f>VLOOKUP(A88,统计!A:V,COLUMN(统计!T91),0)</f>
        <v>20000000</v>
      </c>
      <c r="D88" s="12">
        <f>VLOOKUP(A88,统计!A:V,COLUMN(统计!I91),0)</f>
        <v>0.1</v>
      </c>
      <c r="E88" s="13">
        <f>VLOOKUP(A88,统计!A:V,COLUMN(统计!N91),0)</f>
        <v>365</v>
      </c>
      <c r="F88" s="211">
        <f t="shared" si="25"/>
        <v>0</v>
      </c>
      <c r="G88" s="211">
        <f t="shared" si="26"/>
        <v>493150.68</v>
      </c>
      <c r="H88" s="211">
        <f t="shared" si="27"/>
        <v>493150.68</v>
      </c>
      <c r="I88" s="6" t="str">
        <f t="shared" si="28"/>
        <v/>
      </c>
    </row>
    <row r="89" spans="1:9" x14ac:dyDescent="0.25">
      <c r="A89" s="6" t="str">
        <f>A86</f>
        <v>万信-基础设施建设信托基金023号001</v>
      </c>
      <c r="B89" s="10">
        <v>42709</v>
      </c>
      <c r="C89" s="11">
        <f>VLOOKUP(A89,统计!A:V,COLUMN(统计!T92),0)</f>
        <v>20000000</v>
      </c>
      <c r="D89" s="12">
        <f>VLOOKUP(A89,统计!A:V,COLUMN(统计!I92),0)</f>
        <v>0.1</v>
      </c>
      <c r="E89" s="13">
        <f>VLOOKUP(A89,统计!A:V,COLUMN(统计!N92),0)</f>
        <v>365</v>
      </c>
      <c r="F89" s="211">
        <f t="shared" si="25"/>
        <v>20000000</v>
      </c>
      <c r="G89" s="211">
        <f t="shared" si="26"/>
        <v>38356.160000000003</v>
      </c>
      <c r="H89" s="211">
        <f t="shared" si="27"/>
        <v>20038356.16</v>
      </c>
      <c r="I89" s="6" t="str">
        <f t="shared" si="28"/>
        <v/>
      </c>
    </row>
    <row r="90" spans="1:9" x14ac:dyDescent="0.25">
      <c r="A90" s="22" t="s">
        <v>18</v>
      </c>
      <c r="B90" s="18">
        <v>41985</v>
      </c>
      <c r="C90" s="11">
        <f>VLOOKUP(A90,统计!A:V,COLUMN(统计!T93),0)</f>
        <v>30000000</v>
      </c>
      <c r="D90" s="12">
        <f>VLOOKUP(A90,统计!A:V,COLUMN(统计!I93),0)</f>
        <v>0.1</v>
      </c>
      <c r="E90" s="13">
        <f>VLOOKUP(A90,统计!A:V,COLUMN(统计!N93),0)</f>
        <v>365</v>
      </c>
      <c r="F90" s="211">
        <f t="shared" si="24"/>
        <v>0</v>
      </c>
      <c r="G90" s="211">
        <f t="shared" si="22"/>
        <v>0</v>
      </c>
      <c r="H90" s="211">
        <f t="shared" si="23"/>
        <v>0</v>
      </c>
      <c r="I90" s="6" t="str">
        <f t="shared" ref="I90:I138" si="29">IF(AND(A90=A91,B90&gt;B91),"日期需调整！","")</f>
        <v/>
      </c>
    </row>
    <row r="91" spans="1:9" x14ac:dyDescent="0.25">
      <c r="A91" s="6" t="str">
        <f t="shared" si="10"/>
        <v>万信-基础设施建设信托基金023号002</v>
      </c>
      <c r="B91" s="4">
        <v>42063</v>
      </c>
      <c r="C91" s="11">
        <f>VLOOKUP(A91,统计!A:V,COLUMN(统计!T94),0)</f>
        <v>30000000</v>
      </c>
      <c r="D91" s="12">
        <f>VLOOKUP(A91,统计!A:V,COLUMN(统计!I94),0)</f>
        <v>0.1</v>
      </c>
      <c r="E91" s="13">
        <f>VLOOKUP(A91,统计!A:V,COLUMN(统计!N94),0)</f>
        <v>365</v>
      </c>
      <c r="F91" s="211">
        <f t="shared" si="24"/>
        <v>0</v>
      </c>
      <c r="G91" s="211">
        <f t="shared" si="22"/>
        <v>641095.89</v>
      </c>
      <c r="H91" s="211">
        <f t="shared" si="23"/>
        <v>641095.89</v>
      </c>
      <c r="I91" s="6" t="str">
        <f t="shared" si="29"/>
        <v/>
      </c>
    </row>
    <row r="92" spans="1:9" x14ac:dyDescent="0.25">
      <c r="A92" s="6" t="str">
        <f t="shared" si="10"/>
        <v>万信-基础设施建设信托基金023号002</v>
      </c>
      <c r="B92" s="4">
        <v>42152</v>
      </c>
      <c r="C92" s="11">
        <f>VLOOKUP(A92,统计!A:V,COLUMN(统计!T95),0)</f>
        <v>30000000</v>
      </c>
      <c r="D92" s="12">
        <f>VLOOKUP(A92,统计!A:V,COLUMN(统计!I95),0)</f>
        <v>0.1</v>
      </c>
      <c r="E92" s="13">
        <f>VLOOKUP(A92,统计!A:V,COLUMN(统计!N95),0)</f>
        <v>365</v>
      </c>
      <c r="F92" s="211">
        <f t="shared" si="24"/>
        <v>0</v>
      </c>
      <c r="G92" s="211">
        <f t="shared" si="22"/>
        <v>731506.85</v>
      </c>
      <c r="H92" s="211">
        <f t="shared" si="23"/>
        <v>731506.85</v>
      </c>
      <c r="I92" s="6" t="str">
        <f t="shared" si="29"/>
        <v/>
      </c>
    </row>
    <row r="93" spans="1:9" x14ac:dyDescent="0.25">
      <c r="A93" s="6" t="str">
        <f t="shared" si="10"/>
        <v>万信-基础设施建设信托基金023号002</v>
      </c>
      <c r="B93" s="10">
        <v>42244</v>
      </c>
      <c r="C93" s="11">
        <f>VLOOKUP(A93,统计!A:V,COLUMN(统计!T96),0)</f>
        <v>30000000</v>
      </c>
      <c r="D93" s="12">
        <f>VLOOKUP(A93,统计!A:V,COLUMN(统计!I96),0)</f>
        <v>0.1</v>
      </c>
      <c r="E93" s="13">
        <f>VLOOKUP(A93,统计!A:V,COLUMN(统计!N96),0)</f>
        <v>365</v>
      </c>
      <c r="F93" s="211">
        <f t="shared" ref="F93:F99" si="30">IF(A93=A94,0,C93)</f>
        <v>0</v>
      </c>
      <c r="G93" s="211">
        <f t="shared" ref="G93:G99" si="31">IF(A93=A92,ROUND(C93*D93*(B93-B92)/E93,2),0)</f>
        <v>756164.38</v>
      </c>
      <c r="H93" s="211">
        <f t="shared" ref="H93:H99" si="32">SUM(F93:G93)</f>
        <v>756164.38</v>
      </c>
      <c r="I93" s="6" t="str">
        <f t="shared" ref="I93:I99" si="33">IF(AND(A93=A94,B93&gt;B94),"日期需调整！","")</f>
        <v/>
      </c>
    </row>
    <row r="94" spans="1:9" x14ac:dyDescent="0.25">
      <c r="A94" s="6" t="str">
        <f t="shared" si="10"/>
        <v>万信-基础设施建设信托基金023号002</v>
      </c>
      <c r="B94" s="4">
        <v>42336</v>
      </c>
      <c r="C94" s="11">
        <f>VLOOKUP(A94,统计!A:V,COLUMN(统计!T97),0)</f>
        <v>30000000</v>
      </c>
      <c r="D94" s="12">
        <f>VLOOKUP(A94,统计!A:V,COLUMN(统计!I97),0)</f>
        <v>0.1</v>
      </c>
      <c r="E94" s="13">
        <f>VLOOKUP(A94,统计!A:V,COLUMN(统计!N97),0)</f>
        <v>365</v>
      </c>
      <c r="F94" s="211">
        <f t="shared" si="30"/>
        <v>0</v>
      </c>
      <c r="G94" s="211">
        <f t="shared" si="31"/>
        <v>756164.38</v>
      </c>
      <c r="H94" s="211">
        <f t="shared" si="32"/>
        <v>756164.38</v>
      </c>
      <c r="I94" s="6" t="str">
        <f t="shared" si="33"/>
        <v/>
      </c>
    </row>
    <row r="95" spans="1:9" x14ac:dyDescent="0.25">
      <c r="A95" s="6" t="str">
        <f>A94</f>
        <v>万信-基础设施建设信托基金023号002</v>
      </c>
      <c r="B95" s="10">
        <v>42428</v>
      </c>
      <c r="C95" s="11">
        <f>VLOOKUP(A95,统计!A:V,COLUMN(统计!T98),0)</f>
        <v>30000000</v>
      </c>
      <c r="D95" s="12">
        <f>VLOOKUP(A95,统计!A:V,COLUMN(统计!I98),0)</f>
        <v>0.1</v>
      </c>
      <c r="E95" s="13">
        <f>VLOOKUP(A95,统计!A:V,COLUMN(统计!N98),0)</f>
        <v>365</v>
      </c>
      <c r="F95" s="211">
        <f t="shared" si="30"/>
        <v>0</v>
      </c>
      <c r="G95" s="211">
        <f t="shared" si="31"/>
        <v>756164.38</v>
      </c>
      <c r="H95" s="211">
        <f t="shared" si="32"/>
        <v>756164.38</v>
      </c>
      <c r="I95" s="6" t="str">
        <f t="shared" si="33"/>
        <v/>
      </c>
    </row>
    <row r="96" spans="1:9" x14ac:dyDescent="0.25">
      <c r="A96" s="6" t="str">
        <f>A95</f>
        <v>万信-基础设施建设信托基金023号002</v>
      </c>
      <c r="B96" s="4">
        <v>42518</v>
      </c>
      <c r="C96" s="11">
        <f>VLOOKUP(A96,统计!A:V,COLUMN(统计!T99),0)</f>
        <v>30000000</v>
      </c>
      <c r="D96" s="12">
        <f>VLOOKUP(A96,统计!A:V,COLUMN(统计!I99),0)</f>
        <v>0.1</v>
      </c>
      <c r="E96" s="13">
        <f>VLOOKUP(A96,统计!A:V,COLUMN(统计!N99),0)</f>
        <v>365</v>
      </c>
      <c r="F96" s="211">
        <f t="shared" si="30"/>
        <v>0</v>
      </c>
      <c r="G96" s="211">
        <f t="shared" si="31"/>
        <v>739726.03</v>
      </c>
      <c r="H96" s="211">
        <f t="shared" si="32"/>
        <v>739726.03</v>
      </c>
      <c r="I96" s="6" t="str">
        <f t="shared" si="33"/>
        <v/>
      </c>
    </row>
    <row r="97" spans="1:9" x14ac:dyDescent="0.25">
      <c r="A97" s="6" t="str">
        <f>A96</f>
        <v>万信-基础设施建设信托基金023号002</v>
      </c>
      <c r="B97" s="10">
        <v>42610</v>
      </c>
      <c r="C97" s="11">
        <f>VLOOKUP(A97,统计!A:V,COLUMN(统计!T101),0)</f>
        <v>30000000</v>
      </c>
      <c r="D97" s="12">
        <f>VLOOKUP(A97,统计!A:V,COLUMN(统计!I101),0)</f>
        <v>0.1</v>
      </c>
      <c r="E97" s="13">
        <f>VLOOKUP(A97,统计!A:V,COLUMN(统计!N101),0)</f>
        <v>365</v>
      </c>
      <c r="F97" s="211">
        <f t="shared" si="30"/>
        <v>0</v>
      </c>
      <c r="G97" s="211">
        <f t="shared" si="31"/>
        <v>756164.38</v>
      </c>
      <c r="H97" s="211">
        <f t="shared" si="32"/>
        <v>756164.38</v>
      </c>
      <c r="I97" s="6" t="str">
        <f t="shared" si="33"/>
        <v/>
      </c>
    </row>
    <row r="98" spans="1:9" hidden="1" x14ac:dyDescent="0.25">
      <c r="A98" s="15" t="str">
        <f>A97</f>
        <v>万信-基础设施建设信托基金023号002</v>
      </c>
      <c r="B98" s="16">
        <f>$I$2</f>
        <v>42612</v>
      </c>
      <c r="C98" s="66">
        <f>VLOOKUP(A98,统计!A:V,COLUMN(统计!T102),0)</f>
        <v>30000000</v>
      </c>
      <c r="D98" s="394">
        <f>VLOOKUP(A98,统计!A:V,COLUMN(统计!I102),0)</f>
        <v>0.1</v>
      </c>
      <c r="E98" s="395">
        <f>VLOOKUP(A98,统计!A:V,COLUMN(统计!N102),0)</f>
        <v>365</v>
      </c>
      <c r="F98" s="212">
        <f t="shared" si="30"/>
        <v>0</v>
      </c>
      <c r="G98" s="212">
        <f t="shared" si="31"/>
        <v>16438.36</v>
      </c>
      <c r="H98" s="212">
        <f t="shared" si="32"/>
        <v>16438.36</v>
      </c>
      <c r="I98" s="6" t="str">
        <f t="shared" si="33"/>
        <v/>
      </c>
    </row>
    <row r="99" spans="1:9" x14ac:dyDescent="0.25">
      <c r="A99" s="6" t="str">
        <f>A97</f>
        <v>万信-基础设施建设信托基金023号002</v>
      </c>
      <c r="B99" s="10">
        <v>42702</v>
      </c>
      <c r="C99" s="11">
        <f>VLOOKUP(A99,统计!A:V,COLUMN(统计!T102),0)</f>
        <v>30000000</v>
      </c>
      <c r="D99" s="12">
        <f>VLOOKUP(A99,统计!A:V,COLUMN(统计!I102),0)</f>
        <v>0.1</v>
      </c>
      <c r="E99" s="13">
        <f>VLOOKUP(A99,统计!A:V,COLUMN(统计!N102),0)</f>
        <v>365</v>
      </c>
      <c r="F99" s="211">
        <f t="shared" si="30"/>
        <v>0</v>
      </c>
      <c r="G99" s="211">
        <f t="shared" si="31"/>
        <v>739726.03</v>
      </c>
      <c r="H99" s="211">
        <f t="shared" si="32"/>
        <v>739726.03</v>
      </c>
      <c r="I99" s="6" t="str">
        <f t="shared" si="33"/>
        <v/>
      </c>
    </row>
    <row r="100" spans="1:9" x14ac:dyDescent="0.25">
      <c r="A100" s="6" t="str">
        <f>A97</f>
        <v>万信-基础设施建设信托基金023号002</v>
      </c>
      <c r="B100" s="18">
        <v>42716</v>
      </c>
      <c r="C100" s="11">
        <f>VLOOKUP(A100,统计!A:V,COLUMN(统计!T103),0)</f>
        <v>30000000</v>
      </c>
      <c r="D100" s="12">
        <f>VLOOKUP(A100,统计!A:V,COLUMN(统计!I103),0)</f>
        <v>0.1</v>
      </c>
      <c r="E100" s="13">
        <f>VLOOKUP(A100,统计!A:V,COLUMN(统计!N103),0)</f>
        <v>365</v>
      </c>
      <c r="F100" s="211">
        <f t="shared" ref="F100:F104" si="34">IF(A100=A101,0,C100)</f>
        <v>30000000</v>
      </c>
      <c r="G100" s="211">
        <f t="shared" si="22"/>
        <v>115068.49</v>
      </c>
      <c r="H100" s="211">
        <f t="shared" ref="H100:H104" si="35">SUM(F100:G100)</f>
        <v>30115068.489999998</v>
      </c>
      <c r="I100" s="6" t="str">
        <f t="shared" si="29"/>
        <v/>
      </c>
    </row>
    <row r="101" spans="1:9" x14ac:dyDescent="0.25">
      <c r="A101" s="3" t="s">
        <v>13</v>
      </c>
      <c r="B101" s="4">
        <v>42041</v>
      </c>
      <c r="C101" s="11">
        <f>VLOOKUP(A101,统计!A:V,COLUMN(统计!T104),0)</f>
        <v>15000000</v>
      </c>
      <c r="D101" s="12">
        <f>VLOOKUP(A101,统计!A:V,COLUMN(统计!I104),0)</f>
        <v>0.105</v>
      </c>
      <c r="E101" s="13">
        <f>VLOOKUP(A101,统计!A:V,COLUMN(统计!N104),0)</f>
        <v>365</v>
      </c>
      <c r="F101" s="211">
        <f t="shared" si="34"/>
        <v>0</v>
      </c>
      <c r="G101" s="211">
        <f t="shared" si="22"/>
        <v>0</v>
      </c>
      <c r="H101" s="211">
        <f t="shared" si="35"/>
        <v>0</v>
      </c>
      <c r="I101" s="6" t="str">
        <f t="shared" si="29"/>
        <v/>
      </c>
    </row>
    <row r="102" spans="1:9" x14ac:dyDescent="0.25">
      <c r="A102" s="6" t="str">
        <f t="shared" si="10"/>
        <v>万信-基础设施建设信托基金031号001</v>
      </c>
      <c r="B102" s="10">
        <v>42084</v>
      </c>
      <c r="C102" s="11">
        <f>VLOOKUP(A102,统计!A:V,COLUMN(统计!T105),0)</f>
        <v>15000000</v>
      </c>
      <c r="D102" s="12">
        <f>VLOOKUP(A102,统计!A:V,COLUMN(统计!I105),0)</f>
        <v>0.105</v>
      </c>
      <c r="E102" s="13">
        <f>VLOOKUP(A102,统计!A:V,COLUMN(统计!N105),0)</f>
        <v>365</v>
      </c>
      <c r="F102" s="211">
        <f t="shared" si="34"/>
        <v>0</v>
      </c>
      <c r="G102" s="211">
        <f t="shared" si="22"/>
        <v>185547.95</v>
      </c>
      <c r="H102" s="211">
        <f t="shared" si="35"/>
        <v>185547.95</v>
      </c>
      <c r="I102" s="6" t="str">
        <f t="shared" si="29"/>
        <v/>
      </c>
    </row>
    <row r="103" spans="1:9" x14ac:dyDescent="0.25">
      <c r="A103" s="6" t="str">
        <f t="shared" si="10"/>
        <v>万信-基础设施建设信托基金031号001</v>
      </c>
      <c r="B103" s="10">
        <v>42176</v>
      </c>
      <c r="C103" s="11">
        <f>VLOOKUP(A103,统计!A:V,COLUMN(统计!T106),0)</f>
        <v>15000000</v>
      </c>
      <c r="D103" s="12">
        <f>VLOOKUP(A103,统计!A:V,COLUMN(统计!I106),0)</f>
        <v>0.105</v>
      </c>
      <c r="E103" s="13">
        <f>VLOOKUP(A103,统计!A:V,COLUMN(统计!N106),0)</f>
        <v>365</v>
      </c>
      <c r="F103" s="211">
        <f t="shared" si="34"/>
        <v>0</v>
      </c>
      <c r="G103" s="211">
        <f t="shared" si="22"/>
        <v>396986.3</v>
      </c>
      <c r="H103" s="211">
        <f t="shared" si="35"/>
        <v>396986.3</v>
      </c>
      <c r="I103" s="6" t="str">
        <f t="shared" si="29"/>
        <v/>
      </c>
    </row>
    <row r="104" spans="1:9" x14ac:dyDescent="0.25">
      <c r="A104" s="6" t="str">
        <f t="shared" si="10"/>
        <v>万信-基础设施建设信托基金031号001</v>
      </c>
      <c r="B104" s="10">
        <v>42268</v>
      </c>
      <c r="C104" s="11">
        <f>VLOOKUP(A104,统计!A:V,COLUMN(统计!T107),0)</f>
        <v>15000000</v>
      </c>
      <c r="D104" s="12">
        <f>VLOOKUP(A104,统计!A:V,COLUMN(统计!I107),0)</f>
        <v>0.105</v>
      </c>
      <c r="E104" s="13">
        <f>VLOOKUP(A104,统计!A:V,COLUMN(统计!N107),0)</f>
        <v>365</v>
      </c>
      <c r="F104" s="211">
        <f t="shared" si="34"/>
        <v>0</v>
      </c>
      <c r="G104" s="211">
        <f t="shared" si="22"/>
        <v>396986.3</v>
      </c>
      <c r="H104" s="211">
        <f t="shared" si="35"/>
        <v>396986.3</v>
      </c>
      <c r="I104" s="6" t="str">
        <f t="shared" si="29"/>
        <v/>
      </c>
    </row>
    <row r="105" spans="1:9" x14ac:dyDescent="0.25">
      <c r="A105" s="6" t="str">
        <f t="shared" si="10"/>
        <v>万信-基础设施建设信托基金031号001</v>
      </c>
      <c r="B105" s="10">
        <v>42359</v>
      </c>
      <c r="C105" s="11">
        <f>VLOOKUP(A105,统计!A:V,COLUMN(统计!T108),0)</f>
        <v>15000000</v>
      </c>
      <c r="D105" s="12">
        <f>VLOOKUP(A105,统计!A:V,COLUMN(统计!I108),0)</f>
        <v>0.105</v>
      </c>
      <c r="E105" s="13">
        <f>VLOOKUP(A105,统计!A:V,COLUMN(统计!N108),0)</f>
        <v>365</v>
      </c>
      <c r="F105" s="211">
        <f t="shared" ref="F105:F114" si="36">IF(A105=A106,0,C105)</f>
        <v>0</v>
      </c>
      <c r="G105" s="211">
        <f t="shared" ref="G105:G114" si="37">IF(A105=A104,ROUND(C105*D105*(B105-B104)/E105,2),0)</f>
        <v>392671.23</v>
      </c>
      <c r="H105" s="211">
        <f t="shared" ref="H105:H114" si="38">SUM(F105:G105)</f>
        <v>392671.23</v>
      </c>
      <c r="I105" s="6" t="str">
        <f t="shared" si="29"/>
        <v/>
      </c>
    </row>
    <row r="106" spans="1:9" x14ac:dyDescent="0.25">
      <c r="A106" s="6" t="str">
        <f t="shared" si="10"/>
        <v>万信-基础设施建设信托基金031号001</v>
      </c>
      <c r="B106" s="10">
        <v>42450</v>
      </c>
      <c r="C106" s="11">
        <f>VLOOKUP(A106,统计!A:V,COLUMN(统计!T109),0)</f>
        <v>15000000</v>
      </c>
      <c r="D106" s="12">
        <f>VLOOKUP(A106,统计!A:V,COLUMN(统计!I109),0)</f>
        <v>0.105</v>
      </c>
      <c r="E106" s="13">
        <f>VLOOKUP(A106,统计!A:V,COLUMN(统计!N109),0)</f>
        <v>365</v>
      </c>
      <c r="F106" s="211">
        <f t="shared" ref="F106:F111" si="39">IF(A106=A107,0,C106)</f>
        <v>0</v>
      </c>
      <c r="G106" s="211">
        <f t="shared" ref="G106:G111" si="40">IF(A106=A105,ROUND(C106*D106*(B106-B105)/E106,2),0)</f>
        <v>392671.23</v>
      </c>
      <c r="H106" s="211">
        <f t="shared" ref="H106:H111" si="41">SUM(F106:G106)</f>
        <v>392671.23</v>
      </c>
      <c r="I106" s="6" t="str">
        <f t="shared" si="29"/>
        <v/>
      </c>
    </row>
    <row r="107" spans="1:9" x14ac:dyDescent="0.25">
      <c r="A107" s="6" t="str">
        <f>A106</f>
        <v>万信-基础设施建设信托基金031号001</v>
      </c>
      <c r="B107" s="10">
        <v>42542</v>
      </c>
      <c r="C107" s="11">
        <f>VLOOKUP(A107,统计!A:V,COLUMN(统计!T111),0)</f>
        <v>15000000</v>
      </c>
      <c r="D107" s="12">
        <f>VLOOKUP(A107,统计!A:V,COLUMN(统计!I111),0)</f>
        <v>0.105</v>
      </c>
      <c r="E107" s="13">
        <f>VLOOKUP(A107,统计!A:V,COLUMN(统计!N111),0)</f>
        <v>365</v>
      </c>
      <c r="F107" s="211">
        <f t="shared" si="39"/>
        <v>0</v>
      </c>
      <c r="G107" s="211">
        <f t="shared" si="40"/>
        <v>396986.3</v>
      </c>
      <c r="H107" s="211">
        <f t="shared" si="41"/>
        <v>396986.3</v>
      </c>
      <c r="I107" s="6" t="str">
        <f t="shared" si="29"/>
        <v/>
      </c>
    </row>
    <row r="108" spans="1:9" hidden="1" x14ac:dyDescent="0.25">
      <c r="A108" s="15" t="str">
        <f>A107</f>
        <v>万信-基础设施建设信托基金031号001</v>
      </c>
      <c r="B108" s="16">
        <f>$I$2</f>
        <v>42612</v>
      </c>
      <c r="C108" s="66">
        <f>VLOOKUP(A108,统计!A:V,COLUMN(统计!T112),0)</f>
        <v>15000000</v>
      </c>
      <c r="D108" s="394">
        <f>VLOOKUP(A108,统计!A:V,COLUMN(统计!I112),0)</f>
        <v>0.105</v>
      </c>
      <c r="E108" s="395">
        <f>VLOOKUP(A108,统计!A:V,COLUMN(统计!N112),0)</f>
        <v>365</v>
      </c>
      <c r="F108" s="212">
        <f t="shared" si="39"/>
        <v>0</v>
      </c>
      <c r="G108" s="212">
        <f t="shared" si="40"/>
        <v>302054.78999999998</v>
      </c>
      <c r="H108" s="212">
        <f t="shared" si="41"/>
        <v>302054.78999999998</v>
      </c>
      <c r="I108" s="6" t="str">
        <f t="shared" si="29"/>
        <v/>
      </c>
    </row>
    <row r="109" spans="1:9" x14ac:dyDescent="0.25">
      <c r="A109" s="6" t="str">
        <f>A107</f>
        <v>万信-基础设施建设信托基金031号001</v>
      </c>
      <c r="B109" s="10">
        <v>42634</v>
      </c>
      <c r="C109" s="11">
        <f>VLOOKUP(A109,统计!A:V,COLUMN(统计!T112),0)</f>
        <v>15000000</v>
      </c>
      <c r="D109" s="12">
        <f>VLOOKUP(A109,统计!A:V,COLUMN(统计!I112),0)</f>
        <v>0.105</v>
      </c>
      <c r="E109" s="13">
        <f>VLOOKUP(A109,统计!A:V,COLUMN(统计!N112),0)</f>
        <v>365</v>
      </c>
      <c r="F109" s="211">
        <f t="shared" si="39"/>
        <v>0</v>
      </c>
      <c r="G109" s="211">
        <f t="shared" si="40"/>
        <v>94931.51</v>
      </c>
      <c r="H109" s="211">
        <f t="shared" si="41"/>
        <v>94931.51</v>
      </c>
      <c r="I109" s="6" t="str">
        <f t="shared" si="29"/>
        <v/>
      </c>
    </row>
    <row r="110" spans="1:9" x14ac:dyDescent="0.25">
      <c r="A110" s="6" t="str">
        <f t="shared" si="10"/>
        <v>万信-基础设施建设信托基金031号001</v>
      </c>
      <c r="B110" s="10">
        <v>42725</v>
      </c>
      <c r="C110" s="11">
        <f>VLOOKUP(A110,统计!A:V,COLUMN(统计!T113),0)</f>
        <v>15000000</v>
      </c>
      <c r="D110" s="12">
        <f>VLOOKUP(A110,统计!A:V,COLUMN(统计!I113),0)</f>
        <v>0.105</v>
      </c>
      <c r="E110" s="13">
        <f>VLOOKUP(A110,统计!A:V,COLUMN(统计!N113),0)</f>
        <v>365</v>
      </c>
      <c r="F110" s="211">
        <f t="shared" si="39"/>
        <v>0</v>
      </c>
      <c r="G110" s="211">
        <f t="shared" si="40"/>
        <v>392671.23</v>
      </c>
      <c r="H110" s="211">
        <f t="shared" si="41"/>
        <v>392671.23</v>
      </c>
      <c r="I110" s="6" t="str">
        <f t="shared" si="29"/>
        <v/>
      </c>
    </row>
    <row r="111" spans="1:9" x14ac:dyDescent="0.25">
      <c r="A111" s="6" t="str">
        <f t="shared" si="10"/>
        <v>万信-基础设施建设信托基金031号001</v>
      </c>
      <c r="B111" s="10">
        <v>42772</v>
      </c>
      <c r="C111" s="11">
        <f>VLOOKUP(A111,统计!A:V,COLUMN(统计!T114),0)</f>
        <v>15000000</v>
      </c>
      <c r="D111" s="12">
        <f>VLOOKUP(A111,统计!A:V,COLUMN(统计!I114),0)</f>
        <v>0.105</v>
      </c>
      <c r="E111" s="13">
        <f>VLOOKUP(A111,统计!A:V,COLUMN(统计!N114),0)</f>
        <v>365</v>
      </c>
      <c r="F111" s="211">
        <f t="shared" si="39"/>
        <v>15000000</v>
      </c>
      <c r="G111" s="211">
        <f t="shared" si="40"/>
        <v>202808.22</v>
      </c>
      <c r="H111" s="211">
        <f t="shared" si="41"/>
        <v>15202808.220000001</v>
      </c>
      <c r="I111" s="6" t="str">
        <f t="shared" si="29"/>
        <v/>
      </c>
    </row>
    <row r="112" spans="1:9" x14ac:dyDescent="0.25">
      <c r="A112" s="19" t="s">
        <v>21</v>
      </c>
      <c r="B112" s="4">
        <v>42180</v>
      </c>
      <c r="C112" s="11">
        <f>VLOOKUP(A112,统计!A:V,COLUMN(统计!T115),0)</f>
        <v>7100000</v>
      </c>
      <c r="D112" s="12">
        <f>VLOOKUP(A112,统计!A:V,COLUMN(统计!I115),0)</f>
        <v>0.1</v>
      </c>
      <c r="E112" s="13">
        <f>VLOOKUP(A112,统计!A:V,COLUMN(统计!N115),0)</f>
        <v>365</v>
      </c>
      <c r="F112" s="211">
        <f t="shared" si="36"/>
        <v>0</v>
      </c>
      <c r="G112" s="211">
        <f t="shared" si="37"/>
        <v>0</v>
      </c>
      <c r="H112" s="211">
        <f t="shared" si="38"/>
        <v>0</v>
      </c>
      <c r="I112" s="6" t="str">
        <f t="shared" si="29"/>
        <v/>
      </c>
    </row>
    <row r="113" spans="1:9" x14ac:dyDescent="0.25">
      <c r="A113" s="6" t="str">
        <f t="shared" si="10"/>
        <v>万信-基础设施建设信托基金046号001</v>
      </c>
      <c r="B113" s="20">
        <v>42214</v>
      </c>
      <c r="C113" s="11">
        <f>VLOOKUP(A113,统计!A:V,COLUMN(统计!T116),0)</f>
        <v>7100000</v>
      </c>
      <c r="D113" s="12">
        <f>VLOOKUP(A113,统计!A:V,COLUMN(统计!I116),0)</f>
        <v>0.1</v>
      </c>
      <c r="E113" s="13">
        <f>VLOOKUP(A113,统计!A:V,COLUMN(统计!N116),0)</f>
        <v>365</v>
      </c>
      <c r="F113" s="211">
        <f t="shared" si="36"/>
        <v>0</v>
      </c>
      <c r="G113" s="211">
        <f t="shared" si="37"/>
        <v>66136.990000000005</v>
      </c>
      <c r="H113" s="211">
        <f t="shared" si="38"/>
        <v>66136.990000000005</v>
      </c>
      <c r="I113" s="6" t="str">
        <f t="shared" si="29"/>
        <v/>
      </c>
    </row>
    <row r="114" spans="1:9" x14ac:dyDescent="0.25">
      <c r="A114" s="6" t="str">
        <f t="shared" si="10"/>
        <v>万信-基础设施建设信托基金046号001</v>
      </c>
      <c r="B114" s="20">
        <v>42306</v>
      </c>
      <c r="C114" s="11">
        <f>VLOOKUP(A114,统计!A:V,COLUMN(统计!T117),0)</f>
        <v>7100000</v>
      </c>
      <c r="D114" s="12">
        <f>VLOOKUP(A114,统计!A:V,COLUMN(统计!I117),0)</f>
        <v>0.1</v>
      </c>
      <c r="E114" s="13">
        <f>VLOOKUP(A114,统计!A:V,COLUMN(统计!N117),0)</f>
        <v>365</v>
      </c>
      <c r="F114" s="211">
        <f t="shared" si="36"/>
        <v>0</v>
      </c>
      <c r="G114" s="211">
        <f t="shared" si="37"/>
        <v>178958.9</v>
      </c>
      <c r="H114" s="211">
        <f t="shared" si="38"/>
        <v>178958.9</v>
      </c>
      <c r="I114" s="6" t="str">
        <f t="shared" si="29"/>
        <v/>
      </c>
    </row>
    <row r="115" spans="1:9" x14ac:dyDescent="0.25">
      <c r="A115" s="6" t="str">
        <f t="shared" si="10"/>
        <v>万信-基础设施建设信托基金046号001</v>
      </c>
      <c r="B115" s="20">
        <v>42398</v>
      </c>
      <c r="C115" s="11">
        <f>VLOOKUP(A115,统计!A:V,COLUMN(统计!T118),0)</f>
        <v>7100000</v>
      </c>
      <c r="D115" s="12">
        <f>VLOOKUP(A115,统计!A:V,COLUMN(统计!I118),0)</f>
        <v>0.1</v>
      </c>
      <c r="E115" s="13">
        <f>VLOOKUP(A115,统计!A:V,COLUMN(统计!N118),0)</f>
        <v>365</v>
      </c>
      <c r="F115" s="211">
        <f t="shared" ref="F115:F119" si="42">IF(A115=A116,0,C115)</f>
        <v>0</v>
      </c>
      <c r="G115" s="211">
        <f t="shared" ref="G115:G119" si="43">IF(A115=A114,ROUND(C115*D115*(B115-B114)/E115,2),0)</f>
        <v>178958.9</v>
      </c>
      <c r="H115" s="211">
        <f t="shared" ref="H115:H119" si="44">SUM(F115:G115)</f>
        <v>178958.9</v>
      </c>
      <c r="I115" s="6" t="str">
        <f t="shared" si="29"/>
        <v/>
      </c>
    </row>
    <row r="116" spans="1:9" x14ac:dyDescent="0.25">
      <c r="A116" s="6" t="str">
        <f>A115</f>
        <v>万信-基础设施建设信托基金046号001</v>
      </c>
      <c r="B116" s="20">
        <v>42489</v>
      </c>
      <c r="C116" s="11">
        <f>VLOOKUP(A116,统计!A:V,COLUMN(统计!T119),0)</f>
        <v>7100000</v>
      </c>
      <c r="D116" s="12">
        <f>VLOOKUP(A116,统计!A:V,COLUMN(统计!I119),0)</f>
        <v>0.1</v>
      </c>
      <c r="E116" s="13">
        <f>VLOOKUP(A116,统计!A:V,COLUMN(统计!N119),0)</f>
        <v>365</v>
      </c>
      <c r="F116" s="211">
        <f t="shared" si="42"/>
        <v>0</v>
      </c>
      <c r="G116" s="211">
        <f t="shared" si="43"/>
        <v>177013.7</v>
      </c>
      <c r="H116" s="211">
        <f t="shared" si="44"/>
        <v>177013.7</v>
      </c>
      <c r="I116" s="6" t="str">
        <f t="shared" si="29"/>
        <v/>
      </c>
    </row>
    <row r="117" spans="1:9" x14ac:dyDescent="0.25">
      <c r="A117" s="6" t="str">
        <f>A116</f>
        <v>万信-基础设施建设信托基金046号001</v>
      </c>
      <c r="B117" s="20">
        <v>42580</v>
      </c>
      <c r="C117" s="11">
        <f>VLOOKUP(A117,统计!A:V,COLUMN(统计!T121),0)</f>
        <v>7100000</v>
      </c>
      <c r="D117" s="12">
        <f>VLOOKUP(A117,统计!A:V,COLUMN(统计!I120),0)</f>
        <v>0.1</v>
      </c>
      <c r="E117" s="13">
        <f>VLOOKUP(A117,统计!A:V,COLUMN(统计!N120),0)</f>
        <v>365</v>
      </c>
      <c r="F117" s="211">
        <f t="shared" si="42"/>
        <v>0</v>
      </c>
      <c r="G117" s="211">
        <f t="shared" si="43"/>
        <v>177013.7</v>
      </c>
      <c r="H117" s="211">
        <f t="shared" si="44"/>
        <v>177013.7</v>
      </c>
      <c r="I117" s="6" t="str">
        <f t="shared" si="29"/>
        <v/>
      </c>
    </row>
    <row r="118" spans="1:9" hidden="1" x14ac:dyDescent="0.25">
      <c r="A118" s="15" t="str">
        <f>A117</f>
        <v>万信-基础设施建设信托基金046号001</v>
      </c>
      <c r="B118" s="16">
        <f>$I$2</f>
        <v>42612</v>
      </c>
      <c r="C118" s="66">
        <f>VLOOKUP(A118,统计!A:V,COLUMN(统计!T122),0)</f>
        <v>7100000</v>
      </c>
      <c r="D118" s="394">
        <f>VLOOKUP(A118,统计!A:V,COLUMN(统计!I121),0)</f>
        <v>0.1</v>
      </c>
      <c r="E118" s="395">
        <f>VLOOKUP(A118,统计!A:V,COLUMN(统计!N121),0)</f>
        <v>365</v>
      </c>
      <c r="F118" s="212">
        <f t="shared" si="42"/>
        <v>0</v>
      </c>
      <c r="G118" s="212">
        <f t="shared" si="43"/>
        <v>62246.58</v>
      </c>
      <c r="H118" s="212">
        <f t="shared" si="44"/>
        <v>62246.58</v>
      </c>
      <c r="I118" s="6" t="str">
        <f t="shared" si="29"/>
        <v/>
      </c>
    </row>
    <row r="119" spans="1:9" x14ac:dyDescent="0.25">
      <c r="A119" s="6" t="str">
        <f>A117</f>
        <v>万信-基础设施建设信托基金046号001</v>
      </c>
      <c r="B119" s="20">
        <v>42672</v>
      </c>
      <c r="C119" s="11">
        <f>VLOOKUP(A119,统计!A:V,COLUMN(统计!T122),0)</f>
        <v>7100000</v>
      </c>
      <c r="D119" s="12">
        <f>VLOOKUP(A119,统计!A:V,COLUMN(统计!I122),0)</f>
        <v>0.1</v>
      </c>
      <c r="E119" s="13">
        <f>VLOOKUP(A119,统计!A:V,COLUMN(统计!N122),0)</f>
        <v>365</v>
      </c>
      <c r="F119" s="211">
        <f t="shared" si="42"/>
        <v>0</v>
      </c>
      <c r="G119" s="211">
        <f t="shared" si="43"/>
        <v>116712.33</v>
      </c>
      <c r="H119" s="211">
        <f t="shared" si="44"/>
        <v>116712.33</v>
      </c>
      <c r="I119" s="6" t="str">
        <f t="shared" si="29"/>
        <v/>
      </c>
    </row>
    <row r="120" spans="1:9" x14ac:dyDescent="0.25">
      <c r="A120" s="6" t="str">
        <f t="shared" si="10"/>
        <v>万信-基础设施建设信托基金046号001</v>
      </c>
      <c r="B120" s="20">
        <v>42729</v>
      </c>
      <c r="C120" s="11">
        <f>VLOOKUP(A120,统计!A:V,COLUMN(统计!T123),0)</f>
        <v>7100000</v>
      </c>
      <c r="D120" s="12">
        <f>VLOOKUP(A120,统计!A:V,COLUMN(统计!I123),0)</f>
        <v>0.1</v>
      </c>
      <c r="E120" s="13">
        <f>VLOOKUP(A120,统计!A:V,COLUMN(统计!N123),0)</f>
        <v>365</v>
      </c>
      <c r="F120" s="211">
        <f t="shared" si="24"/>
        <v>7100000</v>
      </c>
      <c r="G120" s="211">
        <f t="shared" ref="G120" si="45">IF(A120=A119,ROUND(C120*D120*(B120-B119)/E120,2),0)</f>
        <v>110876.71</v>
      </c>
      <c r="H120" s="211">
        <f t="shared" ref="H120" si="46">SUM(F120:G120)</f>
        <v>7210876.71</v>
      </c>
      <c r="I120" s="6" t="str">
        <f t="shared" si="29"/>
        <v/>
      </c>
    </row>
    <row r="121" spans="1:9" x14ac:dyDescent="0.25">
      <c r="A121" s="23" t="s">
        <v>16</v>
      </c>
      <c r="B121" s="4">
        <v>41943</v>
      </c>
      <c r="C121" s="11">
        <f>VLOOKUP(A121,统计!A:V,COLUMN(统计!T124),0)</f>
        <v>30000000</v>
      </c>
      <c r="D121" s="12">
        <f>VLOOKUP(A121,统计!A:V,COLUMN(统计!I124),0)</f>
        <v>0.108</v>
      </c>
      <c r="E121" s="13">
        <f>VLOOKUP(A121,统计!A:V,COLUMN(统计!N124),0)</f>
        <v>365</v>
      </c>
      <c r="F121" s="211">
        <f t="shared" si="24"/>
        <v>0</v>
      </c>
      <c r="G121" s="211">
        <f t="shared" ref="G121:G128" si="47">IF(A121=A120,ROUND(C121*D121*(B121-B120)/E121,2),0)</f>
        <v>0</v>
      </c>
      <c r="H121" s="211">
        <f t="shared" ref="H121:H128" si="48">SUM(F121:G121)</f>
        <v>0</v>
      </c>
      <c r="I121" s="6" t="str">
        <f t="shared" si="29"/>
        <v/>
      </c>
    </row>
    <row r="122" spans="1:9" x14ac:dyDescent="0.25">
      <c r="A122" s="19" t="str">
        <f>A121</f>
        <v>万信-资产流动类信托基金002号001</v>
      </c>
      <c r="B122" s="20">
        <v>42124</v>
      </c>
      <c r="C122" s="11">
        <f>VLOOKUP(A122,统计!A:V,COLUMN(统计!T125),0)</f>
        <v>30000000</v>
      </c>
      <c r="D122" s="12">
        <f>VLOOKUP(A122,统计!A:V,COLUMN(统计!I125),0)</f>
        <v>0.108</v>
      </c>
      <c r="E122" s="13">
        <f>VLOOKUP(A122,统计!A:V,COLUMN(统计!N125),0)</f>
        <v>365</v>
      </c>
      <c r="F122" s="211">
        <f t="shared" si="24"/>
        <v>0</v>
      </c>
      <c r="G122" s="211">
        <f t="shared" si="47"/>
        <v>1606684.93</v>
      </c>
      <c r="H122" s="211">
        <f t="shared" si="48"/>
        <v>1606684.93</v>
      </c>
      <c r="I122" s="6" t="str">
        <f t="shared" si="29"/>
        <v/>
      </c>
    </row>
    <row r="123" spans="1:9" x14ac:dyDescent="0.25">
      <c r="A123" s="19" t="str">
        <f t="shared" ref="A123:A135" si="49">A122</f>
        <v>万信-资产流动类信托基金002号001</v>
      </c>
      <c r="B123" s="20">
        <v>42308</v>
      </c>
      <c r="C123" s="11">
        <f>VLOOKUP(A123,统计!A:V,COLUMN(统计!T126),0)</f>
        <v>30000000</v>
      </c>
      <c r="D123" s="12">
        <f>VLOOKUP(A123,统计!A:V,COLUMN(统计!I126),0)</f>
        <v>0.108</v>
      </c>
      <c r="E123" s="13">
        <f>VLOOKUP(A123,统计!A:V,COLUMN(统计!N126),0)</f>
        <v>365</v>
      </c>
      <c r="F123" s="211">
        <f>IF(A123=A125,0,C123)</f>
        <v>0</v>
      </c>
      <c r="G123" s="211">
        <f t="shared" si="47"/>
        <v>1633315.07</v>
      </c>
      <c r="H123" s="211">
        <f t="shared" si="48"/>
        <v>1633315.07</v>
      </c>
      <c r="I123" s="6" t="str">
        <f t="shared" si="29"/>
        <v/>
      </c>
    </row>
    <row r="124" spans="1:9" x14ac:dyDescent="0.25">
      <c r="A124" s="19" t="str">
        <f>A123</f>
        <v>万信-资产流动类信托基金002号001</v>
      </c>
      <c r="B124" s="20">
        <v>42490</v>
      </c>
      <c r="C124" s="11">
        <f>VLOOKUP(A124,统计!A:V,COLUMN(统计!T127),0)</f>
        <v>30000000</v>
      </c>
      <c r="D124" s="12">
        <f>VLOOKUP(A124,统计!A:V,COLUMN(统计!I127),0)</f>
        <v>0.108</v>
      </c>
      <c r="E124" s="13">
        <f>VLOOKUP(A124,统计!A:V,COLUMN(统计!N127),0)</f>
        <v>365</v>
      </c>
      <c r="F124" s="211">
        <f>IF(A124=A126,0,C124)</f>
        <v>0</v>
      </c>
      <c r="G124" s="211">
        <f t="shared" si="47"/>
        <v>1615561.64</v>
      </c>
      <c r="H124" s="211">
        <f t="shared" si="48"/>
        <v>1615561.64</v>
      </c>
      <c r="I124" s="6" t="str">
        <f t="shared" si="29"/>
        <v/>
      </c>
    </row>
    <row r="125" spans="1:9" hidden="1" x14ac:dyDescent="0.25">
      <c r="A125" s="15" t="str">
        <f>A123</f>
        <v>万信-资产流动类信托基金002号001</v>
      </c>
      <c r="B125" s="16">
        <f>$I$2</f>
        <v>42612</v>
      </c>
      <c r="C125" s="66">
        <f>VLOOKUP(A125,统计!A:V,COLUMN(统计!T128),0)</f>
        <v>30000000</v>
      </c>
      <c r="D125" s="394">
        <f>VLOOKUP(A125,统计!A:V,COLUMN(统计!I128),0)</f>
        <v>0.108</v>
      </c>
      <c r="E125" s="395">
        <f>VLOOKUP(A125,统计!A:V,COLUMN(统计!N128),0)</f>
        <v>365</v>
      </c>
      <c r="F125" s="212">
        <f>IF(A125=A124,0,C125)</f>
        <v>0</v>
      </c>
      <c r="G125" s="212">
        <f t="shared" si="47"/>
        <v>1082958.8999999999</v>
      </c>
      <c r="H125" s="212">
        <f t="shared" si="48"/>
        <v>1082958.8999999999</v>
      </c>
      <c r="I125" s="6" t="str">
        <f t="shared" si="29"/>
        <v/>
      </c>
    </row>
    <row r="126" spans="1:9" x14ac:dyDescent="0.25">
      <c r="A126" s="19" t="str">
        <f>A124</f>
        <v>万信-资产流动类信托基金002号001</v>
      </c>
      <c r="B126" s="20">
        <v>42674</v>
      </c>
      <c r="C126" s="11">
        <f>VLOOKUP(A126,统计!A:V,COLUMN(统计!T129),0)</f>
        <v>30000000</v>
      </c>
      <c r="D126" s="12">
        <f>VLOOKUP(A126,统计!A:V,COLUMN(统计!I129),0)</f>
        <v>0.108</v>
      </c>
      <c r="E126" s="13">
        <f>VLOOKUP(A126,统计!A:V,COLUMN(统计!N129),0)</f>
        <v>365</v>
      </c>
      <c r="F126" s="211">
        <f t="shared" si="24"/>
        <v>30000000</v>
      </c>
      <c r="G126" s="211">
        <f t="shared" si="47"/>
        <v>550356.16</v>
      </c>
      <c r="H126" s="211">
        <f t="shared" si="48"/>
        <v>30550356.16</v>
      </c>
      <c r="I126" s="6" t="str">
        <f t="shared" si="29"/>
        <v/>
      </c>
    </row>
    <row r="127" spans="1:9" x14ac:dyDescent="0.25">
      <c r="A127" s="23" t="s">
        <v>15</v>
      </c>
      <c r="B127" s="4">
        <v>41950</v>
      </c>
      <c r="C127" s="11">
        <f>VLOOKUP(A127,统计!A:V,COLUMN(统计!T130),0)</f>
        <v>50000000</v>
      </c>
      <c r="D127" s="12">
        <f>VLOOKUP(A127,统计!A:V,COLUMN(统计!I130),0)</f>
        <v>0.108</v>
      </c>
      <c r="E127" s="13">
        <f>VLOOKUP(A127,统计!A:V,COLUMN(统计!N130),0)</f>
        <v>365</v>
      </c>
      <c r="F127" s="211">
        <f t="shared" si="24"/>
        <v>0</v>
      </c>
      <c r="G127" s="211">
        <f t="shared" si="47"/>
        <v>0</v>
      </c>
      <c r="H127" s="211">
        <f t="shared" si="48"/>
        <v>0</v>
      </c>
      <c r="I127" s="6" t="str">
        <f t="shared" si="29"/>
        <v/>
      </c>
    </row>
    <row r="128" spans="1:9" x14ac:dyDescent="0.25">
      <c r="A128" s="19" t="str">
        <f t="shared" si="49"/>
        <v>万信-资产流动类信托基金002号002</v>
      </c>
      <c r="B128" s="10">
        <v>42131</v>
      </c>
      <c r="C128" s="11">
        <f>VLOOKUP(A128,统计!A:V,COLUMN(统计!T131),0)</f>
        <v>50000000</v>
      </c>
      <c r="D128" s="12">
        <f>VLOOKUP(A128,统计!A:V,COLUMN(统计!I131),0)</f>
        <v>0.108</v>
      </c>
      <c r="E128" s="13">
        <f>VLOOKUP(A128,统计!A:V,COLUMN(统计!N131),0)</f>
        <v>365</v>
      </c>
      <c r="F128" s="211">
        <f t="shared" si="24"/>
        <v>0</v>
      </c>
      <c r="G128" s="211">
        <f t="shared" si="47"/>
        <v>2677808.2200000002</v>
      </c>
      <c r="H128" s="211">
        <f t="shared" si="48"/>
        <v>2677808.2200000002</v>
      </c>
      <c r="I128" s="6" t="str">
        <f t="shared" si="29"/>
        <v/>
      </c>
    </row>
    <row r="129" spans="1:9" x14ac:dyDescent="0.25">
      <c r="A129" s="19" t="str">
        <f t="shared" si="49"/>
        <v>万信-资产流动类信托基金002号002</v>
      </c>
      <c r="B129" s="10">
        <v>42315</v>
      </c>
      <c r="C129" s="11">
        <f>VLOOKUP(A129,统计!A:V,COLUMN(统计!T132),0)</f>
        <v>50000000</v>
      </c>
      <c r="D129" s="12">
        <f>VLOOKUP(A129,统计!A:V,COLUMN(统计!I132),0)</f>
        <v>0.108</v>
      </c>
      <c r="E129" s="13">
        <f>VLOOKUP(A129,统计!A:V,COLUMN(统计!N132),0)</f>
        <v>365</v>
      </c>
      <c r="F129" s="211">
        <f>IF(A129=A131,0,C129)</f>
        <v>0</v>
      </c>
      <c r="G129" s="211">
        <f t="shared" ref="G129:G133" si="50">IF(A129=A128,ROUND(C129*D129*(B129-B128)/E129,2),0)</f>
        <v>2722191.78</v>
      </c>
      <c r="H129" s="211">
        <f t="shared" ref="H129:H133" si="51">SUM(F129:G129)</f>
        <v>2722191.78</v>
      </c>
      <c r="I129" s="6" t="str">
        <f t="shared" si="29"/>
        <v/>
      </c>
    </row>
    <row r="130" spans="1:9" x14ac:dyDescent="0.25">
      <c r="A130" s="19" t="str">
        <f>A129</f>
        <v>万信-资产流动类信托基金002号002</v>
      </c>
      <c r="B130" s="10">
        <v>42497</v>
      </c>
      <c r="C130" s="11">
        <f>VLOOKUP(A130,统计!A:V,COLUMN(统计!T133),0)</f>
        <v>50000000</v>
      </c>
      <c r="D130" s="12">
        <f>VLOOKUP(A130,统计!A:V,COLUMN(统计!I133),0)</f>
        <v>0.108</v>
      </c>
      <c r="E130" s="13">
        <f>VLOOKUP(A130,统计!A:V,COLUMN(统计!N133),0)</f>
        <v>365</v>
      </c>
      <c r="F130" s="211">
        <f>IF(A130=A132,0,C130)</f>
        <v>0</v>
      </c>
      <c r="G130" s="211">
        <f t="shared" si="50"/>
        <v>2692602.74</v>
      </c>
      <c r="H130" s="211">
        <f t="shared" si="51"/>
        <v>2692602.74</v>
      </c>
      <c r="I130" s="6" t="str">
        <f t="shared" si="29"/>
        <v/>
      </c>
    </row>
    <row r="131" spans="1:9" hidden="1" x14ac:dyDescent="0.25">
      <c r="A131" s="15" t="str">
        <f>A129</f>
        <v>万信-资产流动类信托基金002号002</v>
      </c>
      <c r="B131" s="16">
        <f>$I$2</f>
        <v>42612</v>
      </c>
      <c r="C131" s="66">
        <f>VLOOKUP(A131,统计!A:V,COLUMN(统计!T134),0)</f>
        <v>50000000</v>
      </c>
      <c r="D131" s="394">
        <f>VLOOKUP(A131,统计!A:V,COLUMN(统计!I134),0)</f>
        <v>0.108</v>
      </c>
      <c r="E131" s="395">
        <f>VLOOKUP(A131,统计!A:V,COLUMN(统计!N134),0)</f>
        <v>365</v>
      </c>
      <c r="F131" s="212">
        <f>IF(A131=A130,0,C131)</f>
        <v>0</v>
      </c>
      <c r="G131" s="212">
        <f t="shared" si="50"/>
        <v>1701369.86</v>
      </c>
      <c r="H131" s="212">
        <f t="shared" si="51"/>
        <v>1701369.86</v>
      </c>
      <c r="I131" s="6" t="str">
        <f t="shared" si="29"/>
        <v/>
      </c>
    </row>
    <row r="132" spans="1:9" x14ac:dyDescent="0.25">
      <c r="A132" s="19" t="str">
        <f>A130</f>
        <v>万信-资产流动类信托基金002号002</v>
      </c>
      <c r="B132" s="10">
        <v>42681</v>
      </c>
      <c r="C132" s="11">
        <f>VLOOKUP(A132,统计!A:V,COLUMN(统计!T135),0)</f>
        <v>50000000</v>
      </c>
      <c r="D132" s="12">
        <f>VLOOKUP(A132,统计!A:V,COLUMN(统计!I135),0)</f>
        <v>0.108</v>
      </c>
      <c r="E132" s="13">
        <f>VLOOKUP(A132,统计!A:V,COLUMN(统计!N135),0)</f>
        <v>365</v>
      </c>
      <c r="F132" s="211">
        <f t="shared" si="24"/>
        <v>50000000</v>
      </c>
      <c r="G132" s="211">
        <f t="shared" si="50"/>
        <v>1020821.92</v>
      </c>
      <c r="H132" s="211">
        <f t="shared" si="51"/>
        <v>51020821.920000002</v>
      </c>
      <c r="I132" s="6" t="str">
        <f t="shared" si="29"/>
        <v/>
      </c>
    </row>
    <row r="133" spans="1:9" x14ac:dyDescent="0.25">
      <c r="A133" s="21" t="s">
        <v>14</v>
      </c>
      <c r="B133" s="17">
        <v>41978</v>
      </c>
      <c r="C133" s="11">
        <f>VLOOKUP(A133,统计!A:V,COLUMN(统计!T136),0)</f>
        <v>6700000</v>
      </c>
      <c r="D133" s="12">
        <f>VLOOKUP(A133,统计!A:V,COLUMN(统计!I136),0)</f>
        <v>0.108</v>
      </c>
      <c r="E133" s="13">
        <f>VLOOKUP(A133,统计!A:V,COLUMN(统计!N136),0)</f>
        <v>365</v>
      </c>
      <c r="F133" s="211">
        <f t="shared" si="24"/>
        <v>0</v>
      </c>
      <c r="G133" s="211">
        <f t="shared" si="50"/>
        <v>0</v>
      </c>
      <c r="H133" s="211">
        <f t="shared" si="51"/>
        <v>0</v>
      </c>
      <c r="I133" s="6" t="str">
        <f t="shared" si="29"/>
        <v/>
      </c>
    </row>
    <row r="134" spans="1:9" x14ac:dyDescent="0.25">
      <c r="A134" s="19" t="str">
        <f t="shared" si="49"/>
        <v>万信-资产流动类信托基金002号003</v>
      </c>
      <c r="B134" s="10">
        <v>42160</v>
      </c>
      <c r="C134" s="11">
        <f>VLOOKUP(A134,统计!A:V,COLUMN(统计!T137),0)</f>
        <v>6700000</v>
      </c>
      <c r="D134" s="12">
        <f>VLOOKUP(A134,统计!A:V,COLUMN(统计!I137),0)</f>
        <v>0.108</v>
      </c>
      <c r="E134" s="13">
        <f>VLOOKUP(A134,统计!A:V,COLUMN(统计!N137),0)</f>
        <v>365</v>
      </c>
      <c r="F134" s="211">
        <f t="shared" si="24"/>
        <v>0</v>
      </c>
      <c r="G134" s="211">
        <f t="shared" ref="G134" si="52">IF(A134=A133,ROUND(C134*D134*(B134-B133)/E134,2),0)</f>
        <v>360808.77</v>
      </c>
      <c r="H134" s="211">
        <f t="shared" ref="H134:H139" si="53">SUM(F134:G134)</f>
        <v>360808.77</v>
      </c>
      <c r="I134" s="6" t="str">
        <f t="shared" si="29"/>
        <v/>
      </c>
    </row>
    <row r="135" spans="1:9" x14ac:dyDescent="0.25">
      <c r="A135" s="19" t="str">
        <f t="shared" si="49"/>
        <v>万信-资产流动类信托基金002号003</v>
      </c>
      <c r="B135" s="10">
        <v>42343</v>
      </c>
      <c r="C135" s="11">
        <f>VLOOKUP(A135,统计!A:V,COLUMN(统计!T138),0)</f>
        <v>6700000</v>
      </c>
      <c r="D135" s="12">
        <f>VLOOKUP(A135,统计!A:V,COLUMN(统计!I138),0)</f>
        <v>0.108</v>
      </c>
      <c r="E135" s="13">
        <f>VLOOKUP(A135,统计!A:V,COLUMN(统计!N138),0)</f>
        <v>365</v>
      </c>
      <c r="F135" s="211">
        <f t="shared" ref="F135:F138" si="54">IF(A135=A136,0,C135)</f>
        <v>0</v>
      </c>
      <c r="G135" s="211">
        <f t="shared" ref="G135:G138" si="55">IF(A135=A134,ROUND(C135*D135*(B135-B134)/E135,2),0)</f>
        <v>362791.23</v>
      </c>
      <c r="H135" s="211">
        <f t="shared" ref="H135:H138" si="56">SUM(F135:G135)</f>
        <v>362791.23</v>
      </c>
      <c r="I135" s="6" t="str">
        <f t="shared" si="29"/>
        <v/>
      </c>
    </row>
    <row r="136" spans="1:9" x14ac:dyDescent="0.25">
      <c r="A136" s="19" t="str">
        <f>A135</f>
        <v>万信-资产流动类信托基金002号003</v>
      </c>
      <c r="B136" s="10">
        <v>42526</v>
      </c>
      <c r="C136" s="11">
        <f>VLOOKUP(A136,统计!A:V,COLUMN(统计!T140),0)</f>
        <v>6700000</v>
      </c>
      <c r="D136" s="12">
        <f>VLOOKUP(A136,统计!A:V,COLUMN(统计!I140),0)</f>
        <v>0.108</v>
      </c>
      <c r="E136" s="13">
        <f>VLOOKUP(A136,统计!A:V,COLUMN(统计!N140),0)</f>
        <v>365</v>
      </c>
      <c r="F136" s="211">
        <f t="shared" si="54"/>
        <v>0</v>
      </c>
      <c r="G136" s="211">
        <f t="shared" si="55"/>
        <v>362791.23</v>
      </c>
      <c r="H136" s="211">
        <f t="shared" si="56"/>
        <v>362791.23</v>
      </c>
      <c r="I136" s="6" t="str">
        <f t="shared" si="29"/>
        <v/>
      </c>
    </row>
    <row r="137" spans="1:9" hidden="1" x14ac:dyDescent="0.25">
      <c r="A137" s="15" t="str">
        <f>A136</f>
        <v>万信-资产流动类信托基金002号003</v>
      </c>
      <c r="B137" s="16">
        <f>$I$2</f>
        <v>42612</v>
      </c>
      <c r="C137" s="66">
        <f>VLOOKUP(A137,统计!A:V,COLUMN(统计!T141),0)</f>
        <v>6700000</v>
      </c>
      <c r="D137" s="394">
        <f>VLOOKUP(A137,统计!A:V,COLUMN(统计!I141),0)</f>
        <v>0.108</v>
      </c>
      <c r="E137" s="395">
        <f>VLOOKUP(A137,统计!A:V,COLUMN(统计!N141),0)</f>
        <v>365</v>
      </c>
      <c r="F137" s="212">
        <f t="shared" si="54"/>
        <v>0</v>
      </c>
      <c r="G137" s="212">
        <f t="shared" si="55"/>
        <v>170492.05</v>
      </c>
      <c r="H137" s="212">
        <f t="shared" si="56"/>
        <v>170492.05</v>
      </c>
      <c r="I137" s="6" t="str">
        <f t="shared" si="29"/>
        <v/>
      </c>
    </row>
    <row r="138" spans="1:9" x14ac:dyDescent="0.25">
      <c r="A138" s="19" t="str">
        <f>A136</f>
        <v>万信-资产流动类信托基金002号003</v>
      </c>
      <c r="B138" s="10">
        <v>42709</v>
      </c>
      <c r="C138" s="11">
        <f>VLOOKUP(A138,统计!A:V,COLUMN(统计!T141),0)</f>
        <v>6700000</v>
      </c>
      <c r="D138" s="12">
        <f>VLOOKUP(A138,统计!A:V,COLUMN(统计!I141),0)</f>
        <v>0.108</v>
      </c>
      <c r="E138" s="13">
        <f>VLOOKUP(A138,统计!A:V,COLUMN(统计!N141),0)</f>
        <v>365</v>
      </c>
      <c r="F138" s="211">
        <f t="shared" si="54"/>
        <v>6700000</v>
      </c>
      <c r="G138" s="211">
        <f t="shared" si="55"/>
        <v>192299.18</v>
      </c>
      <c r="H138" s="211">
        <f t="shared" si="56"/>
        <v>6892299.1799999997</v>
      </c>
      <c r="I138" s="6" t="str">
        <f t="shared" si="29"/>
        <v/>
      </c>
    </row>
    <row r="139" spans="1:9" x14ac:dyDescent="0.25">
      <c r="E139" s="13"/>
      <c r="F139" s="66">
        <f>SUM(F2:F138)</f>
        <v>538500000</v>
      </c>
      <c r="G139" s="66">
        <f>SUM(G2:G138)</f>
        <v>90811691.470000029</v>
      </c>
      <c r="H139" s="11">
        <f t="shared" si="53"/>
        <v>629311691.47000003</v>
      </c>
      <c r="I139" s="6" t="str">
        <f t="shared" ref="I139" si="57">IF(AND(A139=A140,B139&gt;B140),"日期需调整！","")</f>
        <v/>
      </c>
    </row>
  </sheetData>
  <autoFilter ref="A1:G139">
    <filterColumn colId="1">
      <filters blank="1">
        <dateGroupItem year="2018" dateTimeGrouping="year"/>
        <dateGroupItem year="2017" dateTimeGrouping="year"/>
        <dateGroupItem year="2016" month="1" dateTimeGrouping="month"/>
        <dateGroupItem year="2016" month="2" dateTimeGrouping="month"/>
        <dateGroupItem year="2016" month="3" dateTimeGrouping="month"/>
        <dateGroupItem year="2016" month="4" dateTimeGrouping="month"/>
        <dateGroupItem year="2016" month="5" dateTimeGrouping="month"/>
        <dateGroupItem year="2016" month="6" dateTimeGrouping="month"/>
        <dateGroupItem year="2016" month="7" dateTimeGrouping="month"/>
        <dateGroupItem year="2016" month="8" day="28" dateTimeGrouping="day"/>
        <dateGroupItem year="2016" month="9" dateTimeGrouping="month"/>
        <dateGroupItem year="2016" month="10" dateTimeGrouping="month"/>
        <dateGroupItem year="2016" month="11" dateTimeGrouping="month"/>
        <dateGroupItem year="2016" month="12" dateTimeGrouping="month"/>
        <dateGroupItem year="2015" dateTimeGrouping="year"/>
        <dateGroupItem year="2014" dateTimeGrouping="year"/>
      </filters>
    </filterColumn>
  </autoFilter>
  <phoneticPr fontId="32" type="noConversion"/>
  <conditionalFormatting sqref="I3:I139">
    <cfRule type="containsText" dxfId="0" priority="4" operator="containsText" text="调整">
      <formula>NOT(ISERROR(SEARCH("调整",I3)))</formula>
    </cfRule>
  </conditionalFormatting>
  <pageMargins left="0.7" right="0.7" top="0.75" bottom="0.75" header="0.3" footer="0.3"/>
  <pageSetup paperSize="9" orientation="landscape"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J25"/>
  <sheetViews>
    <sheetView workbookViewId="0">
      <selection activeCell="A12" sqref="A12"/>
    </sheetView>
  </sheetViews>
  <sheetFormatPr baseColWidth="10" defaultColWidth="11.5703125" defaultRowHeight="18" x14ac:dyDescent="0.25"/>
  <cols>
    <col min="1" max="1" width="12.42578125" customWidth="1"/>
    <col min="2" max="3" width="24" customWidth="1"/>
    <col min="4" max="4" width="14" customWidth="1"/>
    <col min="5" max="5" width="14.42578125" bestFit="1" customWidth="1"/>
    <col min="6" max="6" width="17.7109375" customWidth="1"/>
    <col min="8" max="8" width="14.42578125" bestFit="1" customWidth="1"/>
    <col min="9" max="9" width="14.42578125" customWidth="1"/>
    <col min="10" max="10" width="14.42578125" bestFit="1" customWidth="1"/>
  </cols>
  <sheetData>
    <row r="1" spans="1:10" x14ac:dyDescent="0.25">
      <c r="A1" s="1" t="s">
        <v>30</v>
      </c>
      <c r="B1" s="1" t="s">
        <v>31</v>
      </c>
      <c r="C1" s="1"/>
    </row>
    <row r="2" spans="1:10" x14ac:dyDescent="0.25">
      <c r="A2" s="2">
        <v>42378</v>
      </c>
      <c r="B2" t="s">
        <v>29</v>
      </c>
    </row>
    <row r="3" spans="1:10" x14ac:dyDescent="0.25">
      <c r="A3" s="2">
        <v>42380</v>
      </c>
      <c r="B3" t="s">
        <v>49</v>
      </c>
    </row>
    <row r="4" spans="1:10" x14ac:dyDescent="0.25">
      <c r="A4" s="2">
        <v>42381</v>
      </c>
      <c r="B4" t="s">
        <v>114</v>
      </c>
    </row>
    <row r="5" spans="1:10" x14ac:dyDescent="0.25">
      <c r="A5" s="2">
        <v>42396</v>
      </c>
      <c r="B5" t="s">
        <v>139</v>
      </c>
      <c r="E5" s="59" t="s">
        <v>187</v>
      </c>
      <c r="F5" s="57">
        <f>统计!T24</f>
        <v>538500000</v>
      </c>
      <c r="G5" s="65" t="s">
        <v>215</v>
      </c>
      <c r="H5" s="65" t="s">
        <v>216</v>
      </c>
      <c r="I5" s="65"/>
      <c r="J5" s="65" t="s">
        <v>218</v>
      </c>
    </row>
    <row r="6" spans="1:10" x14ac:dyDescent="0.25">
      <c r="A6" s="2">
        <v>42397</v>
      </c>
      <c r="B6" t="s">
        <v>193</v>
      </c>
      <c r="D6" t="s">
        <v>183</v>
      </c>
      <c r="E6" s="58">
        <v>0.69450000000000001</v>
      </c>
      <c r="F6" s="57">
        <f>E6*$F$5</f>
        <v>373988250</v>
      </c>
      <c r="G6" s="61">
        <f>E6</f>
        <v>0.69450000000000001</v>
      </c>
      <c r="H6" s="57">
        <f>F6</f>
        <v>373988250</v>
      </c>
      <c r="I6" s="58">
        <f>J6/$F$5</f>
        <v>0.68709377901578461</v>
      </c>
      <c r="J6" s="60">
        <v>370000000</v>
      </c>
    </row>
    <row r="7" spans="1:10" x14ac:dyDescent="0.25">
      <c r="A7" s="2">
        <v>42398</v>
      </c>
      <c r="B7" t="s">
        <v>198</v>
      </c>
      <c r="D7" t="s">
        <v>184</v>
      </c>
      <c r="E7" s="58">
        <v>0.73199999999999998</v>
      </c>
      <c r="F7" s="57">
        <f>E7*$F$5</f>
        <v>394182000</v>
      </c>
      <c r="J7" s="60"/>
    </row>
    <row r="8" spans="1:10" x14ac:dyDescent="0.25">
      <c r="A8" s="2">
        <v>42401</v>
      </c>
      <c r="B8" t="s">
        <v>214</v>
      </c>
      <c r="D8" t="s">
        <v>185</v>
      </c>
      <c r="E8" s="58">
        <v>0.749</v>
      </c>
      <c r="F8" s="57">
        <f>E8*$F$5</f>
        <v>403336500</v>
      </c>
      <c r="J8" s="60"/>
    </row>
    <row r="9" spans="1:10" x14ac:dyDescent="0.25">
      <c r="A9" s="2">
        <v>42404</v>
      </c>
      <c r="B9" t="s">
        <v>225</v>
      </c>
      <c r="D9" t="s">
        <v>186</v>
      </c>
      <c r="E9" s="58">
        <v>0.76900000000000002</v>
      </c>
      <c r="F9" s="57">
        <f>E9*$F$5</f>
        <v>414106500</v>
      </c>
      <c r="G9" s="61">
        <f>E9-G6</f>
        <v>7.4500000000000011E-2</v>
      </c>
      <c r="H9" s="57">
        <f>F9-H6</f>
        <v>40118250</v>
      </c>
      <c r="I9" s="58">
        <f>J9/F5</f>
        <v>7.4280408542246976E-2</v>
      </c>
      <c r="J9" s="60">
        <v>40000000</v>
      </c>
    </row>
    <row r="10" spans="1:10" x14ac:dyDescent="0.25">
      <c r="A10" s="2">
        <v>42405</v>
      </c>
      <c r="B10" t="s">
        <v>233</v>
      </c>
      <c r="D10" t="s">
        <v>217</v>
      </c>
      <c r="E10" s="61">
        <f>1-E9</f>
        <v>0.23099999999999998</v>
      </c>
      <c r="G10" s="61">
        <f>E10</f>
        <v>0.23099999999999998</v>
      </c>
      <c r="H10" s="57">
        <f>F5-SUM(H6:H9)</f>
        <v>124393500</v>
      </c>
      <c r="I10" s="58">
        <f>J10/F5</f>
        <v>0.23862581244196843</v>
      </c>
      <c r="J10" s="57">
        <f>F5-SUM(J6:J9)</f>
        <v>128500000</v>
      </c>
    </row>
    <row r="11" spans="1:10" x14ac:dyDescent="0.25">
      <c r="A11" s="2">
        <v>42440</v>
      </c>
      <c r="B11" t="s">
        <v>293</v>
      </c>
    </row>
    <row r="12" spans="1:10" x14ac:dyDescent="0.25">
      <c r="A12" s="2"/>
      <c r="J12" s="58">
        <f>F5/(J6+J9)</f>
        <v>1.3134146341463415</v>
      </c>
    </row>
    <row r="13" spans="1:10" x14ac:dyDescent="0.25">
      <c r="A13" s="2"/>
    </row>
    <row r="14" spans="1:10" x14ac:dyDescent="0.25">
      <c r="A14" s="2"/>
    </row>
    <row r="15" spans="1:10" x14ac:dyDescent="0.25">
      <c r="A15" s="2"/>
    </row>
    <row r="16" spans="1:10" x14ac:dyDescent="0.25">
      <c r="A16" s="2"/>
    </row>
    <row r="17" spans="1:1" x14ac:dyDescent="0.25">
      <c r="A17" s="2"/>
    </row>
    <row r="18" spans="1:1" x14ac:dyDescent="0.25">
      <c r="A18" s="2"/>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sheetData>
  <phoneticPr fontId="32" type="noConversion"/>
  <pageMargins left="0.7" right="0.7" top="0.75" bottom="0.75" header="0.3" footer="0.3"/>
  <pageSetup paperSize="9" orientation="landscape"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C21" sqref="C21"/>
    </sheetView>
  </sheetViews>
  <sheetFormatPr baseColWidth="10" defaultColWidth="11.5703125" defaultRowHeight="18" x14ac:dyDescent="0.25"/>
  <cols>
    <col min="1" max="1" width="38.7109375" bestFit="1" customWidth="1"/>
    <col min="2" max="2" width="7.5703125" customWidth="1"/>
    <col min="3" max="3" width="54.42578125" bestFit="1" customWidth="1"/>
    <col min="4" max="4" width="10.5703125" customWidth="1"/>
    <col min="5" max="5" width="11.7109375" customWidth="1"/>
  </cols>
  <sheetData>
    <row r="1" spans="1:5" x14ac:dyDescent="0.25">
      <c r="A1" s="55" t="s">
        <v>140</v>
      </c>
      <c r="B1" s="55" t="s">
        <v>141</v>
      </c>
      <c r="C1" s="55" t="s">
        <v>142</v>
      </c>
      <c r="D1" s="55" t="s">
        <v>143</v>
      </c>
      <c r="E1" s="55" t="s">
        <v>144</v>
      </c>
    </row>
    <row r="2" spans="1:5" x14ac:dyDescent="0.25">
      <c r="A2" s="53" t="s">
        <v>60</v>
      </c>
      <c r="B2" s="53" t="s">
        <v>145</v>
      </c>
      <c r="C2" s="54" t="s">
        <v>146</v>
      </c>
      <c r="D2" s="54" t="s">
        <v>146</v>
      </c>
      <c r="E2" s="53" t="s">
        <v>145</v>
      </c>
    </row>
    <row r="3" spans="1:5" x14ac:dyDescent="0.25">
      <c r="A3" s="53" t="s">
        <v>62</v>
      </c>
      <c r="B3" s="53" t="s">
        <v>147</v>
      </c>
      <c r="C3" s="54" t="s">
        <v>66</v>
      </c>
      <c r="D3" s="54" t="s">
        <v>147</v>
      </c>
      <c r="E3" s="53" t="s">
        <v>147</v>
      </c>
    </row>
    <row r="4" spans="1:5" x14ac:dyDescent="0.25">
      <c r="A4" s="53" t="s">
        <v>62</v>
      </c>
      <c r="B4" s="53" t="s">
        <v>147</v>
      </c>
      <c r="C4" s="54" t="s">
        <v>66</v>
      </c>
      <c r="D4" s="54" t="s">
        <v>147</v>
      </c>
      <c r="E4" s="53" t="s">
        <v>147</v>
      </c>
    </row>
    <row r="5" spans="1:5" x14ac:dyDescent="0.25">
      <c r="A5" s="53" t="s">
        <v>68</v>
      </c>
      <c r="B5" s="53" t="s">
        <v>148</v>
      </c>
      <c r="C5" s="54" t="s">
        <v>70</v>
      </c>
      <c r="D5" s="54" t="s">
        <v>147</v>
      </c>
      <c r="E5" s="53" t="s">
        <v>147</v>
      </c>
    </row>
    <row r="6" spans="1:5" x14ac:dyDescent="0.25">
      <c r="A6" s="53" t="s">
        <v>68</v>
      </c>
      <c r="B6" s="53" t="s">
        <v>148</v>
      </c>
      <c r="C6" s="54" t="s">
        <v>70</v>
      </c>
      <c r="D6" s="54" t="s">
        <v>147</v>
      </c>
      <c r="E6" s="53" t="s">
        <v>147</v>
      </c>
    </row>
    <row r="7" spans="1:5" x14ac:dyDescent="0.25">
      <c r="A7" s="53" t="s">
        <v>72</v>
      </c>
      <c r="B7" s="53" t="s">
        <v>148</v>
      </c>
      <c r="C7" s="54" t="s">
        <v>149</v>
      </c>
      <c r="D7" s="54" t="s">
        <v>147</v>
      </c>
      <c r="E7" s="53" t="s">
        <v>147</v>
      </c>
    </row>
    <row r="8" spans="1:5" x14ac:dyDescent="0.25">
      <c r="A8" s="53" t="s">
        <v>75</v>
      </c>
      <c r="B8" s="53" t="s">
        <v>147</v>
      </c>
      <c r="C8" s="54" t="s">
        <v>76</v>
      </c>
      <c r="D8" s="54" t="s">
        <v>147</v>
      </c>
      <c r="E8" s="53" t="s">
        <v>147</v>
      </c>
    </row>
    <row r="9" spans="1:5" x14ac:dyDescent="0.25">
      <c r="A9" s="53" t="s">
        <v>77</v>
      </c>
      <c r="B9" s="53" t="s">
        <v>150</v>
      </c>
      <c r="C9" s="54" t="s">
        <v>151</v>
      </c>
      <c r="D9" s="54" t="s">
        <v>148</v>
      </c>
      <c r="E9" s="53" t="s">
        <v>148</v>
      </c>
    </row>
    <row r="10" spans="1:5" x14ac:dyDescent="0.25">
      <c r="A10" s="53" t="s">
        <v>82</v>
      </c>
      <c r="B10" s="53" t="s">
        <v>150</v>
      </c>
      <c r="C10" s="54" t="s">
        <v>151</v>
      </c>
      <c r="D10" s="54" t="s">
        <v>148</v>
      </c>
      <c r="E10" s="53" t="s">
        <v>148</v>
      </c>
    </row>
    <row r="11" spans="1:5" x14ac:dyDescent="0.25">
      <c r="A11" s="53" t="s">
        <v>152</v>
      </c>
      <c r="B11" s="53" t="s">
        <v>148</v>
      </c>
      <c r="C11" s="54" t="s">
        <v>79</v>
      </c>
      <c r="D11" s="54" t="s">
        <v>146</v>
      </c>
      <c r="E11" s="53" t="s">
        <v>148</v>
      </c>
    </row>
    <row r="12" spans="1:5" x14ac:dyDescent="0.25">
      <c r="A12" s="53" t="s">
        <v>152</v>
      </c>
      <c r="B12" s="53" t="s">
        <v>148</v>
      </c>
      <c r="C12" s="54" t="s">
        <v>79</v>
      </c>
      <c r="D12" s="54" t="s">
        <v>146</v>
      </c>
      <c r="E12" s="53" t="s">
        <v>148</v>
      </c>
    </row>
    <row r="13" spans="1:5" x14ac:dyDescent="0.25">
      <c r="A13" s="53" t="s">
        <v>152</v>
      </c>
      <c r="B13" s="53" t="s">
        <v>148</v>
      </c>
      <c r="C13" s="54" t="s">
        <v>79</v>
      </c>
      <c r="D13" s="54" t="s">
        <v>146</v>
      </c>
      <c r="E13" s="53" t="s">
        <v>148</v>
      </c>
    </row>
    <row r="14" spans="1:5" x14ac:dyDescent="0.25">
      <c r="A14" s="53" t="s">
        <v>102</v>
      </c>
      <c r="B14" s="53" t="s">
        <v>153</v>
      </c>
      <c r="C14" s="54" t="s">
        <v>154</v>
      </c>
      <c r="D14" s="54" t="s">
        <v>147</v>
      </c>
      <c r="E14" s="53" t="s">
        <v>147</v>
      </c>
    </row>
    <row r="15" spans="1:5" x14ac:dyDescent="0.25">
      <c r="A15" s="53" t="s">
        <v>155</v>
      </c>
      <c r="B15" s="53" t="s">
        <v>148</v>
      </c>
      <c r="C15" s="54" t="s">
        <v>156</v>
      </c>
      <c r="D15" s="54" t="s">
        <v>148</v>
      </c>
      <c r="E15" s="53" t="s">
        <v>148</v>
      </c>
    </row>
    <row r="16" spans="1:5" x14ac:dyDescent="0.25">
      <c r="A16" s="53" t="s">
        <v>157</v>
      </c>
      <c r="B16" s="53" t="s">
        <v>147</v>
      </c>
      <c r="C16" s="54" t="s">
        <v>157</v>
      </c>
      <c r="D16" s="54" t="s">
        <v>146</v>
      </c>
      <c r="E16" s="53" t="s">
        <v>147</v>
      </c>
    </row>
    <row r="17" spans="1:5" x14ac:dyDescent="0.25">
      <c r="A17" s="53" t="s">
        <v>104</v>
      </c>
      <c r="B17" s="53" t="s">
        <v>148</v>
      </c>
      <c r="C17" s="54" t="s">
        <v>158</v>
      </c>
      <c r="D17" s="54" t="s">
        <v>159</v>
      </c>
      <c r="E17" s="53" t="s">
        <v>159</v>
      </c>
    </row>
    <row r="18" spans="1:5" x14ac:dyDescent="0.25">
      <c r="A18" s="53" t="s">
        <v>160</v>
      </c>
      <c r="B18" s="53" t="s">
        <v>147</v>
      </c>
      <c r="C18" s="54" t="s">
        <v>161</v>
      </c>
      <c r="D18" s="54" t="s">
        <v>147</v>
      </c>
      <c r="E18" s="53" t="s">
        <v>147</v>
      </c>
    </row>
    <row r="19" spans="1:5" x14ac:dyDescent="0.25">
      <c r="A19" s="53" t="s">
        <v>96</v>
      </c>
      <c r="B19" s="53" t="s">
        <v>147</v>
      </c>
      <c r="C19" s="54" t="s">
        <v>96</v>
      </c>
      <c r="D19" s="54" t="s">
        <v>147</v>
      </c>
      <c r="E19" s="53" t="s">
        <v>147</v>
      </c>
    </row>
    <row r="20" spans="1:5" x14ac:dyDescent="0.25">
      <c r="A20" s="53" t="s">
        <v>107</v>
      </c>
      <c r="B20" s="53" t="s">
        <v>148</v>
      </c>
      <c r="C20" s="54" t="s">
        <v>162</v>
      </c>
      <c r="D20" s="54" t="s">
        <v>147</v>
      </c>
      <c r="E20" s="53" t="s">
        <v>147</v>
      </c>
    </row>
    <row r="21" spans="1:5" x14ac:dyDescent="0.25">
      <c r="A21" s="53" t="s">
        <v>108</v>
      </c>
      <c r="B21" s="53" t="s">
        <v>163</v>
      </c>
      <c r="C21" s="54" t="s">
        <v>164</v>
      </c>
      <c r="D21" s="54" t="s">
        <v>148</v>
      </c>
      <c r="E21" s="53" t="s">
        <v>148</v>
      </c>
    </row>
    <row r="22" spans="1:5" x14ac:dyDescent="0.25">
      <c r="A22" s="53" t="s">
        <v>108</v>
      </c>
      <c r="B22" s="53" t="s">
        <v>163</v>
      </c>
      <c r="C22" s="54" t="s">
        <v>164</v>
      </c>
      <c r="D22" s="54" t="s">
        <v>148</v>
      </c>
      <c r="E22" s="53" t="s">
        <v>148</v>
      </c>
    </row>
    <row r="23" spans="1:5" x14ac:dyDescent="0.25">
      <c r="A23" s="53" t="s">
        <v>165</v>
      </c>
      <c r="B23" s="53" t="s">
        <v>147</v>
      </c>
      <c r="C23" s="54" t="s">
        <v>166</v>
      </c>
      <c r="D23" s="54" t="s">
        <v>167</v>
      </c>
      <c r="E23" s="53" t="s">
        <v>147</v>
      </c>
    </row>
    <row r="24" spans="1:5" x14ac:dyDescent="0.25">
      <c r="A24" s="53" t="s">
        <v>109</v>
      </c>
      <c r="B24" s="53" t="s">
        <v>163</v>
      </c>
      <c r="C24" s="54" t="s">
        <v>168</v>
      </c>
      <c r="D24" s="54" t="s">
        <v>148</v>
      </c>
      <c r="E24" s="53" t="s">
        <v>148</v>
      </c>
    </row>
    <row r="25" spans="1:5" x14ac:dyDescent="0.25">
      <c r="A25" s="53" t="s">
        <v>169</v>
      </c>
      <c r="B25" s="53" t="s">
        <v>147</v>
      </c>
      <c r="C25" s="54" t="s">
        <v>112</v>
      </c>
      <c r="D25" s="54" t="s">
        <v>147</v>
      </c>
      <c r="E25" s="53" t="s">
        <v>147</v>
      </c>
    </row>
  </sheetData>
  <phoneticPr fontId="3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统计</vt:lpstr>
      <vt:lpstr>调整收益分析</vt:lpstr>
      <vt:lpstr>投资者收益测算表</vt:lpstr>
      <vt:lpstr>Sheet1</vt:lpstr>
      <vt:lpstr>分类统计</vt:lpstr>
      <vt:lpstr>每日存款测算表</vt:lpstr>
      <vt:lpstr>基础资产现金流</vt:lpstr>
      <vt:lpstr>工作安排</vt:lpstr>
      <vt:lpstr>影子评级初稿</vt:lpstr>
      <vt:lpstr>锦石测算</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Haifeng Xu</dc:creator>
  <cp:lastModifiedBy>Haifeng Xu</cp:lastModifiedBy>
  <cp:lastPrinted>2016-08-08T12:12:02Z</cp:lastPrinted>
  <dcterms:created xsi:type="dcterms:W3CDTF">2016-01-07T06:11:33Z</dcterms:created>
  <dcterms:modified xsi:type="dcterms:W3CDTF">2016-08-28T07:16:57Z</dcterms:modified>
</cp:coreProperties>
</file>