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73" firstSheet="3" activeTab="5" autoFilterDateGrouping="1"/>
  </bookViews>
  <sheets>
    <sheet xmlns:r="http://schemas.openxmlformats.org/officeDocument/2006/relationships" name="Заметки" sheetId="1" state="visible" r:id="rId1"/>
    <sheet xmlns:r="http://schemas.openxmlformats.org/officeDocument/2006/relationships" name="Приготовление шихты" sheetId="2" state="visible" r:id="rId2"/>
    <sheet xmlns:r="http://schemas.openxmlformats.org/officeDocument/2006/relationships" name="Выщелачивание спека" sheetId="3" state="visible" r:id="rId3"/>
    <sheet xmlns:r="http://schemas.openxmlformats.org/officeDocument/2006/relationships" name="Обескремнивание" sheetId="4" state="visible" r:id="rId4"/>
    <sheet xmlns:r="http://schemas.openxmlformats.org/officeDocument/2006/relationships" name="Кальцинация и карбонизация" sheetId="5" state="visible" r:id="rId5"/>
    <sheet xmlns:r="http://schemas.openxmlformats.org/officeDocument/2006/relationships" name="Таблицы" sheetId="6" state="visible" r:id="rId6"/>
    <sheet xmlns:r="http://schemas.openxmlformats.org/officeDocument/2006/relationships" name="Исходные данные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dd\.mmm"/>
    <numFmt numFmtId="165" formatCode="_-* #\ ##0.00\ _₽_-;\-* #\ ##0.00\ _₽_-;_-* &quot;-&quot;??\ _₽_-;_-@_-"/>
    <numFmt numFmtId="166" formatCode="0.00_ "/>
  </numFmts>
  <fonts count="5">
    <font>
      <name val="Calibri"/>
      <charset val="204"/>
      <color theme="1"/>
      <sz val="11"/>
      <scheme val="minor"/>
    </font>
    <font>
      <name val="Calibri"/>
      <charset val="204"/>
      <sz val="11"/>
      <scheme val="minor"/>
    </font>
    <font>
      <name val="Tahoma"/>
      <charset val="1"/>
      <b val="1"/>
      <sz val="9"/>
    </font>
    <font>
      <name val="Tahoma"/>
      <charset val="1"/>
      <sz val="9"/>
    </font>
    <font>
      <name val="Calibri"/>
      <charset val="204"/>
      <color theme="1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4" fillId="0" borderId="0"/>
    <xf numFmtId="165" fontId="4" fillId="0" borderId="0"/>
  </cellStyleXfs>
  <cellXfs count="26">
    <xf numFmtId="0" fontId="0" fillId="0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  <xf numFmtId="0" fontId="0" fillId="0" borderId="1" pivotButton="0" quotePrefix="0" xfId="0"/>
    <xf numFmtId="0" fontId="0" fillId="0" borderId="2" pivotButton="0" quotePrefix="0" xfId="0"/>
    <xf numFmtId="0" fontId="0" fillId="3" borderId="0" pivotButton="0" quotePrefix="0" xfId="0"/>
    <xf numFmtId="2" fontId="0" fillId="0" borderId="0" pivotButton="0" quotePrefix="0" xfId="0"/>
    <xf numFmtId="0" fontId="0" fillId="0" borderId="0" applyAlignment="1" pivotButton="0" quotePrefix="0" xfId="0">
      <alignment wrapText="1"/>
    </xf>
    <xf numFmtId="0" fontId="0" fillId="4" borderId="0" pivotButton="0" quotePrefix="0" xfId="0"/>
    <xf numFmtId="165" fontId="0" fillId="0" borderId="0" pivotButton="0" quotePrefix="0" xfId="1"/>
    <xf numFmtId="0" fontId="0" fillId="5" borderId="0" pivotButton="0" quotePrefix="0" xfId="0"/>
    <xf numFmtId="0" fontId="1" fillId="0" borderId="0" pivotButton="0" quotePrefix="0" xfId="0"/>
    <xf numFmtId="166" fontId="0" fillId="0" borderId="0" pivotButton="0" quotePrefix="0" xfId="0"/>
    <xf numFmtId="0" fontId="1" fillId="6" borderId="0" pivotButton="0" quotePrefix="0" xfId="0"/>
    <xf numFmtId="165" fontId="1" fillId="0" borderId="0" pivotButton="0" quotePrefix="0" xfId="1"/>
    <xf numFmtId="166" fontId="1" fillId="0" borderId="0" pivotButton="0" quotePrefix="0" xfId="0"/>
    <xf numFmtId="165" fontId="1" fillId="0" borderId="0" pivotButton="0" quotePrefix="0" xfId="0"/>
    <xf numFmtId="0" fontId="0" fillId="0" borderId="0" applyAlignment="1" pivotButton="0" quotePrefix="0" xfId="0">
      <alignment horizontal="left"/>
    </xf>
    <xf numFmtId="0" fontId="0" fillId="6" borderId="0" pivotButton="0" quotePrefix="0" xfId="0"/>
    <xf numFmtId="10" fontId="0" fillId="0" borderId="0" pivotButton="0" quotePrefix="0" xfId="0"/>
    <xf numFmtId="0" fontId="0" fillId="0" borderId="0" applyAlignment="1" pivotButton="0" quotePrefix="0" xfId="0">
      <alignment horizontal="center"/>
    </xf>
    <xf numFmtId="165" fontId="0" fillId="0" borderId="0" pivotButton="0" quotePrefix="0" xfId="1"/>
    <xf numFmtId="165" fontId="1" fillId="0" borderId="0" pivotButton="0" quotePrefix="0" xfId="1"/>
    <xf numFmtId="165" fontId="1" fillId="0" borderId="0" pivotButton="0" quotePrefix="0" xfId="0"/>
    <xf numFmtId="164" fontId="0" fillId="0" borderId="0" pivotButton="0" quotePrefix="0" xfId="0"/>
  </cellXfs>
  <cellStyles count="2">
    <cellStyle name="Обычный" xfId="0" builtinId="0"/>
    <cellStyle name="Финансовый" xfId="1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styles" Target="styles.xml" Id="rId8"/><Relationship Type="http://schemas.openxmlformats.org/officeDocument/2006/relationships/theme" Target="theme/theme1.xml" Id="rId9"/></Relationships>
</file>

<file path=xl/comments/comment1.xml><?xml version="1.0" encoding="utf-8"?>
<comments xmlns="http://schemas.openxmlformats.org/spreadsheetml/2006/main">
  <authors>
    <author>User</author>
  </authors>
  <commentList>
    <comment ref="A10" authorId="0" shapeId="0">
      <text>
        <t xml:space="preserve">User:
Расход и состав оставить как константы и скрыть
</t>
      </text>
    </comment>
  </commentList>
</comment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"/>
  <sheetViews>
    <sheetView workbookViewId="0">
      <selection activeCell="A8" sqref="A8"/>
    </sheetView>
  </sheetViews>
  <sheetFormatPr baseColWidth="8" defaultColWidth="9" defaultRowHeight="14.4"/>
  <sheetData>
    <row r="1">
      <c r="A1" t="inlineStr">
        <is>
          <t>1. Потери Na2O должны регулироватся</t>
        </is>
      </c>
    </row>
    <row r="2">
      <c r="A2" t="inlineStr">
        <is>
          <t xml:space="preserve">2. Масса Al2O3 в оборотном растворе </t>
        </is>
      </c>
    </row>
    <row r="3">
      <c r="A3" t="inlineStr">
        <is>
          <t>3. Плотность маточного раствора</t>
        </is>
      </c>
    </row>
    <row r="4">
      <c r="A4" t="inlineStr">
        <is>
          <t>4. Обьем содового раствора на регенерацию кальцивого гидрограната</t>
        </is>
      </c>
    </row>
    <row r="5">
      <c r="A5" t="inlineStr">
        <is>
          <t>5. Плотность алюм раствора после 2 стадии обескремнивания</t>
        </is>
      </c>
    </row>
    <row r="6">
      <c r="A6" t="inlineStr">
        <is>
          <t xml:space="preserve">6. Таблица промежуточная не выводить </t>
        </is>
      </c>
    </row>
    <row r="7">
      <c r="A7" t="inlineStr">
        <is>
          <t xml:space="preserve">7. Конденсат на регенерации КГГ </t>
        </is>
      </c>
    </row>
    <row r="8">
      <c r="A8" t="inlineStr">
        <is>
          <t>8. 19 Таблица деление шлама</t>
        </is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M77"/>
  <sheetViews>
    <sheetView topLeftCell="A15" zoomScale="115" zoomScaleNormal="115" workbookViewId="0">
      <selection activeCell="B23" sqref="B23"/>
    </sheetView>
  </sheetViews>
  <sheetFormatPr baseColWidth="8" defaultColWidth="9" defaultRowHeight="14.4"/>
  <cols>
    <col width="10.33203125" customWidth="1" min="2" max="2"/>
    <col width="12.88671875" customWidth="1" min="9" max="10"/>
  </cols>
  <sheetData>
    <row r="1">
      <c r="B1" t="inlineStr">
        <is>
          <t>1. Расход сухого боксита на производство 1 т глинозема</t>
        </is>
      </c>
      <c r="H1">
        <f>'Исходные данные'!F30*100/('Исходные данные'!A4*'Исходные данные'!E26/100)</f>
        <v/>
      </c>
      <c r="I1" t="inlineStr">
        <is>
          <t xml:space="preserve">кг </t>
        </is>
      </c>
    </row>
    <row r="2">
      <c r="B2" t="inlineStr">
        <is>
          <t xml:space="preserve">2. Содержание Al2O3  в боксите </t>
        </is>
      </c>
      <c r="H2">
        <f>H1*'Исходные данные'!A4/100</f>
        <v/>
      </c>
      <c r="I2" t="inlineStr">
        <is>
          <t xml:space="preserve">кг </t>
        </is>
      </c>
    </row>
    <row r="3">
      <c r="B3" t="inlineStr">
        <is>
          <t>3. Потери Al2O3 по технологии</t>
        </is>
      </c>
      <c r="H3">
        <f>H2-'Исходные данные'!F30</f>
        <v/>
      </c>
      <c r="I3" t="inlineStr">
        <is>
          <t xml:space="preserve">кг </t>
        </is>
      </c>
    </row>
    <row r="4">
      <c r="B4" t="inlineStr">
        <is>
          <t>4. Потери Al2O3 при дроблении и размоле</t>
        </is>
      </c>
      <c r="H4">
        <f>'Исходные данные'!F46</f>
        <v/>
      </c>
      <c r="I4" t="inlineStr">
        <is>
          <t xml:space="preserve">кг </t>
        </is>
      </c>
    </row>
    <row r="5">
      <c r="B5" t="inlineStr">
        <is>
          <t>Потери сух боксита</t>
        </is>
      </c>
      <c r="H5">
        <f>H4*100/'Исходные данные'!A4</f>
        <v/>
      </c>
      <c r="I5" t="inlineStr">
        <is>
          <t xml:space="preserve">кг </t>
        </is>
      </c>
    </row>
    <row r="6">
      <c r="B6" t="inlineStr">
        <is>
          <t>5. масса сух боксита поступаещего на спекание</t>
        </is>
      </c>
      <c r="H6">
        <f>H1-H5</f>
        <v/>
      </c>
      <c r="I6" t="inlineStr">
        <is>
          <t xml:space="preserve">кг </t>
        </is>
      </c>
    </row>
    <row r="7">
      <c r="B7" t="inlineStr">
        <is>
          <t>Масса влажного боксита</t>
        </is>
      </c>
      <c r="H7">
        <f>H6/(100-'Исходные данные'!I4)*100</f>
        <v/>
      </c>
      <c r="I7" t="inlineStr">
        <is>
          <t xml:space="preserve">кг </t>
        </is>
      </c>
    </row>
    <row r="8">
      <c r="B8" t="inlineStr">
        <is>
          <t>6. Расчет компонентов в сух боксите, кг:</t>
        </is>
      </c>
    </row>
    <row r="9">
      <c r="B9" t="inlineStr">
        <is>
          <t>Al2O3</t>
        </is>
      </c>
      <c r="C9" t="inlineStr">
        <is>
          <t>Fe2O3</t>
        </is>
      </c>
      <c r="D9" t="inlineStr">
        <is>
          <t>SiO2</t>
        </is>
      </c>
      <c r="E9" t="inlineStr">
        <is>
          <t>TiO2</t>
        </is>
      </c>
      <c r="F9" t="inlineStr">
        <is>
          <t>CaO</t>
        </is>
      </c>
      <c r="G9" t="inlineStr">
        <is>
          <t>CO2</t>
        </is>
      </c>
      <c r="H9" t="inlineStr">
        <is>
          <t>Прочие</t>
        </is>
      </c>
      <c r="I9" t="inlineStr">
        <is>
          <t>ППП</t>
        </is>
      </c>
      <c r="J9" t="inlineStr">
        <is>
          <t>H2O</t>
        </is>
      </c>
    </row>
    <row r="10">
      <c r="B10">
        <f>$H$6*'Исходные данные'!A4/100</f>
        <v/>
      </c>
      <c r="C10">
        <f>$H$6*'Исходные данные'!B4/100</f>
        <v/>
      </c>
      <c r="D10">
        <f>$H$6*'Исходные данные'!C4/100</f>
        <v/>
      </c>
      <c r="E10">
        <f>$H$6*'Исходные данные'!D4/100</f>
        <v/>
      </c>
      <c r="F10">
        <f>$H$6*'Исходные данные'!E4/100</f>
        <v/>
      </c>
      <c r="G10">
        <f>$H$6*'Исходные данные'!F4/100</f>
        <v/>
      </c>
      <c r="H10">
        <f>$H$6*'Исходные данные'!G4/100</f>
        <v/>
      </c>
      <c r="I10">
        <f>$H$6*'Исходные данные'!H4/100</f>
        <v/>
      </c>
      <c r="J10">
        <f>H7-H6</f>
        <v/>
      </c>
    </row>
    <row r="12">
      <c r="B12" t="inlineStr">
        <is>
          <t>7. Расчет компонентов белого шлама</t>
        </is>
      </c>
    </row>
    <row r="13">
      <c r="B13" t="inlineStr">
        <is>
          <t>Al2o3</t>
        </is>
      </c>
      <c r="C13" t="inlineStr">
        <is>
          <t>Na2O</t>
        </is>
      </c>
      <c r="D13" t="inlineStr">
        <is>
          <t>Fe2o3</t>
        </is>
      </c>
      <c r="E13" t="inlineStr">
        <is>
          <t>SiO2</t>
        </is>
      </c>
      <c r="F13" t="inlineStr">
        <is>
          <t>CaO</t>
        </is>
      </c>
      <c r="G13" t="inlineStr">
        <is>
          <t>CO2</t>
        </is>
      </c>
      <c r="H13" t="inlineStr">
        <is>
          <t>ппп</t>
        </is>
      </c>
    </row>
    <row r="14">
      <c r="B14">
        <f>'Исходные данные'!$E$51*'Исходные данные'!A54/100</f>
        <v/>
      </c>
      <c r="C14">
        <f>'Исходные данные'!$E$51*'Исходные данные'!B54/100</f>
        <v/>
      </c>
      <c r="D14">
        <f>'Исходные данные'!$E$51*'Исходные данные'!C54/100</f>
        <v/>
      </c>
      <c r="E14">
        <f>'Исходные данные'!$E$51*'Исходные данные'!D54/100</f>
        <v/>
      </c>
      <c r="F14">
        <f>'Исходные данные'!$E$51*'Исходные данные'!E54/100</f>
        <v/>
      </c>
      <c r="G14">
        <f>'Исходные данные'!$E$51*'Исходные данные'!F54/100</f>
        <v/>
      </c>
      <c r="H14">
        <f>'Исходные данные'!$E$51*'Исходные данные'!G54/100</f>
        <v/>
      </c>
    </row>
    <row r="15">
      <c r="B15" t="inlineStr">
        <is>
          <t>8. Расчет промывной воды поступающий вместе с белым шламом</t>
        </is>
      </c>
      <c r="I15">
        <f>'Исходные данные'!E51*'Исходные данные'!E52/(100-'Исходные данные'!E52)</f>
        <v/>
      </c>
      <c r="J15" t="inlineStr">
        <is>
          <t>кг</t>
        </is>
      </c>
    </row>
    <row r="16">
      <c r="B16" t="inlineStr">
        <is>
          <t>9. Содержание Al2O3 в алюминатном растворе после выщелачивания</t>
        </is>
      </c>
      <c r="I16">
        <f>'Приготовление шихты'!B10+('Приготовление шихты'!B14+'Исходные данные'!J66)-('Исходные данные'!F38+'Исходные данные'!F39+'Исходные данные'!F41+'Исходные данные'!F42)</f>
        <v/>
      </c>
    </row>
    <row r="17">
      <c r="B17" s="6" t="inlineStr">
        <is>
          <t>10. Содержание SiO2  в алюминатном растворе после выщелачивания</t>
        </is>
      </c>
      <c r="I17">
        <f>I16/'Исходные данные'!J61</f>
        <v/>
      </c>
      <c r="K17" s="19" t="inlineStr">
        <is>
          <t>SiO2 который выделится на 1 стадии обескремнивания</t>
        </is>
      </c>
    </row>
    <row r="18">
      <c r="B18" t="inlineStr">
        <is>
          <t>11. Содержание Al2O3 в растворе после первой стадии обескремневония</t>
        </is>
      </c>
      <c r="I18">
        <f>I16-B14</f>
        <v/>
      </c>
    </row>
    <row r="19">
      <c r="B19" t="inlineStr">
        <is>
          <t>12. Содержание SiO2 в растворе после первой стадии обескремневония</t>
        </is>
      </c>
      <c r="I19">
        <f>I18/'Исходные данные'!J62</f>
        <v/>
      </c>
    </row>
    <row r="20">
      <c r="B20" t="n">
        <v>3</v>
      </c>
      <c r="C20" t="inlineStr">
        <is>
          <t>СaO</t>
        </is>
      </c>
      <c r="D20" t="n">
        <v>1</v>
      </c>
      <c r="E20" t="inlineStr">
        <is>
          <t>Al2O3</t>
        </is>
      </c>
      <c r="F20" t="n">
        <v>0.18</v>
      </c>
      <c r="G20" t="inlineStr">
        <is>
          <t>SiO2</t>
        </is>
      </c>
      <c r="H20" t="n">
        <v>5.8</v>
      </c>
      <c r="I20" t="inlineStr">
        <is>
          <t>H2O</t>
        </is>
      </c>
      <c r="J20" t="inlineStr">
        <is>
          <t xml:space="preserve">Трех кальцевый гидрогранат </t>
        </is>
      </c>
      <c r="M20" t="inlineStr">
        <is>
          <t>КГГ</t>
        </is>
      </c>
    </row>
    <row r="21">
      <c r="A21" t="inlineStr">
        <is>
          <t>M</t>
        </is>
      </c>
      <c r="B21" t="n">
        <v>3</v>
      </c>
      <c r="C21" t="n">
        <v>56</v>
      </c>
      <c r="D21" t="n">
        <v>1</v>
      </c>
      <c r="E21" t="n">
        <v>102</v>
      </c>
      <c r="F21" t="n">
        <v>0.18</v>
      </c>
      <c r="G21" t="n">
        <v>60</v>
      </c>
      <c r="H21" t="n">
        <v>5.8</v>
      </c>
      <c r="I21" t="n">
        <v>18</v>
      </c>
    </row>
    <row r="22">
      <c r="A22" t="inlineStr">
        <is>
          <t>m</t>
        </is>
      </c>
      <c r="G22" s="1">
        <f>I19</f>
        <v/>
      </c>
    </row>
    <row r="23">
      <c r="A23" t="inlineStr">
        <is>
          <t>n</t>
        </is>
      </c>
      <c r="B23">
        <f>F23*B21</f>
        <v/>
      </c>
      <c r="C23" s="1">
        <f>B23*C21</f>
        <v/>
      </c>
      <c r="D23">
        <f>F23*D21</f>
        <v/>
      </c>
      <c r="E23" s="1">
        <f>E21*D23</f>
        <v/>
      </c>
      <c r="F23">
        <f>G23/F21</f>
        <v/>
      </c>
      <c r="G23">
        <f>G22/G21</f>
        <v/>
      </c>
      <c r="H23">
        <f>F23*H21</f>
        <v/>
      </c>
      <c r="I23" s="1">
        <f>H23*I21</f>
        <v/>
      </c>
    </row>
    <row r="25">
      <c r="B25" t="inlineStr">
        <is>
          <t>Общая масса шлама выпавщая после обескремнивания</t>
        </is>
      </c>
      <c r="I25">
        <f>C23+E23+G22+I23</f>
        <v/>
      </c>
      <c r="J25" t="inlineStr">
        <is>
          <t>кг</t>
        </is>
      </c>
    </row>
    <row r="26">
      <c r="B26" t="inlineStr">
        <is>
          <t>Регенерация Al2O3 из кальцивого гидрогранаг</t>
        </is>
      </c>
    </row>
    <row r="27">
      <c r="B27" t="inlineStr">
        <is>
          <t>Расчет масс карбонатного шлама после регенерации КГГ</t>
        </is>
      </c>
    </row>
    <row r="28">
      <c r="B28" t="inlineStr">
        <is>
          <t>CaCO3</t>
        </is>
      </c>
      <c r="I28">
        <f>C23/C21*'Исходные данные'!N4</f>
        <v/>
      </c>
      <c r="J28" t="inlineStr">
        <is>
          <t>кг</t>
        </is>
      </c>
      <c r="K28" t="inlineStr">
        <is>
          <t>В нем содержится CO2</t>
        </is>
      </c>
    </row>
    <row r="29">
      <c r="B29" t="inlineStr">
        <is>
          <t>CO2</t>
        </is>
      </c>
      <c r="I29">
        <f>I28-C23</f>
        <v/>
      </c>
      <c r="J29">
        <f>I29/2</f>
        <v/>
      </c>
    </row>
    <row r="30">
      <c r="B30" t="inlineStr">
        <is>
          <t>H2O</t>
        </is>
      </c>
      <c r="I30">
        <f>'Приготовление шихты'!I28*'Исходные данные'!J70/(100-'Исходные данные'!J70)</f>
        <v/>
      </c>
      <c r="J30">
        <f>I30/2</f>
        <v/>
      </c>
    </row>
    <row r="31">
      <c r="B31" t="inlineStr">
        <is>
          <t>CaO</t>
        </is>
      </c>
      <c r="I31">
        <f>C23</f>
        <v/>
      </c>
      <c r="J31">
        <f>I31/2</f>
        <v/>
      </c>
    </row>
    <row r="32">
      <c r="B32" t="inlineStr">
        <is>
          <t>Общая масса карбонатного шлама</t>
        </is>
      </c>
      <c r="I32">
        <f>I28+I30</f>
        <v/>
      </c>
      <c r="J32">
        <f>I32/2</f>
        <v/>
      </c>
    </row>
    <row r="33">
      <c r="B33" t="inlineStr">
        <is>
          <t xml:space="preserve">Рсчет состава шихты на спекание </t>
        </is>
      </c>
    </row>
    <row r="34">
      <c r="B34" t="inlineStr">
        <is>
          <t>Расчет CaOакт в известняке</t>
        </is>
      </c>
      <c r="I34">
        <f>'Исходные данные'!A8</f>
        <v/>
      </c>
    </row>
    <row r="35">
      <c r="B35" t="n">
        <v>2</v>
      </c>
      <c r="C35" t="inlineStr">
        <is>
          <t>CaO</t>
        </is>
      </c>
      <c r="D35" t="n">
        <v>1</v>
      </c>
      <c r="E35" t="inlineStr">
        <is>
          <t>SiO2</t>
        </is>
      </c>
    </row>
    <row r="36">
      <c r="C36">
        <f>E36/'Исходные данные'!N5/'Приготовление шихты'!D35*'Приготовление шихты'!B35*'Исходные данные'!N6</f>
        <v/>
      </c>
      <c r="E36" t="n">
        <v>1.3</v>
      </c>
    </row>
    <row r="37">
      <c r="B37" t="inlineStr">
        <is>
          <t>Расчет оставшегося CaOакт в известняке</t>
        </is>
      </c>
      <c r="I37">
        <f>I34-C36</f>
        <v/>
      </c>
    </row>
    <row r="38">
      <c r="B38" t="inlineStr">
        <is>
          <t>Расчет CaO на получение спека состава</t>
        </is>
      </c>
    </row>
    <row r="39">
      <c r="B39" t="n">
        <v>2</v>
      </c>
      <c r="C39" t="inlineStr">
        <is>
          <t>CaO</t>
        </is>
      </c>
      <c r="D39" t="n">
        <v>1</v>
      </c>
      <c r="E39" t="inlineStr">
        <is>
          <t>SiO2</t>
        </is>
      </c>
    </row>
    <row r="40">
      <c r="C40">
        <f>C41*'Исходные данные'!N6</f>
        <v/>
      </c>
      <c r="E40">
        <f>D10+E14</f>
        <v/>
      </c>
    </row>
    <row r="41">
      <c r="C41">
        <f>E41*B39</f>
        <v/>
      </c>
      <c r="E41">
        <f>E40/'Исходные данные'!N5</f>
        <v/>
      </c>
    </row>
    <row r="42">
      <c r="B42" t="n">
        <v>1</v>
      </c>
      <c r="C42" t="inlineStr">
        <is>
          <t>CaO</t>
        </is>
      </c>
      <c r="D42" t="n">
        <v>1</v>
      </c>
      <c r="E42" t="inlineStr">
        <is>
          <t>TiO2</t>
        </is>
      </c>
    </row>
    <row r="43">
      <c r="C43">
        <f>C44*'Исходные данные'!N6</f>
        <v/>
      </c>
      <c r="E43">
        <f>E10</f>
        <v/>
      </c>
    </row>
    <row r="44">
      <c r="C44">
        <f>E44</f>
        <v/>
      </c>
      <c r="E44">
        <f>E43/'Исходные данные'!N7</f>
        <v/>
      </c>
    </row>
    <row r="46">
      <c r="B46" t="inlineStr">
        <is>
          <t>Общий расход CaO</t>
        </is>
      </c>
      <c r="I46">
        <f>C40+C43</f>
        <v/>
      </c>
      <c r="J46" t="inlineStr">
        <is>
          <t>кг</t>
        </is>
      </c>
    </row>
    <row r="47">
      <c r="B47" t="inlineStr">
        <is>
          <t>Общий приход CaO c бокситом и оборотными продуктами</t>
        </is>
      </c>
      <c r="I47">
        <f>F10+C23/2+F14</f>
        <v/>
      </c>
      <c r="J47" t="inlineStr">
        <is>
          <t>кг</t>
        </is>
      </c>
    </row>
    <row r="48">
      <c r="B48" t="inlineStr">
        <is>
          <t>Кол-во CaO с известняком</t>
        </is>
      </c>
      <c r="I48">
        <f>I46-I47</f>
        <v/>
      </c>
      <c r="J48" t="inlineStr">
        <is>
          <t>кг</t>
        </is>
      </c>
    </row>
    <row r="49">
      <c r="B49" t="inlineStr">
        <is>
          <t>Расход сухого известника</t>
        </is>
      </c>
      <c r="I49">
        <f>'Приготовление шихты'!I48/'Приготовление шихты'!I37*100</f>
        <v/>
      </c>
      <c r="J49" t="inlineStr">
        <is>
          <t>кг</t>
        </is>
      </c>
    </row>
    <row r="50">
      <c r="B50" t="inlineStr">
        <is>
          <t>Влага в известяке</t>
        </is>
      </c>
      <c r="I50">
        <f>I49/(100-'Исходные данные'!E8)*100</f>
        <v/>
      </c>
      <c r="J50" t="inlineStr">
        <is>
          <t>кг</t>
        </is>
      </c>
    </row>
    <row r="52">
      <c r="B52" t="inlineStr">
        <is>
          <t>Состав известняка поступаещего на шихту</t>
        </is>
      </c>
    </row>
    <row r="53">
      <c r="B53" t="inlineStr">
        <is>
          <t>CaO</t>
        </is>
      </c>
      <c r="C53" t="inlineStr">
        <is>
          <t>CO2</t>
        </is>
      </c>
      <c r="D53" t="inlineStr">
        <is>
          <t>SiO2</t>
        </is>
      </c>
      <c r="E53" t="inlineStr">
        <is>
          <t>Прочие</t>
        </is>
      </c>
      <c r="F53" t="inlineStr">
        <is>
          <t>H2O</t>
        </is>
      </c>
    </row>
    <row r="54">
      <c r="B54">
        <f>I50*'Исходные данные'!A8/100</f>
        <v/>
      </c>
      <c r="C54">
        <f>I50*'Исходные данные'!B8/100</f>
        <v/>
      </c>
      <c r="D54">
        <f>I50*'Исходные данные'!C8/100</f>
        <v/>
      </c>
      <c r="E54">
        <f>I50*'Исходные данные'!D8/100</f>
        <v/>
      </c>
      <c r="F54">
        <f>I50-I49</f>
        <v/>
      </c>
    </row>
    <row r="56">
      <c r="B56" t="inlineStr">
        <is>
          <t>Расчет расхода соды</t>
        </is>
      </c>
    </row>
    <row r="57">
      <c r="B57" t="n">
        <v>1</v>
      </c>
      <c r="C57" t="inlineStr">
        <is>
          <t>Na2O</t>
        </is>
      </c>
      <c r="D57" t="n">
        <v>1</v>
      </c>
      <c r="E57" t="inlineStr">
        <is>
          <t>Al2O3</t>
        </is>
      </c>
    </row>
    <row r="58">
      <c r="C58">
        <f>C59*'Исходные данные'!N3</f>
        <v/>
      </c>
      <c r="E58">
        <f>B10+B14+'Исходные данные'!J66+'Исходные данные'!A58</f>
        <v/>
      </c>
    </row>
    <row r="59">
      <c r="C59">
        <f>E59</f>
        <v/>
      </c>
      <c r="E59">
        <f>E58/'Исходные данные'!N8</f>
        <v/>
      </c>
    </row>
    <row r="60">
      <c r="B60" t="n">
        <v>1</v>
      </c>
      <c r="C60" t="inlineStr">
        <is>
          <t>Na2O</t>
        </is>
      </c>
      <c r="D60" t="n">
        <v>1</v>
      </c>
      <c r="E60" t="inlineStr">
        <is>
          <t>Fe2O3</t>
        </is>
      </c>
    </row>
    <row r="61">
      <c r="C61">
        <f>C62*'Исходные данные'!N3</f>
        <v/>
      </c>
      <c r="E61">
        <f>C10+'Приготовление шихты'!D14</f>
        <v/>
      </c>
    </row>
    <row r="62">
      <c r="C62">
        <f>E62</f>
        <v/>
      </c>
      <c r="E62">
        <f>E61/'Исходные данные'!N9</f>
        <v/>
      </c>
    </row>
    <row r="64">
      <c r="B64" t="inlineStr">
        <is>
          <t>Общее масса Na2O</t>
        </is>
      </c>
      <c r="I64">
        <f>C58+C61</f>
        <v/>
      </c>
      <c r="J64" t="inlineStr">
        <is>
          <t>кг</t>
        </is>
      </c>
    </row>
    <row r="65">
      <c r="B65" t="inlineStr">
        <is>
          <t>Кол-во Na2O поступ. С оборот. Продуктами и бокситом</t>
        </is>
      </c>
      <c r="I65">
        <f>C14+('Исходные данные'!B58+'Исходные данные'!C12)</f>
        <v/>
      </c>
      <c r="J65" t="inlineStr">
        <is>
          <t>кг</t>
        </is>
      </c>
    </row>
    <row r="66">
      <c r="I66">
        <f>I64-I65</f>
        <v/>
      </c>
      <c r="J66" t="inlineStr">
        <is>
          <t>кг</t>
        </is>
      </c>
    </row>
    <row r="68">
      <c r="B68" t="inlineStr">
        <is>
          <t>Расчет оборотного раствора</t>
        </is>
      </c>
    </row>
    <row r="69">
      <c r="B69" t="inlineStr">
        <is>
          <t>Na2O кауст</t>
        </is>
      </c>
      <c r="I69">
        <f>('Исходные данные'!J67*'Исходные данные'!N3*'Исходные данные'!J66)/'Исходные данные'!N8</f>
        <v/>
      </c>
      <c r="J69" t="inlineStr">
        <is>
          <t>кг</t>
        </is>
      </c>
    </row>
    <row r="70">
      <c r="I70">
        <f>I66-I69</f>
        <v/>
      </c>
      <c r="J70" t="inlineStr">
        <is>
          <t>кг</t>
        </is>
      </c>
    </row>
    <row r="71">
      <c r="B71" t="inlineStr">
        <is>
          <t>CO2</t>
        </is>
      </c>
      <c r="I71">
        <f>I70/'Исходные данные'!N3*'Исходные данные'!N10</f>
        <v/>
      </c>
      <c r="J71" t="inlineStr">
        <is>
          <t>кг</t>
        </is>
      </c>
    </row>
    <row r="72">
      <c r="I72">
        <f>I70+I71</f>
        <v/>
      </c>
      <c r="J72" t="inlineStr">
        <is>
          <t>кг</t>
        </is>
      </c>
    </row>
    <row r="74">
      <c r="B74" s="19" t="inlineStr">
        <is>
          <t>Расчет обьема оборот раствора</t>
        </is>
      </c>
      <c r="C74" s="19" t="n"/>
      <c r="D74" s="19" t="n"/>
      <c r="E74" s="19" t="n"/>
      <c r="F74" s="19" t="n"/>
      <c r="G74" s="19" t="n"/>
      <c r="H74" s="19" t="n"/>
      <c r="I74" s="19">
        <f>'Приготовление шихты'!I70/'Исходные данные'!J68</f>
        <v/>
      </c>
      <c r="J74" s="19" t="inlineStr">
        <is>
          <t>л</t>
        </is>
      </c>
    </row>
    <row r="75">
      <c r="B75" t="inlineStr">
        <is>
          <t>Масса оборотного раствора</t>
        </is>
      </c>
      <c r="I75">
        <f>I74*'Исходные данные'!J69</f>
        <v/>
      </c>
      <c r="J75" t="inlineStr">
        <is>
          <t>кг</t>
        </is>
      </c>
    </row>
    <row r="76">
      <c r="B76" t="inlineStr">
        <is>
          <t xml:space="preserve">Расчет кол-во H2O в растворе </t>
        </is>
      </c>
      <c r="I76">
        <f>I75-('Исходные данные'!J66+'Приготовление шихты'!I66+'Приготовление шихты'!I71)</f>
        <v/>
      </c>
    </row>
    <row r="77">
      <c r="B77" t="inlineStr">
        <is>
          <t>Расчет влажности шихты</t>
        </is>
      </c>
      <c r="I77" s="20">
        <f>'Приготовление шихты'!I76/Таблицы!N15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I35"/>
  <sheetViews>
    <sheetView workbookViewId="0">
      <selection activeCell="I35" sqref="I35"/>
    </sheetView>
  </sheetViews>
  <sheetFormatPr baseColWidth="8" defaultColWidth="9" defaultRowHeight="14.4"/>
  <sheetData>
    <row r="2">
      <c r="B2" t="inlineStr">
        <is>
          <t>Расчет конц компонентов маточного раствора</t>
        </is>
      </c>
    </row>
    <row r="3">
      <c r="B3" t="inlineStr">
        <is>
          <t>Al2O3</t>
        </is>
      </c>
      <c r="C3">
        <f>'Исходные данные'!J66/'Приготовление шихты'!I74/2</f>
        <v/>
      </c>
      <c r="H3" t="inlineStr">
        <is>
          <t>г/л</t>
        </is>
      </c>
    </row>
    <row r="4">
      <c r="B4" t="inlineStr">
        <is>
          <t>Na2Ok</t>
        </is>
      </c>
      <c r="C4">
        <f>'Исходные данные'!J67*'Выщелачивание спека'!C3/1.645</f>
        <v/>
      </c>
      <c r="H4" t="inlineStr">
        <is>
          <t>г/л</t>
        </is>
      </c>
    </row>
    <row r="6">
      <c r="B6" t="inlineStr">
        <is>
          <t>Na2Oу</t>
        </is>
      </c>
      <c r="C6">
        <f>'Исходные данные'!J68/2</f>
        <v/>
      </c>
      <c r="H6" t="inlineStr">
        <is>
          <t>г/л</t>
        </is>
      </c>
    </row>
    <row r="7">
      <c r="B7" t="inlineStr">
        <is>
          <t>CO2</t>
        </is>
      </c>
      <c r="C7">
        <f>C6/62*44</f>
        <v/>
      </c>
      <c r="H7" t="inlineStr">
        <is>
          <t>г/л</t>
        </is>
      </c>
    </row>
    <row r="9">
      <c r="B9" t="inlineStr">
        <is>
          <t>H2O</t>
        </is>
      </c>
      <c r="C9" s="7">
        <f>'Исходные данные'!J72-('Выщелачивание спека'!C3+'Выщелачивание спека'!C4+'Выщелачивание спека'!C6+'Выщелачивание спека'!C7)</f>
        <v/>
      </c>
    </row>
    <row r="12">
      <c r="B12" t="inlineStr">
        <is>
          <t>Расчет содового раствора на регенерацию кальцивого гидрограната</t>
        </is>
      </c>
    </row>
    <row r="13">
      <c r="B13" t="inlineStr">
        <is>
          <t>Масса шлама</t>
        </is>
      </c>
      <c r="I13">
        <f>'Приготовление шихты'!I25</f>
        <v/>
      </c>
    </row>
    <row r="14">
      <c r="B14" t="inlineStr">
        <is>
          <t>Масса Al2O3 в шламе</t>
        </is>
      </c>
      <c r="I14">
        <f>'Приготовление шихты'!E23</f>
        <v/>
      </c>
    </row>
    <row r="16">
      <c r="B16" t="inlineStr">
        <is>
          <t>Al2O3</t>
        </is>
      </c>
      <c r="C16" t="inlineStr">
        <is>
          <t>Na2Ok</t>
        </is>
      </c>
      <c r="D16" t="inlineStr">
        <is>
          <t>Na2Oу</t>
        </is>
      </c>
      <c r="E16" t="inlineStr">
        <is>
          <t>CO2</t>
        </is>
      </c>
      <c r="F16" t="inlineStr">
        <is>
          <t>H2O</t>
        </is>
      </c>
      <c r="G16" t="inlineStr">
        <is>
          <t>Итого</t>
        </is>
      </c>
    </row>
    <row r="17">
      <c r="B17">
        <f>'Исходные данные'!$J$73*'Выщелачивание спека'!C3</f>
        <v/>
      </c>
      <c r="C17">
        <f>'Исходные данные'!$J$73*C4</f>
        <v/>
      </c>
      <c r="D17">
        <f>'Исходные данные'!$J$73*C6</f>
        <v/>
      </c>
      <c r="E17">
        <f>'Исходные данные'!$J$73*C7</f>
        <v/>
      </c>
      <c r="F17">
        <f>'Исходные данные'!$J$73*C9</f>
        <v/>
      </c>
      <c r="G17">
        <f>SUM(B17:F17)</f>
        <v/>
      </c>
      <c r="H17" t="inlineStr">
        <is>
          <t>кг</t>
        </is>
      </c>
    </row>
    <row r="19">
      <c r="B19" t="inlineStr">
        <is>
          <t>Расчет раствора увлекаемого с шламом КГГ</t>
        </is>
      </c>
      <c r="I19">
        <f>I13*'Исходные данные'!J70/(100-'Исходные данные'!J70)</f>
        <v/>
      </c>
    </row>
    <row r="20">
      <c r="B20" t="inlineStr">
        <is>
          <t xml:space="preserve">Объем раствора увлеченного с КГГ </t>
        </is>
      </c>
      <c r="I20">
        <f>I19/'Исходные данные'!J74</f>
        <v/>
      </c>
    </row>
    <row r="21">
      <c r="B21" t="inlineStr">
        <is>
          <t>Расчет алюминатного раствора после 2 стадии обескремнивания</t>
        </is>
      </c>
    </row>
    <row r="23">
      <c r="B23" t="inlineStr">
        <is>
          <t>Al2O3</t>
        </is>
      </c>
      <c r="C23" t="inlineStr">
        <is>
          <t>Na2Ok</t>
        </is>
      </c>
      <c r="D23" t="inlineStr">
        <is>
          <t>Na2Oобщ</t>
        </is>
      </c>
      <c r="E23" t="inlineStr">
        <is>
          <t>Na2Oу</t>
        </is>
      </c>
      <c r="F23" t="inlineStr">
        <is>
          <t>CO2</t>
        </is>
      </c>
      <c r="G23" t="inlineStr">
        <is>
          <t>H2O</t>
        </is>
      </c>
      <c r="H23" t="inlineStr">
        <is>
          <t>Итого</t>
        </is>
      </c>
    </row>
    <row r="24">
      <c r="B24">
        <f>I20*'Исходные данные'!J77</f>
        <v/>
      </c>
      <c r="C24">
        <f>'Исходные данные'!J75*B24/(102/62)</f>
        <v/>
      </c>
      <c r="D24">
        <f>'Исходные данные'!J76*B24/(102/62)</f>
        <v/>
      </c>
      <c r="E24">
        <f>D24-C24</f>
        <v/>
      </c>
      <c r="F24">
        <f>E24*44/62</f>
        <v/>
      </c>
      <c r="G24">
        <f>I19-(SUM(B24,D24,F24))</f>
        <v/>
      </c>
      <c r="H24">
        <f>I19</f>
        <v/>
      </c>
    </row>
    <row r="26">
      <c r="B26" t="inlineStr">
        <is>
          <t xml:space="preserve">Расчет содощелочной алюминатный раствор, увлеченного с КГГ </t>
        </is>
      </c>
    </row>
    <row r="27">
      <c r="B27" t="inlineStr">
        <is>
          <t>Кол-во раствора увлеченого с карбонатным шламом</t>
        </is>
      </c>
      <c r="I27">
        <f>'Приготовление шихты'!I30</f>
        <v/>
      </c>
    </row>
    <row r="28">
      <c r="B28" t="inlineStr">
        <is>
          <t xml:space="preserve">Общая масса содощелочного алюминатного раствора </t>
        </is>
      </c>
      <c r="I28">
        <f>Таблицы!K38+Таблицы!K45</f>
        <v/>
      </c>
    </row>
    <row r="30">
      <c r="B30" t="inlineStr">
        <is>
          <t>Al2O3</t>
        </is>
      </c>
      <c r="C30" t="inlineStr">
        <is>
          <t>SiO2</t>
        </is>
      </c>
      <c r="D30" t="inlineStr">
        <is>
          <t>CaO</t>
        </is>
      </c>
      <c r="E30" t="inlineStr">
        <is>
          <t>CO2</t>
        </is>
      </c>
      <c r="F30" t="inlineStr">
        <is>
          <t>Na2Oк</t>
        </is>
      </c>
      <c r="G30" t="inlineStr">
        <is>
          <t>Na2Oу</t>
        </is>
      </c>
      <c r="H30" t="inlineStr">
        <is>
          <t>H2O</t>
        </is>
      </c>
    </row>
    <row r="31">
      <c r="B31" s="18">
        <f>Таблицы!D39*I27/I28</f>
        <v/>
      </c>
      <c r="C31" s="18">
        <f>Таблицы!D39*Таблицы!E39/'Выщелачивание спека'!I28</f>
        <v/>
      </c>
      <c r="D31" s="18" t="n">
        <v>0</v>
      </c>
      <c r="E31" s="18">
        <f>G31*44/62</f>
        <v/>
      </c>
      <c r="F31" s="18">
        <f>B31*'Исходные данные'!J78/1.645</f>
        <v/>
      </c>
      <c r="G31" s="18">
        <f>Таблицы!D39*Таблицы!I42/'Выщелачивание спека'!I28</f>
        <v/>
      </c>
      <c r="H31" s="18">
        <f>I27-(SUM(B31:G31))</f>
        <v/>
      </c>
    </row>
    <row r="34">
      <c r="B34" t="inlineStr">
        <is>
          <t>Расчет обйема раствора полученого после выщелачивания</t>
        </is>
      </c>
      <c r="I34">
        <f>Таблицы!D91/'Исходные данные'!J89</f>
        <v/>
      </c>
    </row>
    <row r="35">
      <c r="B35" t="inlineStr">
        <is>
          <t>Масса алюминатного раствора полсе выщелачивания</t>
        </is>
      </c>
      <c r="I35">
        <f>I34*'Исходные данные'!J91</f>
        <v/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14"/>
  <sheetViews>
    <sheetView workbookViewId="0">
      <selection activeCell="J13" sqref="J13"/>
    </sheetView>
  </sheetViews>
  <sheetFormatPr baseColWidth="8" defaultColWidth="9" defaultRowHeight="14.4"/>
  <sheetData>
    <row r="2">
      <c r="B2" t="inlineStr">
        <is>
          <t>Масса а.р. После обескремнивания</t>
        </is>
      </c>
      <c r="I2">
        <f>Таблицы!N91-'Исходные данные'!E51</f>
        <v/>
      </c>
      <c r="J2" t="inlineStr">
        <is>
          <t>кг</t>
        </is>
      </c>
    </row>
    <row r="3">
      <c r="B3" t="inlineStr">
        <is>
          <t>В нем содержится Al2O3</t>
        </is>
      </c>
      <c r="I3">
        <f>Таблицы!D91-'Приготовление шихты'!B14-'Исходные данные'!F43</f>
        <v/>
      </c>
      <c r="J3" t="inlineStr">
        <is>
          <t>кг</t>
        </is>
      </c>
      <c r="K3">
        <f>120/I2</f>
        <v/>
      </c>
    </row>
    <row r="4">
      <c r="B4" t="inlineStr">
        <is>
          <t>Расчет состава АР увлеченного с Белым Шламом</t>
        </is>
      </c>
    </row>
    <row r="5">
      <c r="B5" t="inlineStr">
        <is>
          <t>Al2O3 в АР</t>
        </is>
      </c>
      <c r="I5">
        <f>I3*'Исходные данные'!E51/Обескремнивание!I2</f>
        <v/>
      </c>
      <c r="J5" t="inlineStr">
        <is>
          <t>кг</t>
        </is>
      </c>
    </row>
    <row r="6">
      <c r="B6" t="inlineStr">
        <is>
          <t>SiO2 в АР после 1 стадии обескремнивания</t>
        </is>
      </c>
      <c r="I6">
        <f>Таблицы!F91-'Приготовление шихты'!E14</f>
        <v/>
      </c>
      <c r="J6" t="inlineStr">
        <is>
          <t>кг</t>
        </is>
      </c>
    </row>
    <row r="7">
      <c r="B7" t="inlineStr">
        <is>
          <t>SiO2 в БШ</t>
        </is>
      </c>
      <c r="I7">
        <f>I6*120/I2</f>
        <v/>
      </c>
      <c r="J7" t="inlineStr">
        <is>
          <t>кг</t>
        </is>
      </c>
    </row>
    <row r="8">
      <c r="B8" t="inlineStr">
        <is>
          <t xml:space="preserve">Na2Oу </t>
        </is>
      </c>
      <c r="I8">
        <f>'Приготовление шихты'!G14/44*62</f>
        <v/>
      </c>
      <c r="J8" t="inlineStr">
        <is>
          <t>кг</t>
        </is>
      </c>
    </row>
    <row r="9">
      <c r="B9" t="inlineStr">
        <is>
          <t>Na2Oу в АР квлеченнный со шламом</t>
        </is>
      </c>
      <c r="I9">
        <f>K3*(Таблицы!K91-I8)</f>
        <v/>
      </c>
      <c r="J9" t="inlineStr">
        <is>
          <t>кг</t>
        </is>
      </c>
    </row>
    <row r="10">
      <c r="B10" t="inlineStr">
        <is>
          <t>Na2Oк</t>
        </is>
      </c>
      <c r="I10">
        <f>'Приготовление шихты'!C14-I8</f>
        <v/>
      </c>
      <c r="J10" t="inlineStr">
        <is>
          <t>кг</t>
        </is>
      </c>
    </row>
    <row r="11">
      <c r="B11" t="inlineStr">
        <is>
          <t>Na2Oк в АР квлеченнный со шламом</t>
        </is>
      </c>
      <c r="I11">
        <f>K3*(Таблицы!J91-Обескремнивание!I10)</f>
        <v/>
      </c>
      <c r="J11" t="inlineStr">
        <is>
          <t>кг</t>
        </is>
      </c>
    </row>
    <row r="12">
      <c r="B12" t="inlineStr">
        <is>
          <t>CO2</t>
        </is>
      </c>
      <c r="I12">
        <f>I9/62*44</f>
        <v/>
      </c>
    </row>
    <row r="13">
      <c r="B13" t="inlineStr">
        <is>
          <t>H2O</t>
        </is>
      </c>
      <c r="I13">
        <f>I14-Обескремнивание!I5-Обескремнивание!I7-Обескремнивание!I9-Обескремнивание!I11-I12</f>
        <v/>
      </c>
    </row>
    <row r="14">
      <c r="B14" t="inlineStr">
        <is>
          <t>Исходная масса раствора</t>
        </is>
      </c>
      <c r="I14">
        <f>'Исходные данные'!N52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3:H17"/>
  <sheetViews>
    <sheetView workbookViewId="0">
      <selection activeCell="G8" sqref="G8"/>
    </sheetView>
  </sheetViews>
  <sheetFormatPr baseColWidth="8" defaultColWidth="9" defaultRowHeight="14.4"/>
  <cols>
    <col width="12.88671875" customWidth="1" min="7" max="7"/>
  </cols>
  <sheetData>
    <row r="3">
      <c r="B3" t="inlineStr">
        <is>
          <t>Al2O3 на кальцинацию</t>
        </is>
      </c>
      <c r="G3">
        <f>'Исходные данные'!F30+'Исходные данные'!F46</f>
        <v/>
      </c>
      <c r="H3" t="inlineStr">
        <is>
          <t>кг</t>
        </is>
      </c>
    </row>
    <row r="4">
      <c r="B4" t="inlineStr">
        <is>
          <t>H2O на кальцинацию</t>
        </is>
      </c>
      <c r="G4">
        <f>G3*156/102</f>
        <v/>
      </c>
      <c r="H4" t="inlineStr">
        <is>
          <t>кг</t>
        </is>
      </c>
    </row>
    <row r="5">
      <c r="B5" t="inlineStr">
        <is>
          <t>Al(OH)3 на кальцинацию</t>
        </is>
      </c>
      <c r="G5">
        <f>G4-G3</f>
        <v/>
      </c>
      <c r="H5" t="inlineStr">
        <is>
          <t>кг</t>
        </is>
      </c>
    </row>
    <row r="6">
      <c r="B6" t="inlineStr">
        <is>
          <t xml:space="preserve">Содержание Al2O3 в маточном растворе </t>
        </is>
      </c>
      <c r="G6">
        <f>Таблицы!D136-'Кальцинация и карбонизация'!G3-'Исходные данные'!F44</f>
        <v/>
      </c>
      <c r="H6" t="inlineStr">
        <is>
          <t>кг</t>
        </is>
      </c>
    </row>
    <row r="7">
      <c r="B7" t="inlineStr">
        <is>
          <t xml:space="preserve">Содержание Na2Oк в маточном растворе </t>
        </is>
      </c>
      <c r="G7">
        <f>G6*'Исходные данные'!J94/1.645</f>
        <v/>
      </c>
      <c r="H7" t="inlineStr">
        <is>
          <t>кг</t>
        </is>
      </c>
    </row>
    <row r="8">
      <c r="B8" t="inlineStr">
        <is>
          <t>Содержание CO2 на карбонизацию</t>
        </is>
      </c>
      <c r="G8">
        <f>Таблицы!H136+Таблицы!I136-'Исходные данные'!H44-G7</f>
        <v/>
      </c>
      <c r="H8" t="inlineStr">
        <is>
          <t>кг</t>
        </is>
      </c>
    </row>
    <row r="9">
      <c r="B9" t="inlineStr">
        <is>
          <t xml:space="preserve">Содержание Na2Oу в маточном растворе </t>
        </is>
      </c>
      <c r="G9">
        <f>G8*44/62-Таблицы!G136</f>
        <v/>
      </c>
      <c r="H9" t="inlineStr">
        <is>
          <t>кг</t>
        </is>
      </c>
    </row>
    <row r="10">
      <c r="B10" t="inlineStr">
        <is>
          <t>Масса Al2O3 в качестве затравки</t>
        </is>
      </c>
      <c r="G10">
        <f>Таблицы!D136*'Исходные данные'!J97</f>
        <v/>
      </c>
      <c r="H10" t="inlineStr">
        <is>
          <t>кг</t>
        </is>
      </c>
    </row>
    <row r="11">
      <c r="B11" t="inlineStr">
        <is>
          <t>Масса H2O в качестве затравки</t>
        </is>
      </c>
      <c r="G11">
        <f>G10*54/102</f>
        <v/>
      </c>
      <c r="H11" t="inlineStr">
        <is>
          <t>кг</t>
        </is>
      </c>
    </row>
    <row r="12">
      <c r="B12" t="inlineStr">
        <is>
          <t>Масса затравки в качестве затравки</t>
        </is>
      </c>
      <c r="G12">
        <f>G10+G11</f>
        <v/>
      </c>
      <c r="H12" t="inlineStr">
        <is>
          <t>кг</t>
        </is>
      </c>
    </row>
    <row r="13">
      <c r="B13" t="inlineStr">
        <is>
          <t>Влага с затравкой</t>
        </is>
      </c>
      <c r="G13">
        <f>G12*'Исходные данные'!J99/(100-'Исходные данные'!J99)</f>
        <v/>
      </c>
      <c r="H13" t="inlineStr">
        <is>
          <t>кг</t>
        </is>
      </c>
    </row>
    <row r="14">
      <c r="B14" t="inlineStr">
        <is>
          <t>Масса маточного после выпадения гидрооксида алюминия</t>
        </is>
      </c>
      <c r="G14">
        <f>Таблицы!K136-'Кальцинация и карбонизация'!G4</f>
        <v/>
      </c>
      <c r="H14" t="inlineStr">
        <is>
          <t>кг</t>
        </is>
      </c>
    </row>
    <row r="16">
      <c r="B16" t="inlineStr">
        <is>
          <t>Al2O3</t>
        </is>
      </c>
      <c r="C16" t="inlineStr">
        <is>
          <t>Na2Oк</t>
        </is>
      </c>
      <c r="D16" t="inlineStr">
        <is>
          <t>Na2Oу</t>
        </is>
      </c>
      <c r="E16" t="inlineStr">
        <is>
          <t>CO2</t>
        </is>
      </c>
      <c r="F16" t="inlineStr">
        <is>
          <t>H2O</t>
        </is>
      </c>
    </row>
    <row r="17">
      <c r="B17">
        <f>G13*G6/G14</f>
        <v/>
      </c>
      <c r="C17">
        <f>G7*0.0669</f>
        <v/>
      </c>
      <c r="D17">
        <f>G8*0.0669</f>
        <v/>
      </c>
      <c r="E17">
        <f>D17*44/62</f>
        <v/>
      </c>
      <c r="F17">
        <f>G13-B17-C17-D17-E17</f>
        <v/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O205"/>
  <sheetViews>
    <sheetView tabSelected="1" zoomScale="85" zoomScaleNormal="85" workbookViewId="0">
      <selection activeCell="P14" sqref="P14"/>
    </sheetView>
  </sheetViews>
  <sheetFormatPr baseColWidth="8" defaultColWidth="9" defaultRowHeight="14.4"/>
  <cols>
    <col width="15.109375" customWidth="1" min="4" max="4"/>
    <col width="12.88671875" customWidth="1" min="5" max="14"/>
  </cols>
  <sheetData>
    <row r="3">
      <c r="C3" s="21" t="inlineStr">
        <is>
          <t>Таблица 13</t>
        </is>
      </c>
    </row>
    <row r="4">
      <c r="D4" t="inlineStr">
        <is>
          <t>Al2O3</t>
        </is>
      </c>
      <c r="E4" t="inlineStr">
        <is>
          <t>Fe2O3</t>
        </is>
      </c>
      <c r="F4" t="inlineStr">
        <is>
          <t>SiO2</t>
        </is>
      </c>
      <c r="G4" t="inlineStr">
        <is>
          <t>TiO2</t>
        </is>
      </c>
      <c r="H4" t="inlineStr">
        <is>
          <t>CaO</t>
        </is>
      </c>
      <c r="I4" t="inlineStr">
        <is>
          <t>CO2</t>
        </is>
      </c>
      <c r="J4" t="inlineStr">
        <is>
          <t>Na2Oобщ</t>
        </is>
      </c>
      <c r="K4" t="inlineStr">
        <is>
          <t>Проч</t>
        </is>
      </c>
      <c r="L4" t="inlineStr">
        <is>
          <t>П.п.п</t>
        </is>
      </c>
      <c r="M4" t="inlineStr">
        <is>
          <t>H2O</t>
        </is>
      </c>
      <c r="N4" t="inlineStr">
        <is>
          <t>Итого</t>
        </is>
      </c>
    </row>
    <row r="5">
      <c r="C5" s="21" t="inlineStr">
        <is>
          <t>Введено, кг</t>
        </is>
      </c>
    </row>
    <row r="6">
      <c r="C6" s="8" t="inlineStr">
        <is>
          <t>Боксит</t>
        </is>
      </c>
      <c r="D6">
        <f>'Приготовление шихты'!B10</f>
        <v/>
      </c>
      <c r="E6">
        <f>'Приготовление шихты'!C10</f>
        <v/>
      </c>
      <c r="F6">
        <f>'Приготовление шихты'!D10</f>
        <v/>
      </c>
      <c r="G6">
        <f>'Приготовление шихты'!E10</f>
        <v/>
      </c>
      <c r="H6">
        <f>'Приготовление шихты'!F10</f>
        <v/>
      </c>
      <c r="I6">
        <f>'Приготовление шихты'!G10</f>
        <v/>
      </c>
      <c r="J6" t="n">
        <v>0</v>
      </c>
      <c r="K6">
        <f>'Приготовление шихты'!H10</f>
        <v/>
      </c>
      <c r="L6">
        <f>'Приготовление шихты'!I10</f>
        <v/>
      </c>
      <c r="M6">
        <f>'Приготовление шихты'!J10</f>
        <v/>
      </c>
      <c r="N6">
        <f>SUM(D6:M6)</f>
        <v/>
      </c>
      <c r="O6" s="9">
        <f>'Приготовление шихты'!H7</f>
        <v/>
      </c>
    </row>
    <row r="7">
      <c r="C7" t="inlineStr">
        <is>
          <t>Известняк</t>
        </is>
      </c>
      <c r="D7" t="n">
        <v>0</v>
      </c>
      <c r="E7" t="n">
        <v>0</v>
      </c>
      <c r="F7">
        <f>'Приготовление шихты'!D54</f>
        <v/>
      </c>
      <c r="G7" t="n">
        <v>0</v>
      </c>
      <c r="H7">
        <f>'Приготовление шихты'!B54</f>
        <v/>
      </c>
      <c r="I7">
        <f>'Приготовление шихты'!C54</f>
        <v/>
      </c>
      <c r="J7" t="n">
        <v>0</v>
      </c>
      <c r="K7">
        <f>'Приготовление шихты'!E54</f>
        <v/>
      </c>
      <c r="L7" t="n">
        <v>0</v>
      </c>
      <c r="M7">
        <f>'Приготовление шихты'!F54</f>
        <v/>
      </c>
      <c r="N7">
        <f>SUM(D7:M7)</f>
        <v/>
      </c>
      <c r="O7" s="9" t="n"/>
    </row>
    <row r="8">
      <c r="C8" t="inlineStr">
        <is>
          <t>Белый шлам</t>
        </is>
      </c>
      <c r="D8">
        <f>'Приготовление шихты'!B14</f>
        <v/>
      </c>
      <c r="E8">
        <f>'Приготовление шихты'!D14</f>
        <v/>
      </c>
      <c r="F8">
        <f>'Приготовление шихты'!E14</f>
        <v/>
      </c>
      <c r="G8" t="n">
        <v>0</v>
      </c>
      <c r="H8">
        <f>'Приготовление шихты'!F14</f>
        <v/>
      </c>
      <c r="I8">
        <f>'Приготовление шихты'!G14</f>
        <v/>
      </c>
      <c r="J8">
        <f>'Приготовление шихты'!C14</f>
        <v/>
      </c>
      <c r="K8" t="n">
        <v>0</v>
      </c>
      <c r="L8">
        <f>'Приготовление шихты'!H14</f>
        <v/>
      </c>
      <c r="M8">
        <f>'Приготовление шихты'!I15</f>
        <v/>
      </c>
      <c r="N8">
        <f>SUM(D8:M8)</f>
        <v/>
      </c>
      <c r="O8" s="9" t="n"/>
    </row>
    <row r="9">
      <c r="C9" t="inlineStr">
        <is>
          <t>Карбонатный шлам</t>
        </is>
      </c>
      <c r="D9" t="n">
        <v>0</v>
      </c>
      <c r="E9" t="n">
        <v>0</v>
      </c>
      <c r="F9" t="n">
        <v>0</v>
      </c>
      <c r="G9" t="n">
        <v>0</v>
      </c>
      <c r="H9">
        <f>'Приготовление шихты'!J31</f>
        <v/>
      </c>
      <c r="I9">
        <f>'Приготовление шихты'!J29</f>
        <v/>
      </c>
      <c r="J9" t="n">
        <v>0</v>
      </c>
      <c r="K9" t="n">
        <v>0</v>
      </c>
      <c r="L9" t="n">
        <v>0</v>
      </c>
      <c r="M9">
        <f>'Приготовление шихты'!J30</f>
        <v/>
      </c>
      <c r="N9">
        <f>SUM(D9:M9)</f>
        <v/>
      </c>
      <c r="O9" s="9" t="n"/>
    </row>
    <row r="10">
      <c r="C10" t="inlineStr">
        <is>
          <t>Кальцинированная сода</t>
        </is>
      </c>
      <c r="D10" t="n">
        <v>0</v>
      </c>
      <c r="E10" t="n">
        <v>0</v>
      </c>
      <c r="F10" t="n">
        <v>0</v>
      </c>
      <c r="G10" t="n">
        <v>0</v>
      </c>
      <c r="H10" t="n">
        <v>0</v>
      </c>
      <c r="I10">
        <f>'Исходные данные'!C15</f>
        <v/>
      </c>
      <c r="J10">
        <f>'Исходные данные'!B15</f>
        <v/>
      </c>
      <c r="K10">
        <f>'Исходные данные'!E15</f>
        <v/>
      </c>
      <c r="L10" t="n">
        <v>0</v>
      </c>
      <c r="M10">
        <f>'Исходные данные'!D15</f>
        <v/>
      </c>
      <c r="N10">
        <f>SUM(D10:M10)</f>
        <v/>
      </c>
      <c r="O10" s="9" t="n"/>
    </row>
    <row r="11">
      <c r="C11" t="inlineStr">
        <is>
          <t>Оборотный раствор</t>
        </is>
      </c>
      <c r="D11">
        <f>'Исходные данные'!J66</f>
        <v/>
      </c>
      <c r="E11" t="n">
        <v>0</v>
      </c>
      <c r="F11" t="n">
        <v>0</v>
      </c>
      <c r="G11" t="n">
        <v>0</v>
      </c>
      <c r="H11" t="n">
        <v>0</v>
      </c>
      <c r="I11">
        <f>'Приготовление шихты'!E61</f>
        <v/>
      </c>
      <c r="J11">
        <f>'Приготовление шихты'!I66</f>
        <v/>
      </c>
      <c r="K11" t="n">
        <v>0</v>
      </c>
      <c r="L11" t="n">
        <v>0</v>
      </c>
      <c r="M11">
        <f>'Приготовление шихты'!I76</f>
        <v/>
      </c>
      <c r="N11">
        <f>SUM(D11:M11)</f>
        <v/>
      </c>
      <c r="O11" s="9" t="n"/>
    </row>
    <row r="12">
      <c r="C12" t="inlineStr">
        <is>
          <t>Всего</t>
        </is>
      </c>
      <c r="D12">
        <f>SUM(D6:D11)</f>
        <v/>
      </c>
      <c r="E12">
        <f>SUM(E6:E11)</f>
        <v/>
      </c>
      <c r="F12">
        <f>SUM(F6:F11)</f>
        <v/>
      </c>
      <c r="G12">
        <f>SUM(G6:G11)</f>
        <v/>
      </c>
      <c r="H12">
        <f>SUM(H6:H11)</f>
        <v/>
      </c>
      <c r="I12">
        <f>SUM(I6:I11)</f>
        <v/>
      </c>
      <c r="J12">
        <f>SUM(J6:J11)</f>
        <v/>
      </c>
      <c r="K12">
        <f>SUM(K6:K11)</f>
        <v/>
      </c>
      <c r="L12">
        <f>SUM(L6:L11)</f>
        <v/>
      </c>
      <c r="M12">
        <f>SUM(M6:M11)</f>
        <v/>
      </c>
      <c r="N12">
        <f>SUM(N6:N11)</f>
        <v/>
      </c>
      <c r="O12" s="9" t="n"/>
    </row>
    <row r="13">
      <c r="C13" s="21" t="inlineStr">
        <is>
          <t>Получено, кг</t>
        </is>
      </c>
      <c r="O13" s="9" t="n"/>
    </row>
    <row r="14">
      <c r="C14" t="inlineStr">
        <is>
          <t>Потери</t>
        </is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>
        <f>'Исходные данные'!H37</f>
        <v/>
      </c>
      <c r="K14" t="n">
        <v>0</v>
      </c>
      <c r="L14" t="n">
        <v>0</v>
      </c>
      <c r="M14" t="n">
        <v>0</v>
      </c>
      <c r="N14">
        <f>SUM(D14:M14)</f>
        <v/>
      </c>
      <c r="O14" s="9" t="n"/>
    </row>
    <row r="15">
      <c r="C15" t="inlineStr">
        <is>
          <t>Пульпа</t>
        </is>
      </c>
      <c r="D15">
        <f>SUM(D6:D11)-D14</f>
        <v/>
      </c>
      <c r="E15">
        <f>SUM(E6:E11)-E14</f>
        <v/>
      </c>
      <c r="F15">
        <f>SUM(F6:F11)-F14</f>
        <v/>
      </c>
      <c r="G15">
        <f>SUM(G6:G11)-G14</f>
        <v/>
      </c>
      <c r="H15">
        <f>SUM(H6:H11)-H14</f>
        <v/>
      </c>
      <c r="I15">
        <f>SUM(I6:I11)-I14</f>
        <v/>
      </c>
      <c r="J15">
        <f>SUM(J6:J11)-J14</f>
        <v/>
      </c>
      <c r="K15">
        <f>SUM(K6:K11)-K14</f>
        <v/>
      </c>
      <c r="L15">
        <f>SUM(L6:L11)-L14</f>
        <v/>
      </c>
      <c r="M15">
        <f>SUM(M6:M11)-M14</f>
        <v/>
      </c>
      <c r="N15">
        <f>SUM(N6:N11)-N14</f>
        <v/>
      </c>
    </row>
    <row r="16">
      <c r="C16" t="inlineStr">
        <is>
          <t>Всего</t>
        </is>
      </c>
      <c r="D16">
        <f>SUM(D15:D15)</f>
        <v/>
      </c>
      <c r="E16">
        <f>SUM(E15:E15)</f>
        <v/>
      </c>
      <c r="F16">
        <f>SUM(F15:F15)</f>
        <v/>
      </c>
      <c r="G16">
        <f>SUM(G15:G15)</f>
        <v/>
      </c>
      <c r="H16">
        <f>SUM(H15:H15)</f>
        <v/>
      </c>
      <c r="I16">
        <f>SUM(I15:I15)</f>
        <v/>
      </c>
      <c r="J16">
        <f>SUM(J15:J15)</f>
        <v/>
      </c>
      <c r="K16">
        <f>SUM(K15:K15)</f>
        <v/>
      </c>
      <c r="L16">
        <f>SUM(L15:L15)</f>
        <v/>
      </c>
      <c r="M16">
        <f>SUM(M15:M15)</f>
        <v/>
      </c>
      <c r="N16">
        <f>SUM(N14:N15)</f>
        <v/>
      </c>
    </row>
    <row r="19">
      <c r="C19" s="21" t="inlineStr">
        <is>
          <t>Таблица 14</t>
        </is>
      </c>
    </row>
    <row r="20">
      <c r="D20" t="inlineStr">
        <is>
          <t>Al2O3</t>
        </is>
      </c>
      <c r="E20" t="inlineStr">
        <is>
          <t>Fe2O3</t>
        </is>
      </c>
      <c r="F20" t="inlineStr">
        <is>
          <t>SiO2</t>
        </is>
      </c>
      <c r="G20" t="inlineStr">
        <is>
          <t>TiO2</t>
        </is>
      </c>
      <c r="H20" t="inlineStr">
        <is>
          <t>CaO</t>
        </is>
      </c>
      <c r="I20" t="inlineStr">
        <is>
          <t>CO2</t>
        </is>
      </c>
      <c r="J20" t="inlineStr">
        <is>
          <t>Na2Oобщ</t>
        </is>
      </c>
      <c r="K20" t="inlineStr">
        <is>
          <t>Проч</t>
        </is>
      </c>
      <c r="L20" t="inlineStr">
        <is>
          <t>П.п.п</t>
        </is>
      </c>
      <c r="M20" t="inlineStr">
        <is>
          <t>H2O</t>
        </is>
      </c>
      <c r="N20" t="inlineStr">
        <is>
          <t>Итого</t>
        </is>
      </c>
    </row>
    <row r="21">
      <c r="C21" t="inlineStr">
        <is>
          <t>Введено, кг</t>
        </is>
      </c>
    </row>
    <row r="22">
      <c r="C22" t="inlineStr">
        <is>
          <t>Пульпа</t>
        </is>
      </c>
      <c r="D22">
        <f>D15</f>
        <v/>
      </c>
      <c r="E22">
        <f>E15</f>
        <v/>
      </c>
      <c r="F22">
        <f>F15</f>
        <v/>
      </c>
      <c r="G22">
        <f>G15</f>
        <v/>
      </c>
      <c r="H22">
        <f>H15</f>
        <v/>
      </c>
      <c r="I22">
        <f>I15</f>
        <v/>
      </c>
      <c r="J22">
        <f>J15</f>
        <v/>
      </c>
      <c r="K22">
        <f>K15</f>
        <v/>
      </c>
      <c r="L22">
        <f>L15</f>
        <v/>
      </c>
      <c r="M22">
        <f>M15</f>
        <v/>
      </c>
      <c r="N22">
        <f>N15</f>
        <v/>
      </c>
    </row>
    <row r="23">
      <c r="C23" t="inlineStr">
        <is>
          <t>Всего</t>
        </is>
      </c>
      <c r="D23">
        <f>SUM(D22)</f>
        <v/>
      </c>
      <c r="E23">
        <f>SUM(E22)</f>
        <v/>
      </c>
      <c r="F23">
        <f>SUM(F22)</f>
        <v/>
      </c>
      <c r="G23">
        <f>SUM(G22)</f>
        <v/>
      </c>
      <c r="H23">
        <f>SUM(H22)</f>
        <v/>
      </c>
      <c r="I23">
        <f>SUM(I22)</f>
        <v/>
      </c>
      <c r="J23">
        <f>SUM(J22)</f>
        <v/>
      </c>
      <c r="K23">
        <f>SUM(K22)</f>
        <v/>
      </c>
      <c r="L23">
        <f>SUM(L22)</f>
        <v/>
      </c>
      <c r="M23">
        <f>SUM(M22)</f>
        <v/>
      </c>
      <c r="N23">
        <f>SUM(N22)</f>
        <v/>
      </c>
    </row>
    <row r="24">
      <c r="C24" t="inlineStr">
        <is>
          <t>Получено, кг</t>
        </is>
      </c>
    </row>
    <row r="25">
      <c r="C25" t="inlineStr">
        <is>
          <t>Дробленный спек</t>
        </is>
      </c>
      <c r="D25">
        <f>D29-(SUM(D26:D28))</f>
        <v/>
      </c>
      <c r="E25">
        <f>E29-(SUM(E26:E28))</f>
        <v/>
      </c>
      <c r="F25">
        <f>F29-(SUM(F26:F28))</f>
        <v/>
      </c>
      <c r="G25">
        <f>G29-(SUM(G26:G28))</f>
        <v/>
      </c>
      <c r="H25">
        <f>H29-(SUM(H26:H28))</f>
        <v/>
      </c>
      <c r="I25">
        <f>I29-(SUM(I27:I28))</f>
        <v/>
      </c>
      <c r="J25">
        <f>J29-(SUM(J26:J28))</f>
        <v/>
      </c>
      <c r="K25">
        <f>K29-(SUM(K26:K28))</f>
        <v/>
      </c>
      <c r="L25">
        <f>L29-(SUM(L27:L28))</f>
        <v/>
      </c>
      <c r="M25">
        <f>M29-(SUM(M27:M28))</f>
        <v/>
      </c>
      <c r="N25">
        <f>SUM(D25:M25)</f>
        <v/>
      </c>
    </row>
    <row r="26">
      <c r="C26" t="inlineStr">
        <is>
          <t>Газы</t>
        </is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>
        <f>SUM(D26:M26)</f>
        <v/>
      </c>
    </row>
    <row r="27">
      <c r="C27" t="inlineStr">
        <is>
          <t>Потери при спекании</t>
        </is>
      </c>
      <c r="D27">
        <f>('Исходные данные'!F36)</f>
        <v/>
      </c>
      <c r="E27">
        <f>($D$27/$D$22)*E22</f>
        <v/>
      </c>
      <c r="F27">
        <f>($D$27/$D$22)*F22</f>
        <v/>
      </c>
      <c r="G27">
        <f>($D$27/$D$22)*G22</f>
        <v/>
      </c>
      <c r="H27">
        <f>($D$27/$D$22)*H22</f>
        <v/>
      </c>
      <c r="I27">
        <f>I22</f>
        <v/>
      </c>
      <c r="J27">
        <f>'Исходные данные'!H38</f>
        <v/>
      </c>
      <c r="K27">
        <f>($D$27/$D$22)*K22</f>
        <v/>
      </c>
      <c r="L27">
        <f>L23</f>
        <v/>
      </c>
      <c r="M27">
        <f>M23</f>
        <v/>
      </c>
      <c r="N27">
        <f>SUM(D27:M27)</f>
        <v/>
      </c>
    </row>
    <row r="28">
      <c r="C28" t="inlineStr">
        <is>
          <t xml:space="preserve">Потери при дроблении </t>
        </is>
      </c>
      <c r="D28">
        <f>'Исходные данные'!F39</f>
        <v/>
      </c>
      <c r="E28">
        <f>($D$28/$D$22)*E22</f>
        <v/>
      </c>
      <c r="F28">
        <f>($D$28/$D$22)*F22</f>
        <v/>
      </c>
      <c r="G28">
        <f>($D$28/$D$22)*G22</f>
        <v/>
      </c>
      <c r="H28">
        <f>($D$28/$D$22)*H22</f>
        <v/>
      </c>
      <c r="I28" t="n">
        <v>0</v>
      </c>
      <c r="J28">
        <f>'Исходные данные'!H39</f>
        <v/>
      </c>
      <c r="K28">
        <f>($D$28/$D$22)*K22</f>
        <v/>
      </c>
      <c r="L28" t="n">
        <v>0</v>
      </c>
      <c r="M28" t="n">
        <v>0</v>
      </c>
      <c r="N28">
        <f>SUM(D28:M28)</f>
        <v/>
      </c>
    </row>
    <row r="29">
      <c r="C29" t="inlineStr">
        <is>
          <t>Всего</t>
        </is>
      </c>
      <c r="D29">
        <f>D23</f>
        <v/>
      </c>
      <c r="E29">
        <f>E23</f>
        <v/>
      </c>
      <c r="F29">
        <f>F23</f>
        <v/>
      </c>
      <c r="G29">
        <f>G23</f>
        <v/>
      </c>
      <c r="H29">
        <f>H23</f>
        <v/>
      </c>
      <c r="I29">
        <f>I23</f>
        <v/>
      </c>
      <c r="J29">
        <f>J23</f>
        <v/>
      </c>
      <c r="K29">
        <f>K23</f>
        <v/>
      </c>
      <c r="L29">
        <f>L23</f>
        <v/>
      </c>
      <c r="M29">
        <f>M23</f>
        <v/>
      </c>
      <c r="N29">
        <f>N23</f>
        <v/>
      </c>
    </row>
    <row r="33">
      <c r="C33" s="21" t="inlineStr">
        <is>
          <t>Таблица 15</t>
        </is>
      </c>
    </row>
    <row r="34">
      <c r="D34" t="inlineStr">
        <is>
          <t>Al2O3</t>
        </is>
      </c>
      <c r="E34" t="inlineStr">
        <is>
          <t>SiO2</t>
        </is>
      </c>
      <c r="F34" t="inlineStr">
        <is>
          <t>CaO</t>
        </is>
      </c>
      <c r="G34" t="inlineStr">
        <is>
          <t>CO2</t>
        </is>
      </c>
      <c r="H34" t="inlineStr">
        <is>
          <t>Na2Oк</t>
        </is>
      </c>
      <c r="I34" t="inlineStr">
        <is>
          <t>Na2Oу</t>
        </is>
      </c>
      <c r="J34" t="inlineStr">
        <is>
          <t>H2O</t>
        </is>
      </c>
      <c r="K34" t="inlineStr">
        <is>
          <t>Итого</t>
        </is>
      </c>
    </row>
    <row r="35">
      <c r="C35" t="inlineStr">
        <is>
          <t>Введено</t>
        </is>
      </c>
    </row>
    <row r="36">
      <c r="C36" t="inlineStr">
        <is>
          <t>Шлам после 2 стадии</t>
        </is>
      </c>
      <c r="D36">
        <f>'Приготовление шихты'!E23</f>
        <v/>
      </c>
      <c r="E36">
        <f>'Приготовление шихты'!G22</f>
        <v/>
      </c>
      <c r="F36">
        <f>'Приготовление шихты'!C23</f>
        <v/>
      </c>
      <c r="G36" t="n">
        <v>0</v>
      </c>
      <c r="H36" t="n">
        <v>0</v>
      </c>
      <c r="I36" t="n">
        <v>0</v>
      </c>
      <c r="J36">
        <f>'Приготовление шихты'!I23</f>
        <v/>
      </c>
      <c r="K36">
        <f>SUM(D36:J36)</f>
        <v/>
      </c>
    </row>
    <row r="37">
      <c r="C37" t="inlineStr">
        <is>
          <t>А. р., увлеч. Шламом</t>
        </is>
      </c>
      <c r="D37">
        <f>'Выщелачивание спека'!B24</f>
        <v/>
      </c>
      <c r="E37" t="n">
        <v>0</v>
      </c>
      <c r="F37" t="n">
        <v>0</v>
      </c>
      <c r="G37">
        <f>'Выщелачивание спека'!F24</f>
        <v/>
      </c>
      <c r="H37">
        <f>'Выщелачивание спека'!C24</f>
        <v/>
      </c>
      <c r="I37">
        <f>'Выщелачивание спека'!E24</f>
        <v/>
      </c>
      <c r="J37">
        <f>'Выщелачивание спека'!G24</f>
        <v/>
      </c>
      <c r="K37">
        <f>SUM(D37:J37)</f>
        <v/>
      </c>
    </row>
    <row r="38">
      <c r="C38" t="inlineStr">
        <is>
          <t xml:space="preserve">Содовый раствор </t>
        </is>
      </c>
      <c r="D38">
        <f>'Выщелачивание спека'!B17</f>
        <v/>
      </c>
      <c r="E38" t="n">
        <v>0</v>
      </c>
      <c r="F38" t="n">
        <v>0</v>
      </c>
      <c r="G38">
        <f>'Выщелачивание спека'!E17</f>
        <v/>
      </c>
      <c r="H38">
        <f>'Выщелачивание спека'!C17</f>
        <v/>
      </c>
      <c r="I38">
        <f>'Выщелачивание спека'!D17</f>
        <v/>
      </c>
      <c r="J38">
        <f>'Выщелачивание спека'!F17</f>
        <v/>
      </c>
      <c r="K38">
        <f>SUM(D38:J38)</f>
        <v/>
      </c>
    </row>
    <row r="39">
      <c r="C39" t="inlineStr">
        <is>
          <t>Всего</t>
        </is>
      </c>
      <c r="D39">
        <f>SUM(D36:D38)</f>
        <v/>
      </c>
      <c r="E39">
        <f>SUM(E36:E38)</f>
        <v/>
      </c>
      <c r="F39">
        <f>SUM(F36:F38)</f>
        <v/>
      </c>
      <c r="G39">
        <f>SUM(G36:G38)</f>
        <v/>
      </c>
      <c r="H39">
        <f>SUM(H36:H38)</f>
        <v/>
      </c>
      <c r="I39">
        <f>SUM(I36:I38)</f>
        <v/>
      </c>
      <c r="J39">
        <f>SUM(J36:J38)</f>
        <v/>
      </c>
      <c r="K39">
        <f>SUM(K36:K38)</f>
        <v/>
      </c>
    </row>
    <row r="40">
      <c r="C40" t="inlineStr">
        <is>
          <t>Получено</t>
        </is>
      </c>
    </row>
    <row r="41">
      <c r="C41" t="inlineStr">
        <is>
          <t>Карбонатный</t>
        </is>
      </c>
      <c r="D41" t="n">
        <v>0</v>
      </c>
      <c r="E41" t="n">
        <v>0</v>
      </c>
      <c r="F41">
        <f>F36</f>
        <v/>
      </c>
      <c r="G41">
        <f>'Приготовление шихты'!I29</f>
        <v/>
      </c>
      <c r="H41" t="n">
        <v>0</v>
      </c>
      <c r="I41" t="n">
        <v>0</v>
      </c>
      <c r="J41" t="n">
        <v>0</v>
      </c>
      <c r="K41">
        <f>SUM(D41:J41)</f>
        <v/>
      </c>
    </row>
    <row r="42">
      <c r="C42" t="inlineStr">
        <is>
          <t xml:space="preserve">Содощелочной алюминатный раствор </t>
        </is>
      </c>
      <c r="D42">
        <f>D39</f>
        <v/>
      </c>
      <c r="E42">
        <f>E39</f>
        <v/>
      </c>
      <c r="F42" t="n">
        <v>0</v>
      </c>
      <c r="G42">
        <f>I42/62*44</f>
        <v/>
      </c>
      <c r="H42">
        <f>D39*'Исходные данные'!J78/1.645</f>
        <v/>
      </c>
      <c r="I42">
        <f>(H39+I39)-H42</f>
        <v/>
      </c>
      <c r="J42">
        <f>J39</f>
        <v/>
      </c>
      <c r="K42">
        <f>SUM(D42:J42)</f>
        <v/>
      </c>
    </row>
    <row r="43">
      <c r="C43" t="inlineStr">
        <is>
          <t>Потери</t>
        </is>
      </c>
      <c r="D43" t="n">
        <v>0</v>
      </c>
      <c r="E43" t="n">
        <v>0</v>
      </c>
      <c r="F43" t="n">
        <v>0</v>
      </c>
      <c r="G43">
        <f>G39-G42-G41</f>
        <v/>
      </c>
      <c r="H43" t="n">
        <v>0</v>
      </c>
      <c r="I43" t="n">
        <v>0</v>
      </c>
      <c r="J43" t="n">
        <v>0</v>
      </c>
      <c r="K43">
        <f>SUM(D43:J43)</f>
        <v/>
      </c>
    </row>
    <row r="44">
      <c r="C44" t="inlineStr">
        <is>
          <t>Всего</t>
        </is>
      </c>
      <c r="D44">
        <f>SUM(D41:D43)</f>
        <v/>
      </c>
      <c r="E44">
        <f>SUM(E41:E43)</f>
        <v/>
      </c>
      <c r="F44">
        <f>SUM(F41:F43)</f>
        <v/>
      </c>
      <c r="G44">
        <f>SUM(G41:G43)</f>
        <v/>
      </c>
      <c r="H44">
        <f>SUM(H41:H43)</f>
        <v/>
      </c>
      <c r="I44">
        <f>SUM(I41:I43)</f>
        <v/>
      </c>
      <c r="J44">
        <f>SUM(J41:J43)</f>
        <v/>
      </c>
      <c r="K44">
        <f>SUM(K41:K43)</f>
        <v/>
      </c>
    </row>
    <row r="45">
      <c r="C45" t="inlineStr">
        <is>
          <t>Кондесат</t>
        </is>
      </c>
      <c r="K45" t="n">
        <v>50</v>
      </c>
    </row>
    <row r="46">
      <c r="C46" t="inlineStr">
        <is>
          <t>Всего</t>
        </is>
      </c>
      <c r="K46">
        <f>K44+K45</f>
        <v/>
      </c>
    </row>
    <row r="49">
      <c r="C49" s="21" t="inlineStr">
        <is>
          <t>Таблица 16</t>
        </is>
      </c>
    </row>
    <row r="50">
      <c r="D50" t="inlineStr">
        <is>
          <t>Al2O3</t>
        </is>
      </c>
      <c r="E50" t="inlineStr">
        <is>
          <t>SiO2</t>
        </is>
      </c>
      <c r="F50" t="inlineStr">
        <is>
          <t>CaO</t>
        </is>
      </c>
      <c r="G50" t="inlineStr">
        <is>
          <t>CO2</t>
        </is>
      </c>
      <c r="H50" t="inlineStr">
        <is>
          <t>Na2Oк</t>
        </is>
      </c>
      <c r="I50" t="inlineStr">
        <is>
          <t>Na2Oу</t>
        </is>
      </c>
      <c r="J50" t="inlineStr">
        <is>
          <t>H2O</t>
        </is>
      </c>
      <c r="K50" t="inlineStr">
        <is>
          <t>Итого</t>
        </is>
      </c>
    </row>
    <row r="51">
      <c r="C51" t="inlineStr">
        <is>
          <t>Введено</t>
        </is>
      </c>
    </row>
    <row r="52">
      <c r="C52" t="inlineStr">
        <is>
          <t>Карбонатный шлам</t>
        </is>
      </c>
      <c r="D52">
        <f>D41</f>
        <v/>
      </c>
      <c r="E52">
        <f>E41</f>
        <v/>
      </c>
      <c r="F52">
        <f>F41</f>
        <v/>
      </c>
      <c r="G52">
        <f>G41</f>
        <v/>
      </c>
      <c r="H52">
        <f>H41</f>
        <v/>
      </c>
      <c r="I52">
        <f>I41</f>
        <v/>
      </c>
      <c r="J52">
        <f>J41</f>
        <v/>
      </c>
      <c r="K52">
        <f>SUM(D52:J52)</f>
        <v/>
      </c>
    </row>
    <row r="53">
      <c r="C53" t="inlineStr">
        <is>
          <t>Содощелочной алюминатный раствор, увлеченый со шламом</t>
        </is>
      </c>
      <c r="D53">
        <f>'Выщелачивание спека'!B31</f>
        <v/>
      </c>
      <c r="E53">
        <f>'Выщелачивание спека'!C31</f>
        <v/>
      </c>
      <c r="F53">
        <f>'Выщелачивание спека'!D31</f>
        <v/>
      </c>
      <c r="G53">
        <f>'Выщелачивание спека'!E31</f>
        <v/>
      </c>
      <c r="H53">
        <f>'Выщелачивание спека'!F31</f>
        <v/>
      </c>
      <c r="I53">
        <f>'Выщелачивание спека'!G31</f>
        <v/>
      </c>
      <c r="J53">
        <f>'Выщелачивание спека'!H31</f>
        <v/>
      </c>
      <c r="K53">
        <f>SUM(D53:J53)</f>
        <v/>
      </c>
    </row>
    <row r="54">
      <c r="C54" t="inlineStr">
        <is>
          <t>Вода на промывку</t>
        </is>
      </c>
      <c r="D54" t="n">
        <v>0</v>
      </c>
      <c r="E54" t="n">
        <v>0</v>
      </c>
      <c r="F54" t="n">
        <v>0</v>
      </c>
      <c r="G54" t="n">
        <v>0</v>
      </c>
      <c r="H54" t="n">
        <v>0</v>
      </c>
      <c r="I54" t="n">
        <v>0</v>
      </c>
      <c r="J54">
        <f>'Исходные данные'!L83</f>
        <v/>
      </c>
      <c r="K54">
        <f>SUM(D54:J54)</f>
        <v/>
      </c>
    </row>
    <row r="55">
      <c r="C55" t="inlineStr">
        <is>
          <t>Всего</t>
        </is>
      </c>
      <c r="D55">
        <f>SUM(D52:D54)</f>
        <v/>
      </c>
      <c r="E55">
        <f>SUM(E52:E54)</f>
        <v/>
      </c>
      <c r="F55">
        <f>SUM(F52:F54)</f>
        <v/>
      </c>
      <c r="G55">
        <f>SUM(G52:G54)</f>
        <v/>
      </c>
      <c r="H55">
        <f>SUM(H52:H54)</f>
        <v/>
      </c>
      <c r="I55">
        <f>SUM(I52:I54)</f>
        <v/>
      </c>
      <c r="J55">
        <f>SUM(J52:J54)</f>
        <v/>
      </c>
      <c r="K55">
        <f>SUM(D55:J55)</f>
        <v/>
      </c>
    </row>
    <row r="56">
      <c r="C56" t="inlineStr">
        <is>
          <t>Получено</t>
        </is>
      </c>
    </row>
    <row r="57">
      <c r="C57" t="inlineStr">
        <is>
          <t>Карбонатный шлам на 2 стадию</t>
        </is>
      </c>
      <c r="D57">
        <f>D52</f>
        <v/>
      </c>
      <c r="E57">
        <f>E52</f>
        <v/>
      </c>
      <c r="F57">
        <f>F52/2</f>
        <v/>
      </c>
      <c r="G57">
        <f>G52/2</f>
        <v/>
      </c>
      <c r="H57">
        <f>H52</f>
        <v/>
      </c>
      <c r="I57">
        <f>I52</f>
        <v/>
      </c>
      <c r="J57">
        <f>J52</f>
        <v/>
      </c>
      <c r="K57">
        <f>SUM(D57:J57)</f>
        <v/>
      </c>
    </row>
    <row r="58">
      <c r="C58" t="inlineStr">
        <is>
          <t>Карбонатный шлам на приготовление шихты</t>
        </is>
      </c>
      <c r="D58" t="n">
        <v>0</v>
      </c>
      <c r="E58" t="n">
        <v>0</v>
      </c>
      <c r="F58">
        <f>F52/2</f>
        <v/>
      </c>
      <c r="G58">
        <f>G52/2</f>
        <v/>
      </c>
      <c r="H58" t="n">
        <v>0</v>
      </c>
      <c r="I58" t="n">
        <v>0</v>
      </c>
      <c r="J58" t="n">
        <v>0</v>
      </c>
      <c r="K58">
        <f>SUM(D58:J58)</f>
        <v/>
      </c>
    </row>
    <row r="59">
      <c r="C59" t="inlineStr">
        <is>
          <t>Содощелочной алюминатный раствор, увлеченый со шламом1</t>
        </is>
      </c>
      <c r="D59">
        <f>D53/2</f>
        <v/>
      </c>
      <c r="E59">
        <f>E53/2</f>
        <v/>
      </c>
      <c r="F59">
        <f>F53/2</f>
        <v/>
      </c>
      <c r="G59">
        <f>G53/2</f>
        <v/>
      </c>
      <c r="H59">
        <f>H53/2</f>
        <v/>
      </c>
      <c r="I59">
        <f>I53/2</f>
        <v/>
      </c>
      <c r="J59">
        <f>J53/2</f>
        <v/>
      </c>
      <c r="K59">
        <f>SUM(D59:J59)</f>
        <v/>
      </c>
    </row>
    <row r="60">
      <c r="C60" t="inlineStr">
        <is>
          <t>Промвода на регенерацию</t>
        </is>
      </c>
      <c r="D60">
        <f>D53/2</f>
        <v/>
      </c>
      <c r="E60">
        <f>E53/2</f>
        <v/>
      </c>
      <c r="F60">
        <f>F53/2</f>
        <v/>
      </c>
      <c r="G60">
        <f>G53/2</f>
        <v/>
      </c>
      <c r="H60">
        <f>H53/2</f>
        <v/>
      </c>
      <c r="I60">
        <f>I53/2</f>
        <v/>
      </c>
      <c r="J60">
        <f>J53/2+J54</f>
        <v/>
      </c>
      <c r="K60">
        <f>SUM(D60:J60)</f>
        <v/>
      </c>
    </row>
    <row r="61">
      <c r="C61" t="inlineStr">
        <is>
          <t>Всего</t>
        </is>
      </c>
      <c r="D61">
        <f>SUM(D57:D60)</f>
        <v/>
      </c>
      <c r="E61">
        <f>SUM(E57:E60)</f>
        <v/>
      </c>
      <c r="F61">
        <f>SUM(F57:F60)</f>
        <v/>
      </c>
      <c r="G61">
        <f>SUM(G57:G60)</f>
        <v/>
      </c>
      <c r="H61">
        <f>SUM(H57:H60)</f>
        <v/>
      </c>
      <c r="I61">
        <f>SUM(I57:I60)</f>
        <v/>
      </c>
      <c r="J61">
        <f>SUM(J57:J60)</f>
        <v/>
      </c>
      <c r="K61">
        <f>SUM(D61:J61)</f>
        <v/>
      </c>
    </row>
    <row r="64">
      <c r="C64" s="21" t="inlineStr">
        <is>
          <t>Таблица 17</t>
        </is>
      </c>
    </row>
    <row r="65">
      <c r="D65" t="inlineStr">
        <is>
          <t>Al2O3</t>
        </is>
      </c>
      <c r="E65" t="inlineStr">
        <is>
          <t>SiO2</t>
        </is>
      </c>
      <c r="F65" t="inlineStr">
        <is>
          <t>CaO</t>
        </is>
      </c>
      <c r="G65" t="inlineStr">
        <is>
          <t>CO2</t>
        </is>
      </c>
      <c r="H65" t="inlineStr">
        <is>
          <t>Na2Oк</t>
        </is>
      </c>
      <c r="I65" t="inlineStr">
        <is>
          <t>Na2Oу</t>
        </is>
      </c>
      <c r="J65" t="inlineStr">
        <is>
          <t>H2O</t>
        </is>
      </c>
      <c r="K65" t="inlineStr">
        <is>
          <t>Итого</t>
        </is>
      </c>
    </row>
    <row r="66">
      <c r="C66" t="inlineStr">
        <is>
          <t>Введено</t>
        </is>
      </c>
    </row>
    <row r="67">
      <c r="C67" t="inlineStr">
        <is>
          <t>Шлам после 2 стадии</t>
        </is>
      </c>
      <c r="D67">
        <f>D36</f>
        <v/>
      </c>
      <c r="E67">
        <f>E36</f>
        <v/>
      </c>
      <c r="F67">
        <f>F36</f>
        <v/>
      </c>
      <c r="G67">
        <f>G36</f>
        <v/>
      </c>
      <c r="H67">
        <f>H36</f>
        <v/>
      </c>
      <c r="I67">
        <f>I36</f>
        <v/>
      </c>
      <c r="J67">
        <f>J36</f>
        <v/>
      </c>
      <c r="K67">
        <f>SUM(D67:J67)</f>
        <v/>
      </c>
    </row>
    <row r="68">
      <c r="C68" t="inlineStr">
        <is>
          <t>Алюминатный раствор</t>
        </is>
      </c>
      <c r="D68">
        <f>D37</f>
        <v/>
      </c>
      <c r="E68">
        <f>E37</f>
        <v/>
      </c>
      <c r="F68">
        <f>F37</f>
        <v/>
      </c>
      <c r="G68">
        <f>G37</f>
        <v/>
      </c>
      <c r="H68">
        <f>H37</f>
        <v/>
      </c>
      <c r="I68">
        <f>I37</f>
        <v/>
      </c>
      <c r="J68">
        <f>J37</f>
        <v/>
      </c>
      <c r="K68">
        <f>SUM(D68:J68)</f>
        <v/>
      </c>
    </row>
    <row r="69">
      <c r="C69" s="1" t="inlineStr">
        <is>
          <t>Содовый раствор</t>
        </is>
      </c>
      <c r="D69">
        <f>D38</f>
        <v/>
      </c>
      <c r="E69">
        <f>E38</f>
        <v/>
      </c>
      <c r="F69">
        <f>F38</f>
        <v/>
      </c>
      <c r="G69">
        <f>G38</f>
        <v/>
      </c>
      <c r="H69">
        <f>H38</f>
        <v/>
      </c>
      <c r="I69">
        <f>I38</f>
        <v/>
      </c>
      <c r="J69">
        <f>J38</f>
        <v/>
      </c>
      <c r="K69">
        <f>SUM(D69:J69)</f>
        <v/>
      </c>
    </row>
    <row r="70">
      <c r="C70" t="inlineStr">
        <is>
          <t>Промврда на промывку</t>
        </is>
      </c>
      <c r="D70">
        <f>D60</f>
        <v/>
      </c>
      <c r="E70">
        <f>E60</f>
        <v/>
      </c>
      <c r="F70">
        <f>F60</f>
        <v/>
      </c>
      <c r="G70">
        <f>G60</f>
        <v/>
      </c>
      <c r="H70">
        <f>H60</f>
        <v/>
      </c>
      <c r="I70">
        <f>I60</f>
        <v/>
      </c>
      <c r="J70">
        <f>J60</f>
        <v/>
      </c>
      <c r="K70">
        <f>SUM(D70:J70)</f>
        <v/>
      </c>
      <c r="M70" t="inlineStr">
        <is>
          <t>Na2O</t>
        </is>
      </c>
    </row>
    <row r="71">
      <c r="C71" t="inlineStr">
        <is>
          <t>Всего</t>
        </is>
      </c>
      <c r="D71">
        <f>SUM(D67:D70)</f>
        <v/>
      </c>
      <c r="E71">
        <f>SUM(E67:E70)</f>
        <v/>
      </c>
      <c r="F71">
        <f>SUM(F67:F70)</f>
        <v/>
      </c>
      <c r="G71">
        <f>SUM(G67:G70)</f>
        <v/>
      </c>
      <c r="H71">
        <f>SUM(H67:H70)</f>
        <v/>
      </c>
      <c r="I71">
        <f>SUM(I67:I70)</f>
        <v/>
      </c>
      <c r="J71">
        <f>SUM(J67:J70)</f>
        <v/>
      </c>
      <c r="K71">
        <f>SUM(D71:J71)</f>
        <v/>
      </c>
      <c r="M71">
        <f>H71+I71</f>
        <v/>
      </c>
    </row>
    <row r="72">
      <c r="C72" t="inlineStr">
        <is>
          <t>Получено</t>
        </is>
      </c>
    </row>
    <row r="73">
      <c r="C73" t="inlineStr">
        <is>
          <t>Карбонатный шлам на 2 стадию</t>
        </is>
      </c>
      <c r="D73">
        <f>D41</f>
        <v/>
      </c>
      <c r="E73">
        <f>E41</f>
        <v/>
      </c>
      <c r="F73">
        <f>F41</f>
        <v/>
      </c>
      <c r="G73">
        <f>G41</f>
        <v/>
      </c>
      <c r="H73">
        <f>H41</f>
        <v/>
      </c>
      <c r="I73">
        <f>I41</f>
        <v/>
      </c>
      <c r="J73">
        <f>J41</f>
        <v/>
      </c>
      <c r="K73">
        <f>SUM(D73:J73)</f>
        <v/>
      </c>
    </row>
    <row r="74">
      <c r="C74" t="inlineStr">
        <is>
          <t>Содощелочной алюминатный раствор, увлеченый со шламом</t>
        </is>
      </c>
      <c r="D74">
        <f>D53</f>
        <v/>
      </c>
      <c r="E74">
        <f>E53</f>
        <v/>
      </c>
      <c r="F74">
        <f>F53</f>
        <v/>
      </c>
      <c r="G74">
        <f>G53</f>
        <v/>
      </c>
      <c r="H74">
        <f>H53</f>
        <v/>
      </c>
      <c r="I74">
        <f>I53</f>
        <v/>
      </c>
      <c r="J74">
        <f>J53</f>
        <v/>
      </c>
      <c r="K74">
        <f>SUM(D74:J74)</f>
        <v/>
      </c>
    </row>
    <row r="75">
      <c r="C75" t="inlineStr">
        <is>
          <t>Содощелочной алюминатный раствор, на выщелачивание</t>
        </is>
      </c>
      <c r="D75">
        <f>D71-D74</f>
        <v/>
      </c>
      <c r="E75">
        <f>E77-E74</f>
        <v/>
      </c>
      <c r="F75" t="n">
        <v>0</v>
      </c>
      <c r="G75">
        <f>I75*44/62</f>
        <v/>
      </c>
      <c r="H75">
        <f>D75*'Исходные данные'!J78/1.645</f>
        <v/>
      </c>
      <c r="I75" s="1">
        <f>(I71+H71)-(H74+I74+H75)</f>
        <v/>
      </c>
      <c r="J75">
        <f>J71-J74</f>
        <v/>
      </c>
      <c r="K75">
        <f>SUM(D75:J75)</f>
        <v/>
      </c>
    </row>
    <row r="76">
      <c r="C76" t="inlineStr">
        <is>
          <t>Потери</t>
        </is>
      </c>
      <c r="D76" t="n">
        <v>0</v>
      </c>
      <c r="E76" t="n">
        <v>0</v>
      </c>
      <c r="F76" t="n">
        <v>0</v>
      </c>
      <c r="G76">
        <f>G77-G75-G74-G73</f>
        <v/>
      </c>
      <c r="H76" t="n">
        <v>0</v>
      </c>
      <c r="I76" t="n">
        <v>0</v>
      </c>
      <c r="J76" t="n">
        <v>0</v>
      </c>
      <c r="K76">
        <f>SUM(D76:J76)</f>
        <v/>
      </c>
      <c r="M76" t="inlineStr">
        <is>
          <t>Na2O</t>
        </is>
      </c>
    </row>
    <row r="77">
      <c r="C77" t="inlineStr">
        <is>
          <t>Всего</t>
        </is>
      </c>
      <c r="D77">
        <f>D71</f>
        <v/>
      </c>
      <c r="E77">
        <f>E71</f>
        <v/>
      </c>
      <c r="F77">
        <f>F71</f>
        <v/>
      </c>
      <c r="G77">
        <f>G71</f>
        <v/>
      </c>
      <c r="H77">
        <f>SUM(H73:H76)</f>
        <v/>
      </c>
      <c r="I77">
        <f>SUM(I73:I76)</f>
        <v/>
      </c>
      <c r="J77">
        <f>J71</f>
        <v/>
      </c>
      <c r="K77">
        <f>K71</f>
        <v/>
      </c>
      <c r="M77">
        <f>H77+I77</f>
        <v/>
      </c>
    </row>
    <row r="81">
      <c r="C81" s="21" t="inlineStr">
        <is>
          <t>Таблица 18</t>
        </is>
      </c>
    </row>
    <row r="82">
      <c r="D82" t="inlineStr">
        <is>
          <t>Al2O3</t>
        </is>
      </c>
      <c r="E82" t="inlineStr">
        <is>
          <t>Fe2O3</t>
        </is>
      </c>
      <c r="F82" t="inlineStr">
        <is>
          <t>SiO2</t>
        </is>
      </c>
      <c r="G82" t="inlineStr">
        <is>
          <t>TiO2</t>
        </is>
      </c>
      <c r="H82" t="inlineStr">
        <is>
          <t>CaO</t>
        </is>
      </c>
      <c r="I82" t="inlineStr">
        <is>
          <t>CO2</t>
        </is>
      </c>
      <c r="J82" t="inlineStr">
        <is>
          <t>Na2Oк</t>
        </is>
      </c>
      <c r="K82" t="inlineStr">
        <is>
          <t>Na2Oy</t>
        </is>
      </c>
      <c r="L82" t="inlineStr">
        <is>
          <t>Проч</t>
        </is>
      </c>
      <c r="M82" t="inlineStr">
        <is>
          <t>H2O</t>
        </is>
      </c>
      <c r="N82" t="inlineStr">
        <is>
          <t>Итого</t>
        </is>
      </c>
    </row>
    <row r="83">
      <c r="C83" t="inlineStr">
        <is>
          <t>Введено, кг</t>
        </is>
      </c>
    </row>
    <row r="84">
      <c r="C84" t="inlineStr">
        <is>
          <t>Спек дробленный</t>
        </is>
      </c>
      <c r="D84">
        <f>D25</f>
        <v/>
      </c>
      <c r="E84">
        <f>E25</f>
        <v/>
      </c>
      <c r="F84">
        <f>F25</f>
        <v/>
      </c>
      <c r="G84">
        <f>G25</f>
        <v/>
      </c>
      <c r="H84">
        <f>H25</f>
        <v/>
      </c>
      <c r="I84">
        <f>I25</f>
        <v/>
      </c>
      <c r="J84">
        <f>J25</f>
        <v/>
      </c>
      <c r="K84" t="n">
        <v>0</v>
      </c>
      <c r="L84">
        <f>K25</f>
        <v/>
      </c>
      <c r="M84" t="n">
        <v>0</v>
      </c>
      <c r="N84">
        <f>SUM(D84:M84)</f>
        <v/>
      </c>
    </row>
    <row r="85">
      <c r="C85" t="inlineStr">
        <is>
          <t>Содощелочной раствор</t>
        </is>
      </c>
      <c r="D85">
        <f>D75</f>
        <v/>
      </c>
      <c r="E85" t="n">
        <v>0</v>
      </c>
      <c r="F85">
        <f>E75</f>
        <v/>
      </c>
      <c r="G85" t="n">
        <v>0</v>
      </c>
      <c r="H85" t="n">
        <v>0</v>
      </c>
      <c r="I85">
        <f>G75</f>
        <v/>
      </c>
      <c r="J85">
        <f>H75</f>
        <v/>
      </c>
      <c r="K85">
        <f>I75</f>
        <v/>
      </c>
      <c r="L85" t="n">
        <v>0</v>
      </c>
      <c r="M85">
        <f>J75</f>
        <v/>
      </c>
      <c r="N85">
        <f>SUM(D85:M85)</f>
        <v/>
      </c>
    </row>
    <row r="86">
      <c r="C86" t="inlineStr">
        <is>
          <t>Вода на промывку</t>
        </is>
      </c>
      <c r="D86" t="n">
        <v>0</v>
      </c>
      <c r="E86" t="n">
        <v>0</v>
      </c>
      <c r="F86" t="n">
        <v>0</v>
      </c>
      <c r="G86" t="n">
        <v>0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>
        <f>'Исходные данные'!L84</f>
        <v/>
      </c>
      <c r="N86">
        <f>SUM(D86:M86)</f>
        <v/>
      </c>
    </row>
    <row r="87">
      <c r="C87" t="inlineStr">
        <is>
          <t>Всего</t>
        </is>
      </c>
      <c r="D87">
        <f>SUM(D84:D86)</f>
        <v/>
      </c>
      <c r="E87">
        <f>SUM(E84:E86)</f>
        <v/>
      </c>
      <c r="F87">
        <f>SUM(F84:F86)</f>
        <v/>
      </c>
      <c r="G87">
        <f>SUM(G84:G86)</f>
        <v/>
      </c>
      <c r="H87">
        <f>SUM(H84:H86)</f>
        <v/>
      </c>
      <c r="I87">
        <f>SUM(I84:I86)</f>
        <v/>
      </c>
      <c r="J87">
        <f>SUM(J84:J86)</f>
        <v/>
      </c>
      <c r="K87">
        <f>SUM(K84:K86)</f>
        <v/>
      </c>
      <c r="L87">
        <f>SUM(L84:L86)</f>
        <v/>
      </c>
      <c r="M87">
        <f>SUM(M84:M86)</f>
        <v/>
      </c>
      <c r="N87">
        <f>SUM(D87:M87)</f>
        <v/>
      </c>
    </row>
    <row r="88">
      <c r="C88" t="inlineStr">
        <is>
          <t>Получено, кг</t>
        </is>
      </c>
    </row>
    <row r="89">
      <c r="C89" t="inlineStr">
        <is>
          <t>Отвальный шлам</t>
        </is>
      </c>
      <c r="D89">
        <f>'Исходные данные'!F41</f>
        <v/>
      </c>
      <c r="E89">
        <f>E87-E91</f>
        <v/>
      </c>
      <c r="F89">
        <f>F87-F91</f>
        <v/>
      </c>
      <c r="G89">
        <f>G87</f>
        <v/>
      </c>
      <c r="H89">
        <f>H87-H91</f>
        <v/>
      </c>
      <c r="I89">
        <f>I87-I91</f>
        <v/>
      </c>
      <c r="J89">
        <f>'Исходные данные'!H41</f>
        <v/>
      </c>
      <c r="K89" t="n">
        <v>0</v>
      </c>
      <c r="L89" s="11">
        <f>L87</f>
        <v/>
      </c>
      <c r="M89" s="12">
        <f>D89/102*36</f>
        <v/>
      </c>
      <c r="N89">
        <f>SUM(D89:M89)</f>
        <v/>
      </c>
    </row>
    <row r="90">
      <c r="C90" t="inlineStr">
        <is>
          <t>Промывная вода</t>
        </is>
      </c>
      <c r="D90">
        <f>'Исходные данные'!F42</f>
        <v/>
      </c>
      <c r="E90" t="n">
        <v>0</v>
      </c>
      <c r="F90" t="n">
        <v>0</v>
      </c>
      <c r="G90" t="n">
        <v>0</v>
      </c>
      <c r="H90" t="n">
        <v>0</v>
      </c>
      <c r="I90" s="6">
        <f>'Исходные данные'!C58/2</f>
        <v/>
      </c>
      <c r="J90">
        <f>'Исходные данные'!H42</f>
        <v/>
      </c>
      <c r="K90" t="n">
        <v>0</v>
      </c>
      <c r="L90" t="n">
        <v>0</v>
      </c>
      <c r="M90">
        <f>N90-D90-J90</f>
        <v/>
      </c>
      <c r="N90">
        <f>N89*33/67</f>
        <v/>
      </c>
    </row>
    <row r="91">
      <c r="C91" t="inlineStr">
        <is>
          <t>Алюминатный раствор</t>
        </is>
      </c>
      <c r="D91">
        <f>D87-D90-D89</f>
        <v/>
      </c>
      <c r="E91">
        <f>E8</f>
        <v/>
      </c>
      <c r="F91">
        <f>'Приготовление шихты'!I17+'Приготовление шихты'!I19</f>
        <v/>
      </c>
      <c r="G91" t="n">
        <v>0</v>
      </c>
      <c r="H91">
        <f>H8</f>
        <v/>
      </c>
      <c r="I91">
        <f>K91*44/62</f>
        <v/>
      </c>
      <c r="J91">
        <f>D91*62/102*'Исходные данные'!J75</f>
        <v/>
      </c>
      <c r="K91">
        <f>K92</f>
        <v/>
      </c>
      <c r="L91" t="n">
        <v>0</v>
      </c>
      <c r="M91">
        <f>N91-(SUM(D91:L91))</f>
        <v/>
      </c>
      <c r="N91">
        <f>'Выщелачивание спека'!I35</f>
        <v/>
      </c>
    </row>
    <row r="92">
      <c r="C92" t="inlineStr">
        <is>
          <t>Всего</t>
        </is>
      </c>
      <c r="D92">
        <f>SUM(D89:D91)</f>
        <v/>
      </c>
      <c r="E92">
        <f>SUM(E89:E91)</f>
        <v/>
      </c>
      <c r="F92">
        <f>SUM(F89:F91)</f>
        <v/>
      </c>
      <c r="G92">
        <f>SUM(G89:G91)</f>
        <v/>
      </c>
      <c r="H92">
        <f>SUM(H89:H91)</f>
        <v/>
      </c>
      <c r="I92">
        <f>SUM(I89:I91)</f>
        <v/>
      </c>
      <c r="J92">
        <f>SUM(J89:J91)</f>
        <v/>
      </c>
      <c r="K92">
        <f>J87+K87-J92</f>
        <v/>
      </c>
      <c r="L92">
        <f>SUM(L89:L91)</f>
        <v/>
      </c>
      <c r="M92">
        <f>M87</f>
        <v/>
      </c>
      <c r="N92">
        <f>SUM(D92:M92)</f>
        <v/>
      </c>
    </row>
    <row r="95">
      <c r="C95" s="21" t="inlineStr">
        <is>
          <t>Таблица 19</t>
        </is>
      </c>
    </row>
    <row r="96">
      <c r="D96" t="inlineStr">
        <is>
          <t>Al2O3</t>
        </is>
      </c>
      <c r="E96" t="inlineStr">
        <is>
          <t>Fe2O3</t>
        </is>
      </c>
      <c r="F96" t="inlineStr">
        <is>
          <t>SiO2</t>
        </is>
      </c>
      <c r="G96" t="inlineStr">
        <is>
          <t>CaO</t>
        </is>
      </c>
      <c r="H96" t="inlineStr">
        <is>
          <t>CO2</t>
        </is>
      </c>
      <c r="I96" t="inlineStr">
        <is>
          <t>Na2Oк</t>
        </is>
      </c>
      <c r="J96" t="inlineStr">
        <is>
          <t>Na2Oy</t>
        </is>
      </c>
      <c r="K96" t="inlineStr">
        <is>
          <t>H2O+п.п.п</t>
        </is>
      </c>
      <c r="L96" t="inlineStr">
        <is>
          <t>Итого</t>
        </is>
      </c>
    </row>
    <row r="97">
      <c r="C97" s="22" t="inlineStr">
        <is>
          <t>Введено, кг</t>
        </is>
      </c>
      <c r="D97" s="22" t="n"/>
      <c r="E97" s="22" t="n"/>
      <c r="F97" s="22" t="n"/>
      <c r="G97" s="22" t="n"/>
      <c r="H97" s="22" t="n"/>
      <c r="I97" s="22" t="n"/>
      <c r="J97" s="22" t="n"/>
      <c r="K97" s="22" t="n"/>
      <c r="L97" s="22" t="n"/>
    </row>
    <row r="98">
      <c r="C98" t="inlineStr">
        <is>
          <t>Алюминатный раствор после выщелачивания спека</t>
        </is>
      </c>
      <c r="D98">
        <f>D91</f>
        <v/>
      </c>
      <c r="E98">
        <f>E91</f>
        <v/>
      </c>
      <c r="F98">
        <f>F91</f>
        <v/>
      </c>
      <c r="G98">
        <f>H91</f>
        <v/>
      </c>
      <c r="H98">
        <f>I91</f>
        <v/>
      </c>
      <c r="I98">
        <f>J91</f>
        <v/>
      </c>
      <c r="J98">
        <f>K91</f>
        <v/>
      </c>
      <c r="K98">
        <f>$M$91</f>
        <v/>
      </c>
      <c r="L98">
        <f>SUM(D98:K98)</f>
        <v/>
      </c>
    </row>
    <row r="99">
      <c r="C99" t="inlineStr">
        <is>
          <t>Затравка белого шлама</t>
        </is>
      </c>
      <c r="D99">
        <f>'Приготовление шихты'!B14</f>
        <v/>
      </c>
      <c r="E99">
        <f>'Приготовление шихты'!D14</f>
        <v/>
      </c>
      <c r="F99">
        <f>'Приготовление шихты'!E14</f>
        <v/>
      </c>
      <c r="G99">
        <f>'Приготовление шихты'!F14</f>
        <v/>
      </c>
      <c r="H99">
        <f>'Приготовление шихты'!G14</f>
        <v/>
      </c>
      <c r="I99">
        <f>Обескремнивание!I10</f>
        <v/>
      </c>
      <c r="J99">
        <f>Обескремнивание!I8</f>
        <v/>
      </c>
      <c r="K99">
        <f>'Приготовление шихты'!H14</f>
        <v/>
      </c>
      <c r="L99">
        <f>SUM(D99:K99)</f>
        <v/>
      </c>
    </row>
    <row r="100">
      <c r="C100" t="inlineStr">
        <is>
          <t>Алюминатный раствор</t>
        </is>
      </c>
      <c r="D100">
        <f>Обескремнивание!I5</f>
        <v/>
      </c>
      <c r="E100" t="n">
        <v>0</v>
      </c>
      <c r="F100">
        <f>Обескремнивание!I7</f>
        <v/>
      </c>
      <c r="G100" t="n">
        <v>0</v>
      </c>
      <c r="H100">
        <f>Обескремнивание!I12</f>
        <v/>
      </c>
      <c r="I100">
        <f>Обескремнивание!I11</f>
        <v/>
      </c>
      <c r="J100">
        <f>Обескремнивание!I9</f>
        <v/>
      </c>
      <c r="K100">
        <f>Обескремнивание!I13</f>
        <v/>
      </c>
      <c r="L100">
        <f>SUM(D100:K100)</f>
        <v/>
      </c>
    </row>
    <row r="101">
      <c r="C101" t="inlineStr">
        <is>
          <t>Всего</t>
        </is>
      </c>
      <c r="D101">
        <f>SUM(D98:D100)</f>
        <v/>
      </c>
      <c r="E101">
        <f>SUM(E98:E100)</f>
        <v/>
      </c>
      <c r="F101">
        <f>SUM(F98:F100)</f>
        <v/>
      </c>
      <c r="G101">
        <f>SUM(G98:G100)</f>
        <v/>
      </c>
      <c r="H101">
        <f>SUM(H98:H100)</f>
        <v/>
      </c>
      <c r="I101">
        <f>SUM(I98:I100)</f>
        <v/>
      </c>
      <c r="J101">
        <f>SUM(J98:J100)</f>
        <v/>
      </c>
      <c r="K101">
        <f>SUM(K98:K100)</f>
        <v/>
      </c>
      <c r="L101">
        <f>SUM(D101:K101)</f>
        <v/>
      </c>
    </row>
    <row r="102">
      <c r="C102" t="inlineStr">
        <is>
          <t>Получено, кг</t>
        </is>
      </c>
    </row>
    <row r="103">
      <c r="C103" t="inlineStr">
        <is>
          <t>Белый шлам</t>
        </is>
      </c>
      <c r="D103">
        <f>D99*2</f>
        <v/>
      </c>
      <c r="E103">
        <f>E99*2</f>
        <v/>
      </c>
      <c r="F103">
        <f>F99*2</f>
        <v/>
      </c>
      <c r="G103">
        <f>G99*2</f>
        <v/>
      </c>
      <c r="H103">
        <f>H99*2</f>
        <v/>
      </c>
      <c r="I103">
        <f>I99*2</f>
        <v/>
      </c>
      <c r="J103">
        <f>J99*2</f>
        <v/>
      </c>
      <c r="K103">
        <f>K99*2</f>
        <v/>
      </c>
      <c r="L103">
        <f>SUM(D103:K103)</f>
        <v/>
      </c>
    </row>
    <row r="104">
      <c r="C104" t="inlineStr">
        <is>
          <t>Раствор, увлеченный белым шламом</t>
        </is>
      </c>
      <c r="D104">
        <f>D100*2</f>
        <v/>
      </c>
      <c r="E104">
        <f>E100*2</f>
        <v/>
      </c>
      <c r="F104">
        <f>F100*2</f>
        <v/>
      </c>
      <c r="G104">
        <f>G100*2</f>
        <v/>
      </c>
      <c r="H104">
        <f>H100*2</f>
        <v/>
      </c>
      <c r="I104">
        <f>I100*2</f>
        <v/>
      </c>
      <c r="J104">
        <f>J100*2</f>
        <v/>
      </c>
      <c r="K104">
        <f>K100*2</f>
        <v/>
      </c>
      <c r="L104">
        <f>SUM(D104:K104)</f>
        <v/>
      </c>
    </row>
    <row r="105">
      <c r="C105" t="inlineStr">
        <is>
          <t>Потери</t>
        </is>
      </c>
      <c r="D105">
        <f>'Исходные данные'!F43</f>
        <v/>
      </c>
      <c r="E105" t="n">
        <v>0</v>
      </c>
      <c r="F105" t="n">
        <v>0</v>
      </c>
      <c r="G105" t="n">
        <v>0</v>
      </c>
      <c r="H105" t="n">
        <v>0</v>
      </c>
      <c r="I105">
        <f>'Исходные данные'!H43</f>
        <v/>
      </c>
      <c r="J105" t="n">
        <v>0</v>
      </c>
      <c r="K105" t="n">
        <v>0</v>
      </c>
      <c r="L105">
        <f>SUM(D105:K105)</f>
        <v/>
      </c>
    </row>
    <row r="106">
      <c r="C106" t="inlineStr">
        <is>
          <t>Алюминатный раствор1</t>
        </is>
      </c>
      <c r="D106">
        <f>D107-SUM(D103:D105)</f>
        <v/>
      </c>
      <c r="E106">
        <f>E107-SUM(E103:E105)</f>
        <v/>
      </c>
      <c r="F106">
        <f>F107-SUM(F103:F105)</f>
        <v/>
      </c>
      <c r="G106">
        <f>G107-SUM(G103:G105)</f>
        <v/>
      </c>
      <c r="H106">
        <f>H107-SUM(H103:H105)</f>
        <v/>
      </c>
      <c r="I106">
        <f>I107-SUM(I103:I105)</f>
        <v/>
      </c>
      <c r="J106">
        <f>J107-SUM(J103:J105)</f>
        <v/>
      </c>
      <c r="K106">
        <f>K107-SUM(K103:K105)</f>
        <v/>
      </c>
      <c r="L106">
        <f>SUM(D106:K106)</f>
        <v/>
      </c>
    </row>
    <row r="107">
      <c r="C107" t="inlineStr">
        <is>
          <t>Всего</t>
        </is>
      </c>
      <c r="D107">
        <f>D101</f>
        <v/>
      </c>
      <c r="E107">
        <f>E101</f>
        <v/>
      </c>
      <c r="F107">
        <f>F101</f>
        <v/>
      </c>
      <c r="G107">
        <f>G101</f>
        <v/>
      </c>
      <c r="H107">
        <f>H101</f>
        <v/>
      </c>
      <c r="I107">
        <f>I101</f>
        <v/>
      </c>
      <c r="J107">
        <f>J101</f>
        <v/>
      </c>
      <c r="K107">
        <f>K101</f>
        <v/>
      </c>
      <c r="L107">
        <f>SUM(D107:K107)</f>
        <v/>
      </c>
    </row>
    <row r="111">
      <c r="C111" s="21" t="inlineStr">
        <is>
          <t>Таблица 20</t>
        </is>
      </c>
    </row>
    <row r="112">
      <c r="D112" t="inlineStr">
        <is>
          <t>Al2O3</t>
        </is>
      </c>
      <c r="E112" t="inlineStr">
        <is>
          <t>Fe2O3</t>
        </is>
      </c>
      <c r="F112" t="inlineStr">
        <is>
          <t>SiO2</t>
        </is>
      </c>
      <c r="G112" t="inlineStr">
        <is>
          <t>CaO</t>
        </is>
      </c>
      <c r="H112" t="inlineStr">
        <is>
          <t>CO2</t>
        </is>
      </c>
      <c r="I112" t="inlineStr">
        <is>
          <t>Na2Oк</t>
        </is>
      </c>
      <c r="J112" t="inlineStr">
        <is>
          <t>Na2Oy</t>
        </is>
      </c>
      <c r="K112" t="inlineStr">
        <is>
          <t>H2O+п.п.п</t>
        </is>
      </c>
      <c r="L112" t="inlineStr">
        <is>
          <t>Итого</t>
        </is>
      </c>
    </row>
    <row r="113">
      <c r="C113" s="22" t="inlineStr">
        <is>
          <t>Введено, кг</t>
        </is>
      </c>
      <c r="D113" s="22" t="n"/>
      <c r="E113" s="22" t="n"/>
      <c r="F113" s="22" t="n"/>
      <c r="G113" s="22" t="n"/>
      <c r="H113" s="22" t="n"/>
      <c r="I113" s="22" t="n"/>
      <c r="J113" s="22" t="n"/>
      <c r="K113" s="22" t="n"/>
      <c r="L113" s="22" t="n"/>
    </row>
    <row r="114">
      <c r="C114" t="inlineStr">
        <is>
          <t>Белый шлам</t>
        </is>
      </c>
      <c r="D114">
        <f>D99</f>
        <v/>
      </c>
      <c r="E114">
        <f>E99</f>
        <v/>
      </c>
      <c r="F114">
        <f>F99</f>
        <v/>
      </c>
      <c r="G114">
        <f>G99</f>
        <v/>
      </c>
      <c r="H114">
        <f>H99</f>
        <v/>
      </c>
      <c r="I114">
        <f>I99</f>
        <v/>
      </c>
      <c r="J114">
        <f>J99</f>
        <v/>
      </c>
      <c r="K114">
        <f>K99</f>
        <v/>
      </c>
      <c r="L114">
        <f>SUM(D114:K114)</f>
        <v/>
      </c>
    </row>
    <row r="115">
      <c r="C115" t="inlineStr">
        <is>
          <t>Раствор, увлеченный белым шламом</t>
        </is>
      </c>
      <c r="D115">
        <f>D100</f>
        <v/>
      </c>
      <c r="E115">
        <f>E100</f>
        <v/>
      </c>
      <c r="F115">
        <f>F100</f>
        <v/>
      </c>
      <c r="G115">
        <f>G100</f>
        <v/>
      </c>
      <c r="H115">
        <f>H100</f>
        <v/>
      </c>
      <c r="I115">
        <f>I100</f>
        <v/>
      </c>
      <c r="J115">
        <f>J100</f>
        <v/>
      </c>
      <c r="K115">
        <f>K100</f>
        <v/>
      </c>
      <c r="L115">
        <f>SUM(D115:K115)</f>
        <v/>
      </c>
    </row>
    <row r="116">
      <c r="C116" t="inlineStr">
        <is>
          <t>Вода на промывку</t>
        </is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>
        <f>'Исходные данные'!L85</f>
        <v/>
      </c>
      <c r="L116">
        <f>SUM(D116:K116)</f>
        <v/>
      </c>
    </row>
    <row r="117">
      <c r="C117" t="inlineStr">
        <is>
          <t>Всего</t>
        </is>
      </c>
      <c r="D117">
        <f>SUM(D114:D116)</f>
        <v/>
      </c>
      <c r="E117">
        <f>SUM(E114:E116)</f>
        <v/>
      </c>
      <c r="F117">
        <f>SUM(F114:F116)</f>
        <v/>
      </c>
      <c r="G117">
        <f>SUM(G114:G116)</f>
        <v/>
      </c>
      <c r="H117">
        <f>SUM(H114:H116)</f>
        <v/>
      </c>
      <c r="I117">
        <f>SUM(I114:I116)</f>
        <v/>
      </c>
      <c r="J117">
        <f>SUM(J114:J116)</f>
        <v/>
      </c>
      <c r="K117">
        <f>SUM(K114:K116)</f>
        <v/>
      </c>
      <c r="L117">
        <f>SUM(D117:K117)</f>
        <v/>
      </c>
    </row>
    <row r="118">
      <c r="C118" t="inlineStr">
        <is>
          <t>Получено, кг</t>
        </is>
      </c>
    </row>
    <row r="119">
      <c r="C119" t="inlineStr">
        <is>
          <t>Отмытый шлам в ОПШ</t>
        </is>
      </c>
      <c r="D119">
        <f>D114</f>
        <v/>
      </c>
      <c r="E119">
        <f>E114</f>
        <v/>
      </c>
      <c r="F119">
        <f>F114</f>
        <v/>
      </c>
      <c r="G119">
        <f>G114</f>
        <v/>
      </c>
      <c r="H119">
        <f>H114</f>
        <v/>
      </c>
      <c r="I119">
        <f>I114</f>
        <v/>
      </c>
      <c r="J119">
        <f>J114</f>
        <v/>
      </c>
      <c r="K119">
        <f>K114</f>
        <v/>
      </c>
      <c r="L119">
        <f>SUM(D119:K119)</f>
        <v/>
      </c>
    </row>
    <row r="120">
      <c r="C120" t="inlineStr">
        <is>
          <t>Промвода, увлеченная шламом</t>
        </is>
      </c>
      <c r="D120">
        <f>'Исходные данные'!A58</f>
        <v/>
      </c>
      <c r="E120" t="n">
        <v>0</v>
      </c>
      <c r="F120" t="n">
        <v>0</v>
      </c>
      <c r="G120" t="n">
        <v>0</v>
      </c>
      <c r="H120">
        <f>'Исходные данные'!C58</f>
        <v/>
      </c>
      <c r="I120">
        <f>'Исходные данные'!B58-Таблицы!J120</f>
        <v/>
      </c>
      <c r="J120">
        <f>'Исходные данные'!B58/(I119/J119)</f>
        <v/>
      </c>
      <c r="K120">
        <f>'Исходные данные'!D58</f>
        <v/>
      </c>
      <c r="L120">
        <f>SUM(D120:K120)</f>
        <v/>
      </c>
    </row>
    <row r="121">
      <c r="C121" t="inlineStr">
        <is>
          <t>Алюминатный раствор и промвода на 2 стадии обескремнивания</t>
        </is>
      </c>
      <c r="D121">
        <f>D122-SUM(D119:D120)</f>
        <v/>
      </c>
      <c r="E121">
        <f>E122-SUM(E119:E120)</f>
        <v/>
      </c>
      <c r="F121">
        <f>F122-SUM(F119:F120)</f>
        <v/>
      </c>
      <c r="G121">
        <f>G122-SUM(G119:G120)</f>
        <v/>
      </c>
      <c r="H121">
        <f>H122-SUM(H119:H120)</f>
        <v/>
      </c>
      <c r="I121">
        <f>I122-SUM(I119:I120)</f>
        <v/>
      </c>
      <c r="J121">
        <f>J122-SUM(J119:J120)</f>
        <v/>
      </c>
      <c r="K121">
        <f>K122-SUM(K119:K120)</f>
        <v/>
      </c>
      <c r="L121">
        <f>SUM(D121:K121)</f>
        <v/>
      </c>
    </row>
    <row r="122">
      <c r="C122" t="inlineStr">
        <is>
          <t>Всего</t>
        </is>
      </c>
      <c r="D122">
        <f>D117</f>
        <v/>
      </c>
      <c r="E122">
        <f>E117</f>
        <v/>
      </c>
      <c r="F122">
        <f>F117</f>
        <v/>
      </c>
      <c r="G122">
        <f>G117</f>
        <v/>
      </c>
      <c r="H122">
        <f>H117</f>
        <v/>
      </c>
      <c r="I122">
        <f>I117</f>
        <v/>
      </c>
      <c r="J122">
        <f>J117</f>
        <v/>
      </c>
      <c r="K122">
        <f>K117</f>
        <v/>
      </c>
      <c r="L122">
        <f>SUM(D122:K122)</f>
        <v/>
      </c>
    </row>
    <row r="125">
      <c r="C125" t="inlineStr">
        <is>
          <t>Таблица 21</t>
        </is>
      </c>
    </row>
    <row r="126">
      <c r="D126" t="inlineStr">
        <is>
          <t>Al2O3</t>
        </is>
      </c>
      <c r="E126" t="inlineStr">
        <is>
          <t>SiO2</t>
        </is>
      </c>
      <c r="F126" t="inlineStr">
        <is>
          <t>CaO</t>
        </is>
      </c>
      <c r="G126" t="inlineStr">
        <is>
          <t>CO2</t>
        </is>
      </c>
      <c r="H126" t="inlineStr">
        <is>
          <t>Na2Oк</t>
        </is>
      </c>
      <c r="I126" t="inlineStr">
        <is>
          <t>Na2Oy</t>
        </is>
      </c>
      <c r="J126" t="inlineStr">
        <is>
          <t>H2O</t>
        </is>
      </c>
      <c r="K126" t="inlineStr">
        <is>
          <t>Итого</t>
        </is>
      </c>
    </row>
    <row r="127">
      <c r="C127" s="22" t="inlineStr">
        <is>
          <t>Введено, кг</t>
        </is>
      </c>
      <c r="D127" s="22" t="n"/>
      <c r="E127" s="22" t="n"/>
      <c r="F127" s="22" t="n"/>
      <c r="G127" s="22" t="n"/>
      <c r="H127" s="22" t="n"/>
      <c r="I127" s="22" t="n"/>
      <c r="J127" s="22" t="n"/>
      <c r="K127" s="22" t="n"/>
    </row>
    <row r="128">
      <c r="C128" t="inlineStr">
        <is>
          <t>Алюминатный раствор с 1 стадии обескремнивания</t>
        </is>
      </c>
      <c r="D128">
        <f>D106</f>
        <v/>
      </c>
      <c r="E128">
        <f>F106</f>
        <v/>
      </c>
      <c r="F128">
        <f>G106</f>
        <v/>
      </c>
      <c r="G128">
        <f>H106</f>
        <v/>
      </c>
      <c r="H128">
        <f>I106</f>
        <v/>
      </c>
      <c r="I128">
        <f>J106</f>
        <v/>
      </c>
      <c r="J128">
        <f>K106</f>
        <v/>
      </c>
      <c r="K128">
        <f>SUM(D128:J128)</f>
        <v/>
      </c>
    </row>
    <row r="129">
      <c r="C129" t="inlineStr">
        <is>
          <t>Промвода от промывки шлама</t>
        </is>
      </c>
      <c r="D129">
        <f>D115</f>
        <v/>
      </c>
      <c r="E129" s="1">
        <f>F115</f>
        <v/>
      </c>
      <c r="F129">
        <f>G115</f>
        <v/>
      </c>
      <c r="G129">
        <f>H115</f>
        <v/>
      </c>
      <c r="H129">
        <f>I115</f>
        <v/>
      </c>
      <c r="I129">
        <f>J115</f>
        <v/>
      </c>
      <c r="J129">
        <f>K115</f>
        <v/>
      </c>
      <c r="K129">
        <f>SUM(D129:J129)</f>
        <v/>
      </c>
    </row>
    <row r="130">
      <c r="C130" t="inlineStr">
        <is>
          <t>Карбонатный шлам</t>
        </is>
      </c>
      <c r="D130">
        <f>D59+D58</f>
        <v/>
      </c>
      <c r="E130">
        <f>E59+E58</f>
        <v/>
      </c>
      <c r="F130">
        <f>F59+F58</f>
        <v/>
      </c>
      <c r="G130">
        <f>G59+G58</f>
        <v/>
      </c>
      <c r="H130">
        <f>H59+H58</f>
        <v/>
      </c>
      <c r="I130">
        <f>I59+I58</f>
        <v/>
      </c>
      <c r="J130">
        <f>J59+J58</f>
        <v/>
      </c>
      <c r="K130">
        <f>SUM(D130:J130)</f>
        <v/>
      </c>
    </row>
    <row r="131">
      <c r="C131" t="inlineStr">
        <is>
          <t>Известковое молоко</t>
        </is>
      </c>
      <c r="D131" t="n">
        <v>0</v>
      </c>
      <c r="E131" t="n">
        <v>0</v>
      </c>
      <c r="F131">
        <f>F73-F130</f>
        <v/>
      </c>
      <c r="G131" t="n">
        <v>0</v>
      </c>
      <c r="H131" t="n">
        <v>0</v>
      </c>
      <c r="I131" t="n">
        <v>0</v>
      </c>
      <c r="J131" s="1" t="n">
        <v>69.17</v>
      </c>
      <c r="K131">
        <f>SUM(D131:J131)</f>
        <v/>
      </c>
    </row>
    <row r="132">
      <c r="C132" t="inlineStr">
        <is>
          <t>Всего</t>
        </is>
      </c>
      <c r="D132">
        <f>SUM(D128:D131)</f>
        <v/>
      </c>
      <c r="E132">
        <f>SUM(E128:E131)</f>
        <v/>
      </c>
      <c r="F132">
        <f>SUM(F128:F131)</f>
        <v/>
      </c>
      <c r="G132">
        <f>SUM(G128:G131)</f>
        <v/>
      </c>
      <c r="H132">
        <f>SUM(H128:H131)</f>
        <v/>
      </c>
      <c r="I132">
        <f>SUM(I128:I131)</f>
        <v/>
      </c>
      <c r="J132">
        <f>SUM(J128:J131)</f>
        <v/>
      </c>
      <c r="K132">
        <f>SUM(D132:J132)</f>
        <v/>
      </c>
    </row>
    <row r="133">
      <c r="C133" t="inlineStr">
        <is>
          <t>Получено, кг</t>
        </is>
      </c>
    </row>
    <row r="134">
      <c r="C134" t="inlineStr">
        <is>
          <t>Гидрогранат</t>
        </is>
      </c>
      <c r="D134">
        <f>D67</f>
        <v/>
      </c>
      <c r="E134">
        <f>E67</f>
        <v/>
      </c>
      <c r="F134">
        <f>F67</f>
        <v/>
      </c>
      <c r="G134">
        <f>G67</f>
        <v/>
      </c>
      <c r="H134">
        <f>H67</f>
        <v/>
      </c>
      <c r="I134">
        <f>I67</f>
        <v/>
      </c>
      <c r="J134">
        <f>J67</f>
        <v/>
      </c>
      <c r="K134">
        <f>SUM(D134:J134)</f>
        <v/>
      </c>
    </row>
    <row r="135">
      <c r="C135" t="inlineStr">
        <is>
          <t>Алюминатный раствор, увлеченный шламом</t>
        </is>
      </c>
      <c r="D135">
        <f>D37</f>
        <v/>
      </c>
      <c r="E135" t="n">
        <v>0</v>
      </c>
      <c r="F135">
        <f>F37</f>
        <v/>
      </c>
      <c r="G135">
        <f>G37</f>
        <v/>
      </c>
      <c r="H135">
        <f>H37</f>
        <v/>
      </c>
      <c r="I135">
        <f>I37</f>
        <v/>
      </c>
      <c r="J135">
        <f>J37</f>
        <v/>
      </c>
      <c r="K135">
        <f>SUM(D135:J135)</f>
        <v/>
      </c>
    </row>
    <row r="136">
      <c r="C136" t="inlineStr">
        <is>
          <t>Алюминатный раствор на карбонизацию</t>
        </is>
      </c>
      <c r="D136" s="13">
        <f>D137-(SUM(D134:D135))</f>
        <v/>
      </c>
      <c r="E136">
        <f>E137-(SUM(E134:E135))</f>
        <v/>
      </c>
      <c r="F136">
        <f>F137-(SUM(F134:F135))</f>
        <v/>
      </c>
      <c r="G136">
        <f>G137-(SUM(G134:G135))</f>
        <v/>
      </c>
      <c r="H136">
        <f>H137-(SUM(H134:H135))</f>
        <v/>
      </c>
      <c r="I136">
        <f>I137-(SUM(I134:I135))</f>
        <v/>
      </c>
      <c r="J136">
        <f>J137-(SUM(J134:J135))</f>
        <v/>
      </c>
      <c r="K136">
        <f>SUM(D136:J136)</f>
        <v/>
      </c>
    </row>
    <row r="137">
      <c r="C137" t="inlineStr">
        <is>
          <t>Всего</t>
        </is>
      </c>
      <c r="D137">
        <f>D132</f>
        <v/>
      </c>
      <c r="E137">
        <f>E132</f>
        <v/>
      </c>
      <c r="F137">
        <f>F132</f>
        <v/>
      </c>
      <c r="G137">
        <f>G132</f>
        <v/>
      </c>
      <c r="H137">
        <f>H132</f>
        <v/>
      </c>
      <c r="I137">
        <f>I132</f>
        <v/>
      </c>
      <c r="J137">
        <f>J132</f>
        <v/>
      </c>
      <c r="K137">
        <f>SUM(D137:J137)</f>
        <v/>
      </c>
    </row>
    <row r="140">
      <c r="C140" t="inlineStr">
        <is>
          <t>Таблица 22</t>
        </is>
      </c>
    </row>
    <row r="141">
      <c r="D141" t="inlineStr">
        <is>
          <t>Al2O3</t>
        </is>
      </c>
      <c r="E141" t="inlineStr">
        <is>
          <t>SiO2</t>
        </is>
      </c>
      <c r="F141" t="inlineStr">
        <is>
          <t>CaO</t>
        </is>
      </c>
      <c r="G141" t="inlineStr">
        <is>
          <t>CO2</t>
        </is>
      </c>
      <c r="H141" t="inlineStr">
        <is>
          <t>Na2Oк</t>
        </is>
      </c>
      <c r="I141" t="inlineStr">
        <is>
          <t>Na2Oy</t>
        </is>
      </c>
      <c r="J141" t="inlineStr">
        <is>
          <t>H2O</t>
        </is>
      </c>
      <c r="K141" t="inlineStr">
        <is>
          <t>Итого</t>
        </is>
      </c>
    </row>
    <row r="142">
      <c r="C142" s="22" t="inlineStr">
        <is>
          <t>Введено, кг</t>
        </is>
      </c>
      <c r="D142" s="22" t="n"/>
      <c r="E142" s="14">
        <f>E136</f>
        <v/>
      </c>
      <c r="F142" s="22" t="n"/>
      <c r="G142" s="22" t="n"/>
      <c r="H142" s="22" t="n"/>
      <c r="I142" s="22" t="n"/>
      <c r="J142" s="22" t="n"/>
      <c r="K142" s="22" t="n"/>
    </row>
    <row r="143">
      <c r="C143" t="inlineStr">
        <is>
          <t>Алюминатный раствор на 2 стадии обескремнивания</t>
        </is>
      </c>
      <c r="D143" s="13">
        <f>D136</f>
        <v/>
      </c>
      <c r="E143" s="14" t="n">
        <v>0</v>
      </c>
      <c r="F143">
        <f>F136</f>
        <v/>
      </c>
      <c r="G143">
        <f>G136</f>
        <v/>
      </c>
      <c r="H143">
        <f>H136</f>
        <v/>
      </c>
      <c r="I143">
        <f>I136</f>
        <v/>
      </c>
      <c r="J143">
        <f>J136</f>
        <v/>
      </c>
      <c r="K143">
        <f>K136</f>
        <v/>
      </c>
    </row>
    <row r="144">
      <c r="C144" t="inlineStr">
        <is>
          <t>Затравка гидроксида алюминия</t>
        </is>
      </c>
      <c r="D144">
        <f>'Кальцинация и карбонизация'!G10</f>
        <v/>
      </c>
      <c r="E144" s="12" t="n">
        <v>0</v>
      </c>
      <c r="F144" s="12" t="n">
        <v>0</v>
      </c>
      <c r="G144" s="12" t="n">
        <v>0</v>
      </c>
      <c r="H144" s="12" t="n">
        <v>0</v>
      </c>
      <c r="I144" s="12" t="n">
        <v>0</v>
      </c>
      <c r="J144" s="12">
        <f>'Кальцинация и карбонизация'!G11</f>
        <v/>
      </c>
      <c r="K144" s="12">
        <f>SUM(D144:J144)</f>
        <v/>
      </c>
    </row>
    <row r="145">
      <c r="C145" t="inlineStr">
        <is>
          <t>Содовый раствор</t>
        </is>
      </c>
      <c r="D145">
        <f>'Кальцинация и карбонизация'!B17</f>
        <v/>
      </c>
      <c r="E145" s="12" t="n">
        <v>0</v>
      </c>
      <c r="F145" s="12" t="n">
        <v>0</v>
      </c>
      <c r="G145" s="12">
        <f>'Кальцинация и карбонизация'!E17</f>
        <v/>
      </c>
      <c r="H145" s="12">
        <f>'Кальцинация и карбонизация'!C17</f>
        <v/>
      </c>
      <c r="I145" s="12">
        <f>'Кальцинация и карбонизация'!D17</f>
        <v/>
      </c>
      <c r="J145" s="12">
        <f>'Кальцинация и карбонизация'!F17</f>
        <v/>
      </c>
      <c r="K145" s="12">
        <f>SUM(D145:J145)</f>
        <v/>
      </c>
    </row>
    <row r="146">
      <c r="C146" t="inlineStr">
        <is>
          <t>Газы</t>
        </is>
      </c>
      <c r="D146" t="n">
        <v>0</v>
      </c>
      <c r="E146" t="n">
        <v>0</v>
      </c>
      <c r="F146" t="n">
        <v>0</v>
      </c>
      <c r="G146">
        <f>'Кальцинация и карбонизация'!G9</f>
        <v/>
      </c>
      <c r="H146" t="n">
        <v>0</v>
      </c>
      <c r="I146" t="n">
        <v>0</v>
      </c>
      <c r="J146" t="n">
        <v>0</v>
      </c>
      <c r="K146" s="12">
        <f>SUM(D146:J146)</f>
        <v/>
      </c>
    </row>
    <row r="147">
      <c r="C147" t="inlineStr">
        <is>
          <t>Всего</t>
        </is>
      </c>
      <c r="D147" s="13">
        <f>SUM(D143:D146)</f>
        <v/>
      </c>
      <c r="E147" s="13">
        <f>SUM(E142:E146)</f>
        <v/>
      </c>
      <c r="F147" s="13">
        <f>SUM(F143:F146)</f>
        <v/>
      </c>
      <c r="G147" s="13">
        <f>SUM(G143:G146)</f>
        <v/>
      </c>
      <c r="H147" s="13">
        <f>SUM(H143:H146)</f>
        <v/>
      </c>
      <c r="I147" s="13">
        <f>SUM(I143:I146)</f>
        <v/>
      </c>
      <c r="J147" s="13">
        <f>SUM(J143:J146)</f>
        <v/>
      </c>
      <c r="K147" s="12">
        <f>SUM(K143:K146)</f>
        <v/>
      </c>
    </row>
    <row r="148">
      <c r="C148" t="inlineStr">
        <is>
          <t>Получено, кг</t>
        </is>
      </c>
      <c r="E148" s="12" t="n"/>
      <c r="F148" s="12" t="n"/>
      <c r="G148" s="12" t="n"/>
      <c r="H148" s="12" t="n"/>
      <c r="I148" s="12" t="n"/>
      <c r="J148" s="12" t="n"/>
      <c r="K148" s="12">
        <f>SUM(D148:J148)</f>
        <v/>
      </c>
    </row>
    <row r="149">
      <c r="C149" t="inlineStr">
        <is>
          <t>Затравка гидроксида алюминия1</t>
        </is>
      </c>
      <c r="D149">
        <f>D144</f>
        <v/>
      </c>
      <c r="E149">
        <f>E144</f>
        <v/>
      </c>
      <c r="F149">
        <f>F144</f>
        <v/>
      </c>
      <c r="G149">
        <f>G144</f>
        <v/>
      </c>
      <c r="H149">
        <f>H144</f>
        <v/>
      </c>
      <c r="I149">
        <f>I144</f>
        <v/>
      </c>
      <c r="J149">
        <f>J144</f>
        <v/>
      </c>
      <c r="K149" s="12">
        <f>SUM(D149:J149)</f>
        <v/>
      </c>
    </row>
    <row r="150">
      <c r="C150" t="inlineStr">
        <is>
          <t>Содовый раствор1</t>
        </is>
      </c>
      <c r="D150">
        <f>D145</f>
        <v/>
      </c>
      <c r="E150">
        <f>E145</f>
        <v/>
      </c>
      <c r="F150">
        <f>F145</f>
        <v/>
      </c>
      <c r="G150">
        <f>G145</f>
        <v/>
      </c>
      <c r="H150">
        <f>H145</f>
        <v/>
      </c>
      <c r="I150">
        <f>I145</f>
        <v/>
      </c>
      <c r="J150">
        <f>J145</f>
        <v/>
      </c>
      <c r="K150" s="12">
        <f>SUM(D150:J150)</f>
        <v/>
      </c>
    </row>
    <row r="151">
      <c r="C151" t="inlineStr">
        <is>
          <t>Продукционый гидроксид алюминия</t>
        </is>
      </c>
      <c r="D151">
        <f>'Кальцинация и карбонизация'!G3</f>
        <v/>
      </c>
      <c r="E151" s="12">
        <f>E142</f>
        <v/>
      </c>
      <c r="F151" s="12" t="n">
        <v>0</v>
      </c>
      <c r="G151" s="12" t="n">
        <v>0</v>
      </c>
      <c r="H151" s="12" t="n">
        <v>0</v>
      </c>
      <c r="I151" s="12" t="n">
        <v>0</v>
      </c>
      <c r="J151" s="12">
        <f>K151-D151-E151</f>
        <v/>
      </c>
      <c r="K151" s="12">
        <f>'Кальцинация и карбонизация'!G4</f>
        <v/>
      </c>
    </row>
    <row r="152">
      <c r="C152" t="inlineStr">
        <is>
          <t>Содовый раствор2</t>
        </is>
      </c>
      <c r="D152" s="13">
        <f>D154-D149-D150-D151-D153</f>
        <v/>
      </c>
      <c r="E152" s="13">
        <f>E154-E149-E150-E151-E153</f>
        <v/>
      </c>
      <c r="F152" s="13">
        <f>F154-F149-F150-F151-F153</f>
        <v/>
      </c>
      <c r="G152" s="13">
        <f>G154-G149-G150-G151-G153</f>
        <v/>
      </c>
      <c r="H152" s="13">
        <f>'Кальцинация и карбонизация'!G7</f>
        <v/>
      </c>
      <c r="I152" s="13">
        <f>'Кальцинация и карбонизация'!G8</f>
        <v/>
      </c>
      <c r="J152" s="13">
        <f>J154-J149-J150-J151-J153</f>
        <v/>
      </c>
      <c r="K152" s="12">
        <f>SUM(D152:J152)</f>
        <v/>
      </c>
    </row>
    <row r="153">
      <c r="C153" t="inlineStr">
        <is>
          <t>Потери</t>
        </is>
      </c>
      <c r="D153">
        <f>'Исходные данные'!F44</f>
        <v/>
      </c>
      <c r="E153" s="12" t="n">
        <v>0</v>
      </c>
      <c r="F153" s="12" t="n">
        <v>0</v>
      </c>
      <c r="G153" s="12" t="n">
        <v>0</v>
      </c>
      <c r="H153" s="12">
        <f>'Исходные данные'!H44</f>
        <v/>
      </c>
      <c r="I153" s="12" t="n">
        <v>0</v>
      </c>
      <c r="J153" s="12" t="n">
        <v>0</v>
      </c>
      <c r="K153" s="12">
        <f>SUM(D153:J153)</f>
        <v/>
      </c>
    </row>
    <row r="154">
      <c r="C154" t="inlineStr">
        <is>
          <t>Всего</t>
        </is>
      </c>
      <c r="D154" s="13">
        <f>D147</f>
        <v/>
      </c>
      <c r="E154" s="13">
        <f>E147</f>
        <v/>
      </c>
      <c r="F154" s="13">
        <f>F147</f>
        <v/>
      </c>
      <c r="G154" s="13">
        <f>G147</f>
        <v/>
      </c>
      <c r="H154" s="13">
        <f>H147</f>
        <v/>
      </c>
      <c r="I154" s="13">
        <f>I147</f>
        <v/>
      </c>
      <c r="J154" s="13">
        <f>J147</f>
        <v/>
      </c>
      <c r="K154" s="12">
        <f>SUM(K149:K153)</f>
        <v/>
      </c>
    </row>
    <row r="155"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</row>
    <row r="156">
      <c r="B156" s="12" t="n"/>
      <c r="C156" s="12" t="inlineStr">
        <is>
          <t>Таблица 23</t>
        </is>
      </c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</row>
    <row r="157">
      <c r="B157" s="12" t="n"/>
      <c r="C157" s="12" t="n"/>
      <c r="D157" s="12" t="inlineStr">
        <is>
          <t>Al2O3</t>
        </is>
      </c>
      <c r="E157" s="12" t="inlineStr">
        <is>
          <t>SiO2</t>
        </is>
      </c>
      <c r="F157" s="12" t="inlineStr">
        <is>
          <t>CaO</t>
        </is>
      </c>
      <c r="G157" s="12" t="inlineStr">
        <is>
          <t>CO2</t>
        </is>
      </c>
      <c r="H157" s="12" t="inlineStr">
        <is>
          <t>Na2Oк</t>
        </is>
      </c>
      <c r="I157" s="12" t="inlineStr">
        <is>
          <t>Na2Oy</t>
        </is>
      </c>
      <c r="J157" s="12" t="inlineStr">
        <is>
          <t>H2O</t>
        </is>
      </c>
      <c r="K157" s="12" t="inlineStr">
        <is>
          <t>Итого</t>
        </is>
      </c>
      <c r="L157" s="12" t="n"/>
      <c r="M157" s="12" t="n"/>
    </row>
    <row r="158">
      <c r="B158" s="12" t="n"/>
      <c r="C158" s="23" t="inlineStr">
        <is>
          <t>Введено, кг</t>
        </is>
      </c>
      <c r="D158" s="23" t="n"/>
      <c r="E158" s="23" t="n"/>
      <c r="F158" s="23" t="n"/>
      <c r="G158" s="23" t="n"/>
      <c r="H158" s="23" t="n"/>
      <c r="I158" s="23" t="n"/>
      <c r="J158" s="23" t="n"/>
      <c r="K158" s="23" t="n"/>
      <c r="L158" s="12" t="n"/>
      <c r="M158" s="12" t="n"/>
    </row>
    <row r="159">
      <c r="B159" s="12" t="n"/>
      <c r="C159" s="12" t="inlineStr">
        <is>
          <t>Гидроксид алюминия</t>
        </is>
      </c>
      <c r="D159" s="12">
        <f>D151</f>
        <v/>
      </c>
      <c r="E159" s="12">
        <f>E151</f>
        <v/>
      </c>
      <c r="F159" s="12">
        <f>F151</f>
        <v/>
      </c>
      <c r="G159" s="12">
        <f>G151</f>
        <v/>
      </c>
      <c r="H159" s="12">
        <f>H151</f>
        <v/>
      </c>
      <c r="I159" s="12">
        <f>I151</f>
        <v/>
      </c>
      <c r="J159" s="12">
        <f>J151</f>
        <v/>
      </c>
      <c r="K159" s="12">
        <f>SUM(D159:J159)</f>
        <v/>
      </c>
      <c r="L159" s="12" t="n"/>
      <c r="M159" s="12" t="n"/>
    </row>
    <row r="160">
      <c r="B160" s="12" t="n"/>
      <c r="C160" s="12" t="inlineStr">
        <is>
          <t>Содовый раствор</t>
        </is>
      </c>
      <c r="D160" s="13">
        <f>K160*D152/K152</f>
        <v/>
      </c>
      <c r="E160" s="12" t="n">
        <v>0</v>
      </c>
      <c r="F160" s="12" t="n">
        <v>0</v>
      </c>
      <c r="G160" s="16">
        <f>I160*44/62</f>
        <v/>
      </c>
      <c r="H160" s="16">
        <f>H152*K160/K152</f>
        <v/>
      </c>
      <c r="I160" s="16">
        <f>I152*K160/K152</f>
        <v/>
      </c>
      <c r="J160" s="16">
        <f>K160-I160-H160-D160-G160</f>
        <v/>
      </c>
      <c r="K160" s="12">
        <f>K151*'Исходные данные'!J102/(100-'Исходные данные'!J102)</f>
        <v/>
      </c>
      <c r="L160" s="12" t="n"/>
      <c r="M160" s="12" t="n"/>
    </row>
    <row r="161">
      <c r="B161" s="12" t="n"/>
      <c r="C161" s="12" t="inlineStr">
        <is>
          <t>Вода на промывку</t>
        </is>
      </c>
      <c r="D161" s="12" t="n">
        <v>0</v>
      </c>
      <c r="E161" s="12" t="n">
        <v>0</v>
      </c>
      <c r="F161" s="12" t="n">
        <v>0</v>
      </c>
      <c r="G161" s="12" t="n">
        <v>0</v>
      </c>
      <c r="H161" s="12" t="n">
        <v>0</v>
      </c>
      <c r="I161" s="12" t="n">
        <v>0</v>
      </c>
      <c r="J161" s="12">
        <f>'Исходные данные'!L86</f>
        <v/>
      </c>
      <c r="K161" s="12">
        <f>SUM(D161:J161)</f>
        <v/>
      </c>
      <c r="L161" s="12" t="n"/>
      <c r="M161" s="12" t="n"/>
    </row>
    <row r="162">
      <c r="B162" s="12" t="n"/>
      <c r="C162" s="12" t="inlineStr">
        <is>
          <t>Всего</t>
        </is>
      </c>
      <c r="D162" s="12">
        <f>SUM(D159:D161)</f>
        <v/>
      </c>
      <c r="E162" s="12">
        <f>SUM(E159:E161)</f>
        <v/>
      </c>
      <c r="F162" s="12">
        <f>SUM(F159:F161)</f>
        <v/>
      </c>
      <c r="G162" s="12">
        <f>SUM(G159:G161)</f>
        <v/>
      </c>
      <c r="H162" s="12">
        <f>SUM(H159:H161)</f>
        <v/>
      </c>
      <c r="I162" s="12">
        <f>SUM(I159:I161)</f>
        <v/>
      </c>
      <c r="J162" s="12">
        <f>SUM(J159:J161)</f>
        <v/>
      </c>
      <c r="K162" s="12">
        <f>SUM(K159:K161)</f>
        <v/>
      </c>
      <c r="L162" s="12" t="n"/>
      <c r="M162" s="12" t="n"/>
    </row>
    <row r="163">
      <c r="B163" s="12" t="n"/>
      <c r="C163" s="12" t="inlineStr">
        <is>
          <t>Получено, кг</t>
        </is>
      </c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</row>
    <row r="164">
      <c r="B164" s="12" t="n"/>
      <c r="C164" s="12" t="inlineStr">
        <is>
          <t>Отмытый гидроксид алюминия</t>
        </is>
      </c>
      <c r="D164" s="12">
        <f>D159</f>
        <v/>
      </c>
      <c r="E164" s="12">
        <f>E159</f>
        <v/>
      </c>
      <c r="F164" s="12">
        <f>F159</f>
        <v/>
      </c>
      <c r="G164" s="12">
        <f>G159</f>
        <v/>
      </c>
      <c r="H164" s="12">
        <f>H159</f>
        <v/>
      </c>
      <c r="I164" s="12">
        <f>I159</f>
        <v/>
      </c>
      <c r="J164" s="12">
        <f>J159</f>
        <v/>
      </c>
      <c r="K164" s="12">
        <f>SUM(D164:J164)</f>
        <v/>
      </c>
      <c r="L164" s="12" t="n"/>
      <c r="M164" s="12" t="n"/>
    </row>
    <row r="165">
      <c r="B165" s="12" t="n"/>
      <c r="C165" s="12" t="inlineStr">
        <is>
          <t>Промвода</t>
        </is>
      </c>
      <c r="D165" s="12" t="n">
        <v>0</v>
      </c>
      <c r="E165" s="12" t="n">
        <v>0</v>
      </c>
      <c r="F165" s="12" t="n">
        <v>0</v>
      </c>
      <c r="G165" s="12">
        <f>I165*44/62</f>
        <v/>
      </c>
      <c r="H165" s="12">
        <f>'Исходные данные'!H46*0.04</f>
        <v/>
      </c>
      <c r="I165" s="12">
        <f>'Исходные данные'!H46*0.96</f>
        <v/>
      </c>
      <c r="J165" s="12">
        <f>K165-I165-H165-G165</f>
        <v/>
      </c>
      <c r="K165" s="12">
        <f>K160</f>
        <v/>
      </c>
      <c r="L165" s="12" t="n"/>
      <c r="M165" s="12" t="n"/>
    </row>
    <row r="166">
      <c r="B166" s="12" t="n"/>
      <c r="C166" s="12" t="inlineStr">
        <is>
          <t>Промвода на выпарку</t>
        </is>
      </c>
      <c r="D166" s="12">
        <f>D167-SUM(D164:D165)</f>
        <v/>
      </c>
      <c r="E166" s="12">
        <f>E167-SUM(E164:E165)</f>
        <v/>
      </c>
      <c r="F166" s="12">
        <f>F167-SUM(F164:F165)</f>
        <v/>
      </c>
      <c r="G166" s="12">
        <f>G167-SUM(G164:G165)</f>
        <v/>
      </c>
      <c r="H166" s="12">
        <f>H167-SUM(H164:H165)</f>
        <v/>
      </c>
      <c r="I166" s="12">
        <f>I167-SUM(I164:I165)</f>
        <v/>
      </c>
      <c r="J166" s="12">
        <f>J167-SUM(J164:J165)</f>
        <v/>
      </c>
      <c r="K166" s="12">
        <f>SUM(D166:J166)</f>
        <v/>
      </c>
      <c r="L166" s="12" t="n"/>
      <c r="M166" s="12" t="n"/>
    </row>
    <row r="167">
      <c r="B167" s="12" t="n"/>
      <c r="C167" s="12" t="inlineStr">
        <is>
          <t>Всего</t>
        </is>
      </c>
      <c r="D167" s="12">
        <f>D162</f>
        <v/>
      </c>
      <c r="E167" s="12">
        <f>E162</f>
        <v/>
      </c>
      <c r="F167" s="12">
        <f>F162</f>
        <v/>
      </c>
      <c r="G167" s="12">
        <f>G162</f>
        <v/>
      </c>
      <c r="H167" s="12">
        <f>H162</f>
        <v/>
      </c>
      <c r="I167" s="12">
        <f>I162</f>
        <v/>
      </c>
      <c r="J167" s="12">
        <f>J162</f>
        <v/>
      </c>
      <c r="K167" s="12">
        <f>SUM(K164:K166)</f>
        <v/>
      </c>
      <c r="L167" s="12" t="n"/>
      <c r="M167" s="12" t="n"/>
    </row>
    <row r="168"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</row>
    <row r="169"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</row>
    <row r="170">
      <c r="B170" s="12" t="n"/>
      <c r="C170" s="12" t="inlineStr">
        <is>
          <t>Таблица 24</t>
        </is>
      </c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</row>
    <row r="171">
      <c r="B171" s="12" t="n"/>
      <c r="C171" s="12" t="n"/>
      <c r="D171" s="12" t="inlineStr">
        <is>
          <t>Al2O3</t>
        </is>
      </c>
      <c r="E171" s="12" t="inlineStr">
        <is>
          <t>SiO2</t>
        </is>
      </c>
      <c r="F171" s="12" t="inlineStr">
        <is>
          <t>CaO</t>
        </is>
      </c>
      <c r="G171" s="12" t="inlineStr">
        <is>
          <t>CO2</t>
        </is>
      </c>
      <c r="H171" s="12" t="inlineStr">
        <is>
          <t>Na2Oобщ</t>
        </is>
      </c>
      <c r="I171" s="12" t="inlineStr">
        <is>
          <t>H2O</t>
        </is>
      </c>
      <c r="J171" s="12" t="inlineStr">
        <is>
          <t>Итого</t>
        </is>
      </c>
      <c r="L171" s="12" t="n"/>
      <c r="M171" s="12" t="n"/>
    </row>
    <row r="172">
      <c r="B172" s="12" t="n"/>
      <c r="C172" s="23" t="inlineStr">
        <is>
          <t>Введено, кг</t>
        </is>
      </c>
      <c r="D172" s="23" t="n"/>
      <c r="E172" s="23" t="n"/>
      <c r="F172" s="23" t="n"/>
      <c r="G172" s="23" t="n"/>
      <c r="H172" s="23" t="n"/>
      <c r="I172" s="23" t="n"/>
      <c r="J172" s="23" t="n"/>
      <c r="L172" s="12" t="n"/>
      <c r="M172" s="12" t="n"/>
    </row>
    <row r="173">
      <c r="B173" s="12" t="n"/>
      <c r="C173" s="12" t="inlineStr">
        <is>
          <t>Гидроксид алюминия</t>
        </is>
      </c>
      <c r="D173" s="12">
        <f>D164</f>
        <v/>
      </c>
      <c r="E173" s="12">
        <f>E164</f>
        <v/>
      </c>
      <c r="F173" s="12">
        <f>F164</f>
        <v/>
      </c>
      <c r="G173" s="12">
        <f>G164</f>
        <v/>
      </c>
      <c r="H173" t="n">
        <v>0</v>
      </c>
      <c r="I173" s="12">
        <f>J164</f>
        <v/>
      </c>
      <c r="J173" s="12">
        <f>SUM(D173:I173)</f>
        <v/>
      </c>
      <c r="L173" s="12" t="n"/>
      <c r="M173" s="12" t="n"/>
    </row>
    <row r="174">
      <c r="B174" s="12" t="n"/>
      <c r="C174" s="12" t="inlineStr">
        <is>
          <t>Промвода</t>
        </is>
      </c>
      <c r="D174" s="12" t="n">
        <v>0</v>
      </c>
      <c r="E174" s="12" t="n">
        <v>0</v>
      </c>
      <c r="F174" s="12" t="n">
        <v>0</v>
      </c>
      <c r="G174" s="12">
        <f>G165</f>
        <v/>
      </c>
      <c r="H174" s="12">
        <f>'Исходные данные'!H46</f>
        <v/>
      </c>
      <c r="I174" s="12">
        <f>J165</f>
        <v/>
      </c>
      <c r="J174" s="12">
        <f>SUM(D174:I174)</f>
        <v/>
      </c>
      <c r="L174" s="12" t="n"/>
      <c r="M174" s="12" t="n"/>
    </row>
    <row r="175">
      <c r="B175" s="12" t="n"/>
      <c r="C175" s="12" t="inlineStr">
        <is>
          <t>Всего</t>
        </is>
      </c>
      <c r="D175" s="12">
        <f>SUM(D173:D174)</f>
        <v/>
      </c>
      <c r="E175" s="12">
        <f>SUM(E173:E174)</f>
        <v/>
      </c>
      <c r="F175" s="12">
        <f>SUM(F173:F174)</f>
        <v/>
      </c>
      <c r="G175" s="12">
        <f>SUM(G173:G174)</f>
        <v/>
      </c>
      <c r="H175" s="12">
        <f>SUM(H173:H174)</f>
        <v/>
      </c>
      <c r="I175" s="12">
        <f>SUM(I173:I174)</f>
        <v/>
      </c>
      <c r="J175" s="12">
        <f>SUM(J173:J174)</f>
        <v/>
      </c>
      <c r="L175" s="12" t="n"/>
      <c r="M175" s="12" t="n"/>
    </row>
    <row r="176">
      <c r="B176" s="12" t="n"/>
      <c r="C176" s="12" t="inlineStr">
        <is>
          <t>Получено, кг</t>
        </is>
      </c>
      <c r="D176" s="12" t="n"/>
      <c r="E176" s="12" t="n"/>
      <c r="F176" s="12" t="n"/>
      <c r="G176" s="12" t="n"/>
      <c r="H176" s="12" t="n"/>
      <c r="I176" s="12" t="n"/>
      <c r="J176" s="12" t="n"/>
      <c r="L176" s="12" t="n"/>
      <c r="M176" s="12" t="n"/>
    </row>
    <row r="177">
      <c r="B177" s="12" t="n"/>
      <c r="C177" s="12" t="inlineStr">
        <is>
          <t>Глинозем</t>
        </is>
      </c>
      <c r="D177" s="12">
        <f>'Исходные данные'!F30</f>
        <v/>
      </c>
      <c r="E177" s="12">
        <f>E173</f>
        <v/>
      </c>
      <c r="F177" s="12" t="n">
        <v>0</v>
      </c>
      <c r="G177" s="12" t="n">
        <v>0</v>
      </c>
      <c r="H177" s="12">
        <f>H174-H178</f>
        <v/>
      </c>
      <c r="I177" s="12">
        <f>J177-H177-E177-D177</f>
        <v/>
      </c>
      <c r="J177" s="12" t="n">
        <v>1000</v>
      </c>
      <c r="L177" s="12" t="n"/>
      <c r="M177" s="12" t="n"/>
    </row>
    <row r="178">
      <c r="B178" s="12" t="n"/>
      <c r="C178" s="12" t="inlineStr">
        <is>
          <t>Потери</t>
        </is>
      </c>
      <c r="D178" s="12">
        <f>'Исходные данные'!F46</f>
        <v/>
      </c>
      <c r="E178" s="12" t="n">
        <v>0</v>
      </c>
      <c r="F178" s="12" t="n">
        <v>0</v>
      </c>
      <c r="G178" s="12">
        <f>G165</f>
        <v/>
      </c>
      <c r="H178">
        <f>0.25</f>
        <v/>
      </c>
      <c r="I178" s="12">
        <f>I179-I177</f>
        <v/>
      </c>
      <c r="J178" s="12">
        <f>SUM(D178:I178)</f>
        <v/>
      </c>
      <c r="L178" s="12" t="n"/>
      <c r="M178" s="12" t="n"/>
    </row>
    <row r="179">
      <c r="B179" s="12" t="n"/>
      <c r="C179" s="12" t="inlineStr">
        <is>
          <t>Всего</t>
        </is>
      </c>
      <c r="D179" s="12">
        <f>D175</f>
        <v/>
      </c>
      <c r="E179" s="12">
        <f>E175</f>
        <v/>
      </c>
      <c r="F179" s="12">
        <f>F175</f>
        <v/>
      </c>
      <c r="G179" s="12">
        <f>G175</f>
        <v/>
      </c>
      <c r="H179" s="12">
        <f>H175</f>
        <v/>
      </c>
      <c r="I179" s="12">
        <f>I175</f>
        <v/>
      </c>
      <c r="J179" s="12">
        <f>SUM(D179:I179)</f>
        <v/>
      </c>
      <c r="L179" s="12" t="n"/>
      <c r="M179" s="12" t="n"/>
    </row>
    <row r="180"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</row>
    <row r="181"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</row>
    <row r="182">
      <c r="B182" s="12" t="n"/>
      <c r="C182" s="12" t="inlineStr">
        <is>
          <t>Таблица 25</t>
        </is>
      </c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</row>
    <row r="183">
      <c r="B183" s="12" t="n"/>
      <c r="C183" s="12" t="n"/>
      <c r="D183" s="23" t="inlineStr">
        <is>
          <t>Введено, кг</t>
        </is>
      </c>
      <c r="E183" s="12" t="inlineStr">
        <is>
          <t>Регенерация</t>
        </is>
      </c>
      <c r="F183" s="12" t="inlineStr">
        <is>
          <t>Содовый раствор</t>
        </is>
      </c>
      <c r="G183" s="12" t="inlineStr">
        <is>
          <t>На выпарку</t>
        </is>
      </c>
      <c r="H183" s="12" t="n"/>
      <c r="I183" s="12" t="n"/>
      <c r="J183" s="12" t="n"/>
      <c r="K183" s="12" t="n"/>
      <c r="L183" s="12" t="n"/>
    </row>
    <row r="184">
      <c r="B184" s="12" t="n"/>
      <c r="C184" s="12" t="inlineStr">
        <is>
          <t>Al2O3</t>
        </is>
      </c>
      <c r="D184" s="23">
        <f>D152</f>
        <v/>
      </c>
      <c r="E184" s="12">
        <f>'Выщелачивание спека'!B17</f>
        <v/>
      </c>
      <c r="F184" s="16">
        <f>D160</f>
        <v/>
      </c>
      <c r="G184" s="23">
        <f>D184-E184-F184</f>
        <v/>
      </c>
      <c r="H184" s="12" t="n"/>
      <c r="I184" s="12" t="n"/>
      <c r="J184" s="12" t="n"/>
      <c r="K184" s="12" t="n"/>
      <c r="L184" s="12" t="n"/>
    </row>
    <row r="185">
      <c r="B185" s="12" t="n"/>
      <c r="C185" s="12" t="inlineStr">
        <is>
          <t>Na2Oк</t>
        </is>
      </c>
      <c r="D185" s="23">
        <f>H152</f>
        <v/>
      </c>
      <c r="E185" s="12">
        <f>'Выщелачивание спека'!C17</f>
        <v/>
      </c>
      <c r="F185" s="16">
        <f>H160</f>
        <v/>
      </c>
      <c r="G185" s="23">
        <f>D185-E185-F185</f>
        <v/>
      </c>
      <c r="H185" s="12" t="n"/>
      <c r="I185" s="12" t="n"/>
      <c r="J185" s="12" t="n"/>
      <c r="K185" s="12" t="n"/>
      <c r="L185" s="12" t="n"/>
    </row>
    <row r="186">
      <c r="B186" s="12" t="n"/>
      <c r="C186" s="12" t="inlineStr">
        <is>
          <t>Na2Oy</t>
        </is>
      </c>
      <c r="D186" s="23">
        <f>I152</f>
        <v/>
      </c>
      <c r="E186" s="12">
        <f>'Выщелачивание спека'!D17</f>
        <v/>
      </c>
      <c r="F186" s="16">
        <f>I160</f>
        <v/>
      </c>
      <c r="G186" s="23">
        <f>D186-E186-F186</f>
        <v/>
      </c>
      <c r="H186" s="12" t="n"/>
      <c r="I186" s="12" t="n"/>
      <c r="J186" s="12" t="n"/>
      <c r="K186" s="12" t="n"/>
      <c r="L186" s="12" t="n"/>
    </row>
    <row r="187">
      <c r="B187" s="12" t="n"/>
      <c r="C187" s="12" t="inlineStr">
        <is>
          <t>CO2</t>
        </is>
      </c>
      <c r="D187" s="23">
        <f>G152</f>
        <v/>
      </c>
      <c r="E187" s="12">
        <f>'Выщелачивание спека'!E17</f>
        <v/>
      </c>
      <c r="F187" s="16">
        <f>G160</f>
        <v/>
      </c>
      <c r="G187" s="23">
        <f>D187-E187-F187</f>
        <v/>
      </c>
      <c r="H187" s="12" t="n"/>
      <c r="I187" s="12" t="n"/>
      <c r="J187" s="12" t="n"/>
      <c r="K187" s="12" t="n"/>
      <c r="L187" s="12" t="n"/>
    </row>
    <row r="188">
      <c r="B188" s="12" t="n"/>
      <c r="C188" s="12" t="inlineStr">
        <is>
          <t>H2O</t>
        </is>
      </c>
      <c r="D188" s="23">
        <f>J152</f>
        <v/>
      </c>
      <c r="E188" s="12">
        <f>'Выщелачивание спека'!F17</f>
        <v/>
      </c>
      <c r="F188" s="16">
        <f>J160</f>
        <v/>
      </c>
      <c r="G188" s="23">
        <f>D188-E188-F188</f>
        <v/>
      </c>
      <c r="H188" s="12" t="n"/>
      <c r="I188" s="12" t="n"/>
      <c r="J188" s="12" t="n"/>
      <c r="K188" s="12" t="n"/>
      <c r="L188" s="12" t="n"/>
    </row>
    <row r="189">
      <c r="B189" s="12" t="n"/>
      <c r="C189" s="12" t="inlineStr">
        <is>
          <t>Итого</t>
        </is>
      </c>
      <c r="D189" s="23">
        <f>SUM(D184:D188)</f>
        <v/>
      </c>
      <c r="E189" s="23">
        <f>SUM(E184:E188)</f>
        <v/>
      </c>
      <c r="F189" s="23">
        <f>SUM(F184:F188)</f>
        <v/>
      </c>
      <c r="G189" s="23">
        <f>D189-E189-F189</f>
        <v/>
      </c>
      <c r="H189" s="12" t="n"/>
      <c r="I189" s="12" t="n"/>
      <c r="J189" s="12" t="n"/>
      <c r="K189" s="12" t="n"/>
      <c r="L189" s="12" t="n"/>
    </row>
    <row r="190">
      <c r="B190" s="12" t="n"/>
      <c r="D190" s="23" t="n"/>
      <c r="E190" s="12" t="n"/>
      <c r="F190" s="12" t="n"/>
      <c r="G190" s="12" t="n"/>
      <c r="H190" s="12" t="n"/>
      <c r="I190" s="12" t="n"/>
      <c r="J190" s="12" t="n"/>
      <c r="K190" s="12" t="n"/>
      <c r="L190" s="12" t="n"/>
    </row>
    <row r="191">
      <c r="B191" s="12" t="n"/>
      <c r="D191" s="23" t="n"/>
      <c r="E191" s="12" t="n"/>
      <c r="F191" s="12" t="n"/>
      <c r="G191" s="12" t="n"/>
      <c r="H191" s="12" t="n"/>
      <c r="I191" s="12" t="n"/>
      <c r="J191" s="12" t="n"/>
      <c r="K191" s="12" t="n"/>
      <c r="L191" s="12" t="n"/>
    </row>
    <row r="192"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</row>
    <row r="193"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</row>
    <row r="194"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</row>
    <row r="195"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</row>
    <row r="196">
      <c r="B196" s="12" t="n"/>
      <c r="C196" s="12" t="inlineStr">
        <is>
          <t>Таблица 26</t>
        </is>
      </c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</row>
    <row r="197">
      <c r="B197" s="12" t="n"/>
      <c r="C197" s="12" t="n"/>
      <c r="D197" s="12" t="inlineStr">
        <is>
          <t>Al2O3</t>
        </is>
      </c>
      <c r="E197" s="12" t="inlineStr">
        <is>
          <t>SiO2</t>
        </is>
      </c>
      <c r="F197" s="12" t="inlineStr">
        <is>
          <t>CaO</t>
        </is>
      </c>
      <c r="G197" s="12" t="inlineStr">
        <is>
          <t>CO2</t>
        </is>
      </c>
      <c r="H197" s="12" t="inlineStr">
        <is>
          <t>Na2Oк</t>
        </is>
      </c>
      <c r="I197" s="12" t="inlineStr">
        <is>
          <t>Na2Oy</t>
        </is>
      </c>
      <c r="J197" s="12" t="inlineStr">
        <is>
          <t>Na2Oобщ</t>
        </is>
      </c>
      <c r="K197" s="12" t="inlineStr">
        <is>
          <t>H2O</t>
        </is>
      </c>
      <c r="L197" s="12" t="inlineStr">
        <is>
          <t>Итого</t>
        </is>
      </c>
      <c r="M197" s="12" t="n"/>
    </row>
    <row r="198">
      <c r="B198" s="12" t="n"/>
      <c r="C198" s="23" t="inlineStr">
        <is>
          <t>Введено, кг</t>
        </is>
      </c>
      <c r="D198" s="23" t="n"/>
      <c r="E198" s="23" t="n"/>
      <c r="F198" s="23" t="n"/>
      <c r="G198" s="23" t="n"/>
      <c r="H198" s="23" t="n"/>
      <c r="I198" s="23" t="n"/>
      <c r="K198" s="23" t="n"/>
      <c r="L198" s="23" t="n"/>
      <c r="M198" s="12" t="n"/>
    </row>
    <row r="199">
      <c r="B199" s="12" t="n"/>
      <c r="C199" s="12" t="inlineStr">
        <is>
          <t>Содовый раствор</t>
        </is>
      </c>
      <c r="D199" s="24">
        <f>G184</f>
        <v/>
      </c>
      <c r="E199" s="12" t="n">
        <v>0</v>
      </c>
      <c r="F199" s="12" t="n">
        <v>0</v>
      </c>
      <c r="G199" s="24">
        <f>G187</f>
        <v/>
      </c>
      <c r="H199" s="24">
        <f>G185</f>
        <v/>
      </c>
      <c r="I199" s="24">
        <f>G186</f>
        <v/>
      </c>
      <c r="J199" t="n">
        <v>0</v>
      </c>
      <c r="K199" s="24">
        <f>G188</f>
        <v/>
      </c>
      <c r="L199" s="24">
        <f>SUM(D199:K199)</f>
        <v/>
      </c>
      <c r="M199" s="12" t="n"/>
    </row>
    <row r="200">
      <c r="B200" s="12" t="n"/>
      <c r="C200" s="12" t="inlineStr">
        <is>
          <t>Промвода</t>
        </is>
      </c>
      <c r="D200" s="12">
        <f>D166</f>
        <v/>
      </c>
      <c r="E200" s="12" t="n">
        <v>0</v>
      </c>
      <c r="F200" s="12" t="n">
        <v>0</v>
      </c>
      <c r="G200" s="12">
        <f>G166</f>
        <v/>
      </c>
      <c r="H200" s="12">
        <f>H166</f>
        <v/>
      </c>
      <c r="I200" s="12">
        <f>I166</f>
        <v/>
      </c>
      <c r="J200" t="n">
        <v>0</v>
      </c>
      <c r="K200" s="12">
        <f>J166</f>
        <v/>
      </c>
      <c r="L200" s="24">
        <f>SUM(D200:K200)</f>
        <v/>
      </c>
      <c r="M200" s="12" t="n"/>
    </row>
    <row r="201">
      <c r="B201" s="12" t="n"/>
      <c r="C201" s="12" t="inlineStr">
        <is>
          <t>Всего</t>
        </is>
      </c>
      <c r="D201" s="24">
        <f>SUM(D199:D200)</f>
        <v/>
      </c>
      <c r="E201" s="24">
        <f>SUM(E199:E200)</f>
        <v/>
      </c>
      <c r="F201" s="24">
        <f>SUM(F199:F200)</f>
        <v/>
      </c>
      <c r="G201" s="24">
        <f>SUM(G199:G200)</f>
        <v/>
      </c>
      <c r="H201" s="24">
        <f>SUM(H199:H200)</f>
        <v/>
      </c>
      <c r="I201" s="24">
        <f>SUM(I199:I200)</f>
        <v/>
      </c>
      <c r="J201" t="n">
        <v>0</v>
      </c>
      <c r="K201" s="24">
        <f>SUM(K199:K200)</f>
        <v/>
      </c>
      <c r="L201" s="24">
        <f>SUM(L199:L200)</f>
        <v/>
      </c>
      <c r="M201" s="12" t="n"/>
    </row>
    <row r="202">
      <c r="B202" s="12" t="n"/>
      <c r="C202" s="12" t="inlineStr">
        <is>
          <t>Получено, кг</t>
        </is>
      </c>
      <c r="D202" s="12" t="n"/>
      <c r="K202" s="12" t="n"/>
      <c r="L202" s="24" t="n"/>
      <c r="M202" s="12" t="n"/>
    </row>
    <row r="203">
      <c r="B203" s="12" t="n"/>
      <c r="C203" s="12" t="inlineStr">
        <is>
          <t>Оборотный раствор</t>
        </is>
      </c>
      <c r="D203" s="12">
        <f>D11</f>
        <v/>
      </c>
      <c r="E203" s="12" t="n">
        <v>0</v>
      </c>
      <c r="F203" s="12" t="n">
        <v>0</v>
      </c>
      <c r="G203" s="12">
        <f>I11</f>
        <v/>
      </c>
      <c r="H203" t="n">
        <v>0</v>
      </c>
      <c r="I203" s="12" t="n">
        <v>0</v>
      </c>
      <c r="J203" s="12">
        <f>J11</f>
        <v/>
      </c>
      <c r="K203" s="12">
        <f>M11</f>
        <v/>
      </c>
      <c r="L203" s="24">
        <f>SUM(D203:K203)</f>
        <v/>
      </c>
      <c r="M203" s="12" t="n"/>
    </row>
    <row r="204">
      <c r="B204" s="12" t="n"/>
      <c r="C204" s="12" t="inlineStr">
        <is>
          <t>Потери</t>
        </is>
      </c>
      <c r="D204" s="12" t="n">
        <v>0</v>
      </c>
      <c r="E204" s="12" t="n">
        <v>0</v>
      </c>
      <c r="F204" s="12" t="n">
        <v>0</v>
      </c>
      <c r="G204" s="24">
        <f>G205-G203</f>
        <v/>
      </c>
      <c r="H204" s="12" t="n">
        <v>0</v>
      </c>
      <c r="I204" s="12" t="n">
        <v>0</v>
      </c>
      <c r="J204">
        <f>'Исходные данные'!H45</f>
        <v/>
      </c>
      <c r="K204" s="24">
        <f>K205-K203</f>
        <v/>
      </c>
      <c r="L204" s="24">
        <f>SUM(D204:K204)</f>
        <v/>
      </c>
      <c r="M204" s="12" t="n"/>
    </row>
    <row r="205">
      <c r="B205" s="12" t="n"/>
      <c r="C205" s="12" t="inlineStr">
        <is>
          <t>Всего</t>
        </is>
      </c>
      <c r="D205" s="24">
        <f>D201</f>
        <v/>
      </c>
      <c r="E205" s="24">
        <f>E201</f>
        <v/>
      </c>
      <c r="F205" s="24">
        <f>F201</f>
        <v/>
      </c>
      <c r="G205" s="24">
        <f>G201</f>
        <v/>
      </c>
      <c r="H205" s="24">
        <f>H201</f>
        <v/>
      </c>
      <c r="I205" s="24">
        <f>I201</f>
        <v/>
      </c>
      <c r="J205" s="24">
        <f>J201</f>
        <v/>
      </c>
      <c r="K205" s="24">
        <f>K201</f>
        <v/>
      </c>
      <c r="L205" s="24">
        <f>SUM(L203:L204)</f>
        <v/>
      </c>
      <c r="M205" s="12" t="n"/>
    </row>
  </sheetData>
  <mergeCells count="10">
    <mergeCell ref="C49:K49"/>
    <mergeCell ref="C64:K64"/>
    <mergeCell ref="C81:N81"/>
    <mergeCell ref="C95:L95"/>
    <mergeCell ref="C111:L111"/>
    <mergeCell ref="C3:N3"/>
    <mergeCell ref="C5:N5"/>
    <mergeCell ref="C13:N13"/>
    <mergeCell ref="C19:N19"/>
    <mergeCell ref="C33:K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W102"/>
  <sheetViews>
    <sheetView topLeftCell="A26" zoomScale="85" zoomScaleNormal="85" workbookViewId="0">
      <selection activeCell="H37" sqref="H37"/>
    </sheetView>
  </sheetViews>
  <sheetFormatPr baseColWidth="8" defaultColWidth="9" defaultRowHeight="14.4"/>
  <cols>
    <col width="13.44140625" customWidth="1" min="13" max="13"/>
    <col width="19.77734375" customWidth="1" min="20" max="20"/>
  </cols>
  <sheetData>
    <row r="1">
      <c r="A1" t="inlineStr">
        <is>
          <t xml:space="preserve">Исходные данные </t>
        </is>
      </c>
      <c r="M1" t="inlineStr">
        <is>
          <t xml:space="preserve">Молекулярные массы соеденений </t>
        </is>
      </c>
    </row>
    <row r="2">
      <c r="A2" t="inlineStr">
        <is>
          <t>1. Химический состав боксита</t>
        </is>
      </c>
      <c r="M2" t="inlineStr">
        <is>
          <t>Na2CO3</t>
        </is>
      </c>
      <c r="N2" t="n">
        <v>106</v>
      </c>
      <c r="S2" t="inlineStr">
        <is>
          <t>Что можно меняем</t>
        </is>
      </c>
      <c r="U2" s="4" t="inlineStr">
        <is>
          <t>Что константы</t>
        </is>
      </c>
      <c r="V2" s="5" t="n"/>
      <c r="W2" t="inlineStr">
        <is>
          <t>Примечания</t>
        </is>
      </c>
    </row>
    <row r="3">
      <c r="A3" t="inlineStr">
        <is>
          <t>Al2O3</t>
        </is>
      </c>
      <c r="B3" t="inlineStr">
        <is>
          <t>Fe2O3</t>
        </is>
      </c>
      <c r="C3" t="inlineStr">
        <is>
          <t>SiO2</t>
        </is>
      </c>
      <c r="D3" t="inlineStr">
        <is>
          <t>TiO2</t>
        </is>
      </c>
      <c r="E3" t="inlineStr">
        <is>
          <t>CaO</t>
        </is>
      </c>
      <c r="F3" t="inlineStr">
        <is>
          <t>CO2</t>
        </is>
      </c>
      <c r="G3" t="inlineStr">
        <is>
          <t xml:space="preserve">прочие </t>
        </is>
      </c>
      <c r="H3" t="inlineStr">
        <is>
          <t>ппп</t>
        </is>
      </c>
      <c r="I3" t="inlineStr">
        <is>
          <t>влага</t>
        </is>
      </c>
      <c r="M3" t="inlineStr">
        <is>
          <t>Na2O</t>
        </is>
      </c>
      <c r="N3" t="n">
        <v>62</v>
      </c>
      <c r="S3" t="inlineStr">
        <is>
          <t>Состав сух боксита</t>
        </is>
      </c>
      <c r="U3" s="4" t="inlineStr">
        <is>
          <t>расход соды 100%</t>
        </is>
      </c>
      <c r="V3" s="5" t="n"/>
      <c r="W3" t="inlineStr">
        <is>
          <t>Проверка состава боксита</t>
        </is>
      </c>
    </row>
    <row r="4">
      <c r="A4" t="n">
        <v>48</v>
      </c>
      <c r="B4" t="n">
        <v>24</v>
      </c>
      <c r="C4" t="n">
        <v>8.140000000000001</v>
      </c>
      <c r="D4" t="n">
        <v>2.6</v>
      </c>
      <c r="E4" t="n">
        <v>2.8</v>
      </c>
      <c r="F4" t="n">
        <v>2.2</v>
      </c>
      <c r="G4" t="n">
        <v>1.46</v>
      </c>
      <c r="H4" t="n">
        <v>10.8</v>
      </c>
      <c r="I4" t="n">
        <v>7</v>
      </c>
      <c r="M4" t="inlineStr">
        <is>
          <t>CaCO3</t>
        </is>
      </c>
      <c r="N4" t="n">
        <v>100</v>
      </c>
      <c r="U4" s="4" t="inlineStr">
        <is>
          <t>Состав соды</t>
        </is>
      </c>
      <c r="V4" s="5" t="n"/>
      <c r="W4" t="inlineStr">
        <is>
          <t>Влага поменять на влажность боксита\известняка</t>
        </is>
      </c>
    </row>
    <row r="5">
      <c r="M5" t="inlineStr">
        <is>
          <t>SiO2</t>
        </is>
      </c>
      <c r="N5" t="n">
        <v>60</v>
      </c>
      <c r="U5" s="4" t="n"/>
      <c r="V5" s="5" t="n"/>
    </row>
    <row r="6">
      <c r="A6" t="inlineStr">
        <is>
          <t xml:space="preserve">2. Химический состав известняк </t>
        </is>
      </c>
      <c r="M6" t="inlineStr">
        <is>
          <t>CaO</t>
        </is>
      </c>
      <c r="N6" t="n">
        <v>56</v>
      </c>
      <c r="U6" s="4" t="n"/>
      <c r="V6" s="5" t="n"/>
    </row>
    <row r="7">
      <c r="A7" t="inlineStr">
        <is>
          <t xml:space="preserve">CaO </t>
        </is>
      </c>
      <c r="B7" t="inlineStr">
        <is>
          <t>CO2</t>
        </is>
      </c>
      <c r="C7" t="inlineStr">
        <is>
          <t>SiO2</t>
        </is>
      </c>
      <c r="D7" t="inlineStr">
        <is>
          <t xml:space="preserve">прочие </t>
        </is>
      </c>
      <c r="E7" t="inlineStr">
        <is>
          <t>влага</t>
        </is>
      </c>
      <c r="M7" t="inlineStr">
        <is>
          <t>TiO2</t>
        </is>
      </c>
      <c r="N7" t="n">
        <v>80</v>
      </c>
      <c r="U7" s="4" t="n"/>
      <c r="V7" s="5" t="n"/>
    </row>
    <row r="8">
      <c r="A8" t="n">
        <v>54.2</v>
      </c>
      <c r="B8" t="n">
        <v>42.6</v>
      </c>
      <c r="C8" t="n">
        <v>1.3</v>
      </c>
      <c r="D8" t="n">
        <v>1.9</v>
      </c>
      <c r="E8" t="n">
        <v>6</v>
      </c>
      <c r="M8" t="inlineStr">
        <is>
          <t>Al2O3</t>
        </is>
      </c>
      <c r="N8" t="n">
        <v>102</v>
      </c>
      <c r="U8" s="4" t="n"/>
      <c r="V8" s="5" t="n"/>
    </row>
    <row r="9">
      <c r="M9" t="inlineStr">
        <is>
          <t>Fe2O3</t>
        </is>
      </c>
      <c r="N9" t="n">
        <v>160</v>
      </c>
      <c r="U9" s="4" t="n"/>
      <c r="V9" s="5" t="n"/>
    </row>
    <row r="10">
      <c r="A10" t="inlineStr">
        <is>
          <t>3. Кальцинированная сода</t>
        </is>
      </c>
      <c r="M10" t="inlineStr">
        <is>
          <t>CO2</t>
        </is>
      </c>
      <c r="N10" t="n">
        <v>44</v>
      </c>
      <c r="U10" s="4" t="n"/>
      <c r="V10" s="5" t="n"/>
    </row>
    <row r="11">
      <c r="A11" t="inlineStr">
        <is>
          <t>Расход</t>
        </is>
      </c>
      <c r="B11" t="inlineStr">
        <is>
          <t>Na2Co3</t>
        </is>
      </c>
      <c r="C11" t="n">
        <v>150</v>
      </c>
      <c r="D11" t="inlineStr">
        <is>
          <t>кг</t>
        </is>
      </c>
      <c r="G11" t="inlineStr">
        <is>
          <t>H2O</t>
        </is>
      </c>
      <c r="H11">
        <f>(C11/I11*100)*100</f>
        <v/>
      </c>
      <c r="I11" t="n">
        <v>98.59999999999999</v>
      </c>
      <c r="J11" t="n">
        <v>0.5</v>
      </c>
      <c r="U11" s="4" t="n"/>
      <c r="V11" s="5" t="n"/>
    </row>
    <row r="12">
      <c r="B12" t="inlineStr">
        <is>
          <t>Na2O</t>
        </is>
      </c>
      <c r="C12" s="1">
        <f>C11/N2*N3</f>
        <v/>
      </c>
      <c r="D12" t="inlineStr">
        <is>
          <t>кг</t>
        </is>
      </c>
      <c r="E12" t="inlineStr">
        <is>
          <t>CO2</t>
        </is>
      </c>
      <c r="F12">
        <f>C11-C12</f>
        <v/>
      </c>
      <c r="J12" t="n">
        <v>0.9</v>
      </c>
      <c r="M12" t="inlineStr">
        <is>
          <t xml:space="preserve">Мольное отношение </t>
        </is>
      </c>
      <c r="U12" s="4" t="n"/>
      <c r="V12" s="5" t="n"/>
    </row>
    <row r="13">
      <c r="B13" t="inlineStr">
        <is>
          <t>Общий расход соды</t>
        </is>
      </c>
      <c r="C13">
        <f>(C11/I11*100)</f>
        <v/>
      </c>
      <c r="M13" t="inlineStr">
        <is>
          <t>Na2O/Al2O3</t>
        </is>
      </c>
      <c r="N13" t="n">
        <v>1</v>
      </c>
    </row>
    <row r="14">
      <c r="B14" t="inlineStr">
        <is>
          <t>Na2O</t>
        </is>
      </c>
      <c r="C14" t="inlineStr">
        <is>
          <t>CO2</t>
        </is>
      </c>
      <c r="D14" t="inlineStr">
        <is>
          <t>H2O</t>
        </is>
      </c>
      <c r="E14" t="inlineStr">
        <is>
          <t>Прочее</t>
        </is>
      </c>
      <c r="F14" t="inlineStr">
        <is>
          <t>Итого</t>
        </is>
      </c>
      <c r="M14" t="inlineStr">
        <is>
          <t>Na2O/Fe2O3</t>
        </is>
      </c>
      <c r="N14" t="n">
        <v>1</v>
      </c>
    </row>
    <row r="15">
      <c r="B15">
        <f>C12</f>
        <v/>
      </c>
      <c r="C15">
        <f>C11-B15</f>
        <v/>
      </c>
      <c r="D15">
        <f>F15*J11/100</f>
        <v/>
      </c>
      <c r="E15">
        <f>F15*J12/100</f>
        <v/>
      </c>
      <c r="F15">
        <f>C11/I11*100</f>
        <v/>
      </c>
      <c r="M15" t="inlineStr">
        <is>
          <t>CaO/SiO2</t>
        </is>
      </c>
      <c r="N15" t="n">
        <v>2</v>
      </c>
    </row>
    <row r="16">
      <c r="M16" t="inlineStr">
        <is>
          <t>Cao/tiO2</t>
        </is>
      </c>
      <c r="N16" t="n">
        <v>1</v>
      </c>
    </row>
    <row r="20">
      <c r="A20" t="inlineStr">
        <is>
          <t>Состав кальцинированной соды</t>
        </is>
      </c>
    </row>
    <row r="21">
      <c r="A21" t="inlineStr">
        <is>
          <t>Na2CO3</t>
        </is>
      </c>
    </row>
    <row r="23">
      <c r="A23" t="inlineStr">
        <is>
          <t xml:space="preserve">4. Влажность шихты </t>
        </is>
      </c>
    </row>
    <row r="24">
      <c r="A24" t="n">
        <v>35</v>
      </c>
    </row>
    <row r="26">
      <c r="A26" t="inlineStr">
        <is>
          <t>5. Товарный выход глинозема</t>
        </is>
      </c>
      <c r="E26" t="n">
        <v>84.59999999999999</v>
      </c>
      <c r="F26" t="inlineStr">
        <is>
          <t>%</t>
        </is>
      </c>
    </row>
    <row r="27">
      <c r="A27" t="inlineStr">
        <is>
          <t>6. Al2O3 при выщелачивании спека</t>
        </is>
      </c>
      <c r="E27" t="n">
        <v>87.09999999999999</v>
      </c>
      <c r="F27" t="inlineStr">
        <is>
          <t>%</t>
        </is>
      </c>
    </row>
    <row r="29">
      <c r="F29" t="n">
        <v>1000</v>
      </c>
    </row>
    <row r="30">
      <c r="A30" t="inlineStr">
        <is>
          <t>7. Колличество Al2O3 в 1 т товарного глинозема</t>
        </is>
      </c>
      <c r="F30">
        <f>F29*0.99</f>
        <v/>
      </c>
      <c r="G30" t="inlineStr">
        <is>
          <t>кг на тонну</t>
        </is>
      </c>
    </row>
    <row r="33">
      <c r="A33" t="inlineStr">
        <is>
          <t>8. Потери Al2O3 и Na2O по переделам производства</t>
        </is>
      </c>
    </row>
    <row r="34">
      <c r="E34" s="21" t="inlineStr">
        <is>
          <t>Al2O3</t>
        </is>
      </c>
      <c r="F34" s="21" t="n"/>
      <c r="H34" t="inlineStr">
        <is>
          <t>Na2O</t>
        </is>
      </c>
    </row>
    <row r="35">
      <c r="A35" t="inlineStr">
        <is>
          <t>Передел</t>
        </is>
      </c>
      <c r="E35" t="inlineStr">
        <is>
          <t>Содержание, %</t>
        </is>
      </c>
      <c r="F35" t="inlineStr">
        <is>
          <t>Масса, кг</t>
        </is>
      </c>
    </row>
    <row r="36">
      <c r="A36" t="inlineStr">
        <is>
          <t xml:space="preserve">Дробление </t>
        </is>
      </c>
      <c r="E36" t="n">
        <v>0.3</v>
      </c>
      <c r="F36">
        <f>$F$47/$E$47*E36</f>
        <v/>
      </c>
      <c r="H36" t="inlineStr">
        <is>
          <t>-</t>
        </is>
      </c>
    </row>
    <row r="37">
      <c r="A37" t="inlineStr">
        <is>
          <t>Размол</t>
        </is>
      </c>
      <c r="E37" t="n">
        <v>0.3</v>
      </c>
      <c r="F37">
        <f>$F$47/$E$47*E37</f>
        <v/>
      </c>
      <c r="H37" t="n">
        <v>0.5</v>
      </c>
    </row>
    <row r="38">
      <c r="A38" t="inlineStr">
        <is>
          <t>Спекание</t>
        </is>
      </c>
      <c r="E38" t="n">
        <v>0.3</v>
      </c>
      <c r="F38">
        <f>$F$47/$E$47*E38</f>
        <v/>
      </c>
      <c r="H38" t="n">
        <v>2</v>
      </c>
    </row>
    <row r="39">
      <c r="A39" t="inlineStr">
        <is>
          <t>Дробление спека</t>
        </is>
      </c>
      <c r="E39" t="n">
        <v>0.2</v>
      </c>
      <c r="F39">
        <f>$F$47/$E$47*E39</f>
        <v/>
      </c>
      <c r="H39" t="n">
        <v>1</v>
      </c>
    </row>
    <row r="40">
      <c r="A40" t="inlineStr">
        <is>
          <t xml:space="preserve">Выщелачивание спека: </t>
        </is>
      </c>
    </row>
    <row r="41">
      <c r="A41" t="inlineStr">
        <is>
          <t>А) Химические потери</t>
        </is>
      </c>
      <c r="E41" t="n">
        <v>12.9</v>
      </c>
      <c r="F41">
        <f>$F$47/$E$47*E41</f>
        <v/>
      </c>
      <c r="H41" t="n">
        <v>77.23999999999999</v>
      </c>
    </row>
    <row r="42">
      <c r="A42" t="inlineStr">
        <is>
          <t>Б) Недоотмывка, разложение раствора</t>
        </is>
      </c>
      <c r="E42" t="n">
        <v>0.5</v>
      </c>
      <c r="F42">
        <f>$F$47/$E$47*E42</f>
        <v/>
      </c>
      <c r="H42" t="n">
        <v>1</v>
      </c>
    </row>
    <row r="43">
      <c r="A43" t="inlineStr">
        <is>
          <t xml:space="preserve">Обескремнивание </t>
        </is>
      </c>
      <c r="E43" t="n">
        <v>0.1</v>
      </c>
      <c r="F43">
        <f>$F$47/$E$47*E43</f>
        <v/>
      </c>
      <c r="H43" t="n">
        <v>0.5</v>
      </c>
    </row>
    <row r="44">
      <c r="A44" t="inlineStr">
        <is>
          <t>Карбонизация</t>
        </is>
      </c>
      <c r="E44" t="n">
        <v>0.2</v>
      </c>
      <c r="F44">
        <f>$F$47/$E$47*E44</f>
        <v/>
      </c>
      <c r="H44" t="n">
        <v>0.5</v>
      </c>
    </row>
    <row r="45">
      <c r="A45" t="inlineStr">
        <is>
          <t>Выпарка</t>
        </is>
      </c>
      <c r="H45" t="n">
        <v>1</v>
      </c>
    </row>
    <row r="46">
      <c r="A46" t="inlineStr">
        <is>
          <t>Кальцинация</t>
        </is>
      </c>
      <c r="E46" t="n">
        <v>0.6</v>
      </c>
      <c r="F46">
        <f>$F$47/$E$47*E46</f>
        <v/>
      </c>
      <c r="H46" t="n">
        <v>4</v>
      </c>
    </row>
    <row r="47">
      <c r="A47" t="inlineStr">
        <is>
          <t>Всего потерь</t>
        </is>
      </c>
      <c r="E47" t="n">
        <v>15.4</v>
      </c>
      <c r="F47">
        <f>'Приготовление шихты'!H3</f>
        <v/>
      </c>
      <c r="H47" t="n">
        <v>87.73999999999999</v>
      </c>
    </row>
    <row r="50">
      <c r="A50" t="inlineStr">
        <is>
          <t>9. Состав белого шлама</t>
        </is>
      </c>
    </row>
    <row r="51">
      <c r="A51" t="inlineStr">
        <is>
          <t xml:space="preserve">Расход белого шлама на спекание </t>
        </is>
      </c>
      <c r="E51" t="n">
        <v>120</v>
      </c>
      <c r="F51" t="inlineStr">
        <is>
          <t>кг</t>
        </is>
      </c>
      <c r="I51" t="inlineStr">
        <is>
          <t>Ж:Т</t>
        </is>
      </c>
      <c r="J51" t="n">
        <v>1</v>
      </c>
      <c r="K51" t="n">
        <v>1</v>
      </c>
    </row>
    <row r="52">
      <c r="A52" t="inlineStr">
        <is>
          <t>Влажность</t>
        </is>
      </c>
      <c r="E52" t="n">
        <v>34</v>
      </c>
      <c r="F52" t="inlineStr">
        <is>
          <t>%</t>
        </is>
      </c>
      <c r="I52" t="inlineStr">
        <is>
          <t>Кол-во АР увлеченного с белым шламом</t>
        </is>
      </c>
      <c r="N52">
        <f>E51/K51*J51</f>
        <v/>
      </c>
    </row>
    <row r="53">
      <c r="A53" t="inlineStr">
        <is>
          <t>Al2o3</t>
        </is>
      </c>
      <c r="B53" t="inlineStr">
        <is>
          <t>Na2O</t>
        </is>
      </c>
      <c r="C53" t="inlineStr">
        <is>
          <t>Fe2o3</t>
        </is>
      </c>
      <c r="D53" t="inlineStr">
        <is>
          <t>SiO2</t>
        </is>
      </c>
      <c r="E53" t="inlineStr">
        <is>
          <t>CaO</t>
        </is>
      </c>
      <c r="F53" t="inlineStr">
        <is>
          <t>CO2</t>
        </is>
      </c>
      <c r="G53" t="inlineStr">
        <is>
          <t>ппп</t>
        </is>
      </c>
    </row>
    <row r="54">
      <c r="A54" t="n">
        <v>31.3</v>
      </c>
      <c r="B54" t="n">
        <v>19.4</v>
      </c>
      <c r="C54" t="n">
        <v>3.1</v>
      </c>
      <c r="D54" t="n">
        <v>29.4</v>
      </c>
      <c r="E54" t="n">
        <v>2.9</v>
      </c>
      <c r="F54" t="n">
        <v>2.1</v>
      </c>
      <c r="G54" t="n">
        <v>11.8</v>
      </c>
    </row>
    <row r="56">
      <c r="A56" t="inlineStr">
        <is>
          <t>10. Состав промывной воды, кг</t>
        </is>
      </c>
    </row>
    <row r="57">
      <c r="A57" t="inlineStr">
        <is>
          <t>Al2O3</t>
        </is>
      </c>
      <c r="B57" t="inlineStr">
        <is>
          <t>Na2O</t>
        </is>
      </c>
      <c r="C57" t="inlineStr">
        <is>
          <t>CO2</t>
        </is>
      </c>
      <c r="D57" t="inlineStr">
        <is>
          <t>H2O</t>
        </is>
      </c>
    </row>
    <row r="58">
      <c r="A58" t="n">
        <v>0.3</v>
      </c>
      <c r="B58" t="n">
        <v>0.32</v>
      </c>
      <c r="C58" t="n">
        <v>0.04</v>
      </c>
      <c r="D58" t="n">
        <v>61.16</v>
      </c>
    </row>
    <row r="60">
      <c r="A60" t="inlineStr">
        <is>
          <t>11. Обескремневание</t>
        </is>
      </c>
    </row>
    <row r="61">
      <c r="A61" t="inlineStr">
        <is>
          <t>11.1 Кремневый модуль алюминатного раствора до обескремневания</t>
        </is>
      </c>
      <c r="J61" t="n">
        <v>30</v>
      </c>
    </row>
    <row r="62">
      <c r="A62" t="inlineStr">
        <is>
          <t xml:space="preserve">11.2 Кремневый модуль алюминатного раствора после первой стадии обескремневания </t>
        </is>
      </c>
      <c r="J62" t="n">
        <v>400</v>
      </c>
    </row>
    <row r="63">
      <c r="A63" s="25" t="n">
        <v>44631</v>
      </c>
    </row>
    <row r="66">
      <c r="A66" s="6" t="inlineStr">
        <is>
          <t xml:space="preserve">12. Al2O3 поступающий на спекание с алюминатном растворе </t>
        </is>
      </c>
      <c r="B66" s="6" t="n"/>
      <c r="C66" s="6" t="n"/>
      <c r="D66" s="6" t="n"/>
      <c r="E66" s="6" t="n"/>
      <c r="F66" s="6" t="n"/>
      <c r="G66" s="6" t="n"/>
      <c r="J66" t="n">
        <v>20</v>
      </c>
      <c r="K66" t="inlineStr">
        <is>
          <t xml:space="preserve">кг </t>
        </is>
      </c>
    </row>
    <row r="67">
      <c r="A67" t="inlineStr">
        <is>
          <t>Каустический модуль</t>
        </is>
      </c>
      <c r="J67" t="n">
        <v>2.7</v>
      </c>
    </row>
    <row r="68">
      <c r="A68" t="inlineStr">
        <is>
          <t>Концетрация Na2O</t>
        </is>
      </c>
      <c r="J68" s="7" t="n">
        <v>310</v>
      </c>
      <c r="K68" t="inlineStr">
        <is>
          <t>г/л</t>
        </is>
      </c>
    </row>
    <row r="69">
      <c r="A69" t="inlineStr">
        <is>
          <t>Плотность раствора</t>
        </is>
      </c>
      <c r="J69" t="n">
        <v>1440</v>
      </c>
      <c r="K69" t="inlineStr">
        <is>
          <t>кг/м3</t>
        </is>
      </c>
    </row>
    <row r="70">
      <c r="A70" t="inlineStr">
        <is>
          <t xml:space="preserve">13. Влажность карбонатного шлама </t>
        </is>
      </c>
      <c r="J70" s="7" t="n">
        <v>33</v>
      </c>
      <c r="K70" t="inlineStr">
        <is>
          <t>%</t>
        </is>
      </c>
    </row>
    <row r="72">
      <c r="A72" t="inlineStr">
        <is>
          <t>Плотность маточного раствора</t>
        </is>
      </c>
      <c r="J72" s="7" t="n">
        <v>1220</v>
      </c>
      <c r="K72" t="inlineStr">
        <is>
          <t>кг/м3</t>
        </is>
      </c>
    </row>
    <row r="73">
      <c r="A73" t="inlineStr">
        <is>
          <t>Обьем содового раствора на регенерацию кальцивого гидрограната</t>
        </is>
      </c>
      <c r="J73" t="n">
        <v>1.5</v>
      </c>
    </row>
    <row r="74">
      <c r="A74" t="inlineStr">
        <is>
          <t>Плотность алюм раствора после 2 стадии обескремнивания</t>
        </is>
      </c>
      <c r="J74" s="7" t="n">
        <v>1215</v>
      </c>
      <c r="K74" t="inlineStr">
        <is>
          <t>кг/м3</t>
        </is>
      </c>
    </row>
    <row r="75">
      <c r="A75" t="inlineStr">
        <is>
          <t>Кауст модуль алюм раствора после 2 стадии обескремнивания</t>
        </is>
      </c>
      <c r="J75" t="n">
        <v>1.5</v>
      </c>
    </row>
    <row r="76">
      <c r="A76" t="inlineStr">
        <is>
          <t>Общии кауст модуль алюм раствора после 2 стадии обескремнивания</t>
        </is>
      </c>
      <c r="J76" s="7" t="n">
        <v>2</v>
      </c>
    </row>
    <row r="77">
      <c r="A77" t="inlineStr">
        <is>
          <t>Конц Al2O3 в растворе после 2 стадии обескремнивания</t>
        </is>
      </c>
      <c r="J77" t="n">
        <v>120</v>
      </c>
      <c r="K77" t="inlineStr">
        <is>
          <t>г/л</t>
        </is>
      </c>
    </row>
    <row r="78">
      <c r="A78" t="inlineStr">
        <is>
          <t>Каустичиский модуль алюминатного раствора после регенерации КГГ</t>
        </is>
      </c>
      <c r="J78" s="7" t="n">
        <v>3.4</v>
      </c>
    </row>
    <row r="79">
      <c r="A79" t="inlineStr">
        <is>
          <t xml:space="preserve">Конденсат на регенерации КГГ </t>
        </is>
      </c>
      <c r="J79" t="n">
        <v>50</v>
      </c>
      <c r="K79" t="inlineStr">
        <is>
          <t>кг</t>
        </is>
      </c>
    </row>
    <row r="82">
      <c r="A82" t="inlineStr">
        <is>
          <t>Расход воды на промывку</t>
        </is>
      </c>
    </row>
    <row r="83">
      <c r="A83" t="inlineStr">
        <is>
          <t>Карбонатного шлама</t>
        </is>
      </c>
      <c r="J83" t="n">
        <v>0.0398</v>
      </c>
      <c r="K83" t="inlineStr">
        <is>
          <t>м3</t>
        </is>
      </c>
      <c r="L83">
        <f>J83*J87</f>
        <v/>
      </c>
      <c r="M83" t="inlineStr">
        <is>
          <t>кг</t>
        </is>
      </c>
    </row>
    <row r="84">
      <c r="A84" t="inlineStr">
        <is>
          <t>Промывку отвального шлама</t>
        </is>
      </c>
      <c r="J84" t="n">
        <v>6.938</v>
      </c>
      <c r="K84" t="inlineStr">
        <is>
          <t>м3</t>
        </is>
      </c>
      <c r="L84">
        <f>J84*J87</f>
        <v/>
      </c>
      <c r="M84" t="inlineStr">
        <is>
          <t>кг</t>
        </is>
      </c>
    </row>
    <row r="85">
      <c r="A85" t="inlineStr">
        <is>
          <t>Белого шлама</t>
        </is>
      </c>
      <c r="J85" t="n">
        <v>0.06</v>
      </c>
      <c r="K85" t="inlineStr">
        <is>
          <t>м3</t>
        </is>
      </c>
      <c r="L85">
        <f>J85*J87</f>
        <v/>
      </c>
      <c r="M85" t="inlineStr">
        <is>
          <t>кг</t>
        </is>
      </c>
    </row>
    <row r="86">
      <c r="A86" t="inlineStr">
        <is>
          <t>Гидроксид алюминия</t>
        </is>
      </c>
      <c r="J86" t="n">
        <v>0.8</v>
      </c>
      <c r="K86" t="inlineStr">
        <is>
          <t>м3</t>
        </is>
      </c>
      <c r="L86">
        <f>J86*1000</f>
        <v/>
      </c>
      <c r="M86" t="inlineStr">
        <is>
          <t>кг</t>
        </is>
      </c>
    </row>
    <row r="87">
      <c r="A87" t="inlineStr">
        <is>
          <t>Плотность воды</t>
        </is>
      </c>
      <c r="J87" t="n">
        <v>1000</v>
      </c>
      <c r="K87" t="inlineStr">
        <is>
          <t>кг/м3</t>
        </is>
      </c>
    </row>
    <row r="89">
      <c r="A89" t="inlineStr">
        <is>
          <t xml:space="preserve">Концетрация Al2O3 в а. р. </t>
        </is>
      </c>
      <c r="J89" t="n">
        <v>140</v>
      </c>
      <c r="K89" t="inlineStr">
        <is>
          <t>г/л</t>
        </is>
      </c>
    </row>
    <row r="91">
      <c r="A91" t="inlineStr">
        <is>
          <t>Плотность алюминатного раствора после выщелачивания</t>
        </is>
      </c>
      <c r="J91" t="n">
        <v>1270</v>
      </c>
      <c r="K91" t="inlineStr">
        <is>
          <t>кг/м3</t>
        </is>
      </c>
    </row>
    <row r="94">
      <c r="A94" t="inlineStr">
        <is>
          <t>Каустический модуль маточного раствора после  карбонизации</t>
        </is>
      </c>
      <c r="J94" t="n">
        <v>2.7</v>
      </c>
    </row>
    <row r="97">
      <c r="A97" t="inlineStr">
        <is>
          <t>Затравочное отношение</t>
        </is>
      </c>
      <c r="J97" t="n">
        <v>2</v>
      </c>
    </row>
    <row r="99">
      <c r="A99" t="inlineStr">
        <is>
          <t>Влажность затравки</t>
        </is>
      </c>
      <c r="J99" t="n">
        <v>15</v>
      </c>
      <c r="K99" t="inlineStr">
        <is>
          <t>%</t>
        </is>
      </c>
    </row>
    <row r="102">
      <c r="A102" t="inlineStr">
        <is>
          <t xml:space="preserve">Влажность гидрооксида алюминия </t>
        </is>
      </c>
      <c r="J102" t="n">
        <v>10.4</v>
      </c>
      <c r="K102" t="inlineStr">
        <is>
          <t>%</t>
        </is>
      </c>
    </row>
  </sheetData>
  <pageMargins left="0.7" right="0.7" top="0.75" bottom="0.75" header="0.3" footer="0.3"/>
  <pageSetup orientation="portrait" paperSize="9"/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Gold</dc:creator>
  <dcterms:created xmlns:dcterms="http://purl.org/dc/terms/" xmlns:xsi="http://www.w3.org/2001/XMLSchema-instance" xsi:type="dcterms:W3CDTF">2022-04-12T11:57:00Z</dcterms:created>
  <dcterms:modified xmlns:dcterms="http://purl.org/dc/terms/" xmlns:xsi="http://www.w3.org/2001/XMLSchema-instance" xsi:type="dcterms:W3CDTF">2023-06-03T19:23:34Z</dcterms:modified>
  <cp:lastModifiedBy>User</cp:lastModifiedBy>
</cp:coreProperties>
</file>