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473" firstSheet="2" activeTab="5"/>
  </bookViews>
  <sheets>
    <sheet name="Заметки" sheetId="5" r:id="rId1"/>
    <sheet name="Приготовление шихты" sheetId="2" r:id="rId2"/>
    <sheet name="Выщелачивание спека" sheetId="6" r:id="rId3"/>
    <sheet name="Обескремнивание" sheetId="7" r:id="rId4"/>
    <sheet name="Кальцинация и карбонизация" sheetId="8" r:id="rId5"/>
    <sheet name="Таблицы" sheetId="3" r:id="rId6"/>
    <sheet name="Исходные данные" sheetId="1" r:id="rId7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0" authorId="0">
      <text>
        <r>
          <rPr>
            <b/>
            <sz val="9"/>
            <rFont val="Tahoma"/>
            <charset val="1"/>
          </rPr>
          <t>User:</t>
        </r>
        <r>
          <rPr>
            <sz val="9"/>
            <rFont val="Tahoma"/>
            <charset val="1"/>
          </rPr>
          <t xml:space="preserve">
Расход и состав оставить как константы и скрыть
</t>
        </r>
      </text>
    </comment>
  </commentList>
</comments>
</file>

<file path=xl/sharedStrings.xml><?xml version="1.0" encoding="utf-8"?>
<sst xmlns="http://schemas.openxmlformats.org/spreadsheetml/2006/main" count="637" uniqueCount="276">
  <si>
    <t>1. Потери Na2O должны регулироватся</t>
  </si>
  <si>
    <t xml:space="preserve">2. Масса Al2O3 в оборотном растворе </t>
  </si>
  <si>
    <t>3. Плотность маточного раствора</t>
  </si>
  <si>
    <t>4. Обьем содового раствора на регенерацию кальцивого гидрограната</t>
  </si>
  <si>
    <t>5. Плотность алюм раствора после 2 стадии обескремнивания</t>
  </si>
  <si>
    <t xml:space="preserve">6. Таблица промежуточная не выводить </t>
  </si>
  <si>
    <t xml:space="preserve">7. Конденсат на регенерации КГГ </t>
  </si>
  <si>
    <t>8. 19 Таблица деление шлама</t>
  </si>
  <si>
    <t>1. Расход сухого боксита на производство 1 т глинозема</t>
  </si>
  <si>
    <t xml:space="preserve">кг </t>
  </si>
  <si>
    <t xml:space="preserve">2. Содержание Al2O3  в боксите </t>
  </si>
  <si>
    <t>3. Потери Al2O3 по технологии</t>
  </si>
  <si>
    <t>4. Потери Al2O3 при дроблении и размоле</t>
  </si>
  <si>
    <t>Потери сух боксита</t>
  </si>
  <si>
    <t>5. масса сух боксита поступаещего на спекание</t>
  </si>
  <si>
    <t>Масса влажного боксита</t>
  </si>
  <si>
    <t>6. Расчет компонентов в сух боксите, кг:</t>
  </si>
  <si>
    <t>Al2O3</t>
  </si>
  <si>
    <t>Fe2O3</t>
  </si>
  <si>
    <t>SiO2</t>
  </si>
  <si>
    <t>TiO2</t>
  </si>
  <si>
    <t>CaO</t>
  </si>
  <si>
    <t>CO2</t>
  </si>
  <si>
    <t>Прочие</t>
  </si>
  <si>
    <t>ППП</t>
  </si>
  <si>
    <t>H2O</t>
  </si>
  <si>
    <t>7. Расчет компонентов белого шлама</t>
  </si>
  <si>
    <t>Al2o3</t>
  </si>
  <si>
    <t>Na2O</t>
  </si>
  <si>
    <t>Fe2o3</t>
  </si>
  <si>
    <t>ппп</t>
  </si>
  <si>
    <t>8. Расчет промывной воды поступающий вместе с белым шламом</t>
  </si>
  <si>
    <t>кг</t>
  </si>
  <si>
    <t>9. Содержание Al2O3 в алюминатном растворе после выщелачивания</t>
  </si>
  <si>
    <t>10. Содержание SiO2  в алюминатном растворе после выщелачивания</t>
  </si>
  <si>
    <t>SiO2 который выделится на 1 стадии обескремнивания</t>
  </si>
  <si>
    <t>11. Содержание Al2O3 в растворе после первой стадии обескремневония</t>
  </si>
  <si>
    <t>12. Содержание SiO2 в растворе после первой стадии обескремневония</t>
  </si>
  <si>
    <t>СaO</t>
  </si>
  <si>
    <t xml:space="preserve">Трех кальцевый гидрогранат </t>
  </si>
  <si>
    <t>КГГ</t>
  </si>
  <si>
    <t>M</t>
  </si>
  <si>
    <t>m</t>
  </si>
  <si>
    <t>n</t>
  </si>
  <si>
    <t>Общая масса шлама выпавщая после обескремнивания</t>
  </si>
  <si>
    <t>Регенерация Al2O3 из кальцивого гидрогранаг</t>
  </si>
  <si>
    <t>Расчет масс карбонатного шлама после регенерации КГГ</t>
  </si>
  <si>
    <t>CaCO3</t>
  </si>
  <si>
    <t>В нем содержится CO2</t>
  </si>
  <si>
    <t>Общая масса карбонатного шлама</t>
  </si>
  <si>
    <t xml:space="preserve">Рсчет состава шихты на спекание </t>
  </si>
  <si>
    <t>Расчет CaOакт в известняке</t>
  </si>
  <si>
    <t>Расчет оставшегося CaOакт в известняке</t>
  </si>
  <si>
    <t>Расчет CaO на получение спека состава</t>
  </si>
  <si>
    <t>Общий расход CaO</t>
  </si>
  <si>
    <t>Общий приход CaO c бокситом и оборотными продуктами</t>
  </si>
  <si>
    <t>Кол-во CaO с известняком</t>
  </si>
  <si>
    <t>Расход сухого известника</t>
  </si>
  <si>
    <t>Влага в известяке</t>
  </si>
  <si>
    <t>Состав известняка поступаещего на шихту</t>
  </si>
  <si>
    <t>Расчет расхода соды</t>
  </si>
  <si>
    <t>Общее масса Na2O</t>
  </si>
  <si>
    <t>Кол-во Na2O поступ. С оборот. Продуктами и бокситом</t>
  </si>
  <si>
    <t>Расчет оборотного раствора</t>
  </si>
  <si>
    <t>Na2O кауст</t>
  </si>
  <si>
    <t>Расчет обьема оборот раствора</t>
  </si>
  <si>
    <t>л</t>
  </si>
  <si>
    <t>Масса оборотного раствора</t>
  </si>
  <si>
    <t xml:space="preserve">Расчет кол-во H2O в растворе </t>
  </si>
  <si>
    <t>Расчет влажности шихты</t>
  </si>
  <si>
    <t>Расчет конц компонентов маточного раствора</t>
  </si>
  <si>
    <t>г/л</t>
  </si>
  <si>
    <t>Na2Ok</t>
  </si>
  <si>
    <t>Na2Oу</t>
  </si>
  <si>
    <t>Расчет содового раствора на регенерацию кальцивого гидрограната</t>
  </si>
  <si>
    <t>Масса шлама</t>
  </si>
  <si>
    <t>Масса Al2O3 в шламе</t>
  </si>
  <si>
    <t>Итого</t>
  </si>
  <si>
    <t>Расчет раствора увлекаемого с шламом КГГ</t>
  </si>
  <si>
    <t xml:space="preserve">Объем раствора увлеченного с КГГ </t>
  </si>
  <si>
    <t>Расчет алюминатного раствора после 2 стадии обескремнивания</t>
  </si>
  <si>
    <t>Na2Oобщ</t>
  </si>
  <si>
    <t xml:space="preserve">Расчет содощелочной алюминатный раствор, увлеченного с КГГ </t>
  </si>
  <si>
    <t>Кол-во раствора увлеченого с карбонатным шламом</t>
  </si>
  <si>
    <t xml:space="preserve">Общая масса содощелочного алюминатного раствора </t>
  </si>
  <si>
    <t>Na2Oк</t>
  </si>
  <si>
    <t>Расчет обйема раствора полученого после выщелачивания</t>
  </si>
  <si>
    <t>Масса алюминатного раствора полсе выщелачивания</t>
  </si>
  <si>
    <t>Масса а.р. После обескремнивания</t>
  </si>
  <si>
    <t>В нем содержится Al2O3</t>
  </si>
  <si>
    <t>Расчет состава АР увлеченного с Белым Шламом</t>
  </si>
  <si>
    <t>Al2O3 в АР</t>
  </si>
  <si>
    <t>SiO2 в АР после 1 стадии обескремнивания</t>
  </si>
  <si>
    <t>SiO2 в БШ</t>
  </si>
  <si>
    <t xml:space="preserve">Na2Oу </t>
  </si>
  <si>
    <t>Na2Oу в АР квлеченнный со шламом</t>
  </si>
  <si>
    <t>Na2Oк в АР квлеченнный со шламом</t>
  </si>
  <si>
    <t>Исходная масса раствора</t>
  </si>
  <si>
    <t>Al2O3 на кальцинацию</t>
  </si>
  <si>
    <t>H2O на кальцинацию</t>
  </si>
  <si>
    <t>Al(OH)3 на кальцинацию</t>
  </si>
  <si>
    <t xml:space="preserve">Содержание Al2O3 в маточном растворе </t>
  </si>
  <si>
    <t xml:space="preserve">Содержание Na2Oк в маточном растворе </t>
  </si>
  <si>
    <t>Содержание CO2 на карбонизацию</t>
  </si>
  <si>
    <t xml:space="preserve">Содержание Na2Oу в маточном растворе </t>
  </si>
  <si>
    <t>Масса Al2O3 в качестве затравки</t>
  </si>
  <si>
    <t>Масса H2O в качестве затравки</t>
  </si>
  <si>
    <t>Масса затравки в качестве затравки</t>
  </si>
  <si>
    <t>Влага с затравкой</t>
  </si>
  <si>
    <t>Масса маточного после выпадения гидрооксида алюминия</t>
  </si>
  <si>
    <t>Таблица 13</t>
  </si>
  <si>
    <t>Проч</t>
  </si>
  <si>
    <t>П.п.п</t>
  </si>
  <si>
    <t>Введено, кг</t>
  </si>
  <si>
    <t>Боксит</t>
  </si>
  <si>
    <t>Известняк</t>
  </si>
  <si>
    <t>Белый шлам</t>
  </si>
  <si>
    <t>Карбонатный шлам</t>
  </si>
  <si>
    <t>Кальцинированная сода</t>
  </si>
  <si>
    <t>Оборотный раствор</t>
  </si>
  <si>
    <t>Всего</t>
  </si>
  <si>
    <t>Получено, кг</t>
  </si>
  <si>
    <t>Пульпа</t>
  </si>
  <si>
    <t>Потери</t>
  </si>
  <si>
    <t>Таблица 14</t>
  </si>
  <si>
    <t>Дробленный спек</t>
  </si>
  <si>
    <t>Газы</t>
  </si>
  <si>
    <t>Потери при спекании</t>
  </si>
  <si>
    <t xml:space="preserve">Потери при дроблении </t>
  </si>
  <si>
    <t>Таблица 15</t>
  </si>
  <si>
    <t>Введено</t>
  </si>
  <si>
    <t>Шлам после 2 стадии</t>
  </si>
  <si>
    <t>А. р., увлеч. Шламом</t>
  </si>
  <si>
    <t xml:space="preserve">Содовый раствор </t>
  </si>
  <si>
    <t>Получено</t>
  </si>
  <si>
    <t>Карбонатный</t>
  </si>
  <si>
    <t xml:space="preserve">Содощелочной алюминатный раствор </t>
  </si>
  <si>
    <t>Кондесат</t>
  </si>
  <si>
    <t>Таблица 16</t>
  </si>
  <si>
    <t>Содощелочной алюминатный раствор, увлеченый со шламом</t>
  </si>
  <si>
    <t>Вода на промывку</t>
  </si>
  <si>
    <t>Карбонатный шлам на 2 стадию</t>
  </si>
  <si>
    <t>Карбонатный шлам на приготовление шихты</t>
  </si>
  <si>
    <t>Содощелочной алюминатный раствор, увлеченый со шламом1</t>
  </si>
  <si>
    <t>Промвода на регенерацию</t>
  </si>
  <si>
    <t>Таблица 17</t>
  </si>
  <si>
    <t>Алюминатный раствор</t>
  </si>
  <si>
    <t>Содовый раствор</t>
  </si>
  <si>
    <t>Промврда на промывку</t>
  </si>
  <si>
    <t>Содощелочной алюминатный раствор, на выщелачивание</t>
  </si>
  <si>
    <t>Таблица 18</t>
  </si>
  <si>
    <t>Na2Oy</t>
  </si>
  <si>
    <t>Спек дробленный</t>
  </si>
  <si>
    <t>Содощелочной раствор</t>
  </si>
  <si>
    <t>Отвальный шлам</t>
  </si>
  <si>
    <t>Промывная вода</t>
  </si>
  <si>
    <t>Таблица 19</t>
  </si>
  <si>
    <t>H2O+п.п.п</t>
  </si>
  <si>
    <t>Алюминатный раствор после выщелачивания спека</t>
  </si>
  <si>
    <t>Затравка белого шлама</t>
  </si>
  <si>
    <t>Раствор, увлеченный белым шламом</t>
  </si>
  <si>
    <t>Алюминатный раствор1</t>
  </si>
  <si>
    <t>Таблица 20</t>
  </si>
  <si>
    <t>Отмытый шлам в ОПШ</t>
  </si>
  <si>
    <t>Промвода, увлеченная шламом</t>
  </si>
  <si>
    <t>Алюминатный раствор и промвода на 2 стадии обескремнивания</t>
  </si>
  <si>
    <t>Таблица 21</t>
  </si>
  <si>
    <t>Алюминатный раствор с 1 стадии обескремнивания</t>
  </si>
  <si>
    <t>Промвода от промывки шлама</t>
  </si>
  <si>
    <t>Известковое молоко</t>
  </si>
  <si>
    <t>Гидрогранат</t>
  </si>
  <si>
    <t>Алюминатный раствор, увлеченный шламом</t>
  </si>
  <si>
    <t>Алюминатный раствор на карбонизацию</t>
  </si>
  <si>
    <t>Таблица 22</t>
  </si>
  <si>
    <t>Алюминатный раствор на 2 стадии обескремнивания</t>
  </si>
  <si>
    <t>Затравка гидроксида алюминия</t>
  </si>
  <si>
    <t>Затравка гидроксида алюминия1</t>
  </si>
  <si>
    <t>Содовый раствор1</t>
  </si>
  <si>
    <t>Продукционый гидроксид алюминия</t>
  </si>
  <si>
    <t>Содовый раствор2</t>
  </si>
  <si>
    <t>Таблица 23</t>
  </si>
  <si>
    <t>Гидроксид алюминия</t>
  </si>
  <si>
    <t>Отмытый гидроксид алюминия</t>
  </si>
  <si>
    <t>Промвода</t>
  </si>
  <si>
    <t>Промвода на выпарку</t>
  </si>
  <si>
    <t>Таблица 24</t>
  </si>
  <si>
    <t>Глинозем</t>
  </si>
  <si>
    <t>Таблица 25</t>
  </si>
  <si>
    <t>Регенерация</t>
  </si>
  <si>
    <t>На выпарку</t>
  </si>
  <si>
    <t>Таблица 26</t>
  </si>
  <si>
    <t xml:space="preserve">Исходные данные </t>
  </si>
  <si>
    <t xml:space="preserve">Молекулярные массы соеденений </t>
  </si>
  <si>
    <t>1. Химический состав боксита</t>
  </si>
  <si>
    <t>Na2CO3</t>
  </si>
  <si>
    <t>Что можно меняем</t>
  </si>
  <si>
    <t>Что константы</t>
  </si>
  <si>
    <t>Примечания</t>
  </si>
  <si>
    <t xml:space="preserve">прочие </t>
  </si>
  <si>
    <t>влага</t>
  </si>
  <si>
    <t>Состав сух боксита</t>
  </si>
  <si>
    <t>расход соды 100%</t>
  </si>
  <si>
    <t>Проверка состава боксита</t>
  </si>
  <si>
    <t>Состав соды</t>
  </si>
  <si>
    <t>Влага поменять на влажность боксита\известняка</t>
  </si>
  <si>
    <t xml:space="preserve">2. Химический состав известняк </t>
  </si>
  <si>
    <t xml:space="preserve">CaO </t>
  </si>
  <si>
    <t>3. Кальцинированная сода</t>
  </si>
  <si>
    <t>Расход</t>
  </si>
  <si>
    <t>Na2Co3</t>
  </si>
  <si>
    <t xml:space="preserve">Мольное отношение </t>
  </si>
  <si>
    <t>Общий расход соды</t>
  </si>
  <si>
    <t>Na2O/Al2O3</t>
  </si>
  <si>
    <t>Прочее</t>
  </si>
  <si>
    <t>Na2O/Fe2O3</t>
  </si>
  <si>
    <t>CaO/SiO2</t>
  </si>
  <si>
    <t>Cao/tiO2</t>
  </si>
  <si>
    <t>Состав кальцинированной соды</t>
  </si>
  <si>
    <t xml:space="preserve">4. Влажность шихты </t>
  </si>
  <si>
    <t>5. Товарный выход глинозема</t>
  </si>
  <si>
    <t>%</t>
  </si>
  <si>
    <t>6. Al2O3 при выщелачивании спека</t>
  </si>
  <si>
    <t>7. Колличество Al2O3 в 1 т товарного глинозема</t>
  </si>
  <si>
    <t>кг на тонну</t>
  </si>
  <si>
    <t>8. Потери Al2O3 и Na2O по переделам производства</t>
  </si>
  <si>
    <t>Передел</t>
  </si>
  <si>
    <t>Содержание, %</t>
  </si>
  <si>
    <t>Масса, кг</t>
  </si>
  <si>
    <t xml:space="preserve">Дробление </t>
  </si>
  <si>
    <t>-</t>
  </si>
  <si>
    <t>Размол</t>
  </si>
  <si>
    <t>Спекание</t>
  </si>
  <si>
    <t>Дробление спека</t>
  </si>
  <si>
    <t xml:space="preserve">Выщелачивание спека: </t>
  </si>
  <si>
    <t>А) Химические потери</t>
  </si>
  <si>
    <t>Б) Недоотмывка, разложение раствора</t>
  </si>
  <si>
    <t xml:space="preserve">Обескремнивание </t>
  </si>
  <si>
    <t>Карбонизация</t>
  </si>
  <si>
    <t>Выпарка</t>
  </si>
  <si>
    <t>Кальцинация</t>
  </si>
  <si>
    <t>Всего потерь</t>
  </si>
  <si>
    <t>9. Состав белого шлама</t>
  </si>
  <si>
    <t xml:space="preserve">Расход белого шлама на спекание </t>
  </si>
  <si>
    <t>Ж:Т</t>
  </si>
  <si>
    <t>Влажность</t>
  </si>
  <si>
    <t>Кол-во АР увлеченного с белым шламом</t>
  </si>
  <si>
    <t>10. Состав промывной воды, кг</t>
  </si>
  <si>
    <t>11. Обескремневание</t>
  </si>
  <si>
    <t>11.1 Кремневый модуль алюминатного раствора до обескремневания</t>
  </si>
  <si>
    <t xml:space="preserve">11.2 Кремневый модуль алюминатного раствора после первой стадии обескремневания </t>
  </si>
  <si>
    <t xml:space="preserve">12. Al2O3 поступающий на спекание с алюминатном растворе </t>
  </si>
  <si>
    <t>Каустический модуль</t>
  </si>
  <si>
    <t>Концетрация Na2O</t>
  </si>
  <si>
    <t>Плотность раствора</t>
  </si>
  <si>
    <t>кг/м3</t>
  </si>
  <si>
    <t xml:space="preserve">13. Влажность карбонатного шлама </t>
  </si>
  <si>
    <t>Плотность маточного раствора</t>
  </si>
  <si>
    <t>Обьем содового раствора на регенерацию кальцивого гидрограната</t>
  </si>
  <si>
    <t>Плотность алюм раствора после 2 стадии обескремнивания</t>
  </si>
  <si>
    <t>Кауст модуль алюм раствора после 2 стадии обескремнивания</t>
  </si>
  <si>
    <t>Общии кауст модуль алюм раствора после 2 стадии обескремнивания</t>
  </si>
  <si>
    <t>Конц Al2O3 в растворе после 2 стадии обескремнивания</t>
  </si>
  <si>
    <t>Каустичиский модуль алюминатного раствора после регенерации КГГ</t>
  </si>
  <si>
    <t xml:space="preserve">Конденсат на регенерации КГГ </t>
  </si>
  <si>
    <t>Расход воды на промывку</t>
  </si>
  <si>
    <t>Карбонатного шлама</t>
  </si>
  <si>
    <t>м3</t>
  </si>
  <si>
    <t>Промывку отвального шлама</t>
  </si>
  <si>
    <t>Белого шлама</t>
  </si>
  <si>
    <t>Плотность воды</t>
  </si>
  <si>
    <t xml:space="preserve">Концетрация Al2O3 в а. р. </t>
  </si>
  <si>
    <t>Плотность алюминатного раствора после выщелачивания</t>
  </si>
  <si>
    <t>Каустический модуль маточного раствора после  карбонизации</t>
  </si>
  <si>
    <t>Затравочное отношение</t>
  </si>
  <si>
    <t>Влажность затравки</t>
  </si>
  <si>
    <t xml:space="preserve">Влажность гидрооксида алюминия </t>
  </si>
</sst>
</file>

<file path=xl/styles.xml><?xml version="1.0" encoding="utf-8"?>
<styleSheet xmlns="http://schemas.openxmlformats.org/spreadsheetml/2006/main">
  <numFmts count="6">
    <numFmt numFmtId="176" formatCode="_-* #\.##0_-;\-* #\.##0_-;_-* &quot;-&quot;_-;_-@_-"/>
    <numFmt numFmtId="177" formatCode="_-* #\.##0\ &quot;₽&quot;_-;\-* #\.##0\ &quot;₽&quot;_-;_-* \-\ &quot;₽&quot;_-;_-@_-"/>
    <numFmt numFmtId="178" formatCode="_-* #\ ##0.00\ _₽_-;\-* #\ ##0.00\ _₽_-;_-* &quot;-&quot;??\ _₽_-;_-@_-"/>
    <numFmt numFmtId="179" formatCode="_-* #\.##0.00\ &quot;₽&quot;_-;\-* #\.##0.00\ &quot;₽&quot;_-;_-* \-??\ &quot;₽&quot;_-;_-@_-"/>
    <numFmt numFmtId="180" formatCode="dd\.mmm"/>
    <numFmt numFmtId="181" formatCode="0.00_ "/>
  </numFmts>
  <fonts count="24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9"/>
      <name val="Tahoma"/>
      <charset val="1"/>
    </font>
    <font>
      <sz val="9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80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0" xfId="0" applyFill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4" borderId="0" xfId="0" applyFill="1"/>
    <xf numFmtId="0" fontId="0" fillId="0" borderId="0" xfId="0" applyFill="1"/>
    <xf numFmtId="178" fontId="0" fillId="0" borderId="0" xfId="2" applyFont="1" applyAlignment="1"/>
    <xf numFmtId="0" fontId="0" fillId="5" borderId="0" xfId="0" applyFill="1"/>
    <xf numFmtId="0" fontId="1" fillId="0" borderId="0" xfId="0" applyFont="1" applyFill="1"/>
    <xf numFmtId="181" fontId="0" fillId="0" borderId="0" xfId="0" applyNumberFormat="1"/>
    <xf numFmtId="0" fontId="1" fillId="6" borderId="0" xfId="0" applyFont="1" applyFill="1"/>
    <xf numFmtId="0" fontId="1" fillId="0" borderId="0" xfId="0" applyFont="1"/>
    <xf numFmtId="0" fontId="1" fillId="0" borderId="0" xfId="0" applyFont="1" applyAlignment="1"/>
    <xf numFmtId="178" fontId="1" fillId="0" borderId="0" xfId="2" applyFont="1" applyAlignment="1"/>
    <xf numFmtId="181" fontId="1" fillId="0" borderId="0" xfId="0" applyNumberFormat="1" applyFont="1" applyFill="1"/>
    <xf numFmtId="0" fontId="1" fillId="0" borderId="0" xfId="0" applyNumberFormat="1" applyFont="1" applyFill="1"/>
    <xf numFmtId="0" fontId="1" fillId="0" borderId="0" xfId="0" applyNumberFormat="1" applyFont="1"/>
    <xf numFmtId="0" fontId="1" fillId="0" borderId="0" xfId="0" applyFont="1" applyFill="1" applyAlignment="1"/>
    <xf numFmtId="181" fontId="1" fillId="0" borderId="0" xfId="0" applyNumberFormat="1" applyFont="1"/>
    <xf numFmtId="0" fontId="1" fillId="0" borderId="0" xfId="0" applyNumberFormat="1" applyFont="1" applyFill="1" applyAlignment="1"/>
    <xf numFmtId="178" fontId="1" fillId="0" borderId="0" xfId="0" applyNumberFormat="1" applyFont="1"/>
    <xf numFmtId="178" fontId="1" fillId="0" borderId="0" xfId="0" applyNumberFormat="1" applyFont="1" applyFill="1"/>
    <xf numFmtId="178" fontId="1" fillId="0" borderId="0" xfId="0" applyNumberFormat="1" applyFont="1" applyFill="1" applyAlignment="1"/>
    <xf numFmtId="0" fontId="0" fillId="0" borderId="0" xfId="0" applyAlignment="1">
      <alignment horizontal="left"/>
    </xf>
    <xf numFmtId="0" fontId="0" fillId="6" borderId="0" xfId="0" applyFill="1"/>
    <xf numFmtId="1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8" sqref="A8"/>
    </sheetView>
  </sheetViews>
  <sheetFormatPr defaultColWidth="9" defaultRowHeight="14.4" outlineLevelRow="7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7"/>
  <sheetViews>
    <sheetView zoomScale="115" zoomScaleNormal="115" topLeftCell="A15" workbookViewId="0">
      <selection activeCell="B23" sqref="B23"/>
    </sheetView>
  </sheetViews>
  <sheetFormatPr defaultColWidth="9" defaultRowHeight="14.4"/>
  <cols>
    <col min="2" max="2" width="10.3333333333333" customWidth="1"/>
    <col min="9" max="10" width="12.8888888888889"/>
  </cols>
  <sheetData>
    <row r="1" spans="2:9">
      <c r="B1" t="s">
        <v>8</v>
      </c>
      <c r="H1">
        <f>'Исходные данные'!F30*100/('Исходные данные'!A4*'Исходные данные'!E26/100)</f>
        <v>2437.94326241135</v>
      </c>
      <c r="I1" t="s">
        <v>9</v>
      </c>
    </row>
    <row r="2" spans="2:9">
      <c r="B2" t="s">
        <v>10</v>
      </c>
      <c r="H2">
        <f>H1*'Исходные данные'!A4/100</f>
        <v>1170.21276595745</v>
      </c>
      <c r="I2" t="s">
        <v>9</v>
      </c>
    </row>
    <row r="3" spans="2:9">
      <c r="B3" t="s">
        <v>11</v>
      </c>
      <c r="H3">
        <f>H2-'Исходные данные'!F30</f>
        <v>180.212765957447</v>
      </c>
      <c r="I3" t="s">
        <v>9</v>
      </c>
    </row>
    <row r="4" spans="2:9">
      <c r="B4" t="s">
        <v>12</v>
      </c>
      <c r="H4">
        <f>'Исходные данные'!F46</f>
        <v>7.02127659574468</v>
      </c>
      <c r="I4" t="s">
        <v>9</v>
      </c>
    </row>
    <row r="5" spans="2:9">
      <c r="B5" t="s">
        <v>13</v>
      </c>
      <c r="H5">
        <f>H4*100/'Исходные данные'!A4</f>
        <v>14.6276595744681</v>
      </c>
      <c r="I5" t="s">
        <v>9</v>
      </c>
    </row>
    <row r="6" spans="2:9">
      <c r="B6" t="s">
        <v>14</v>
      </c>
      <c r="H6">
        <f>H1-H5</f>
        <v>2423.31560283688</v>
      </c>
      <c r="I6" t="s">
        <v>9</v>
      </c>
    </row>
    <row r="7" spans="2:9">
      <c r="B7" t="s">
        <v>15</v>
      </c>
      <c r="H7">
        <f>H6/(100-'Исходные данные'!I4)*100</f>
        <v>2605.71570197514</v>
      </c>
      <c r="I7" t="s">
        <v>9</v>
      </c>
    </row>
    <row r="8" spans="2:2">
      <c r="B8" t="s">
        <v>16</v>
      </c>
    </row>
    <row r="9" spans="2:10"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</row>
    <row r="10" spans="2:10">
      <c r="B10">
        <f>$H$6*'Исходные данные'!A4/100</f>
        <v>1163.1914893617</v>
      </c>
      <c r="C10">
        <f>$H$6*'Исходные данные'!B4/100</f>
        <v>581.595744680851</v>
      </c>
      <c r="D10">
        <f>$H$6*'Исходные данные'!C4/100</f>
        <v>197.257890070922</v>
      </c>
      <c r="E10">
        <f>$H$6*'Исходные данные'!D4/100</f>
        <v>63.0062056737589</v>
      </c>
      <c r="F10">
        <f>$H$6*'Исходные данные'!E4/100</f>
        <v>67.8528368794326</v>
      </c>
      <c r="G10">
        <f>$H$6*'Исходные данные'!F4/100</f>
        <v>53.3129432624114</v>
      </c>
      <c r="H10">
        <f>$H$6*'Исходные данные'!G4/100</f>
        <v>35.3804078014184</v>
      </c>
      <c r="I10">
        <f>$H$6*'Исходные данные'!H4/100</f>
        <v>261.718085106383</v>
      </c>
      <c r="J10">
        <f>H7-H6</f>
        <v>182.40009913826</v>
      </c>
    </row>
    <row r="12" spans="2:2">
      <c r="B12" t="s">
        <v>26</v>
      </c>
    </row>
    <row r="13" spans="2:8">
      <c r="B13" t="s">
        <v>27</v>
      </c>
      <c r="C13" t="s">
        <v>28</v>
      </c>
      <c r="D13" t="s">
        <v>29</v>
      </c>
      <c r="E13" t="s">
        <v>19</v>
      </c>
      <c r="F13" t="s">
        <v>21</v>
      </c>
      <c r="G13" t="s">
        <v>22</v>
      </c>
      <c r="H13" t="s">
        <v>30</v>
      </c>
    </row>
    <row r="14" spans="2:8">
      <c r="B14">
        <f>'Исходные данные'!$E$51*'Исходные данные'!A54/100</f>
        <v>37.56</v>
      </c>
      <c r="C14">
        <f>'Исходные данные'!$E$51*'Исходные данные'!B54/100</f>
        <v>23.28</v>
      </c>
      <c r="D14">
        <f>'Исходные данные'!$E$51*'Исходные данные'!C54/100</f>
        <v>3.72</v>
      </c>
      <c r="E14">
        <f>'Исходные данные'!$E$51*'Исходные данные'!D54/100</f>
        <v>35.28</v>
      </c>
      <c r="F14">
        <f>'Исходные данные'!$E$51*'Исходные данные'!E54/100</f>
        <v>3.48</v>
      </c>
      <c r="G14">
        <f>'Исходные данные'!$E$51*'Исходные данные'!F54/100</f>
        <v>2.52</v>
      </c>
      <c r="H14">
        <f>'Исходные данные'!$E$51*'Исходные данные'!G54/100</f>
        <v>14.16</v>
      </c>
    </row>
    <row r="15" spans="2:10">
      <c r="B15" t="s">
        <v>31</v>
      </c>
      <c r="I15">
        <f>'Исходные данные'!E51*'Исходные данные'!E52/(100-'Исходные данные'!E52)</f>
        <v>61.8181818181818</v>
      </c>
      <c r="J15" t="s">
        <v>32</v>
      </c>
    </row>
    <row r="16" spans="2:9">
      <c r="B16" t="s">
        <v>33</v>
      </c>
      <c r="I16">
        <f>'Приготовление шихты'!B10+('Приготовление шихты'!B14+'Исходные данные'!J66)-('Исходные данные'!F38+'Исходные данные'!F39+'Исходные данные'!F41+'Исходные данные'!F42)</f>
        <v>1058.09191489362</v>
      </c>
    </row>
    <row r="17" spans="2:11">
      <c r="B17" s="7" t="s">
        <v>34</v>
      </c>
      <c r="I17">
        <f>I16/'Исходные данные'!J61</f>
        <v>35.2697304964539</v>
      </c>
      <c r="K17" s="31" t="s">
        <v>35</v>
      </c>
    </row>
    <row r="18" spans="2:9">
      <c r="B18" t="s">
        <v>36</v>
      </c>
      <c r="I18">
        <f>I16-B14</f>
        <v>1020.53191489362</v>
      </c>
    </row>
    <row r="19" spans="2:9">
      <c r="B19" t="s">
        <v>37</v>
      </c>
      <c r="I19">
        <f>I18/'Исходные данные'!J62</f>
        <v>2.55132978723404</v>
      </c>
    </row>
    <row r="20" spans="2:13">
      <c r="B20">
        <v>3</v>
      </c>
      <c r="C20" t="s">
        <v>38</v>
      </c>
      <c r="D20">
        <v>1</v>
      </c>
      <c r="E20" t="s">
        <v>17</v>
      </c>
      <c r="F20">
        <v>0.18</v>
      </c>
      <c r="G20" t="s">
        <v>19</v>
      </c>
      <c r="H20">
        <v>5.8</v>
      </c>
      <c r="I20" t="s">
        <v>25</v>
      </c>
      <c r="J20" t="s">
        <v>39</v>
      </c>
      <c r="M20" t="s">
        <v>40</v>
      </c>
    </row>
    <row r="21" spans="1:9">
      <c r="A21" t="s">
        <v>41</v>
      </c>
      <c r="B21">
        <v>3</v>
      </c>
      <c r="C21">
        <v>56</v>
      </c>
      <c r="D21">
        <v>1</v>
      </c>
      <c r="E21">
        <v>102</v>
      </c>
      <c r="F21">
        <v>0.18</v>
      </c>
      <c r="G21">
        <v>60</v>
      </c>
      <c r="H21">
        <v>5.8</v>
      </c>
      <c r="I21">
        <v>18</v>
      </c>
    </row>
    <row r="22" spans="1:7">
      <c r="A22" t="s">
        <v>42</v>
      </c>
      <c r="G22" s="1">
        <f>I19</f>
        <v>2.55132978723404</v>
      </c>
    </row>
    <row r="23" spans="1:9">
      <c r="A23" t="s">
        <v>43</v>
      </c>
      <c r="B23">
        <f>F23*B21</f>
        <v>0.708702718676123</v>
      </c>
      <c r="C23" s="1">
        <f>B23*C21</f>
        <v>39.6873522458629</v>
      </c>
      <c r="D23">
        <f>F23*D21</f>
        <v>0.236234239558708</v>
      </c>
      <c r="E23" s="1">
        <f>E21*D23</f>
        <v>24.0958924349882</v>
      </c>
      <c r="F23">
        <f>G23/F21</f>
        <v>0.236234239558708</v>
      </c>
      <c r="G23">
        <f>G22/G21</f>
        <v>0.0425221631205674</v>
      </c>
      <c r="H23">
        <f>F23*H21</f>
        <v>1.3701585894405</v>
      </c>
      <c r="I23" s="1">
        <f>H23*I21</f>
        <v>24.6628546099291</v>
      </c>
    </row>
    <row r="25" spans="2:10">
      <c r="B25" t="s">
        <v>44</v>
      </c>
      <c r="I25">
        <f>C23+E23+G22+I23</f>
        <v>90.9974290780142</v>
      </c>
      <c r="J25" t="s">
        <v>32</v>
      </c>
    </row>
    <row r="26" spans="2:2">
      <c r="B26" t="s">
        <v>45</v>
      </c>
    </row>
    <row r="27" spans="2:2">
      <c r="B27" t="s">
        <v>46</v>
      </c>
    </row>
    <row r="28" spans="2:11">
      <c r="B28" t="s">
        <v>47</v>
      </c>
      <c r="I28">
        <f>C23/C21*'Исходные данные'!N4</f>
        <v>70.8702718676123</v>
      </c>
      <c r="J28" t="s">
        <v>32</v>
      </c>
      <c r="K28" t="s">
        <v>48</v>
      </c>
    </row>
    <row r="29" spans="2:10">
      <c r="B29" t="s">
        <v>22</v>
      </c>
      <c r="I29">
        <f>I28-C23</f>
        <v>31.1829196217494</v>
      </c>
      <c r="J29">
        <f>I29/2</f>
        <v>15.5914598108747</v>
      </c>
    </row>
    <row r="30" spans="2:10">
      <c r="B30" t="s">
        <v>25</v>
      </c>
      <c r="I30">
        <f>'Приготовление шихты'!I28*'Исходные данные'!J70/(100-'Исходные данные'!J70)</f>
        <v>34.9062533079285</v>
      </c>
      <c r="J30">
        <f t="shared" ref="J30:J32" si="0">I30/2</f>
        <v>17.4531266539642</v>
      </c>
    </row>
    <row r="31" spans="2:10">
      <c r="B31" t="s">
        <v>21</v>
      </c>
      <c r="I31">
        <f>C23</f>
        <v>39.6873522458629</v>
      </c>
      <c r="J31">
        <f t="shared" si="0"/>
        <v>19.8436761229314</v>
      </c>
    </row>
    <row r="32" spans="2:10">
      <c r="B32" t="s">
        <v>49</v>
      </c>
      <c r="I32">
        <f>I28+I30</f>
        <v>105.776525175541</v>
      </c>
      <c r="J32">
        <f t="shared" si="0"/>
        <v>52.8882625877704</v>
      </c>
    </row>
    <row r="33" spans="2:2">
      <c r="B33" t="s">
        <v>50</v>
      </c>
    </row>
    <row r="34" spans="2:9">
      <c r="B34" t="s">
        <v>51</v>
      </c>
      <c r="I34">
        <f>'Исходные данные'!A8</f>
        <v>54.2</v>
      </c>
    </row>
    <row r="35" spans="2:5">
      <c r="B35">
        <v>2</v>
      </c>
      <c r="C35" t="s">
        <v>21</v>
      </c>
      <c r="D35">
        <v>1</v>
      </c>
      <c r="E35" t="s">
        <v>19</v>
      </c>
    </row>
    <row r="36" spans="3:5">
      <c r="C36">
        <f>E36/'Исходные данные'!N5/'Приготовление шихты'!D35*'Приготовление шихты'!B35*'Исходные данные'!N6</f>
        <v>2.42666666666667</v>
      </c>
      <c r="E36">
        <v>1.3</v>
      </c>
    </row>
    <row r="37" spans="2:9">
      <c r="B37" t="s">
        <v>52</v>
      </c>
      <c r="I37">
        <f>I34-C36</f>
        <v>51.7733333333333</v>
      </c>
    </row>
    <row r="38" spans="2:2">
      <c r="B38" t="s">
        <v>53</v>
      </c>
    </row>
    <row r="39" spans="2:5">
      <c r="B39">
        <v>2</v>
      </c>
      <c r="C39" t="s">
        <v>21</v>
      </c>
      <c r="D39">
        <v>1</v>
      </c>
      <c r="E39" t="s">
        <v>19</v>
      </c>
    </row>
    <row r="40" spans="3:5">
      <c r="C40">
        <f>C41*'Исходные данные'!N6</f>
        <v>434.070728132388</v>
      </c>
      <c r="E40">
        <f>D10+E14</f>
        <v>232.537890070922</v>
      </c>
    </row>
    <row r="41" spans="3:5">
      <c r="C41">
        <f>E41*B39</f>
        <v>7.75126300236407</v>
      </c>
      <c r="E41">
        <f>E40/'Исходные данные'!N5</f>
        <v>3.87563150118203</v>
      </c>
    </row>
    <row r="42" spans="2:5">
      <c r="B42">
        <v>1</v>
      </c>
      <c r="C42" t="s">
        <v>21</v>
      </c>
      <c r="D42">
        <v>1</v>
      </c>
      <c r="E42" t="s">
        <v>20</v>
      </c>
    </row>
    <row r="43" spans="3:5">
      <c r="C43">
        <f>C44*'Исходные данные'!N6</f>
        <v>44.1043439716312</v>
      </c>
      <c r="E43">
        <f>E10</f>
        <v>63.0062056737589</v>
      </c>
    </row>
    <row r="44" spans="3:5">
      <c r="C44">
        <f>E44</f>
        <v>0.787577570921986</v>
      </c>
      <c r="E44">
        <f>E43/'Исходные данные'!N7</f>
        <v>0.787577570921986</v>
      </c>
    </row>
    <row r="46" spans="2:10">
      <c r="B46" t="s">
        <v>54</v>
      </c>
      <c r="I46">
        <f>C40+C43</f>
        <v>478.175072104019</v>
      </c>
      <c r="J46" t="s">
        <v>32</v>
      </c>
    </row>
    <row r="47" spans="2:10">
      <c r="B47" t="s">
        <v>55</v>
      </c>
      <c r="I47">
        <f>F10+C23/2+F14</f>
        <v>91.1765130023641</v>
      </c>
      <c r="J47" t="s">
        <v>32</v>
      </c>
    </row>
    <row r="48" spans="2:10">
      <c r="B48" t="s">
        <v>56</v>
      </c>
      <c r="I48">
        <f>I46-I47</f>
        <v>386.998559101655</v>
      </c>
      <c r="J48" t="s">
        <v>32</v>
      </c>
    </row>
    <row r="49" spans="2:10">
      <c r="B49" t="s">
        <v>57</v>
      </c>
      <c r="I49">
        <f>'Приготовление шихты'!I48/'Приготовление шихты'!I37*100</f>
        <v>747.486271764722</v>
      </c>
      <c r="J49" t="s">
        <v>32</v>
      </c>
    </row>
    <row r="50" spans="2:10">
      <c r="B50" t="s">
        <v>58</v>
      </c>
      <c r="I50">
        <f>I49/(100-'Исходные данные'!E8)*100</f>
        <v>795.198161451832</v>
      </c>
      <c r="J50" t="s">
        <v>32</v>
      </c>
    </row>
    <row r="52" spans="2:2">
      <c r="B52" t="s">
        <v>59</v>
      </c>
    </row>
    <row r="53" spans="2:6">
      <c r="B53" t="s">
        <v>21</v>
      </c>
      <c r="C53" t="s">
        <v>22</v>
      </c>
      <c r="D53" t="s">
        <v>19</v>
      </c>
      <c r="E53" t="s">
        <v>23</v>
      </c>
      <c r="F53" t="s">
        <v>25</v>
      </c>
    </row>
    <row r="54" spans="2:6">
      <c r="B54">
        <f>I50*'Исходные данные'!A8/100</f>
        <v>430.997403506893</v>
      </c>
      <c r="C54">
        <f>I50*'Исходные данные'!B8/100</f>
        <v>338.75441677848</v>
      </c>
      <c r="D54">
        <f>I50*'Исходные данные'!C8/100</f>
        <v>10.3375760988738</v>
      </c>
      <c r="E54">
        <f>I50*'Исходные данные'!D8/100</f>
        <v>15.1087650675848</v>
      </c>
      <c r="F54">
        <f>I50-I49</f>
        <v>47.7118896871099</v>
      </c>
    </row>
    <row r="56" spans="2:2">
      <c r="B56" t="s">
        <v>60</v>
      </c>
    </row>
    <row r="57" spans="2:5">
      <c r="B57">
        <v>1</v>
      </c>
      <c r="C57" t="s">
        <v>28</v>
      </c>
      <c r="D57">
        <v>1</v>
      </c>
      <c r="E57" t="s">
        <v>17</v>
      </c>
    </row>
    <row r="58" spans="3:5">
      <c r="C58">
        <f>C59*'Исходные данные'!N3</f>
        <v>742.207768043388</v>
      </c>
      <c r="E58">
        <f>B10+B14+'Исходные данные'!J66+'Исходные данные'!A58</f>
        <v>1221.0514893617</v>
      </c>
    </row>
    <row r="59" spans="3:5">
      <c r="C59">
        <f>E59</f>
        <v>11.9710930329579</v>
      </c>
      <c r="E59">
        <f>E58/'Исходные данные'!N8</f>
        <v>11.9710930329579</v>
      </c>
    </row>
    <row r="60" spans="2:5">
      <c r="B60">
        <v>1</v>
      </c>
      <c r="C60" t="s">
        <v>28</v>
      </c>
      <c r="D60">
        <v>1</v>
      </c>
      <c r="E60" t="s">
        <v>18</v>
      </c>
    </row>
    <row r="61" spans="3:5">
      <c r="C61">
        <f>C62*'Исходные данные'!N3</f>
        <v>226.80985106383</v>
      </c>
      <c r="E61">
        <f>C10+'Приготовление шихты'!D14</f>
        <v>585.315744680851</v>
      </c>
    </row>
    <row r="62" spans="3:5">
      <c r="C62">
        <f>E62</f>
        <v>3.65822340425532</v>
      </c>
      <c r="E62">
        <f>E61/'Исходные данные'!N9</f>
        <v>3.65822340425532</v>
      </c>
    </row>
    <row r="64" spans="2:10">
      <c r="B64" t="s">
        <v>61</v>
      </c>
      <c r="I64">
        <f>C58+C61</f>
        <v>969.017619107218</v>
      </c>
      <c r="J64" t="s">
        <v>32</v>
      </c>
    </row>
    <row r="65" spans="2:10">
      <c r="B65" t="s">
        <v>62</v>
      </c>
      <c r="I65">
        <f>C14+('Исходные данные'!B58+'Исходные данные'!C12)</f>
        <v>111.335849056604</v>
      </c>
      <c r="J65" t="s">
        <v>32</v>
      </c>
    </row>
    <row r="66" spans="9:10">
      <c r="I66">
        <f>I64-I65</f>
        <v>857.681770050614</v>
      </c>
      <c r="J66" t="s">
        <v>32</v>
      </c>
    </row>
    <row r="68" spans="2:2">
      <c r="B68" t="s">
        <v>63</v>
      </c>
    </row>
    <row r="69" spans="2:10">
      <c r="B69" t="s">
        <v>64</v>
      </c>
      <c r="I69">
        <f>('Исходные данные'!J67*'Исходные данные'!N3*'Исходные данные'!J66)/'Исходные данные'!N8</f>
        <v>32.8235294117647</v>
      </c>
      <c r="J69" t="s">
        <v>32</v>
      </c>
    </row>
    <row r="70" spans="9:10">
      <c r="I70">
        <f>I66-I69</f>
        <v>824.858240638849</v>
      </c>
      <c r="J70" t="s">
        <v>32</v>
      </c>
    </row>
    <row r="71" spans="2:10">
      <c r="B71" t="s">
        <v>22</v>
      </c>
      <c r="I71">
        <f>I70/'Исходные данные'!N3*'Исходные данные'!N10</f>
        <v>585.383267550151</v>
      </c>
      <c r="J71" t="s">
        <v>32</v>
      </c>
    </row>
    <row r="72" spans="9:10">
      <c r="I72">
        <f>I70+I71</f>
        <v>1410.241508189</v>
      </c>
      <c r="J72" t="s">
        <v>32</v>
      </c>
    </row>
    <row r="74" spans="2:10">
      <c r="B74" s="31" t="s">
        <v>65</v>
      </c>
      <c r="C74" s="31"/>
      <c r="D74" s="31"/>
      <c r="E74" s="31"/>
      <c r="F74" s="31"/>
      <c r="G74" s="31"/>
      <c r="H74" s="31"/>
      <c r="I74" s="31">
        <f>'Приготовление шихты'!I70/'Исходные данные'!J68</f>
        <v>2.66083303431887</v>
      </c>
      <c r="J74" s="31" t="s">
        <v>66</v>
      </c>
    </row>
    <row r="75" spans="2:10">
      <c r="B75" t="s">
        <v>67</v>
      </c>
      <c r="I75">
        <f>I74*'Исходные данные'!J69</f>
        <v>3831.59956941917</v>
      </c>
      <c r="J75" t="s">
        <v>32</v>
      </c>
    </row>
    <row r="76" spans="2:9">
      <c r="B76" t="s">
        <v>68</v>
      </c>
      <c r="I76">
        <f>I75-('Исходные данные'!J66+'Приготовление шихты'!I66+'Приготовление шихты'!I71)</f>
        <v>2368.5345318184</v>
      </c>
    </row>
    <row r="77" spans="2:9">
      <c r="B77" t="s">
        <v>69</v>
      </c>
      <c r="I77" s="32">
        <f>'Приготовление шихты'!I76/Таблицы!N14</f>
        <v>0.308926094479151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35"/>
  <sheetViews>
    <sheetView workbookViewId="0">
      <selection activeCell="I35" sqref="I35"/>
    </sheetView>
  </sheetViews>
  <sheetFormatPr defaultColWidth="9" defaultRowHeight="14.4"/>
  <sheetData>
    <row r="2" spans="2:2">
      <c r="B2" t="s">
        <v>70</v>
      </c>
    </row>
    <row r="3" spans="2:8">
      <c r="B3" t="s">
        <v>17</v>
      </c>
      <c r="C3">
        <f>'Исходные данные'!J66/'Приготовление шихты'!I74/2</f>
        <v>3.75822153101006</v>
      </c>
      <c r="H3" t="s">
        <v>71</v>
      </c>
    </row>
    <row r="4" spans="2:8">
      <c r="B4" t="s">
        <v>72</v>
      </c>
      <c r="C4">
        <f>'Исходные данные'!J67*'Выщелачивание спека'!C3/1.645</f>
        <v>6.16850950378551</v>
      </c>
      <c r="H4" t="s">
        <v>71</v>
      </c>
    </row>
    <row r="6" spans="2:8">
      <c r="B6" t="s">
        <v>73</v>
      </c>
      <c r="C6">
        <f>'Исходные данные'!J68/2</f>
        <v>155</v>
      </c>
      <c r="H6" t="s">
        <v>71</v>
      </c>
    </row>
    <row r="7" spans="2:8">
      <c r="B7" t="s">
        <v>22</v>
      </c>
      <c r="C7">
        <f>C6/62*44</f>
        <v>110</v>
      </c>
      <c r="H7" t="s">
        <v>71</v>
      </c>
    </row>
    <row r="9" spans="2:3">
      <c r="B9" t="s">
        <v>25</v>
      </c>
      <c r="C9" s="8">
        <f>'Исходные данные'!J72-('Выщелачивание спека'!C3+'Выщелачивание спека'!C4+'Выщелачивание спека'!C6+'Выщелачивание спека'!C7)</f>
        <v>945.073268965204</v>
      </c>
    </row>
    <row r="12" spans="2:2">
      <c r="B12" t="s">
        <v>74</v>
      </c>
    </row>
    <row r="13" spans="2:9">
      <c r="B13" t="s">
        <v>75</v>
      </c>
      <c r="I13">
        <f>'Приготовление шихты'!I25</f>
        <v>90.9974290780142</v>
      </c>
    </row>
    <row r="14" spans="2:9">
      <c r="B14" t="s">
        <v>76</v>
      </c>
      <c r="I14">
        <f>'Приготовление шихты'!E23</f>
        <v>24.0958924349882</v>
      </c>
    </row>
    <row r="16" spans="2:7">
      <c r="B16" t="s">
        <v>17</v>
      </c>
      <c r="C16" t="s">
        <v>72</v>
      </c>
      <c r="D16" t="s">
        <v>73</v>
      </c>
      <c r="E16" t="s">
        <v>22</v>
      </c>
      <c r="F16" t="s">
        <v>25</v>
      </c>
      <c r="G16" t="s">
        <v>77</v>
      </c>
    </row>
    <row r="17" spans="2:8">
      <c r="B17">
        <f>'Исходные данные'!$J$73*'Выщелачивание спека'!C3</f>
        <v>5.63733229651509</v>
      </c>
      <c r="C17">
        <f>'Исходные данные'!$J$73*C4</f>
        <v>9.25276425567827</v>
      </c>
      <c r="D17">
        <f>'Исходные данные'!$J$73*C6</f>
        <v>232.5</v>
      </c>
      <c r="E17">
        <f>'Исходные данные'!$J$73*C7</f>
        <v>165</v>
      </c>
      <c r="F17">
        <f>'Исходные данные'!$J$73*C9</f>
        <v>1417.60990344781</v>
      </c>
      <c r="G17">
        <f>SUM(B17:F17)</f>
        <v>1830</v>
      </c>
      <c r="H17" t="s">
        <v>32</v>
      </c>
    </row>
    <row r="19" spans="2:9">
      <c r="B19" t="s">
        <v>78</v>
      </c>
      <c r="I19">
        <f>I13*'Исходные данные'!J70/(100-'Исходные данные'!J70)</f>
        <v>44.8196292473801</v>
      </c>
    </row>
    <row r="20" spans="2:9">
      <c r="B20" t="s">
        <v>79</v>
      </c>
      <c r="I20">
        <f>I19/'Исходные данные'!J74</f>
        <v>0.0368885837426997</v>
      </c>
    </row>
    <row r="21" spans="2:2">
      <c r="B21" t="s">
        <v>80</v>
      </c>
    </row>
    <row r="23" spans="2:8">
      <c r="B23" t="s">
        <v>17</v>
      </c>
      <c r="C23" t="s">
        <v>72</v>
      </c>
      <c r="D23" t="s">
        <v>81</v>
      </c>
      <c r="E23" t="s">
        <v>73</v>
      </c>
      <c r="F23" t="s">
        <v>22</v>
      </c>
      <c r="G23" t="s">
        <v>25</v>
      </c>
      <c r="H23" t="s">
        <v>77</v>
      </c>
    </row>
    <row r="24" spans="2:8">
      <c r="B24">
        <f>I20*'Исходные данные'!J77</f>
        <v>4.42663004912396</v>
      </c>
      <c r="C24">
        <f>'Исходные данные'!J75*B24/(102/62)</f>
        <v>4.0360450447895</v>
      </c>
      <c r="D24">
        <f>'Исходные данные'!J76*B24/(102/62)</f>
        <v>5.38139339305266</v>
      </c>
      <c r="E24">
        <f>D24-C24</f>
        <v>1.34534834826317</v>
      </c>
      <c r="F24">
        <f>E24*44/62</f>
        <v>0.954763343928698</v>
      </c>
      <c r="G24">
        <f>I19-(SUM(B24,D24,F24))</f>
        <v>34.0568424612748</v>
      </c>
      <c r="H24">
        <f>I19</f>
        <v>44.8196292473801</v>
      </c>
    </row>
    <row r="26" spans="2:2">
      <c r="B26" t="s">
        <v>82</v>
      </c>
    </row>
    <row r="27" spans="2:9">
      <c r="B27" t="s">
        <v>83</v>
      </c>
      <c r="I27">
        <f>'Приготовление шихты'!I30</f>
        <v>34.9062533079285</v>
      </c>
    </row>
    <row r="28" spans="2:9">
      <c r="B28" t="s">
        <v>84</v>
      </c>
      <c r="I28">
        <f>Таблицы!K38+Таблицы!K45</f>
        <v>1880</v>
      </c>
    </row>
    <row r="30" spans="2:8">
      <c r="B30" t="s">
        <v>17</v>
      </c>
      <c r="C30" t="s">
        <v>19</v>
      </c>
      <c r="D30" t="s">
        <v>21</v>
      </c>
      <c r="E30" t="s">
        <v>22</v>
      </c>
      <c r="F30" t="s">
        <v>85</v>
      </c>
      <c r="G30" t="s">
        <v>73</v>
      </c>
      <c r="H30" t="s">
        <v>25</v>
      </c>
    </row>
    <row r="31" spans="2:8">
      <c r="B31" s="30">
        <f>Таблицы!D39*I27/I28</f>
        <v>0.634251353156715</v>
      </c>
      <c r="C31" s="30">
        <f>Таблицы!D39*Таблицы!E39/'Выщелачивание спека'!I28</f>
        <v>0.0463580079943636</v>
      </c>
      <c r="D31" s="30">
        <v>0</v>
      </c>
      <c r="E31" s="30">
        <f>G31*44/62</f>
        <v>2.27634546643336</v>
      </c>
      <c r="F31" s="30">
        <f>B31*'Исходные данные'!J78/1.645</f>
        <v>1.31091465090142</v>
      </c>
      <c r="G31" s="30">
        <f>Таблицы!D39*Таблицы!I42/'Выщелачивание спека'!I28</f>
        <v>3.20757770270155</v>
      </c>
      <c r="H31" s="30">
        <f>I27-(SUM(B31:G31))</f>
        <v>27.430806126741</v>
      </c>
    </row>
    <row r="34" spans="2:9">
      <c r="B34" t="s">
        <v>86</v>
      </c>
      <c r="I34">
        <f>Таблицы!D91/'Исходные данные'!J89</f>
        <v>7.7995331714119</v>
      </c>
    </row>
    <row r="35" spans="2:9">
      <c r="B35" t="s">
        <v>87</v>
      </c>
      <c r="I35">
        <f>I34*'Исходные данные'!J91</f>
        <v>9905.40712769311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4"/>
  <sheetViews>
    <sheetView workbookViewId="0">
      <selection activeCell="J13" sqref="J13"/>
    </sheetView>
  </sheetViews>
  <sheetFormatPr defaultColWidth="9" defaultRowHeight="14.4"/>
  <sheetData>
    <row r="2" spans="2:10">
      <c r="B2" t="s">
        <v>88</v>
      </c>
      <c r="I2">
        <f>Таблицы!N91-'Исходные данные'!E51</f>
        <v>9785.40712769311</v>
      </c>
      <c r="J2" t="s">
        <v>32</v>
      </c>
    </row>
    <row r="3" spans="2:11">
      <c r="B3" t="s">
        <v>89</v>
      </c>
      <c r="I3">
        <f>Таблицы!D91-'Приготовление шихты'!B14-'Исходные данные'!F43</f>
        <v>1053.20443123171</v>
      </c>
      <c r="J3" t="s">
        <v>32</v>
      </c>
      <c r="K3">
        <f>120/I2</f>
        <v>0.0122631586436905</v>
      </c>
    </row>
    <row r="4" spans="2:2">
      <c r="B4" t="s">
        <v>90</v>
      </c>
    </row>
    <row r="5" spans="2:10">
      <c r="B5" t="s">
        <v>91</v>
      </c>
      <c r="I5">
        <f>I3*'Исходные данные'!E51/Обескремнивание!I2</f>
        <v>12.9156130244322</v>
      </c>
      <c r="J5" t="s">
        <v>32</v>
      </c>
    </row>
    <row r="6" spans="2:10">
      <c r="B6" t="s">
        <v>92</v>
      </c>
      <c r="I6">
        <f>Таблицы!F91-'Приготовление шихты'!E14</f>
        <v>2.54106028368795</v>
      </c>
      <c r="J6" t="s">
        <v>32</v>
      </c>
    </row>
    <row r="7" spans="2:10">
      <c r="B7" t="s">
        <v>93</v>
      </c>
      <c r="I7">
        <f>I6*120/I2</f>
        <v>0.0311614253820465</v>
      </c>
      <c r="J7" t="s">
        <v>32</v>
      </c>
    </row>
    <row r="8" spans="2:10">
      <c r="B8" t="s">
        <v>94</v>
      </c>
      <c r="I8">
        <f>'Приготовление шихты'!G14/44*62</f>
        <v>3.55090909090909</v>
      </c>
      <c r="J8" t="s">
        <v>32</v>
      </c>
    </row>
    <row r="9" spans="2:10">
      <c r="B9" t="s">
        <v>95</v>
      </c>
      <c r="I9">
        <f>K3*(Таблицы!K91-I8)</f>
        <v>1.62724943658715</v>
      </c>
      <c r="J9" t="s">
        <v>32</v>
      </c>
    </row>
    <row r="10" spans="2:10">
      <c r="B10" t="s">
        <v>85</v>
      </c>
      <c r="I10">
        <f>'Приготовление шихты'!C14-I8</f>
        <v>19.7290909090909</v>
      </c>
      <c r="J10" t="s">
        <v>32</v>
      </c>
    </row>
    <row r="11" spans="2:10">
      <c r="B11" t="s">
        <v>96</v>
      </c>
      <c r="I11">
        <f>K3*(Таблицы!J91-Обескремнивание!I10)</f>
        <v>11.9671061107694</v>
      </c>
      <c r="J11" t="s">
        <v>32</v>
      </c>
    </row>
    <row r="12" spans="2:9">
      <c r="B12" t="s">
        <v>22</v>
      </c>
      <c r="I12">
        <f>I9/62*44</f>
        <v>1.15482218080378</v>
      </c>
    </row>
    <row r="13" spans="2:9">
      <c r="B13" t="s">
        <v>25</v>
      </c>
      <c r="I13">
        <f>I14-Обескремнивание!I5-Обескремнивание!I7-Обескремнивание!I9-Обескремнивание!I11-I12</f>
        <v>92.3040478220254</v>
      </c>
    </row>
    <row r="14" spans="2:9">
      <c r="B14" t="s">
        <v>97</v>
      </c>
      <c r="I14">
        <f>'Исходные данные'!N52</f>
        <v>120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7"/>
  <sheetViews>
    <sheetView workbookViewId="0">
      <selection activeCell="G8" sqref="G8"/>
    </sheetView>
  </sheetViews>
  <sheetFormatPr defaultColWidth="9" defaultRowHeight="14.4" outlineLevelCol="7"/>
  <cols>
    <col min="7" max="7" width="12.8888888888889"/>
  </cols>
  <sheetData>
    <row r="3" spans="2:8">
      <c r="B3" t="s">
        <v>98</v>
      </c>
      <c r="G3">
        <f>'Исходные данные'!F30+'Исходные данные'!F46</f>
        <v>997.021276595745</v>
      </c>
      <c r="H3" t="s">
        <v>32</v>
      </c>
    </row>
    <row r="4" spans="2:8">
      <c r="B4" t="s">
        <v>99</v>
      </c>
      <c r="G4">
        <f>G3*156/102</f>
        <v>1524.85607008761</v>
      </c>
      <c r="H4" t="s">
        <v>32</v>
      </c>
    </row>
    <row r="5" spans="2:8">
      <c r="B5" t="s">
        <v>100</v>
      </c>
      <c r="G5">
        <f>G4-G3</f>
        <v>527.834793491865</v>
      </c>
      <c r="H5" t="s">
        <v>32</v>
      </c>
    </row>
    <row r="6" spans="2:8">
      <c r="B6" t="s">
        <v>101</v>
      </c>
      <c r="G6">
        <f>Таблицы!D136-'Кальцинация и карбонизация'!G3-'Исходные данные'!F44</f>
        <v>25.6373322965151</v>
      </c>
      <c r="H6" t="s">
        <v>32</v>
      </c>
    </row>
    <row r="7" spans="2:8">
      <c r="B7" t="s">
        <v>102</v>
      </c>
      <c r="G7">
        <f>G6*'Исходные данные'!J94/1.645</f>
        <v>42.079511976043</v>
      </c>
      <c r="H7" t="s">
        <v>32</v>
      </c>
    </row>
    <row r="8" spans="2:8">
      <c r="B8" t="s">
        <v>103</v>
      </c>
      <c r="G8">
        <f>Таблицы!H136+Таблицы!I136-'Исходные данные'!H44-G7</f>
        <v>1062.35087138685</v>
      </c>
      <c r="H8" t="s">
        <v>32</v>
      </c>
    </row>
    <row r="9" spans="2:8">
      <c r="B9" t="s">
        <v>104</v>
      </c>
      <c r="G9">
        <f>G8*44/62-Таблицы!G136</f>
        <v>643.981512327895</v>
      </c>
      <c r="H9" t="s">
        <v>32</v>
      </c>
    </row>
    <row r="10" spans="2:8">
      <c r="B10" t="s">
        <v>105</v>
      </c>
      <c r="G10">
        <f>Таблицы!D136*'Исходные данные'!J97</f>
        <v>2049.99806884835</v>
      </c>
      <c r="H10" t="s">
        <v>32</v>
      </c>
    </row>
    <row r="11" spans="2:8">
      <c r="B11" t="s">
        <v>106</v>
      </c>
      <c r="G11">
        <f>G10*54/102</f>
        <v>1085.29309527266</v>
      </c>
      <c r="H11" t="s">
        <v>32</v>
      </c>
    </row>
    <row r="12" spans="2:8">
      <c r="B12" t="s">
        <v>107</v>
      </c>
      <c r="G12">
        <f>G10+G11</f>
        <v>3135.291164121</v>
      </c>
      <c r="H12" t="s">
        <v>32</v>
      </c>
    </row>
    <row r="13" spans="2:8">
      <c r="B13" t="s">
        <v>108</v>
      </c>
      <c r="G13">
        <f>G12*'Исходные данные'!J99/(100-'Исходные данные'!J99)</f>
        <v>553.286676021354</v>
      </c>
      <c r="H13" t="s">
        <v>32</v>
      </c>
    </row>
    <row r="14" spans="2:8">
      <c r="B14" t="s">
        <v>109</v>
      </c>
      <c r="G14">
        <f>Таблицы!K136-'Кальцинация и карбонизация'!G4</f>
        <v>8264.96572522485</v>
      </c>
      <c r="H14" t="s">
        <v>32</v>
      </c>
    </row>
    <row r="16" spans="2:6">
      <c r="B16" t="s">
        <v>17</v>
      </c>
      <c r="C16" t="s">
        <v>85</v>
      </c>
      <c r="D16" t="s">
        <v>73</v>
      </c>
      <c r="E16" t="s">
        <v>22</v>
      </c>
      <c r="F16" t="s">
        <v>25</v>
      </c>
    </row>
    <row r="17" spans="2:6">
      <c r="B17">
        <f>G13*G6/G14</f>
        <v>1.71625567969404</v>
      </c>
      <c r="C17">
        <f>G7*0.0669</f>
        <v>2.81511935119727</v>
      </c>
      <c r="D17">
        <f>G8*0.0669</f>
        <v>71.0712732957805</v>
      </c>
      <c r="E17">
        <f>D17*44/62</f>
        <v>50.4376778228119</v>
      </c>
      <c r="F17">
        <f>G13-B17-C17-D17-E17</f>
        <v>427.24634987187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05"/>
  <sheetViews>
    <sheetView tabSelected="1" zoomScale="85" zoomScaleNormal="85" topLeftCell="A133" workbookViewId="0">
      <selection activeCell="M143" sqref="M143"/>
    </sheetView>
  </sheetViews>
  <sheetFormatPr defaultColWidth="9" defaultRowHeight="14.4"/>
  <cols>
    <col min="4" max="4" width="15.1111111111111"/>
    <col min="5" max="13" width="12.8888888888889"/>
  </cols>
  <sheetData>
    <row r="3" spans="3:15">
      <c r="C3" s="2" t="s">
        <v>110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0"/>
    </row>
    <row r="4" spans="4:14"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81</v>
      </c>
      <c r="K4" t="s">
        <v>111</v>
      </c>
      <c r="L4" t="s">
        <v>112</v>
      </c>
      <c r="M4" t="s">
        <v>25</v>
      </c>
      <c r="N4" t="s">
        <v>77</v>
      </c>
    </row>
    <row r="5" spans="3:14">
      <c r="C5" s="2" t="s">
        <v>113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5">
      <c r="C6" s="9" t="s">
        <v>114</v>
      </c>
      <c r="D6">
        <f>'Приготовление шихты'!B10</f>
        <v>1163.1914893617</v>
      </c>
      <c r="E6">
        <f>'Приготовление шихты'!C10</f>
        <v>581.595744680851</v>
      </c>
      <c r="F6">
        <f>'Приготовление шихты'!D10</f>
        <v>197.257890070922</v>
      </c>
      <c r="G6">
        <f>'Приготовление шихты'!E10</f>
        <v>63.0062056737589</v>
      </c>
      <c r="H6">
        <f>'Приготовление шихты'!F10</f>
        <v>67.8528368794326</v>
      </c>
      <c r="I6">
        <f>'Приготовление шихты'!G10</f>
        <v>53.3129432624114</v>
      </c>
      <c r="J6">
        <v>0</v>
      </c>
      <c r="K6">
        <f>'Приготовление шихты'!H10</f>
        <v>35.3804078014184</v>
      </c>
      <c r="L6">
        <f>'Приготовление шихты'!I10</f>
        <v>261.718085106383</v>
      </c>
      <c r="M6">
        <f>'Приготовление шихты'!J10</f>
        <v>182.40009913826</v>
      </c>
      <c r="N6">
        <f t="shared" ref="N6:N11" si="0">SUM(D6:M6)</f>
        <v>2605.71570197514</v>
      </c>
      <c r="O6" s="11">
        <f>'Приготовление шихты'!H7</f>
        <v>2605.71570197514</v>
      </c>
    </row>
    <row r="7" spans="3:15">
      <c r="C7" t="s">
        <v>115</v>
      </c>
      <c r="D7">
        <v>0</v>
      </c>
      <c r="E7">
        <v>0</v>
      </c>
      <c r="F7">
        <f>'Приготовление шихты'!D54</f>
        <v>10.3375760988738</v>
      </c>
      <c r="G7">
        <v>0</v>
      </c>
      <c r="H7">
        <f>'Приготовление шихты'!B54</f>
        <v>430.997403506893</v>
      </c>
      <c r="I7">
        <f>'Приготовление шихты'!C54</f>
        <v>338.75441677848</v>
      </c>
      <c r="J7">
        <v>0</v>
      </c>
      <c r="K7">
        <f>'Приготовление шихты'!E54</f>
        <v>15.1087650675848</v>
      </c>
      <c r="L7">
        <v>0</v>
      </c>
      <c r="M7">
        <f>'Приготовление шихты'!F54</f>
        <v>47.7118896871099</v>
      </c>
      <c r="N7">
        <f t="shared" si="0"/>
        <v>842.910051138942</v>
      </c>
      <c r="O7" s="11"/>
    </row>
    <row r="8" spans="3:15">
      <c r="C8" s="10" t="s">
        <v>116</v>
      </c>
      <c r="D8">
        <f>'Приготовление шихты'!B14</f>
        <v>37.56</v>
      </c>
      <c r="E8">
        <f>'Приготовление шихты'!D14</f>
        <v>3.72</v>
      </c>
      <c r="F8">
        <f>'Приготовление шихты'!E14</f>
        <v>35.28</v>
      </c>
      <c r="G8">
        <v>0</v>
      </c>
      <c r="H8">
        <f>'Приготовление шихты'!F14</f>
        <v>3.48</v>
      </c>
      <c r="I8">
        <f>'Приготовление шихты'!G14</f>
        <v>2.52</v>
      </c>
      <c r="J8">
        <f>'Приготовление шихты'!C14</f>
        <v>23.28</v>
      </c>
      <c r="K8">
        <v>0</v>
      </c>
      <c r="L8">
        <f>'Приготовление шихты'!H14</f>
        <v>14.16</v>
      </c>
      <c r="M8">
        <f>'Приготовление шихты'!I15</f>
        <v>61.8181818181818</v>
      </c>
      <c r="N8">
        <f t="shared" si="0"/>
        <v>181.818181818182</v>
      </c>
      <c r="O8" s="11"/>
    </row>
    <row r="9" spans="3:15">
      <c r="C9" s="10" t="s">
        <v>117</v>
      </c>
      <c r="D9">
        <v>0</v>
      </c>
      <c r="E9">
        <v>0</v>
      </c>
      <c r="F9">
        <v>0</v>
      </c>
      <c r="G9">
        <v>0</v>
      </c>
      <c r="H9">
        <f>'Приготовление шихты'!J31</f>
        <v>19.8436761229314</v>
      </c>
      <c r="I9">
        <f>'Приготовление шихты'!J29</f>
        <v>15.5914598108747</v>
      </c>
      <c r="J9">
        <v>0</v>
      </c>
      <c r="K9">
        <v>0</v>
      </c>
      <c r="L9">
        <v>0</v>
      </c>
      <c r="M9">
        <f>'Приготовление шихты'!J30</f>
        <v>17.4531266539642</v>
      </c>
      <c r="N9">
        <f t="shared" si="0"/>
        <v>52.8882625877704</v>
      </c>
      <c r="O9" s="11"/>
    </row>
    <row r="10" spans="3:15">
      <c r="C10" s="10" t="s">
        <v>118</v>
      </c>
      <c r="D10">
        <v>0</v>
      </c>
      <c r="E10">
        <v>0</v>
      </c>
      <c r="F10">
        <v>0</v>
      </c>
      <c r="G10">
        <v>0</v>
      </c>
      <c r="H10">
        <v>0</v>
      </c>
      <c r="I10">
        <f>'Исходные данные'!C15</f>
        <v>62.2641509433962</v>
      </c>
      <c r="J10">
        <f>'Исходные данные'!B15</f>
        <v>87.7358490566038</v>
      </c>
      <c r="K10">
        <f>'Исходные данные'!E15</f>
        <v>1.36916835699797</v>
      </c>
      <c r="L10">
        <v>0</v>
      </c>
      <c r="M10">
        <f>'Исходные данные'!D15</f>
        <v>0.760649087221095</v>
      </c>
      <c r="N10">
        <f t="shared" si="0"/>
        <v>152.129817444219</v>
      </c>
      <c r="O10" s="11"/>
    </row>
    <row r="11" spans="3:15">
      <c r="C11" s="10" t="s">
        <v>119</v>
      </c>
      <c r="D11">
        <f>'Исходные данные'!J66</f>
        <v>20</v>
      </c>
      <c r="E11">
        <v>0</v>
      </c>
      <c r="F11">
        <v>0</v>
      </c>
      <c r="G11">
        <v>0</v>
      </c>
      <c r="H11">
        <v>0</v>
      </c>
      <c r="I11">
        <f>'Приготовление шихты'!E61</f>
        <v>585.315744680851</v>
      </c>
      <c r="J11">
        <f>'Приготовление шихты'!I66</f>
        <v>857.681770050614</v>
      </c>
      <c r="K11">
        <v>0</v>
      </c>
      <c r="L11">
        <v>0</v>
      </c>
      <c r="M11">
        <f>'Приготовление шихты'!I76</f>
        <v>2368.5345318184</v>
      </c>
      <c r="N11">
        <f t="shared" si="0"/>
        <v>3831.53204654987</v>
      </c>
      <c r="O11" s="11"/>
    </row>
    <row r="12" spans="3:15">
      <c r="C12" s="10" t="s">
        <v>120</v>
      </c>
      <c r="D12">
        <f t="shared" ref="D12:N12" si="1">SUM(D6:D11)</f>
        <v>1220.7514893617</v>
      </c>
      <c r="E12">
        <f t="shared" si="1"/>
        <v>585.315744680851</v>
      </c>
      <c r="F12">
        <f t="shared" si="1"/>
        <v>242.875466169796</v>
      </c>
      <c r="G12">
        <f t="shared" si="1"/>
        <v>63.0062056737589</v>
      </c>
      <c r="H12">
        <f t="shared" si="1"/>
        <v>522.173916509257</v>
      </c>
      <c r="I12">
        <f t="shared" si="1"/>
        <v>1057.75871547601</v>
      </c>
      <c r="J12">
        <f t="shared" si="1"/>
        <v>968.697619107217</v>
      </c>
      <c r="K12">
        <f t="shared" si="1"/>
        <v>51.8583412260012</v>
      </c>
      <c r="L12">
        <f t="shared" si="1"/>
        <v>275.878085106383</v>
      </c>
      <c r="M12">
        <f t="shared" si="1"/>
        <v>2678.67847820314</v>
      </c>
      <c r="N12">
        <f t="shared" si="1"/>
        <v>7666.99406151412</v>
      </c>
      <c r="O12" s="11"/>
    </row>
    <row r="13" spans="3:15">
      <c r="C13" s="2" t="s">
        <v>121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1"/>
    </row>
    <row r="14" spans="3:15">
      <c r="C14" t="s">
        <v>122</v>
      </c>
      <c r="D14">
        <f t="shared" ref="D14:N14" si="2">SUM(D6:D11)-D15</f>
        <v>1220.7514893617</v>
      </c>
      <c r="E14">
        <f t="shared" si="2"/>
        <v>585.315744680851</v>
      </c>
      <c r="F14">
        <f t="shared" si="2"/>
        <v>242.875466169796</v>
      </c>
      <c r="G14">
        <f t="shared" si="2"/>
        <v>63.0062056737589</v>
      </c>
      <c r="H14">
        <f t="shared" si="2"/>
        <v>522.173916509257</v>
      </c>
      <c r="I14">
        <f t="shared" si="2"/>
        <v>1057.75871547601</v>
      </c>
      <c r="J14">
        <f t="shared" si="2"/>
        <v>968.197619107217</v>
      </c>
      <c r="K14">
        <f t="shared" si="2"/>
        <v>51.8583412260012</v>
      </c>
      <c r="L14">
        <f t="shared" si="2"/>
        <v>275.878085106383</v>
      </c>
      <c r="M14">
        <f t="shared" si="2"/>
        <v>2678.67847820314</v>
      </c>
      <c r="N14">
        <f t="shared" si="2"/>
        <v>7666.99406151412</v>
      </c>
      <c r="O14" s="11"/>
    </row>
    <row r="15" spans="3:14">
      <c r="C15" t="s">
        <v>123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</row>
    <row r="16" spans="3:14">
      <c r="C16" s="10" t="s">
        <v>120</v>
      </c>
      <c r="D16">
        <f t="shared" ref="D16:N16" si="3">SUM(D14:D15)</f>
        <v>1220.7514893617</v>
      </c>
      <c r="E16">
        <f t="shared" si="3"/>
        <v>585.315744680851</v>
      </c>
      <c r="F16">
        <f t="shared" si="3"/>
        <v>242.875466169796</v>
      </c>
      <c r="G16">
        <f t="shared" si="3"/>
        <v>63.0062056737589</v>
      </c>
      <c r="H16">
        <f t="shared" si="3"/>
        <v>522.173916509257</v>
      </c>
      <c r="I16">
        <f t="shared" si="3"/>
        <v>1057.75871547601</v>
      </c>
      <c r="J16">
        <f t="shared" si="3"/>
        <v>968.697619107217</v>
      </c>
      <c r="K16">
        <f t="shared" si="3"/>
        <v>51.8583412260012</v>
      </c>
      <c r="L16">
        <f t="shared" si="3"/>
        <v>275.878085106383</v>
      </c>
      <c r="M16">
        <f t="shared" si="3"/>
        <v>2678.67847820314</v>
      </c>
      <c r="N16">
        <f t="shared" si="3"/>
        <v>7666.99406151412</v>
      </c>
    </row>
    <row r="19" spans="3:15">
      <c r="C19" s="2" t="s">
        <v>124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0"/>
    </row>
    <row r="20" spans="4:14"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81</v>
      </c>
      <c r="K20" t="s">
        <v>111</v>
      </c>
      <c r="L20" t="s">
        <v>112</v>
      </c>
      <c r="M20" t="s">
        <v>25</v>
      </c>
      <c r="N20" t="s">
        <v>77</v>
      </c>
    </row>
    <row r="21" spans="3:14">
      <c r="C21" s="10" t="s">
        <v>113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3:15">
      <c r="C22" t="s">
        <v>122</v>
      </c>
      <c r="D22">
        <f t="shared" ref="D22:N22" si="4">D14</f>
        <v>1220.7514893617</v>
      </c>
      <c r="E22">
        <f t="shared" si="4"/>
        <v>585.315744680851</v>
      </c>
      <c r="F22">
        <f t="shared" si="4"/>
        <v>242.875466169796</v>
      </c>
      <c r="G22">
        <f t="shared" si="4"/>
        <v>63.0062056737589</v>
      </c>
      <c r="H22">
        <f t="shared" si="4"/>
        <v>522.173916509257</v>
      </c>
      <c r="I22">
        <f t="shared" si="4"/>
        <v>1057.75871547601</v>
      </c>
      <c r="J22">
        <f t="shared" si="4"/>
        <v>968.197619107217</v>
      </c>
      <c r="K22">
        <f t="shared" si="4"/>
        <v>51.8583412260012</v>
      </c>
      <c r="L22">
        <f t="shared" si="4"/>
        <v>275.878085106383</v>
      </c>
      <c r="M22">
        <f t="shared" si="4"/>
        <v>2678.67847820314</v>
      </c>
      <c r="N22">
        <f t="shared" si="4"/>
        <v>7666.99406151412</v>
      </c>
      <c r="O22" s="12"/>
    </row>
    <row r="23" spans="3:15">
      <c r="C23" s="10" t="s">
        <v>120</v>
      </c>
      <c r="D23">
        <f>SUM(D22)</f>
        <v>1220.7514893617</v>
      </c>
      <c r="E23">
        <f t="shared" ref="E23:N23" si="5">SUM(E22)</f>
        <v>585.315744680851</v>
      </c>
      <c r="F23">
        <f t="shared" si="5"/>
        <v>242.875466169796</v>
      </c>
      <c r="G23">
        <f t="shared" si="5"/>
        <v>63.0062056737589</v>
      </c>
      <c r="H23">
        <f t="shared" si="5"/>
        <v>522.173916509257</v>
      </c>
      <c r="I23">
        <f t="shared" si="5"/>
        <v>1057.75871547601</v>
      </c>
      <c r="J23">
        <f t="shared" si="5"/>
        <v>968.197619107217</v>
      </c>
      <c r="K23">
        <f t="shared" si="5"/>
        <v>51.8583412260012</v>
      </c>
      <c r="L23">
        <f t="shared" si="5"/>
        <v>275.878085106383</v>
      </c>
      <c r="M23">
        <f t="shared" si="5"/>
        <v>2678.67847820314</v>
      </c>
      <c r="N23">
        <f t="shared" si="5"/>
        <v>7666.99406151412</v>
      </c>
      <c r="O23" s="12"/>
    </row>
    <row r="24" spans="3:15">
      <c r="C24" s="10" t="s">
        <v>121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2"/>
    </row>
    <row r="25" spans="3:15">
      <c r="C25" s="10" t="s">
        <v>125</v>
      </c>
      <c r="D25">
        <f>D29-(SUM(D26:D28))</f>
        <v>1214.90042553192</v>
      </c>
      <c r="E25">
        <f t="shared" ref="E25:M25" si="6">E29-(SUM(E26:E28))</f>
        <v>582.510325385809</v>
      </c>
      <c r="F25">
        <f t="shared" si="6"/>
        <v>241.711363674216</v>
      </c>
      <c r="G25">
        <f t="shared" si="6"/>
        <v>62.7042168297701</v>
      </c>
      <c r="H25">
        <f t="shared" si="6"/>
        <v>519.671136097051</v>
      </c>
      <c r="I25">
        <f>I29-(SUM(I27:I28))</f>
        <v>0</v>
      </c>
      <c r="J25">
        <f t="shared" si="6"/>
        <v>965.197619107217</v>
      </c>
      <c r="K25">
        <f t="shared" si="6"/>
        <v>51.6097841140383</v>
      </c>
      <c r="L25">
        <f>L29-(SUM(L27:L28))</f>
        <v>0</v>
      </c>
      <c r="M25">
        <f>M29-(SUM(M27:M28))</f>
        <v>0</v>
      </c>
      <c r="N25">
        <f>SUM(D25:M25)</f>
        <v>3638.30487074002</v>
      </c>
      <c r="O25" s="12"/>
    </row>
    <row r="26" spans="3:15">
      <c r="C26" s="10" t="s">
        <v>126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f>SUM(D26:M26)</f>
        <v>0</v>
      </c>
      <c r="O26" s="12"/>
    </row>
    <row r="27" spans="3:15">
      <c r="C27" s="10" t="s">
        <v>127</v>
      </c>
      <c r="D27">
        <f>('Исходные данные'!F36)</f>
        <v>3.51063829787234</v>
      </c>
      <c r="E27">
        <f>($D$27/$D$22)*E22</f>
        <v>1.68325157702546</v>
      </c>
      <c r="F27">
        <f>($D$27/$D$22)*F22</f>
        <v>0.698461497347924</v>
      </c>
      <c r="G27">
        <f>($D$27/$D$22)*G22</f>
        <v>0.18119330639324</v>
      </c>
      <c r="H27">
        <f>($D$27/$D$22)*H22</f>
        <v>1.50166824732354</v>
      </c>
      <c r="I27">
        <f>I22</f>
        <v>1057.75871547601</v>
      </c>
      <c r="J27">
        <f>'Исходные данные'!H38</f>
        <v>2</v>
      </c>
      <c r="K27">
        <f>($D$27/$D$22)*K22</f>
        <v>0.149134267177773</v>
      </c>
      <c r="L27">
        <f>L23</f>
        <v>275.878085106383</v>
      </c>
      <c r="M27">
        <f>M23</f>
        <v>2678.67847820314</v>
      </c>
      <c r="N27">
        <f>SUM(D27:M27)</f>
        <v>4022.03962597868</v>
      </c>
      <c r="O27" s="12"/>
    </row>
    <row r="28" spans="3:15">
      <c r="C28" s="10" t="s">
        <v>128</v>
      </c>
      <c r="D28">
        <f>'Исходные данные'!F39</f>
        <v>2.34042553191489</v>
      </c>
      <c r="E28">
        <f>($D$28/$D$22)*E22</f>
        <v>1.12216771801697</v>
      </c>
      <c r="F28">
        <f t="shared" ref="F28:K28" si="7">($D$28/$D$22)*F22</f>
        <v>0.46564099823195</v>
      </c>
      <c r="G28">
        <f t="shared" si="7"/>
        <v>0.120795537595494</v>
      </c>
      <c r="H28">
        <f t="shared" si="7"/>
        <v>1.00111216488236</v>
      </c>
      <c r="I28">
        <v>0</v>
      </c>
      <c r="J28">
        <f>'Исходные данные'!H39</f>
        <v>1</v>
      </c>
      <c r="K28">
        <f t="shared" si="7"/>
        <v>0.0994228447851817</v>
      </c>
      <c r="L28">
        <v>0</v>
      </c>
      <c r="M28">
        <v>0</v>
      </c>
      <c r="N28">
        <f>SUM(D28:M28)</f>
        <v>6.14956479542686</v>
      </c>
      <c r="O28" s="12"/>
    </row>
    <row r="29" spans="3:15">
      <c r="C29" s="10" t="s">
        <v>120</v>
      </c>
      <c r="D29">
        <f>D23</f>
        <v>1220.7514893617</v>
      </c>
      <c r="E29">
        <f t="shared" ref="E29:N29" si="8">E23</f>
        <v>585.315744680851</v>
      </c>
      <c r="F29">
        <f t="shared" si="8"/>
        <v>242.875466169796</v>
      </c>
      <c r="G29">
        <f t="shared" si="8"/>
        <v>63.0062056737589</v>
      </c>
      <c r="H29">
        <f t="shared" si="8"/>
        <v>522.173916509257</v>
      </c>
      <c r="I29">
        <f t="shared" si="8"/>
        <v>1057.75871547601</v>
      </c>
      <c r="J29">
        <f t="shared" si="8"/>
        <v>968.197619107217</v>
      </c>
      <c r="K29">
        <f t="shared" si="8"/>
        <v>51.8583412260012</v>
      </c>
      <c r="L29">
        <f t="shared" si="8"/>
        <v>275.878085106383</v>
      </c>
      <c r="M29">
        <f t="shared" si="8"/>
        <v>2678.67847820314</v>
      </c>
      <c r="N29">
        <f t="shared" si="8"/>
        <v>7666.99406151412</v>
      </c>
      <c r="O29" s="12"/>
    </row>
    <row r="30" spans="15:15">
      <c r="O30" s="12"/>
    </row>
    <row r="31" spans="15:15">
      <c r="O31" s="12"/>
    </row>
    <row r="33" spans="3:15">
      <c r="C33" s="2" t="s">
        <v>129</v>
      </c>
      <c r="D33" s="2"/>
      <c r="E33" s="2"/>
      <c r="F33" s="2"/>
      <c r="G33" s="2"/>
      <c r="H33" s="2"/>
      <c r="I33" s="2"/>
      <c r="J33" s="2"/>
      <c r="K33" s="2"/>
      <c r="L33" s="10"/>
      <c r="M33" s="10"/>
      <c r="N33" s="10"/>
      <c r="O33" s="10"/>
    </row>
    <row r="34" spans="4:11">
      <c r="D34" t="s">
        <v>17</v>
      </c>
      <c r="E34" t="s">
        <v>19</v>
      </c>
      <c r="F34" t="s">
        <v>21</v>
      </c>
      <c r="G34" t="s">
        <v>22</v>
      </c>
      <c r="H34" t="s">
        <v>85</v>
      </c>
      <c r="I34" t="s">
        <v>73</v>
      </c>
      <c r="J34" t="s">
        <v>25</v>
      </c>
      <c r="K34" t="s">
        <v>77</v>
      </c>
    </row>
    <row r="35" spans="3:11">
      <c r="C35" s="10" t="s">
        <v>130</v>
      </c>
      <c r="D35" s="10"/>
      <c r="E35" s="10"/>
      <c r="F35" s="10"/>
      <c r="G35" s="10"/>
      <c r="H35" s="10"/>
      <c r="I35" s="10"/>
      <c r="J35" s="10"/>
      <c r="K35" s="10"/>
    </row>
    <row r="36" spans="3:11">
      <c r="C36" t="s">
        <v>131</v>
      </c>
      <c r="D36">
        <f>'Приготовление шихты'!E23</f>
        <v>24.0958924349882</v>
      </c>
      <c r="E36">
        <f>'Приготовление шихты'!G22</f>
        <v>2.55132978723404</v>
      </c>
      <c r="F36">
        <f>'Приготовление шихты'!C23</f>
        <v>39.6873522458629</v>
      </c>
      <c r="G36">
        <v>0</v>
      </c>
      <c r="H36">
        <v>0</v>
      </c>
      <c r="I36">
        <v>0</v>
      </c>
      <c r="J36">
        <f>'Приготовление шихты'!I23</f>
        <v>24.6628546099291</v>
      </c>
      <c r="K36">
        <f>SUM(D36:J36)</f>
        <v>90.9974290780142</v>
      </c>
    </row>
    <row r="37" spans="3:11">
      <c r="C37" t="s">
        <v>132</v>
      </c>
      <c r="D37">
        <f>'Выщелачивание спека'!B24</f>
        <v>4.42663004912396</v>
      </c>
      <c r="E37">
        <v>0</v>
      </c>
      <c r="F37">
        <v>0</v>
      </c>
      <c r="G37">
        <f>'Выщелачивание спека'!F24</f>
        <v>0.954763343928698</v>
      </c>
      <c r="H37">
        <f>'Выщелачивание спека'!C24</f>
        <v>4.0360450447895</v>
      </c>
      <c r="I37">
        <f>'Выщелачивание спека'!E24</f>
        <v>1.34534834826317</v>
      </c>
      <c r="J37">
        <f>'Выщелачивание спека'!G24</f>
        <v>34.0568424612748</v>
      </c>
      <c r="K37">
        <f t="shared" ref="K37:K38" si="9">SUM(D37:J37)</f>
        <v>44.8196292473801</v>
      </c>
    </row>
    <row r="38" spans="3:11">
      <c r="C38" t="s">
        <v>133</v>
      </c>
      <c r="D38">
        <f>'Выщелачивание спека'!B17</f>
        <v>5.63733229651509</v>
      </c>
      <c r="E38">
        <v>0</v>
      </c>
      <c r="F38">
        <v>0</v>
      </c>
      <c r="G38">
        <f>'Выщелачивание спека'!E17</f>
        <v>165</v>
      </c>
      <c r="H38">
        <f>'Выщелачивание спека'!C17</f>
        <v>9.25276425567827</v>
      </c>
      <c r="I38">
        <f>'Выщелачивание спека'!D17</f>
        <v>232.5</v>
      </c>
      <c r="J38">
        <f>'Выщелачивание спека'!F17</f>
        <v>1417.60990344781</v>
      </c>
      <c r="K38">
        <f t="shared" si="9"/>
        <v>1830</v>
      </c>
    </row>
    <row r="39" spans="3:11">
      <c r="C39" t="s">
        <v>120</v>
      </c>
      <c r="D39">
        <f>SUM(D36:D38)</f>
        <v>34.1598547806272</v>
      </c>
      <c r="E39">
        <f t="shared" ref="E39:K39" si="10">SUM(E36:E38)</f>
        <v>2.55132978723404</v>
      </c>
      <c r="F39">
        <f t="shared" si="10"/>
        <v>39.6873522458629</v>
      </c>
      <c r="G39">
        <f t="shared" si="10"/>
        <v>165.954763343929</v>
      </c>
      <c r="H39">
        <f t="shared" si="10"/>
        <v>13.2888093004678</v>
      </c>
      <c r="I39">
        <f t="shared" si="10"/>
        <v>233.845348348263</v>
      </c>
      <c r="J39">
        <f t="shared" si="10"/>
        <v>1476.32960051901</v>
      </c>
      <c r="K39">
        <f t="shared" si="10"/>
        <v>1965.81705832539</v>
      </c>
    </row>
    <row r="40" spans="3:11">
      <c r="C40" s="10" t="s">
        <v>134</v>
      </c>
      <c r="D40" s="10"/>
      <c r="E40" s="10"/>
      <c r="F40" s="10"/>
      <c r="G40" s="10"/>
      <c r="H40" s="10"/>
      <c r="I40" s="10"/>
      <c r="J40" s="10"/>
      <c r="K40" s="10"/>
    </row>
    <row r="41" spans="3:11">
      <c r="C41" t="s">
        <v>135</v>
      </c>
      <c r="D41">
        <v>0</v>
      </c>
      <c r="E41">
        <v>0</v>
      </c>
      <c r="F41">
        <f>F36</f>
        <v>39.6873522458629</v>
      </c>
      <c r="G41">
        <f>'Приготовление шихты'!I29</f>
        <v>31.1829196217494</v>
      </c>
      <c r="H41">
        <v>0</v>
      </c>
      <c r="I41">
        <v>0</v>
      </c>
      <c r="J41">
        <v>0</v>
      </c>
      <c r="K41">
        <f>SUM(D41:J41)</f>
        <v>70.8702718676123</v>
      </c>
    </row>
    <row r="42" spans="3:11">
      <c r="C42" t="s">
        <v>136</v>
      </c>
      <c r="D42">
        <f>D39</f>
        <v>34.1598547806272</v>
      </c>
      <c r="E42">
        <f>E39</f>
        <v>2.55132978723404</v>
      </c>
      <c r="F42">
        <v>0</v>
      </c>
      <c r="G42">
        <f>I42/62*44</f>
        <v>125.279498533516</v>
      </c>
      <c r="H42">
        <f>D39*'Исходные данные'!J78/1.645</f>
        <v>70.6039551696855</v>
      </c>
      <c r="I42">
        <f>(H39+I39)-H42</f>
        <v>176.530202479045</v>
      </c>
      <c r="J42">
        <f>J39</f>
        <v>1476.32960051901</v>
      </c>
      <c r="K42">
        <f>SUM(D42:J42)</f>
        <v>1885.45444126912</v>
      </c>
    </row>
    <row r="43" spans="3:11">
      <c r="C43" t="s">
        <v>123</v>
      </c>
      <c r="D43">
        <v>0</v>
      </c>
      <c r="E43">
        <v>0</v>
      </c>
      <c r="F43">
        <v>0</v>
      </c>
      <c r="G43">
        <f>G39-G42-G41</f>
        <v>9.49234518866315</v>
      </c>
      <c r="H43">
        <v>0</v>
      </c>
      <c r="I43">
        <v>0</v>
      </c>
      <c r="J43">
        <v>0</v>
      </c>
      <c r="K43">
        <f t="shared" ref="K43" si="11">SUM(D43:J43)</f>
        <v>9.49234518866315</v>
      </c>
    </row>
    <row r="44" spans="3:11">
      <c r="C44" t="s">
        <v>120</v>
      </c>
      <c r="D44">
        <f>SUM(D41:D43)</f>
        <v>34.1598547806272</v>
      </c>
      <c r="E44">
        <f t="shared" ref="E44:K44" si="12">SUM(E41:E43)</f>
        <v>2.55132978723404</v>
      </c>
      <c r="F44">
        <f t="shared" si="12"/>
        <v>39.6873522458629</v>
      </c>
      <c r="G44">
        <f t="shared" si="12"/>
        <v>165.954763343929</v>
      </c>
      <c r="H44">
        <f t="shared" si="12"/>
        <v>70.6039551696855</v>
      </c>
      <c r="I44">
        <f t="shared" si="12"/>
        <v>176.530202479045</v>
      </c>
      <c r="J44">
        <f t="shared" si="12"/>
        <v>1476.32960051901</v>
      </c>
      <c r="K44">
        <f t="shared" si="12"/>
        <v>1965.81705832539</v>
      </c>
    </row>
    <row r="45" spans="3:11">
      <c r="C45" t="s">
        <v>137</v>
      </c>
      <c r="K45">
        <v>50</v>
      </c>
    </row>
    <row r="46" spans="3:11">
      <c r="C46" t="s">
        <v>120</v>
      </c>
      <c r="K46">
        <f>K44+K45</f>
        <v>2015.81705832539</v>
      </c>
    </row>
    <row r="49" spans="3:11">
      <c r="C49" s="2" t="s">
        <v>138</v>
      </c>
      <c r="D49" s="2"/>
      <c r="E49" s="2"/>
      <c r="F49" s="2"/>
      <c r="G49" s="2"/>
      <c r="H49" s="2"/>
      <c r="I49" s="2"/>
      <c r="J49" s="2"/>
      <c r="K49" s="2"/>
    </row>
    <row r="50" spans="4:11">
      <c r="D50" t="s">
        <v>17</v>
      </c>
      <c r="E50" t="s">
        <v>19</v>
      </c>
      <c r="F50" t="s">
        <v>21</v>
      </c>
      <c r="G50" t="s">
        <v>22</v>
      </c>
      <c r="H50" t="s">
        <v>85</v>
      </c>
      <c r="I50" t="s">
        <v>73</v>
      </c>
      <c r="J50" t="s">
        <v>25</v>
      </c>
      <c r="K50" t="s">
        <v>77</v>
      </c>
    </row>
    <row r="51" spans="3:11">
      <c r="C51" s="10" t="s">
        <v>130</v>
      </c>
      <c r="D51" s="10"/>
      <c r="E51" s="10"/>
      <c r="F51" s="10"/>
      <c r="G51" s="10"/>
      <c r="H51" s="10"/>
      <c r="I51" s="10"/>
      <c r="J51" s="10"/>
      <c r="K51" s="10"/>
    </row>
    <row r="52" spans="3:11">
      <c r="C52" t="s">
        <v>117</v>
      </c>
      <c r="D52">
        <f t="shared" ref="D52:J52" si="13">D41</f>
        <v>0</v>
      </c>
      <c r="E52">
        <f t="shared" si="13"/>
        <v>0</v>
      </c>
      <c r="F52">
        <f t="shared" si="13"/>
        <v>39.6873522458629</v>
      </c>
      <c r="G52">
        <f t="shared" si="13"/>
        <v>31.1829196217494</v>
      </c>
      <c r="H52">
        <f t="shared" si="13"/>
        <v>0</v>
      </c>
      <c r="I52">
        <f t="shared" si="13"/>
        <v>0</v>
      </c>
      <c r="J52">
        <f t="shared" si="13"/>
        <v>0</v>
      </c>
      <c r="K52">
        <f t="shared" ref="K52:K55" si="14">SUM(D52:J52)</f>
        <v>70.8702718676123</v>
      </c>
    </row>
    <row r="53" spans="3:11">
      <c r="C53" t="s">
        <v>139</v>
      </c>
      <c r="D53">
        <f>'Выщелачивание спека'!B31</f>
        <v>0.634251353156715</v>
      </c>
      <c r="E53">
        <f>'Выщелачивание спека'!C31</f>
        <v>0.0463580079943636</v>
      </c>
      <c r="F53">
        <f>'Выщелачивание спека'!D31</f>
        <v>0</v>
      </c>
      <c r="G53">
        <f>'Выщелачивание спека'!E31</f>
        <v>2.27634546643336</v>
      </c>
      <c r="H53">
        <f>'Выщелачивание спека'!F31</f>
        <v>1.31091465090142</v>
      </c>
      <c r="I53">
        <f>'Выщелачивание спека'!G31</f>
        <v>3.20757770270155</v>
      </c>
      <c r="J53">
        <f>'Выщелачивание спека'!H31</f>
        <v>27.430806126741</v>
      </c>
      <c r="K53">
        <f t="shared" si="14"/>
        <v>34.9062533079285</v>
      </c>
    </row>
    <row r="54" spans="3:11">
      <c r="C54" t="s">
        <v>140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f>'Исходные данные'!L83</f>
        <v>39.82</v>
      </c>
      <c r="K54">
        <f t="shared" si="14"/>
        <v>39.82</v>
      </c>
    </row>
    <row r="55" spans="3:11">
      <c r="C55" t="s">
        <v>120</v>
      </c>
      <c r="D55">
        <f>SUM(D52:D54)</f>
        <v>0.634251353156715</v>
      </c>
      <c r="E55">
        <f t="shared" ref="E55:J55" si="15">SUM(E52:E54)</f>
        <v>0.0463580079943636</v>
      </c>
      <c r="F55">
        <f t="shared" si="15"/>
        <v>39.6873522458629</v>
      </c>
      <c r="G55">
        <f t="shared" si="15"/>
        <v>33.4592650881828</v>
      </c>
      <c r="H55">
        <f t="shared" si="15"/>
        <v>1.31091465090142</v>
      </c>
      <c r="I55">
        <f t="shared" si="15"/>
        <v>3.20757770270155</v>
      </c>
      <c r="J55">
        <f t="shared" si="15"/>
        <v>67.2508061267411</v>
      </c>
      <c r="K55">
        <f t="shared" si="14"/>
        <v>145.596525175541</v>
      </c>
    </row>
    <row r="56" spans="3:11">
      <c r="C56" s="10" t="s">
        <v>134</v>
      </c>
      <c r="D56" s="10"/>
      <c r="E56" s="10"/>
      <c r="F56" s="10"/>
      <c r="G56" s="10"/>
      <c r="H56" s="10"/>
      <c r="I56" s="10"/>
      <c r="J56" s="10"/>
      <c r="K56" s="10"/>
    </row>
    <row r="57" spans="3:11">
      <c r="C57" t="s">
        <v>141</v>
      </c>
      <c r="D57">
        <f t="shared" ref="D57:J57" si="16">D52</f>
        <v>0</v>
      </c>
      <c r="E57">
        <f t="shared" si="16"/>
        <v>0</v>
      </c>
      <c r="F57">
        <f>F52/2</f>
        <v>19.8436761229314</v>
      </c>
      <c r="G57">
        <f>G52/2</f>
        <v>15.5914598108747</v>
      </c>
      <c r="H57">
        <f t="shared" si="16"/>
        <v>0</v>
      </c>
      <c r="I57">
        <f t="shared" si="16"/>
        <v>0</v>
      </c>
      <c r="J57">
        <f t="shared" si="16"/>
        <v>0</v>
      </c>
      <c r="K57">
        <f>SUM(D57:J57)</f>
        <v>35.4351359338062</v>
      </c>
    </row>
    <row r="58" spans="3:11">
      <c r="C58" t="s">
        <v>142</v>
      </c>
      <c r="D58">
        <v>0</v>
      </c>
      <c r="E58">
        <v>0</v>
      </c>
      <c r="F58">
        <f>F52/2</f>
        <v>19.8436761229314</v>
      </c>
      <c r="G58">
        <f>G52/2</f>
        <v>15.5914598108747</v>
      </c>
      <c r="H58">
        <v>0</v>
      </c>
      <c r="I58">
        <v>0</v>
      </c>
      <c r="J58">
        <v>0</v>
      </c>
      <c r="K58">
        <f t="shared" ref="K58:K61" si="17">SUM(D58:J58)</f>
        <v>35.4351359338062</v>
      </c>
    </row>
    <row r="59" spans="3:11">
      <c r="C59" t="s">
        <v>143</v>
      </c>
      <c r="D59">
        <f t="shared" ref="D59:J59" si="18">D53/2</f>
        <v>0.317125676578358</v>
      </c>
      <c r="E59">
        <f t="shared" si="18"/>
        <v>0.0231790039971818</v>
      </c>
      <c r="F59">
        <f t="shared" si="18"/>
        <v>0</v>
      </c>
      <c r="G59">
        <f t="shared" si="18"/>
        <v>1.13817273321668</v>
      </c>
      <c r="H59">
        <f t="shared" si="18"/>
        <v>0.655457325450709</v>
      </c>
      <c r="I59">
        <f t="shared" si="18"/>
        <v>1.60378885135078</v>
      </c>
      <c r="J59">
        <f t="shared" si="18"/>
        <v>13.7154030633705</v>
      </c>
      <c r="K59">
        <f t="shared" si="17"/>
        <v>17.4531266539642</v>
      </c>
    </row>
    <row r="60" spans="3:11">
      <c r="C60" t="s">
        <v>144</v>
      </c>
      <c r="D60">
        <f t="shared" ref="D60:I60" si="19">D53/2</f>
        <v>0.317125676578358</v>
      </c>
      <c r="E60">
        <f t="shared" si="19"/>
        <v>0.0231790039971818</v>
      </c>
      <c r="F60">
        <f t="shared" si="19"/>
        <v>0</v>
      </c>
      <c r="G60">
        <f t="shared" si="19"/>
        <v>1.13817273321668</v>
      </c>
      <c r="H60">
        <f t="shared" si="19"/>
        <v>0.655457325450709</v>
      </c>
      <c r="I60">
        <f t="shared" si="19"/>
        <v>1.60378885135078</v>
      </c>
      <c r="J60">
        <f>J53/2+J54</f>
        <v>53.5354030633705</v>
      </c>
      <c r="K60">
        <f t="shared" si="17"/>
        <v>57.2731266539642</v>
      </c>
    </row>
    <row r="61" spans="3:11">
      <c r="C61" t="s">
        <v>120</v>
      </c>
      <c r="D61">
        <f>SUM(D57:D60)</f>
        <v>0.634251353156715</v>
      </c>
      <c r="E61">
        <f t="shared" ref="E61:J61" si="20">SUM(E57:E60)</f>
        <v>0.0463580079943636</v>
      </c>
      <c r="F61">
        <f t="shared" si="20"/>
        <v>39.6873522458629</v>
      </c>
      <c r="G61">
        <f t="shared" si="20"/>
        <v>33.4592650881828</v>
      </c>
      <c r="H61">
        <f t="shared" si="20"/>
        <v>1.31091465090142</v>
      </c>
      <c r="I61">
        <f t="shared" si="20"/>
        <v>3.20757770270155</v>
      </c>
      <c r="J61">
        <f t="shared" si="20"/>
        <v>67.2508061267411</v>
      </c>
      <c r="K61">
        <f t="shared" si="17"/>
        <v>145.596525175541</v>
      </c>
    </row>
    <row r="64" spans="3:11">
      <c r="C64" s="2" t="s">
        <v>145</v>
      </c>
      <c r="D64" s="2"/>
      <c r="E64" s="2"/>
      <c r="F64" s="2"/>
      <c r="G64" s="2"/>
      <c r="H64" s="2"/>
      <c r="I64" s="2"/>
      <c r="J64" s="2"/>
      <c r="K64" s="2"/>
    </row>
    <row r="65" spans="4:11">
      <c r="D65" t="s">
        <v>17</v>
      </c>
      <c r="E65" t="s">
        <v>19</v>
      </c>
      <c r="F65" t="s">
        <v>21</v>
      </c>
      <c r="G65" t="s">
        <v>22</v>
      </c>
      <c r="H65" t="s">
        <v>85</v>
      </c>
      <c r="I65" t="s">
        <v>73</v>
      </c>
      <c r="J65" t="s">
        <v>25</v>
      </c>
      <c r="K65" t="s">
        <v>77</v>
      </c>
    </row>
    <row r="66" spans="3:11">
      <c r="C66" s="10" t="s">
        <v>130</v>
      </c>
      <c r="D66" s="10"/>
      <c r="E66" s="10"/>
      <c r="F66" s="10"/>
      <c r="G66" s="10"/>
      <c r="H66" s="10"/>
      <c r="I66" s="10"/>
      <c r="J66" s="10"/>
      <c r="K66" s="10"/>
    </row>
    <row r="67" spans="3:11">
      <c r="C67" t="s">
        <v>131</v>
      </c>
      <c r="D67">
        <f t="shared" ref="D67:J67" si="21">D36</f>
        <v>24.0958924349882</v>
      </c>
      <c r="E67">
        <f t="shared" si="21"/>
        <v>2.55132978723404</v>
      </c>
      <c r="F67">
        <f t="shared" si="21"/>
        <v>39.6873522458629</v>
      </c>
      <c r="G67">
        <f t="shared" si="21"/>
        <v>0</v>
      </c>
      <c r="H67">
        <f t="shared" si="21"/>
        <v>0</v>
      </c>
      <c r="I67">
        <f t="shared" si="21"/>
        <v>0</v>
      </c>
      <c r="J67">
        <f t="shared" si="21"/>
        <v>24.6628546099291</v>
      </c>
      <c r="K67">
        <f>SUM(D67:J67)</f>
        <v>90.9974290780142</v>
      </c>
    </row>
    <row r="68" spans="3:11">
      <c r="C68" t="s">
        <v>146</v>
      </c>
      <c r="D68">
        <f t="shared" ref="D68:J68" si="22">D37</f>
        <v>4.42663004912396</v>
      </c>
      <c r="E68">
        <f t="shared" si="22"/>
        <v>0</v>
      </c>
      <c r="F68">
        <f t="shared" si="22"/>
        <v>0</v>
      </c>
      <c r="G68">
        <f t="shared" si="22"/>
        <v>0.954763343928698</v>
      </c>
      <c r="H68">
        <f t="shared" si="22"/>
        <v>4.0360450447895</v>
      </c>
      <c r="I68">
        <f t="shared" si="22"/>
        <v>1.34534834826317</v>
      </c>
      <c r="J68">
        <f t="shared" si="22"/>
        <v>34.0568424612748</v>
      </c>
      <c r="K68">
        <f t="shared" ref="K68:K76" si="23">SUM(D68:J68)</f>
        <v>44.8196292473801</v>
      </c>
    </row>
    <row r="69" spans="3:11">
      <c r="C69" s="1" t="s">
        <v>147</v>
      </c>
      <c r="D69">
        <f t="shared" ref="D69:J69" si="24">D38</f>
        <v>5.63733229651509</v>
      </c>
      <c r="E69">
        <f t="shared" si="24"/>
        <v>0</v>
      </c>
      <c r="F69">
        <f t="shared" si="24"/>
        <v>0</v>
      </c>
      <c r="G69">
        <f t="shared" si="24"/>
        <v>165</v>
      </c>
      <c r="H69">
        <f t="shared" si="24"/>
        <v>9.25276425567827</v>
      </c>
      <c r="I69">
        <f t="shared" si="24"/>
        <v>232.5</v>
      </c>
      <c r="J69">
        <f t="shared" si="24"/>
        <v>1417.60990344781</v>
      </c>
      <c r="K69">
        <f t="shared" si="23"/>
        <v>1830</v>
      </c>
    </row>
    <row r="70" spans="3:13">
      <c r="C70" t="s">
        <v>148</v>
      </c>
      <c r="D70">
        <f t="shared" ref="D70:J70" si="25">D60</f>
        <v>0.317125676578358</v>
      </c>
      <c r="E70">
        <f t="shared" si="25"/>
        <v>0.0231790039971818</v>
      </c>
      <c r="F70">
        <f t="shared" si="25"/>
        <v>0</v>
      </c>
      <c r="G70">
        <f t="shared" si="25"/>
        <v>1.13817273321668</v>
      </c>
      <c r="H70">
        <f t="shared" si="25"/>
        <v>0.655457325450709</v>
      </c>
      <c r="I70">
        <f t="shared" si="25"/>
        <v>1.60378885135078</v>
      </c>
      <c r="J70">
        <f t="shared" si="25"/>
        <v>53.5354030633705</v>
      </c>
      <c r="K70">
        <f t="shared" si="23"/>
        <v>57.2731266539642</v>
      </c>
      <c r="M70" t="s">
        <v>28</v>
      </c>
    </row>
    <row r="71" spans="3:13">
      <c r="C71" t="s">
        <v>120</v>
      </c>
      <c r="D71">
        <f>SUM(D67:D70)</f>
        <v>34.4769804572056</v>
      </c>
      <c r="E71">
        <f t="shared" ref="E71:J71" si="26">SUM(E67:E70)</f>
        <v>2.57450879123123</v>
      </c>
      <c r="F71">
        <f t="shared" si="26"/>
        <v>39.6873522458629</v>
      </c>
      <c r="G71">
        <f t="shared" si="26"/>
        <v>167.092936077145</v>
      </c>
      <c r="H71">
        <f t="shared" si="26"/>
        <v>13.9442666259185</v>
      </c>
      <c r="I71">
        <f t="shared" si="26"/>
        <v>235.449137199614</v>
      </c>
      <c r="J71">
        <f t="shared" si="26"/>
        <v>1529.86500358238</v>
      </c>
      <c r="K71">
        <f t="shared" si="23"/>
        <v>2023.09018497936</v>
      </c>
      <c r="M71">
        <f>H71+I71</f>
        <v>249.393403825532</v>
      </c>
    </row>
    <row r="72" spans="3:11">
      <c r="C72" s="10" t="s">
        <v>134</v>
      </c>
      <c r="D72" s="10"/>
      <c r="E72" s="10"/>
      <c r="F72" s="10"/>
      <c r="G72" s="10"/>
      <c r="H72" s="10"/>
      <c r="I72" s="10"/>
      <c r="J72" s="10"/>
      <c r="K72" s="10"/>
    </row>
    <row r="73" spans="3:11">
      <c r="C73" t="s">
        <v>141</v>
      </c>
      <c r="D73">
        <f t="shared" ref="D73:J73" si="27">D41</f>
        <v>0</v>
      </c>
      <c r="E73">
        <f t="shared" si="27"/>
        <v>0</v>
      </c>
      <c r="F73">
        <f t="shared" si="27"/>
        <v>39.6873522458629</v>
      </c>
      <c r="G73">
        <f t="shared" si="27"/>
        <v>31.1829196217494</v>
      </c>
      <c r="H73">
        <f t="shared" si="27"/>
        <v>0</v>
      </c>
      <c r="I73">
        <f t="shared" si="27"/>
        <v>0</v>
      </c>
      <c r="J73">
        <f t="shared" si="27"/>
        <v>0</v>
      </c>
      <c r="K73">
        <f t="shared" si="23"/>
        <v>70.8702718676123</v>
      </c>
    </row>
    <row r="74" spans="3:11">
      <c r="C74" t="s">
        <v>139</v>
      </c>
      <c r="D74">
        <f t="shared" ref="D74:J74" si="28">D53</f>
        <v>0.634251353156715</v>
      </c>
      <c r="E74">
        <f t="shared" si="28"/>
        <v>0.0463580079943636</v>
      </c>
      <c r="F74">
        <f t="shared" si="28"/>
        <v>0</v>
      </c>
      <c r="G74">
        <f t="shared" si="28"/>
        <v>2.27634546643336</v>
      </c>
      <c r="H74">
        <f t="shared" si="28"/>
        <v>1.31091465090142</v>
      </c>
      <c r="I74">
        <f t="shared" si="28"/>
        <v>3.20757770270155</v>
      </c>
      <c r="J74">
        <f t="shared" si="28"/>
        <v>27.430806126741</v>
      </c>
      <c r="K74">
        <f t="shared" si="23"/>
        <v>34.9062533079285</v>
      </c>
    </row>
    <row r="75" spans="3:11">
      <c r="C75" t="s">
        <v>149</v>
      </c>
      <c r="D75">
        <f>D71-D74</f>
        <v>33.8427291040489</v>
      </c>
      <c r="E75">
        <f>E77-E74</f>
        <v>2.52815078323686</v>
      </c>
      <c r="F75">
        <v>0</v>
      </c>
      <c r="G75">
        <f>I75*44/62</f>
        <v>124.141325800299</v>
      </c>
      <c r="H75">
        <f>D75*'Исходные данные'!J78/1.645</f>
        <v>69.9484978442348</v>
      </c>
      <c r="I75" s="1">
        <f>(I71+H71)-(H74+I74+H75)</f>
        <v>174.926413627695</v>
      </c>
      <c r="J75">
        <f>J71-J74</f>
        <v>1502.43419745564</v>
      </c>
      <c r="K75">
        <f t="shared" si="23"/>
        <v>1907.82131461515</v>
      </c>
    </row>
    <row r="76" spans="3:13">
      <c r="C76" t="s">
        <v>123</v>
      </c>
      <c r="D76">
        <v>0</v>
      </c>
      <c r="E76">
        <v>0</v>
      </c>
      <c r="F76">
        <v>0</v>
      </c>
      <c r="G76">
        <f>G77-G75-G74-G73</f>
        <v>9.49234518866318</v>
      </c>
      <c r="H76">
        <v>0</v>
      </c>
      <c r="I76">
        <v>0</v>
      </c>
      <c r="J76">
        <v>0</v>
      </c>
      <c r="K76">
        <f t="shared" si="23"/>
        <v>9.49234518866318</v>
      </c>
      <c r="M76" t="s">
        <v>28</v>
      </c>
    </row>
    <row r="77" spans="3:13">
      <c r="C77" t="s">
        <v>120</v>
      </c>
      <c r="D77">
        <f t="shared" ref="D77:K77" si="29">D71</f>
        <v>34.4769804572056</v>
      </c>
      <c r="E77">
        <f t="shared" si="29"/>
        <v>2.57450879123123</v>
      </c>
      <c r="F77">
        <f t="shared" si="29"/>
        <v>39.6873522458629</v>
      </c>
      <c r="G77">
        <f t="shared" si="29"/>
        <v>167.092936077145</v>
      </c>
      <c r="H77">
        <f>SUM(H73:H76)</f>
        <v>71.2594124951362</v>
      </c>
      <c r="I77">
        <f>SUM(I73:I76)</f>
        <v>178.133991330396</v>
      </c>
      <c r="J77">
        <f t="shared" si="29"/>
        <v>1529.86500358238</v>
      </c>
      <c r="K77">
        <f t="shared" si="29"/>
        <v>2023.09018497936</v>
      </c>
      <c r="M77">
        <f>H77+I77</f>
        <v>249.393403825532</v>
      </c>
    </row>
    <row r="81" spans="3:14">
      <c r="C81" s="2" t="s">
        <v>150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4:14"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85</v>
      </c>
      <c r="K82" t="s">
        <v>151</v>
      </c>
      <c r="L82" t="s">
        <v>111</v>
      </c>
      <c r="M82" t="s">
        <v>25</v>
      </c>
      <c r="N82" t="s">
        <v>77</v>
      </c>
    </row>
    <row r="83" spans="3:14">
      <c r="C83" s="10" t="s">
        <v>113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</row>
    <row r="84" spans="3:14">
      <c r="C84" t="s">
        <v>152</v>
      </c>
      <c r="D84">
        <f t="shared" ref="D84:J84" si="30">D25</f>
        <v>1214.90042553192</v>
      </c>
      <c r="E84">
        <f t="shared" si="30"/>
        <v>582.510325385809</v>
      </c>
      <c r="F84">
        <f t="shared" si="30"/>
        <v>241.711363674216</v>
      </c>
      <c r="G84">
        <f t="shared" si="30"/>
        <v>62.7042168297701</v>
      </c>
      <c r="H84">
        <f t="shared" si="30"/>
        <v>519.671136097051</v>
      </c>
      <c r="I84">
        <f t="shared" si="30"/>
        <v>0</v>
      </c>
      <c r="J84">
        <f t="shared" si="30"/>
        <v>965.197619107217</v>
      </c>
      <c r="K84">
        <v>0</v>
      </c>
      <c r="L84">
        <f>K25</f>
        <v>51.6097841140383</v>
      </c>
      <c r="M84">
        <v>0</v>
      </c>
      <c r="N84">
        <f>SUM(D84:M84)</f>
        <v>3638.30487074002</v>
      </c>
    </row>
    <row r="85" spans="3:14">
      <c r="C85" s="10" t="s">
        <v>153</v>
      </c>
      <c r="D85">
        <f>D75</f>
        <v>33.8427291040489</v>
      </c>
      <c r="E85">
        <v>0</v>
      </c>
      <c r="F85">
        <f>E75</f>
        <v>2.52815078323686</v>
      </c>
      <c r="G85">
        <v>0</v>
      </c>
      <c r="H85">
        <v>0</v>
      </c>
      <c r="I85">
        <f>G75</f>
        <v>124.141325800299</v>
      </c>
      <c r="J85">
        <f>H75</f>
        <v>69.9484978442348</v>
      </c>
      <c r="K85">
        <f>I75</f>
        <v>174.926413627695</v>
      </c>
      <c r="L85">
        <v>0</v>
      </c>
      <c r="M85">
        <f>J75</f>
        <v>1502.43419745564</v>
      </c>
      <c r="N85">
        <f t="shared" ref="N85:N87" si="31">SUM(D85:M85)</f>
        <v>1907.82131461515</v>
      </c>
    </row>
    <row r="86" spans="3:14">
      <c r="C86" s="10" t="s">
        <v>140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2">
        <f>'Исходные данные'!L84</f>
        <v>6938.18</v>
      </c>
      <c r="N86">
        <f t="shared" si="31"/>
        <v>6938.18</v>
      </c>
    </row>
    <row r="87" spans="3:14">
      <c r="C87" s="10" t="s">
        <v>120</v>
      </c>
      <c r="D87">
        <f>SUM(D84:D86)</f>
        <v>1248.74315463596</v>
      </c>
      <c r="E87">
        <f t="shared" ref="E87:M87" si="32">SUM(E84:E86)</f>
        <v>582.510325385809</v>
      </c>
      <c r="F87">
        <f t="shared" si="32"/>
        <v>244.239514457453</v>
      </c>
      <c r="G87">
        <f t="shared" si="32"/>
        <v>62.7042168297701</v>
      </c>
      <c r="H87">
        <f t="shared" si="32"/>
        <v>519.671136097051</v>
      </c>
      <c r="I87">
        <f t="shared" si="32"/>
        <v>124.141325800299</v>
      </c>
      <c r="J87">
        <f t="shared" si="32"/>
        <v>1035.14611695145</v>
      </c>
      <c r="K87">
        <f t="shared" si="32"/>
        <v>174.926413627695</v>
      </c>
      <c r="L87">
        <f t="shared" si="32"/>
        <v>51.6097841140383</v>
      </c>
      <c r="M87">
        <f t="shared" si="32"/>
        <v>8440.61419745564</v>
      </c>
      <c r="N87">
        <f t="shared" si="31"/>
        <v>12484.3061853552</v>
      </c>
    </row>
    <row r="88" spans="3:14">
      <c r="C88" s="10" t="s">
        <v>121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</row>
    <row r="89" spans="3:14">
      <c r="C89" s="10" t="s">
        <v>154</v>
      </c>
      <c r="D89">
        <f>'Исходные данные'!F41</f>
        <v>150.957446808511</v>
      </c>
      <c r="E89">
        <f>E87-E91</f>
        <v>578.790325385809</v>
      </c>
      <c r="F89">
        <f>F87-F91</f>
        <v>206.418454173765</v>
      </c>
      <c r="G89">
        <f>G87</f>
        <v>62.7042168297701</v>
      </c>
      <c r="H89">
        <f>H87-H91</f>
        <v>516.191136097051</v>
      </c>
      <c r="I89" s="12">
        <f>I87-I91</f>
        <v>27.4512824731708</v>
      </c>
      <c r="J89">
        <f>'Исходные данные'!H41</f>
        <v>77.24</v>
      </c>
      <c r="K89">
        <v>0</v>
      </c>
      <c r="L89" s="14">
        <f>L87</f>
        <v>51.6097841140383</v>
      </c>
      <c r="M89" s="15">
        <f>D89/102*36</f>
        <v>53.279098873592</v>
      </c>
      <c r="N89">
        <f>SUM(D89:M89)</f>
        <v>1724.64174475571</v>
      </c>
    </row>
    <row r="90" spans="3:14">
      <c r="C90" s="10" t="s">
        <v>155</v>
      </c>
      <c r="D90">
        <f>'Исходные данные'!F42</f>
        <v>5.85106382978724</v>
      </c>
      <c r="E90">
        <v>0</v>
      </c>
      <c r="F90">
        <v>0</v>
      </c>
      <c r="G90">
        <v>0</v>
      </c>
      <c r="H90">
        <v>0</v>
      </c>
      <c r="I90" s="7">
        <f>'Исходные данные'!C58/2</f>
        <v>0.02</v>
      </c>
      <c r="J90">
        <f>'Исходные данные'!H42</f>
        <v>1</v>
      </c>
      <c r="K90">
        <v>0</v>
      </c>
      <c r="L90">
        <v>0</v>
      </c>
      <c r="M90" s="12">
        <f>N90-D90-J90</f>
        <v>842.599347766307</v>
      </c>
      <c r="N90">
        <f>N89*33/67</f>
        <v>849.450411596094</v>
      </c>
    </row>
    <row r="91" spans="3:14">
      <c r="C91" s="10" t="s">
        <v>146</v>
      </c>
      <c r="D91">
        <f>D87-D90-D89</f>
        <v>1091.93464399767</v>
      </c>
      <c r="E91">
        <f>E8</f>
        <v>3.72</v>
      </c>
      <c r="F91">
        <f>'Приготовление шихты'!I17+'Приготовление шихты'!I19</f>
        <v>37.821060283688</v>
      </c>
      <c r="G91">
        <v>0</v>
      </c>
      <c r="H91">
        <f>H8</f>
        <v>3.48</v>
      </c>
      <c r="I91" s="12">
        <f>K91*44/62</f>
        <v>96.6900433271286</v>
      </c>
      <c r="J91" s="12">
        <f>D91*62/102*'Исходные данные'!J75</f>
        <v>995.587469527284</v>
      </c>
      <c r="K91" s="12">
        <f>K92</f>
        <v>136.245061051863</v>
      </c>
      <c r="L91">
        <v>0</v>
      </c>
      <c r="M91" s="12">
        <f>N91-(SUM(D91:L91))</f>
        <v>7539.92884950548</v>
      </c>
      <c r="N91">
        <f>'Выщелачивание спека'!I35</f>
        <v>9905.40712769311</v>
      </c>
    </row>
    <row r="92" spans="3:14">
      <c r="C92" s="10" t="s">
        <v>120</v>
      </c>
      <c r="D92">
        <f>SUM(D89:D91)</f>
        <v>1248.74315463596</v>
      </c>
      <c r="E92">
        <f t="shared" ref="E92:L92" si="33">SUM(E89:E91)</f>
        <v>582.510325385809</v>
      </c>
      <c r="F92">
        <f t="shared" si="33"/>
        <v>244.239514457453</v>
      </c>
      <c r="G92">
        <f t="shared" si="33"/>
        <v>62.7042168297701</v>
      </c>
      <c r="H92">
        <f t="shared" si="33"/>
        <v>519.671136097051</v>
      </c>
      <c r="I92">
        <f t="shared" si="33"/>
        <v>124.161325800299</v>
      </c>
      <c r="J92">
        <f t="shared" si="33"/>
        <v>1073.82746952728</v>
      </c>
      <c r="K92">
        <f>J87+K87-J92</f>
        <v>136.245061051863</v>
      </c>
      <c r="L92">
        <f t="shared" si="33"/>
        <v>51.6097841140383</v>
      </c>
      <c r="M92">
        <f>M87</f>
        <v>8440.61419745564</v>
      </c>
      <c r="N92">
        <f t="shared" ref="N92" si="34">SUM(D92:M92)</f>
        <v>12484.3261853552</v>
      </c>
    </row>
    <row r="95" spans="3:14">
      <c r="C95" s="2" t="s">
        <v>156</v>
      </c>
      <c r="D95" s="2"/>
      <c r="E95" s="2"/>
      <c r="F95" s="2"/>
      <c r="G95" s="2"/>
      <c r="H95" s="2"/>
      <c r="I95" s="2"/>
      <c r="J95" s="2"/>
      <c r="K95" s="2"/>
      <c r="L95" s="2"/>
      <c r="M95" s="10"/>
      <c r="N95" s="10"/>
    </row>
    <row r="96" spans="4:12">
      <c r="D96" t="s">
        <v>17</v>
      </c>
      <c r="E96" t="s">
        <v>18</v>
      </c>
      <c r="F96" t="s">
        <v>19</v>
      </c>
      <c r="G96" t="s">
        <v>21</v>
      </c>
      <c r="H96" t="s">
        <v>22</v>
      </c>
      <c r="I96" t="s">
        <v>85</v>
      </c>
      <c r="J96" t="s">
        <v>151</v>
      </c>
      <c r="K96" t="s">
        <v>157</v>
      </c>
      <c r="L96" t="s">
        <v>77</v>
      </c>
    </row>
    <row r="97" spans="3:12">
      <c r="C97" s="13" t="s">
        <v>113</v>
      </c>
      <c r="D97" s="13"/>
      <c r="E97" s="13"/>
      <c r="F97" s="13"/>
      <c r="G97" s="13"/>
      <c r="H97" s="13"/>
      <c r="I97" s="13"/>
      <c r="J97" s="13"/>
      <c r="K97" s="13"/>
      <c r="L97" s="13"/>
    </row>
    <row r="98" spans="3:12">
      <c r="C98" t="s">
        <v>158</v>
      </c>
      <c r="D98">
        <f t="shared" ref="D98:F98" si="35">D91</f>
        <v>1091.93464399767</v>
      </c>
      <c r="E98">
        <f t="shared" si="35"/>
        <v>3.72</v>
      </c>
      <c r="F98">
        <f t="shared" si="35"/>
        <v>37.821060283688</v>
      </c>
      <c r="G98">
        <f t="shared" ref="G98:J98" si="36">H91</f>
        <v>3.48</v>
      </c>
      <c r="H98">
        <f t="shared" si="36"/>
        <v>96.6900433271286</v>
      </c>
      <c r="I98">
        <f t="shared" si="36"/>
        <v>995.587469527284</v>
      </c>
      <c r="J98">
        <f t="shared" si="36"/>
        <v>136.245061051863</v>
      </c>
      <c r="K98">
        <f>$M$91</f>
        <v>7539.92884950548</v>
      </c>
      <c r="L98">
        <f>SUM(D98:K98)</f>
        <v>9905.40712769311</v>
      </c>
    </row>
    <row r="99" spans="3:12">
      <c r="C99" s="10" t="s">
        <v>159</v>
      </c>
      <c r="D99">
        <f>'Приготовление шихты'!B14</f>
        <v>37.56</v>
      </c>
      <c r="E99">
        <f>'Приготовление шихты'!D14</f>
        <v>3.72</v>
      </c>
      <c r="F99">
        <f>'Приготовление шихты'!E14</f>
        <v>35.28</v>
      </c>
      <c r="G99">
        <f>'Приготовление шихты'!F14</f>
        <v>3.48</v>
      </c>
      <c r="H99">
        <f>'Приготовление шихты'!G14</f>
        <v>2.52</v>
      </c>
      <c r="I99">
        <f>Обескремнивание!I10</f>
        <v>19.7290909090909</v>
      </c>
      <c r="J99">
        <f>Обескремнивание!I8</f>
        <v>3.55090909090909</v>
      </c>
      <c r="K99">
        <f>'Приготовление шихты'!H14</f>
        <v>14.16</v>
      </c>
      <c r="L99">
        <f t="shared" ref="L99:L101" si="37">SUM(D99:K99)</f>
        <v>120</v>
      </c>
    </row>
    <row r="100" spans="3:12">
      <c r="C100" s="10" t="s">
        <v>146</v>
      </c>
      <c r="D100">
        <f>Обескремнивание!I5</f>
        <v>12.9156130244322</v>
      </c>
      <c r="E100">
        <v>0</v>
      </c>
      <c r="F100">
        <f>Обескремнивание!I7</f>
        <v>0.0311614253820465</v>
      </c>
      <c r="G100">
        <v>0</v>
      </c>
      <c r="H100">
        <f>Обескремнивание!I12</f>
        <v>1.15482218080378</v>
      </c>
      <c r="I100">
        <f>Обескремнивание!I11</f>
        <v>11.9671061107694</v>
      </c>
      <c r="J100">
        <f>Обескремнивание!I9</f>
        <v>1.62724943658715</v>
      </c>
      <c r="K100">
        <f>Обескремнивание!I13</f>
        <v>92.3040478220254</v>
      </c>
      <c r="L100">
        <f t="shared" si="37"/>
        <v>120</v>
      </c>
    </row>
    <row r="101" spans="3:12">
      <c r="C101" s="10" t="s">
        <v>120</v>
      </c>
      <c r="D101">
        <f>SUM(D98:D100)</f>
        <v>1142.4102570221</v>
      </c>
      <c r="E101">
        <f t="shared" ref="E101:K101" si="38">SUM(E98:E100)</f>
        <v>7.44</v>
      </c>
      <c r="F101">
        <f t="shared" si="38"/>
        <v>73.13222170907</v>
      </c>
      <c r="G101">
        <f t="shared" si="38"/>
        <v>6.96</v>
      </c>
      <c r="H101">
        <f t="shared" si="38"/>
        <v>100.364865507932</v>
      </c>
      <c r="I101">
        <f t="shared" si="38"/>
        <v>1027.28366654714</v>
      </c>
      <c r="J101">
        <f t="shared" si="38"/>
        <v>141.423219579359</v>
      </c>
      <c r="K101">
        <f t="shared" si="38"/>
        <v>7646.39289732751</v>
      </c>
      <c r="L101">
        <f t="shared" si="37"/>
        <v>10145.4071276931</v>
      </c>
    </row>
    <row r="102" spans="3:12">
      <c r="C102" s="10" t="s">
        <v>121</v>
      </c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3:12">
      <c r="C103" s="10" t="s">
        <v>116</v>
      </c>
      <c r="D103">
        <f>D99*2</f>
        <v>75.12</v>
      </c>
      <c r="E103">
        <f t="shared" ref="E103:K103" si="39">E99*2</f>
        <v>7.44</v>
      </c>
      <c r="F103">
        <f t="shared" si="39"/>
        <v>70.56</v>
      </c>
      <c r="G103">
        <f t="shared" si="39"/>
        <v>6.96</v>
      </c>
      <c r="H103">
        <f t="shared" si="39"/>
        <v>5.04</v>
      </c>
      <c r="I103">
        <f t="shared" si="39"/>
        <v>39.4581818181818</v>
      </c>
      <c r="J103">
        <f t="shared" si="39"/>
        <v>7.10181818181818</v>
      </c>
      <c r="K103">
        <f t="shared" si="39"/>
        <v>28.32</v>
      </c>
      <c r="L103">
        <f>SUM(D103:K103)</f>
        <v>240</v>
      </c>
    </row>
    <row r="104" spans="3:12">
      <c r="C104" s="10" t="s">
        <v>160</v>
      </c>
      <c r="D104">
        <f>D100*2</f>
        <v>25.8312260488644</v>
      </c>
      <c r="E104">
        <f t="shared" ref="E104:K104" si="40">E100*2</f>
        <v>0</v>
      </c>
      <c r="F104">
        <f t="shared" si="40"/>
        <v>0.0623228507640929</v>
      </c>
      <c r="G104">
        <f t="shared" si="40"/>
        <v>0</v>
      </c>
      <c r="H104">
        <f t="shared" si="40"/>
        <v>2.30964436160757</v>
      </c>
      <c r="I104">
        <f t="shared" si="40"/>
        <v>23.9342122215389</v>
      </c>
      <c r="J104">
        <f t="shared" si="40"/>
        <v>3.2544988731743</v>
      </c>
      <c r="K104">
        <f t="shared" si="40"/>
        <v>184.608095644051</v>
      </c>
      <c r="L104">
        <f t="shared" ref="L104:L107" si="41">SUM(D104:K104)</f>
        <v>240</v>
      </c>
    </row>
    <row r="105" spans="3:12">
      <c r="C105" s="10" t="s">
        <v>123</v>
      </c>
      <c r="D105">
        <f>'Исходные данные'!F43</f>
        <v>1.17021276595745</v>
      </c>
      <c r="E105">
        <v>0</v>
      </c>
      <c r="F105">
        <v>0</v>
      </c>
      <c r="G105">
        <v>0</v>
      </c>
      <c r="H105">
        <v>0</v>
      </c>
      <c r="I105">
        <f>'Исходные данные'!H43</f>
        <v>0.5</v>
      </c>
      <c r="J105">
        <v>0</v>
      </c>
      <c r="K105">
        <v>0</v>
      </c>
      <c r="L105">
        <f t="shared" si="41"/>
        <v>1.67021276595745</v>
      </c>
    </row>
    <row r="106" spans="3:12">
      <c r="C106" s="10" t="s">
        <v>161</v>
      </c>
      <c r="D106">
        <f>D107-SUM(D103:D105)</f>
        <v>1040.28881820728</v>
      </c>
      <c r="E106">
        <f t="shared" ref="E106:K106" si="42">E107-SUM(E103:E105)</f>
        <v>0</v>
      </c>
      <c r="F106">
        <f t="shared" si="42"/>
        <v>2.50989885830592</v>
      </c>
      <c r="G106">
        <f t="shared" si="42"/>
        <v>0</v>
      </c>
      <c r="H106">
        <f t="shared" si="42"/>
        <v>93.0152211463249</v>
      </c>
      <c r="I106">
        <f t="shared" si="42"/>
        <v>963.391272507423</v>
      </c>
      <c r="J106">
        <f t="shared" si="42"/>
        <v>131.066902524367</v>
      </c>
      <c r="K106">
        <f t="shared" si="42"/>
        <v>7433.46480168346</v>
      </c>
      <c r="L106">
        <f t="shared" si="41"/>
        <v>9663.73691492715</v>
      </c>
    </row>
    <row r="107" spans="3:12">
      <c r="C107" s="10" t="s">
        <v>120</v>
      </c>
      <c r="D107">
        <f t="shared" ref="D107:K107" si="43">D101</f>
        <v>1142.4102570221</v>
      </c>
      <c r="E107">
        <f t="shared" si="43"/>
        <v>7.44</v>
      </c>
      <c r="F107">
        <f t="shared" si="43"/>
        <v>73.13222170907</v>
      </c>
      <c r="G107">
        <f t="shared" si="43"/>
        <v>6.96</v>
      </c>
      <c r="H107">
        <f t="shared" si="43"/>
        <v>100.364865507932</v>
      </c>
      <c r="I107">
        <f t="shared" si="43"/>
        <v>1027.28366654714</v>
      </c>
      <c r="J107">
        <f t="shared" si="43"/>
        <v>141.423219579359</v>
      </c>
      <c r="K107">
        <f t="shared" si="43"/>
        <v>7646.39289732751</v>
      </c>
      <c r="L107">
        <f t="shared" si="41"/>
        <v>10145.4071276931</v>
      </c>
    </row>
    <row r="111" spans="3:12">
      <c r="C111" s="2" t="s">
        <v>162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4:12">
      <c r="D112" t="s">
        <v>17</v>
      </c>
      <c r="E112" t="s">
        <v>18</v>
      </c>
      <c r="F112" t="s">
        <v>19</v>
      </c>
      <c r="G112" t="s">
        <v>21</v>
      </c>
      <c r="H112" t="s">
        <v>22</v>
      </c>
      <c r="I112" t="s">
        <v>85</v>
      </c>
      <c r="J112" t="s">
        <v>151</v>
      </c>
      <c r="K112" t="s">
        <v>157</v>
      </c>
      <c r="L112" t="s">
        <v>77</v>
      </c>
    </row>
    <row r="113" spans="3:12">
      <c r="C113" s="13" t="s">
        <v>113</v>
      </c>
      <c r="D113" s="13"/>
      <c r="E113" s="13"/>
      <c r="F113" s="13"/>
      <c r="G113" s="13"/>
      <c r="H113" s="13"/>
      <c r="I113" s="13"/>
      <c r="J113" s="13"/>
      <c r="K113" s="13"/>
      <c r="L113" s="13"/>
    </row>
    <row r="114" spans="3:12">
      <c r="C114" t="s">
        <v>116</v>
      </c>
      <c r="D114">
        <f>D99</f>
        <v>37.56</v>
      </c>
      <c r="E114">
        <f t="shared" ref="E114:K114" si="44">E99</f>
        <v>3.72</v>
      </c>
      <c r="F114">
        <f t="shared" si="44"/>
        <v>35.28</v>
      </c>
      <c r="G114">
        <f t="shared" si="44"/>
        <v>3.48</v>
      </c>
      <c r="H114">
        <f t="shared" si="44"/>
        <v>2.52</v>
      </c>
      <c r="I114">
        <f t="shared" si="44"/>
        <v>19.7290909090909</v>
      </c>
      <c r="J114">
        <f t="shared" si="44"/>
        <v>3.55090909090909</v>
      </c>
      <c r="K114">
        <f t="shared" si="44"/>
        <v>14.16</v>
      </c>
      <c r="L114">
        <f>SUM(D114:K114)</f>
        <v>120</v>
      </c>
    </row>
    <row r="115" spans="3:12">
      <c r="C115" s="10" t="s">
        <v>160</v>
      </c>
      <c r="D115">
        <f>D100</f>
        <v>12.9156130244322</v>
      </c>
      <c r="E115">
        <f t="shared" ref="E115:K115" si="45">E100</f>
        <v>0</v>
      </c>
      <c r="F115">
        <f t="shared" si="45"/>
        <v>0.0311614253820465</v>
      </c>
      <c r="G115">
        <f t="shared" si="45"/>
        <v>0</v>
      </c>
      <c r="H115">
        <f t="shared" si="45"/>
        <v>1.15482218080378</v>
      </c>
      <c r="I115">
        <f t="shared" si="45"/>
        <v>11.9671061107694</v>
      </c>
      <c r="J115">
        <f t="shared" si="45"/>
        <v>1.62724943658715</v>
      </c>
      <c r="K115">
        <f t="shared" si="45"/>
        <v>92.3040478220254</v>
      </c>
      <c r="L115">
        <f t="shared" ref="L115:L117" si="46">SUM(D115:K115)</f>
        <v>120</v>
      </c>
    </row>
    <row r="116" spans="3:12">
      <c r="C116" s="10" t="s">
        <v>140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f>'Исходные данные'!L85</f>
        <v>60</v>
      </c>
      <c r="L116">
        <f t="shared" si="46"/>
        <v>60</v>
      </c>
    </row>
    <row r="117" spans="3:12">
      <c r="C117" s="10" t="s">
        <v>120</v>
      </c>
      <c r="D117">
        <f>SUM(D114:D116)</f>
        <v>50.4756130244322</v>
      </c>
      <c r="E117">
        <f t="shared" ref="E117" si="47">SUM(E114:E116)</f>
        <v>3.72</v>
      </c>
      <c r="F117">
        <f t="shared" ref="F117" si="48">SUM(F114:F116)</f>
        <v>35.311161425382</v>
      </c>
      <c r="G117">
        <f t="shared" ref="G117" si="49">SUM(G114:G116)</f>
        <v>3.48</v>
      </c>
      <c r="H117">
        <f t="shared" ref="H117" si="50">SUM(H114:H116)</f>
        <v>3.67482218080378</v>
      </c>
      <c r="I117">
        <f t="shared" ref="I117" si="51">SUM(I114:I116)</f>
        <v>31.6961970198603</v>
      </c>
      <c r="J117">
        <f t="shared" ref="J117" si="52">SUM(J114:J116)</f>
        <v>5.17815852749624</v>
      </c>
      <c r="K117">
        <f t="shared" ref="K117" si="53">SUM(K114:K116)</f>
        <v>166.464047822025</v>
      </c>
      <c r="L117">
        <f t="shared" si="46"/>
        <v>300</v>
      </c>
    </row>
    <row r="118" spans="3:12">
      <c r="C118" s="10" t="s">
        <v>121</v>
      </c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3:12">
      <c r="C119" s="10" t="s">
        <v>163</v>
      </c>
      <c r="D119">
        <f>D114</f>
        <v>37.56</v>
      </c>
      <c r="E119">
        <f t="shared" ref="E119:K119" si="54">E114</f>
        <v>3.72</v>
      </c>
      <c r="F119">
        <f t="shared" si="54"/>
        <v>35.28</v>
      </c>
      <c r="G119">
        <f t="shared" si="54"/>
        <v>3.48</v>
      </c>
      <c r="H119">
        <f t="shared" si="54"/>
        <v>2.52</v>
      </c>
      <c r="I119">
        <f t="shared" si="54"/>
        <v>19.7290909090909</v>
      </c>
      <c r="J119">
        <f t="shared" si="54"/>
        <v>3.55090909090909</v>
      </c>
      <c r="K119">
        <f t="shared" si="54"/>
        <v>14.16</v>
      </c>
      <c r="L119">
        <f>SUM(D119:K119)</f>
        <v>120</v>
      </c>
    </row>
    <row r="120" spans="3:12">
      <c r="C120" s="10" t="s">
        <v>164</v>
      </c>
      <c r="D120">
        <f>'Исходные данные'!A58</f>
        <v>0.3</v>
      </c>
      <c r="E120">
        <v>0</v>
      </c>
      <c r="F120">
        <v>0</v>
      </c>
      <c r="G120">
        <v>0</v>
      </c>
      <c r="H120">
        <f>'Исходные данные'!C58</f>
        <v>0.04</v>
      </c>
      <c r="I120">
        <f>'Исходные данные'!B58-Таблицы!J120</f>
        <v>0.262405308266519</v>
      </c>
      <c r="J120">
        <f>'Исходные данные'!B58/(I119/J119)</f>
        <v>0.0575946917334808</v>
      </c>
      <c r="K120">
        <f>'Исходные данные'!D58</f>
        <v>61.16</v>
      </c>
      <c r="L120">
        <f t="shared" ref="L120:L122" si="55">SUM(D120:K120)</f>
        <v>61.82</v>
      </c>
    </row>
    <row r="121" spans="3:12">
      <c r="C121" s="10" t="s">
        <v>165</v>
      </c>
      <c r="D121">
        <f>D122-SUM(D119:D120)</f>
        <v>12.6156130244322</v>
      </c>
      <c r="E121">
        <f t="shared" ref="E121:K121" si="56">E122-SUM(E119:E120)</f>
        <v>0</v>
      </c>
      <c r="F121">
        <f t="shared" si="56"/>
        <v>0.0311614253820451</v>
      </c>
      <c r="G121">
        <f t="shared" si="56"/>
        <v>0</v>
      </c>
      <c r="H121">
        <f t="shared" si="56"/>
        <v>1.11482218080378</v>
      </c>
      <c r="I121">
        <f t="shared" si="56"/>
        <v>11.7047008025029</v>
      </c>
      <c r="J121">
        <f t="shared" si="56"/>
        <v>1.56965474485367</v>
      </c>
      <c r="K121">
        <f t="shared" si="56"/>
        <v>91.1440478220254</v>
      </c>
      <c r="L121">
        <f t="shared" si="55"/>
        <v>118.18</v>
      </c>
    </row>
    <row r="122" spans="3:12">
      <c r="C122" s="10" t="s">
        <v>120</v>
      </c>
      <c r="D122">
        <f t="shared" ref="D122:K122" si="57">D117</f>
        <v>50.4756130244322</v>
      </c>
      <c r="E122">
        <f t="shared" si="57"/>
        <v>3.72</v>
      </c>
      <c r="F122">
        <f t="shared" si="57"/>
        <v>35.311161425382</v>
      </c>
      <c r="G122">
        <f t="shared" si="57"/>
        <v>3.48</v>
      </c>
      <c r="H122">
        <f t="shared" si="57"/>
        <v>3.67482218080378</v>
      </c>
      <c r="I122">
        <f t="shared" si="57"/>
        <v>31.6961970198603</v>
      </c>
      <c r="J122">
        <f t="shared" si="57"/>
        <v>5.17815852749624</v>
      </c>
      <c r="K122">
        <f t="shared" si="57"/>
        <v>166.464047822025</v>
      </c>
      <c r="L122">
        <f t="shared" si="55"/>
        <v>300</v>
      </c>
    </row>
    <row r="125" spans="3:12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4:11">
      <c r="D126" t="s">
        <v>17</v>
      </c>
      <c r="E126" t="s">
        <v>19</v>
      </c>
      <c r="F126" t="s">
        <v>21</v>
      </c>
      <c r="G126" t="s">
        <v>22</v>
      </c>
      <c r="H126" t="s">
        <v>85</v>
      </c>
      <c r="I126" t="s">
        <v>151</v>
      </c>
      <c r="J126" t="s">
        <v>25</v>
      </c>
      <c r="K126" t="s">
        <v>77</v>
      </c>
    </row>
    <row r="127" spans="3:11">
      <c r="C127" s="13" t="s">
        <v>113</v>
      </c>
      <c r="D127" s="13"/>
      <c r="E127" s="13"/>
      <c r="F127" s="13"/>
      <c r="G127" s="13"/>
      <c r="H127" s="13"/>
      <c r="I127" s="13"/>
      <c r="J127" s="13"/>
      <c r="K127" s="13"/>
    </row>
    <row r="128" spans="3:11">
      <c r="C128" t="s">
        <v>167</v>
      </c>
      <c r="D128">
        <f t="shared" ref="D128" si="58">D106</f>
        <v>1040.28881820728</v>
      </c>
      <c r="E128">
        <f t="shared" ref="E128:J128" si="59">F106</f>
        <v>2.50989885830592</v>
      </c>
      <c r="F128">
        <f t="shared" si="59"/>
        <v>0</v>
      </c>
      <c r="G128">
        <f t="shared" si="59"/>
        <v>93.0152211463249</v>
      </c>
      <c r="H128">
        <f t="shared" si="59"/>
        <v>963.391272507423</v>
      </c>
      <c r="I128">
        <f t="shared" si="59"/>
        <v>131.066902524367</v>
      </c>
      <c r="J128">
        <f t="shared" si="59"/>
        <v>7433.46480168346</v>
      </c>
      <c r="K128">
        <f>SUM(D128:J128)</f>
        <v>9663.73691492715</v>
      </c>
    </row>
    <row r="129" spans="3:11">
      <c r="C129" s="10" t="s">
        <v>168</v>
      </c>
      <c r="D129">
        <f>D115</f>
        <v>12.9156130244322</v>
      </c>
      <c r="E129" s="1">
        <f t="shared" ref="E129:J129" si="60">F115</f>
        <v>0.0311614253820465</v>
      </c>
      <c r="F129">
        <f t="shared" si="60"/>
        <v>0</v>
      </c>
      <c r="G129">
        <f t="shared" si="60"/>
        <v>1.15482218080378</v>
      </c>
      <c r="H129">
        <f t="shared" si="60"/>
        <v>11.9671061107694</v>
      </c>
      <c r="I129">
        <f t="shared" si="60"/>
        <v>1.62724943658715</v>
      </c>
      <c r="J129">
        <f t="shared" si="60"/>
        <v>92.3040478220254</v>
      </c>
      <c r="K129">
        <f>SUM(D129:J129)</f>
        <v>120</v>
      </c>
    </row>
    <row r="130" spans="3:11">
      <c r="C130" s="10" t="s">
        <v>117</v>
      </c>
      <c r="D130">
        <f t="shared" ref="D130:J130" si="61">D59+D58</f>
        <v>0.317125676578358</v>
      </c>
      <c r="E130">
        <f t="shared" si="61"/>
        <v>0.0231790039971818</v>
      </c>
      <c r="F130">
        <f t="shared" si="61"/>
        <v>19.8436761229314</v>
      </c>
      <c r="G130">
        <f t="shared" si="61"/>
        <v>16.7296325440914</v>
      </c>
      <c r="H130">
        <f t="shared" si="61"/>
        <v>0.655457325450709</v>
      </c>
      <c r="I130">
        <f t="shared" si="61"/>
        <v>1.60378885135078</v>
      </c>
      <c r="J130">
        <f t="shared" si="61"/>
        <v>13.7154030633705</v>
      </c>
      <c r="K130">
        <f>SUM(D130:J130)</f>
        <v>52.8882625877704</v>
      </c>
    </row>
    <row r="131" spans="3:11">
      <c r="C131" s="10" t="s">
        <v>169</v>
      </c>
      <c r="D131">
        <v>0</v>
      </c>
      <c r="E131">
        <v>0</v>
      </c>
      <c r="F131">
        <f>F73-F130</f>
        <v>19.8436761229314</v>
      </c>
      <c r="G131">
        <v>0</v>
      </c>
      <c r="H131">
        <v>0</v>
      </c>
      <c r="I131">
        <v>0</v>
      </c>
      <c r="J131" s="1">
        <v>69.17</v>
      </c>
      <c r="K131">
        <f>SUM(D131:J131)</f>
        <v>89.0136761229315</v>
      </c>
    </row>
    <row r="132" spans="3:11">
      <c r="C132" s="10" t="s">
        <v>120</v>
      </c>
      <c r="D132">
        <f>SUM(D128:D131)</f>
        <v>1053.52155690829</v>
      </c>
      <c r="E132">
        <f>SUM(E128:E131)</f>
        <v>2.56423928768515</v>
      </c>
      <c r="F132">
        <f>SUM(F128:F131)</f>
        <v>39.6873522458629</v>
      </c>
      <c r="G132">
        <f t="shared" ref="G132:J132" si="62">SUM(G128:G131)</f>
        <v>110.89967587122</v>
      </c>
      <c r="H132">
        <f t="shared" si="62"/>
        <v>976.013835943644</v>
      </c>
      <c r="I132">
        <f t="shared" si="62"/>
        <v>134.297940812305</v>
      </c>
      <c r="J132">
        <f t="shared" si="62"/>
        <v>7608.65425256885</v>
      </c>
      <c r="K132">
        <f>SUM(D132:J132)</f>
        <v>9925.63885363786</v>
      </c>
    </row>
    <row r="133" spans="3:11">
      <c r="C133" s="10" t="s">
        <v>121</v>
      </c>
      <c r="D133" s="10"/>
      <c r="E133" s="10"/>
      <c r="F133" s="10"/>
      <c r="G133" s="10"/>
      <c r="H133" s="10"/>
      <c r="I133" s="10"/>
      <c r="J133" s="10"/>
      <c r="K133" s="10"/>
    </row>
    <row r="134" spans="3:11">
      <c r="C134" s="10" t="s">
        <v>170</v>
      </c>
      <c r="D134">
        <f t="shared" ref="D134" si="63">D67</f>
        <v>24.0958924349882</v>
      </c>
      <c r="E134">
        <f t="shared" ref="E134:J134" si="64">E67</f>
        <v>2.55132978723404</v>
      </c>
      <c r="F134">
        <f t="shared" si="64"/>
        <v>39.6873522458629</v>
      </c>
      <c r="G134">
        <f t="shared" si="64"/>
        <v>0</v>
      </c>
      <c r="H134">
        <f t="shared" si="64"/>
        <v>0</v>
      </c>
      <c r="I134">
        <f t="shared" si="64"/>
        <v>0</v>
      </c>
      <c r="J134">
        <f t="shared" si="64"/>
        <v>24.6628546099291</v>
      </c>
      <c r="K134">
        <f>SUM(D134:J134)</f>
        <v>90.9974290780142</v>
      </c>
    </row>
    <row r="135" spans="3:11">
      <c r="C135" s="10" t="s">
        <v>171</v>
      </c>
      <c r="D135">
        <f>D37</f>
        <v>4.42663004912396</v>
      </c>
      <c r="E135">
        <v>0</v>
      </c>
      <c r="F135">
        <f>F37</f>
        <v>0</v>
      </c>
      <c r="G135">
        <f>G37</f>
        <v>0.954763343928698</v>
      </c>
      <c r="H135">
        <f>H37</f>
        <v>4.0360450447895</v>
      </c>
      <c r="I135">
        <f>I37</f>
        <v>1.34534834826317</v>
      </c>
      <c r="J135">
        <f>J37</f>
        <v>34.0568424612748</v>
      </c>
      <c r="K135">
        <f>SUM(D135:J135)</f>
        <v>44.8196292473801</v>
      </c>
    </row>
    <row r="136" spans="3:11">
      <c r="C136" s="10" t="s">
        <v>172</v>
      </c>
      <c r="D136" s="16">
        <f>D137-(SUM(D134:D135))</f>
        <v>1024.99903442417</v>
      </c>
      <c r="E136">
        <f>E137-(SUM(E134:E135))</f>
        <v>0.012909500451102</v>
      </c>
      <c r="F136">
        <f t="shared" ref="E136:J136" si="65">F137-(SUM(F134:F135))</f>
        <v>0</v>
      </c>
      <c r="G136">
        <f t="shared" si="65"/>
        <v>109.944912527291</v>
      </c>
      <c r="H136">
        <f t="shared" si="65"/>
        <v>971.977790898854</v>
      </c>
      <c r="I136">
        <f t="shared" si="65"/>
        <v>132.952592464042</v>
      </c>
      <c r="J136">
        <f t="shared" si="65"/>
        <v>7549.93455549765</v>
      </c>
      <c r="K136">
        <f>SUM(D136:J136)</f>
        <v>9789.82179531246</v>
      </c>
    </row>
    <row r="137" spans="3:11">
      <c r="C137" s="10" t="s">
        <v>120</v>
      </c>
      <c r="D137">
        <f t="shared" ref="D137:J137" si="66">D132</f>
        <v>1053.52155690829</v>
      </c>
      <c r="E137">
        <f t="shared" si="66"/>
        <v>2.56423928768515</v>
      </c>
      <c r="F137">
        <f t="shared" si="66"/>
        <v>39.6873522458629</v>
      </c>
      <c r="G137">
        <f t="shared" si="66"/>
        <v>110.89967587122</v>
      </c>
      <c r="H137">
        <f t="shared" si="66"/>
        <v>976.013835943644</v>
      </c>
      <c r="I137">
        <f t="shared" si="66"/>
        <v>134.297940812305</v>
      </c>
      <c r="J137">
        <f t="shared" si="66"/>
        <v>7608.65425256885</v>
      </c>
      <c r="K137">
        <f>SUM(D137:J137)</f>
        <v>9925.63885363786</v>
      </c>
    </row>
    <row r="140" spans="3:11">
      <c r="C140" s="10" t="s">
        <v>173</v>
      </c>
      <c r="D140" s="10"/>
      <c r="E140" s="10"/>
      <c r="F140" s="10"/>
      <c r="G140" s="10"/>
      <c r="H140" s="10"/>
      <c r="I140" s="10"/>
      <c r="J140" s="10"/>
      <c r="K140" s="10"/>
    </row>
    <row r="141" spans="4:11">
      <c r="D141" t="s">
        <v>17</v>
      </c>
      <c r="E141" t="s">
        <v>19</v>
      </c>
      <c r="F141" t="s">
        <v>21</v>
      </c>
      <c r="G141" t="s">
        <v>22</v>
      </c>
      <c r="H141" t="s">
        <v>85</v>
      </c>
      <c r="I141" t="s">
        <v>151</v>
      </c>
      <c r="J141" t="s">
        <v>25</v>
      </c>
      <c r="K141" t="s">
        <v>77</v>
      </c>
    </row>
    <row r="142" spans="3:11">
      <c r="C142" s="13" t="s">
        <v>113</v>
      </c>
      <c r="D142" s="13"/>
      <c r="E142" s="17">
        <f>E136</f>
        <v>0.012909500451102</v>
      </c>
      <c r="F142" s="13"/>
      <c r="G142" s="13"/>
      <c r="H142" s="13"/>
      <c r="I142" s="13"/>
      <c r="J142" s="13"/>
      <c r="K142" s="13"/>
    </row>
    <row r="143" spans="3:11">
      <c r="C143" t="s">
        <v>174</v>
      </c>
      <c r="D143" s="16">
        <f>D136</f>
        <v>1024.99903442417</v>
      </c>
      <c r="E143" s="17">
        <v>0</v>
      </c>
      <c r="F143">
        <f t="shared" ref="E143:K143" si="67">F136</f>
        <v>0</v>
      </c>
      <c r="G143">
        <f t="shared" si="67"/>
        <v>109.944912527291</v>
      </c>
      <c r="H143">
        <f t="shared" si="67"/>
        <v>971.977790898854</v>
      </c>
      <c r="I143">
        <f t="shared" si="67"/>
        <v>132.952592464042</v>
      </c>
      <c r="J143">
        <f t="shared" si="67"/>
        <v>7549.93455549765</v>
      </c>
      <c r="K143">
        <f t="shared" si="67"/>
        <v>9789.82179531246</v>
      </c>
    </row>
    <row r="144" spans="3:11">
      <c r="C144" s="10" t="s">
        <v>175</v>
      </c>
      <c r="D144">
        <f>'Кальцинация и карбонизация'!G10</f>
        <v>2049.99806884835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f>'Кальцинация и карбонизация'!G11</f>
        <v>1085.29309527266</v>
      </c>
      <c r="K144" s="22">
        <f>SUM(D144:J144)</f>
        <v>3135.291164121</v>
      </c>
    </row>
    <row r="145" spans="3:11">
      <c r="C145" s="10" t="s">
        <v>147</v>
      </c>
      <c r="D145">
        <f>'Кальцинация и карбонизация'!B17</f>
        <v>1.71625567969404</v>
      </c>
      <c r="E145" s="15">
        <v>0</v>
      </c>
      <c r="F145" s="15">
        <v>0</v>
      </c>
      <c r="G145" s="15">
        <f>'Кальцинация и карбонизация'!E17</f>
        <v>50.4376778228119</v>
      </c>
      <c r="H145" s="15">
        <f>'Кальцинация и карбонизация'!C17</f>
        <v>2.81511935119727</v>
      </c>
      <c r="I145" s="15">
        <f>'Кальцинация и карбонизация'!D17</f>
        <v>71.0712732957805</v>
      </c>
      <c r="J145" s="15">
        <f>'Кальцинация и карбонизация'!F17</f>
        <v>427.24634987187</v>
      </c>
      <c r="K145" s="22">
        <f>SUM(D145:J145)</f>
        <v>553.286676021354</v>
      </c>
    </row>
    <row r="146" spans="3:11">
      <c r="C146" t="s">
        <v>126</v>
      </c>
      <c r="D146">
        <v>0</v>
      </c>
      <c r="E146">
        <v>0</v>
      </c>
      <c r="F146">
        <v>0</v>
      </c>
      <c r="G146">
        <f>'Кальцинация и карбонизация'!G9</f>
        <v>643.981512327895</v>
      </c>
      <c r="H146">
        <v>0</v>
      </c>
      <c r="I146">
        <v>0</v>
      </c>
      <c r="J146">
        <v>0</v>
      </c>
      <c r="K146" s="22">
        <f>SUM(D146:J146)</f>
        <v>643.981512327895</v>
      </c>
    </row>
    <row r="147" spans="3:11">
      <c r="C147" s="10" t="s">
        <v>120</v>
      </c>
      <c r="D147" s="16">
        <f>SUM(D143:D146)</f>
        <v>3076.71335895222</v>
      </c>
      <c r="E147" s="16">
        <f>SUM(E142:E146)</f>
        <v>0.012909500451102</v>
      </c>
      <c r="F147" s="16">
        <f t="shared" ref="E147:K147" si="68">SUM(F143:F146)</f>
        <v>0</v>
      </c>
      <c r="G147" s="16">
        <f t="shared" si="68"/>
        <v>804.364102677998</v>
      </c>
      <c r="H147" s="16">
        <f t="shared" si="68"/>
        <v>974.792910250051</v>
      </c>
      <c r="I147" s="16">
        <f t="shared" si="68"/>
        <v>204.023865759823</v>
      </c>
      <c r="J147" s="16">
        <f t="shared" si="68"/>
        <v>9062.47400064218</v>
      </c>
      <c r="K147" s="22">
        <f t="shared" si="68"/>
        <v>14122.3811477827</v>
      </c>
    </row>
    <row r="148" spans="3:11">
      <c r="C148" s="10" t="s">
        <v>121</v>
      </c>
      <c r="E148" s="15"/>
      <c r="F148" s="15"/>
      <c r="G148" s="15"/>
      <c r="H148" s="15"/>
      <c r="I148" s="15"/>
      <c r="J148" s="15"/>
      <c r="K148" s="22">
        <f t="shared" ref="K147:K154" si="69">SUM(D148:J148)</f>
        <v>0</v>
      </c>
    </row>
    <row r="149" spans="3:11">
      <c r="C149" s="10" t="s">
        <v>176</v>
      </c>
      <c r="D149" s="10">
        <f>D144</f>
        <v>2049.99806884835</v>
      </c>
      <c r="E149" s="10">
        <f t="shared" ref="E149:J149" si="70">E144</f>
        <v>0</v>
      </c>
      <c r="F149" s="10">
        <f t="shared" si="70"/>
        <v>0</v>
      </c>
      <c r="G149" s="10">
        <f t="shared" si="70"/>
        <v>0</v>
      </c>
      <c r="H149" s="10">
        <f t="shared" si="70"/>
        <v>0</v>
      </c>
      <c r="I149" s="10">
        <f t="shared" si="70"/>
        <v>0</v>
      </c>
      <c r="J149" s="10">
        <f t="shared" si="70"/>
        <v>1085.29309527266</v>
      </c>
      <c r="K149" s="22">
        <f t="shared" si="69"/>
        <v>3135.291164121</v>
      </c>
    </row>
    <row r="150" spans="3:11">
      <c r="C150" s="10" t="s">
        <v>177</v>
      </c>
      <c r="D150">
        <f>D145</f>
        <v>1.71625567969404</v>
      </c>
      <c r="E150">
        <f t="shared" ref="E150:J150" si="71">E145</f>
        <v>0</v>
      </c>
      <c r="F150">
        <f t="shared" si="71"/>
        <v>0</v>
      </c>
      <c r="G150">
        <f t="shared" si="71"/>
        <v>50.4376778228119</v>
      </c>
      <c r="H150">
        <f t="shared" si="71"/>
        <v>2.81511935119727</v>
      </c>
      <c r="I150">
        <f t="shared" si="71"/>
        <v>71.0712732957805</v>
      </c>
      <c r="J150">
        <f t="shared" si="71"/>
        <v>427.24634987187</v>
      </c>
      <c r="K150" s="22">
        <f t="shared" si="69"/>
        <v>553.286676021354</v>
      </c>
    </row>
    <row r="151" spans="3:11">
      <c r="C151" s="10" t="s">
        <v>178</v>
      </c>
      <c r="D151">
        <f>'Кальцинация и карбонизация'!G3</f>
        <v>997.021276595745</v>
      </c>
      <c r="E151" s="15">
        <f>E142</f>
        <v>0.012909500451102</v>
      </c>
      <c r="F151" s="15">
        <v>0</v>
      </c>
      <c r="G151" s="15">
        <v>0</v>
      </c>
      <c r="H151" s="15">
        <v>0</v>
      </c>
      <c r="I151" s="15">
        <v>0</v>
      </c>
      <c r="J151" s="15">
        <f>K151-D151-E151</f>
        <v>527.821883991414</v>
      </c>
      <c r="K151" s="22">
        <f>'Кальцинация и карбонизация'!G4</f>
        <v>1524.85607008761</v>
      </c>
    </row>
    <row r="152" spans="3:11">
      <c r="C152" t="s">
        <v>179</v>
      </c>
      <c r="D152" s="16">
        <f>D154-D149-D150-D151-D153</f>
        <v>25.6373322965148</v>
      </c>
      <c r="E152" s="16">
        <f t="shared" ref="E152:J152" si="72">E154-E149-E150-E151-E153</f>
        <v>0</v>
      </c>
      <c r="F152" s="16">
        <f t="shared" si="72"/>
        <v>0</v>
      </c>
      <c r="G152" s="16">
        <f t="shared" si="72"/>
        <v>753.926424855186</v>
      </c>
      <c r="H152" s="16">
        <f>'Кальцинация и карбонизация'!G7</f>
        <v>42.079511976043</v>
      </c>
      <c r="I152" s="16">
        <f>'Кальцинация и карбонизация'!G8</f>
        <v>1062.35087138685</v>
      </c>
      <c r="J152" s="16">
        <f t="shared" si="72"/>
        <v>7022.11267150624</v>
      </c>
      <c r="K152" s="22">
        <f t="shared" si="69"/>
        <v>8906.10681202083</v>
      </c>
    </row>
    <row r="153" spans="3:11">
      <c r="C153" t="s">
        <v>123</v>
      </c>
      <c r="D153">
        <f>'Исходные данные'!F44</f>
        <v>2.34042553191489</v>
      </c>
      <c r="E153" s="18">
        <v>0</v>
      </c>
      <c r="F153" s="18">
        <v>0</v>
      </c>
      <c r="G153" s="18">
        <v>0</v>
      </c>
      <c r="H153" s="18">
        <f>'Исходные данные'!H44</f>
        <v>0.5</v>
      </c>
      <c r="I153" s="18">
        <v>0</v>
      </c>
      <c r="J153" s="18">
        <v>0</v>
      </c>
      <c r="K153" s="22">
        <f t="shared" si="69"/>
        <v>2.84042553191489</v>
      </c>
    </row>
    <row r="154" spans="3:11">
      <c r="C154" s="10" t="s">
        <v>120</v>
      </c>
      <c r="D154" s="16">
        <f>D147</f>
        <v>3076.71335895222</v>
      </c>
      <c r="E154" s="16">
        <f t="shared" ref="E154:J154" si="73">E147</f>
        <v>0.012909500451102</v>
      </c>
      <c r="F154" s="16">
        <f t="shared" si="73"/>
        <v>0</v>
      </c>
      <c r="G154" s="16">
        <f t="shared" si="73"/>
        <v>804.364102677998</v>
      </c>
      <c r="H154" s="16">
        <f t="shared" si="73"/>
        <v>974.792910250051</v>
      </c>
      <c r="I154" s="16">
        <f t="shared" si="73"/>
        <v>204.023865759823</v>
      </c>
      <c r="J154" s="16">
        <f t="shared" si="73"/>
        <v>9062.47400064218</v>
      </c>
      <c r="K154" s="22">
        <f>SUM(K149:K153)</f>
        <v>14122.3811477827</v>
      </c>
    </row>
    <row r="155" spans="2:13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</row>
    <row r="156" spans="2:13">
      <c r="B156" s="18"/>
      <c r="C156" s="19" t="s">
        <v>180</v>
      </c>
      <c r="D156" s="19"/>
      <c r="E156" s="19"/>
      <c r="F156" s="19"/>
      <c r="G156" s="19"/>
      <c r="H156" s="19"/>
      <c r="I156" s="19"/>
      <c r="J156" s="19"/>
      <c r="K156" s="19"/>
      <c r="L156" s="18"/>
      <c r="M156" s="18"/>
    </row>
    <row r="157" spans="2:13">
      <c r="B157" s="18"/>
      <c r="C157" s="18"/>
      <c r="D157" s="18" t="s">
        <v>17</v>
      </c>
      <c r="E157" s="18" t="s">
        <v>19</v>
      </c>
      <c r="F157" s="18" t="s">
        <v>21</v>
      </c>
      <c r="G157" s="18" t="s">
        <v>22</v>
      </c>
      <c r="H157" s="18" t="s">
        <v>85</v>
      </c>
      <c r="I157" s="18" t="s">
        <v>151</v>
      </c>
      <c r="J157" s="18" t="s">
        <v>25</v>
      </c>
      <c r="K157" s="18" t="s">
        <v>77</v>
      </c>
      <c r="L157" s="18"/>
      <c r="M157" s="18"/>
    </row>
    <row r="158" spans="2:13">
      <c r="B158" s="18"/>
      <c r="C158" s="20" t="s">
        <v>113</v>
      </c>
      <c r="D158" s="20"/>
      <c r="E158" s="20"/>
      <c r="F158" s="20"/>
      <c r="G158" s="20"/>
      <c r="H158" s="20"/>
      <c r="I158" s="20"/>
      <c r="J158" s="20"/>
      <c r="K158" s="20"/>
      <c r="L158" s="18"/>
      <c r="M158" s="18"/>
    </row>
    <row r="159" spans="2:13">
      <c r="B159" s="18"/>
      <c r="C159" s="18" t="s">
        <v>181</v>
      </c>
      <c r="D159" s="18">
        <f>D151</f>
        <v>997.021276595745</v>
      </c>
      <c r="E159" s="18">
        <f>E151</f>
        <v>0.012909500451102</v>
      </c>
      <c r="F159" s="18">
        <f t="shared" ref="E159:J159" si="74">F151</f>
        <v>0</v>
      </c>
      <c r="G159" s="18">
        <f t="shared" si="74"/>
        <v>0</v>
      </c>
      <c r="H159" s="18">
        <f t="shared" si="74"/>
        <v>0</v>
      </c>
      <c r="I159" s="18">
        <f t="shared" si="74"/>
        <v>0</v>
      </c>
      <c r="J159" s="18">
        <f t="shared" si="74"/>
        <v>527.821883991414</v>
      </c>
      <c r="K159" s="22">
        <f>SUM(D159:J159)</f>
        <v>1524.85607008761</v>
      </c>
      <c r="L159" s="18"/>
      <c r="M159" s="18"/>
    </row>
    <row r="160" spans="2:13">
      <c r="B160" s="18"/>
      <c r="C160" s="19" t="s">
        <v>147</v>
      </c>
      <c r="D160" s="16">
        <f>K160*D152/K152</f>
        <v>0.509494048957317</v>
      </c>
      <c r="E160" s="15">
        <v>0</v>
      </c>
      <c r="F160" s="15">
        <v>0</v>
      </c>
      <c r="G160" s="21">
        <f>I160*44/62</f>
        <v>14.9828781861052</v>
      </c>
      <c r="H160" s="21">
        <f>H152*K160/K152</f>
        <v>0.83625163050746</v>
      </c>
      <c r="I160" s="21">
        <f>I152*K160/K152</f>
        <v>21.1122374440573</v>
      </c>
      <c r="J160" s="21">
        <f>K160-I160-H160-D160-G160</f>
        <v>139.551361111256</v>
      </c>
      <c r="K160" s="18">
        <f>K151*'Исходные данные'!J102/(100-'Исходные данные'!J102)</f>
        <v>176.992222420883</v>
      </c>
      <c r="L160" s="18"/>
      <c r="M160" s="18"/>
    </row>
    <row r="161" spans="2:13">
      <c r="B161" s="18"/>
      <c r="C161" s="19" t="s">
        <v>140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5">
        <f>'Исходные данные'!L86</f>
        <v>800</v>
      </c>
      <c r="K161" s="22">
        <f>SUM(D161:J161)</f>
        <v>800</v>
      </c>
      <c r="L161" s="18"/>
      <c r="M161" s="18"/>
    </row>
    <row r="162" spans="2:13">
      <c r="B162" s="18"/>
      <c r="C162" s="19" t="s">
        <v>120</v>
      </c>
      <c r="D162" s="22">
        <f t="shared" ref="D162:K162" si="75">SUM(D159:D161)</f>
        <v>997.530770644702</v>
      </c>
      <c r="E162" s="22">
        <f t="shared" si="75"/>
        <v>0.012909500451102</v>
      </c>
      <c r="F162" s="22">
        <f t="shared" si="75"/>
        <v>0</v>
      </c>
      <c r="G162" s="22">
        <f t="shared" si="75"/>
        <v>14.9828781861052</v>
      </c>
      <c r="H162" s="22">
        <f t="shared" si="75"/>
        <v>0.83625163050746</v>
      </c>
      <c r="I162" s="22">
        <f t="shared" si="75"/>
        <v>21.1122374440573</v>
      </c>
      <c r="J162" s="22">
        <f t="shared" si="75"/>
        <v>1467.37324510267</v>
      </c>
      <c r="K162" s="22">
        <f t="shared" si="75"/>
        <v>2501.84829250849</v>
      </c>
      <c r="L162" s="18"/>
      <c r="M162" s="18"/>
    </row>
    <row r="163" spans="2:13">
      <c r="B163" s="18"/>
      <c r="C163" s="19" t="s">
        <v>121</v>
      </c>
      <c r="D163" s="18"/>
      <c r="E163" s="15"/>
      <c r="F163" s="15"/>
      <c r="G163" s="15"/>
      <c r="H163" s="15"/>
      <c r="I163" s="15"/>
      <c r="J163" s="15"/>
      <c r="K163" s="15"/>
      <c r="L163" s="18"/>
      <c r="M163" s="18"/>
    </row>
    <row r="164" spans="2:13">
      <c r="B164" s="18"/>
      <c r="C164" s="19" t="s">
        <v>182</v>
      </c>
      <c r="D164" s="19">
        <f>D159</f>
        <v>997.021276595745</v>
      </c>
      <c r="E164" s="19">
        <f t="shared" ref="E164:J164" si="76">E159</f>
        <v>0.012909500451102</v>
      </c>
      <c r="F164" s="19">
        <f t="shared" si="76"/>
        <v>0</v>
      </c>
      <c r="G164" s="19">
        <f t="shared" si="76"/>
        <v>0</v>
      </c>
      <c r="H164" s="19">
        <f t="shared" si="76"/>
        <v>0</v>
      </c>
      <c r="I164" s="19">
        <f t="shared" si="76"/>
        <v>0</v>
      </c>
      <c r="J164" s="19">
        <f t="shared" si="76"/>
        <v>527.821883991414</v>
      </c>
      <c r="K164" s="26">
        <f>SUM(D164:J164)</f>
        <v>1524.85607008761</v>
      </c>
      <c r="L164" s="18"/>
      <c r="M164" s="18"/>
    </row>
    <row r="165" spans="2:13">
      <c r="B165" s="18"/>
      <c r="C165" s="19" t="s">
        <v>183</v>
      </c>
      <c r="D165" s="18">
        <v>0</v>
      </c>
      <c r="E165" s="15">
        <v>0</v>
      </c>
      <c r="F165" s="15">
        <v>0</v>
      </c>
      <c r="G165" s="15">
        <f>I165*44/62</f>
        <v>2.72516129032258</v>
      </c>
      <c r="H165" s="15">
        <f>'Исходные данные'!H46*0.04</f>
        <v>0.16</v>
      </c>
      <c r="I165" s="15">
        <f>'Исходные данные'!H46*0.96</f>
        <v>3.84</v>
      </c>
      <c r="J165" s="15">
        <f>K165-I165-H165-G165</f>
        <v>170.267061130561</v>
      </c>
      <c r="K165" s="26">
        <f>K160</f>
        <v>176.992222420883</v>
      </c>
      <c r="L165" s="18"/>
      <c r="M165" s="18"/>
    </row>
    <row r="166" spans="2:13">
      <c r="B166" s="18"/>
      <c r="C166" s="19" t="s">
        <v>184</v>
      </c>
      <c r="D166" s="18">
        <f>D167-SUM(D164:D165)</f>
        <v>0.509494048957322</v>
      </c>
      <c r="E166" s="18">
        <f t="shared" ref="E166:J166" si="77">E167-SUM(E164:E165)</f>
        <v>0</v>
      </c>
      <c r="F166" s="18">
        <f t="shared" si="77"/>
        <v>0</v>
      </c>
      <c r="G166" s="18">
        <f t="shared" si="77"/>
        <v>12.2577168957826</v>
      </c>
      <c r="H166" s="18">
        <f t="shared" si="77"/>
        <v>0.67625163050746</v>
      </c>
      <c r="I166" s="18">
        <f t="shared" si="77"/>
        <v>17.2722374440573</v>
      </c>
      <c r="J166" s="18">
        <f t="shared" si="77"/>
        <v>769.284299980695</v>
      </c>
      <c r="K166" s="26">
        <f>SUM(D166:J166)</f>
        <v>799.999999999999</v>
      </c>
      <c r="L166" s="18"/>
      <c r="M166" s="18"/>
    </row>
    <row r="167" spans="2:13">
      <c r="B167" s="18"/>
      <c r="C167" s="19" t="s">
        <v>120</v>
      </c>
      <c r="D167" s="23">
        <f>D162</f>
        <v>997.530770644702</v>
      </c>
      <c r="E167" s="23">
        <f t="shared" ref="E167:J167" si="78">E162</f>
        <v>0.012909500451102</v>
      </c>
      <c r="F167" s="23">
        <f t="shared" si="78"/>
        <v>0</v>
      </c>
      <c r="G167" s="23">
        <f t="shared" si="78"/>
        <v>14.9828781861052</v>
      </c>
      <c r="H167" s="23">
        <f t="shared" si="78"/>
        <v>0.83625163050746</v>
      </c>
      <c r="I167" s="23">
        <f t="shared" si="78"/>
        <v>21.1122374440573</v>
      </c>
      <c r="J167" s="23">
        <f t="shared" si="78"/>
        <v>1467.37324510267</v>
      </c>
      <c r="K167" s="23">
        <f>SUM(K164:K166)</f>
        <v>2501.84829250849</v>
      </c>
      <c r="L167" s="18"/>
      <c r="M167" s="18"/>
    </row>
    <row r="168" spans="2:13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</row>
    <row r="169" spans="2:13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</row>
    <row r="170" spans="2:13">
      <c r="B170" s="18"/>
      <c r="C170" s="19" t="s">
        <v>185</v>
      </c>
      <c r="D170" s="19"/>
      <c r="E170" s="19"/>
      <c r="F170" s="19"/>
      <c r="G170" s="19"/>
      <c r="H170" s="19"/>
      <c r="I170" s="19"/>
      <c r="J170" s="19"/>
      <c r="K170" s="19"/>
      <c r="L170" s="18"/>
      <c r="M170" s="18"/>
    </row>
    <row r="171" spans="2:13">
      <c r="B171" s="18"/>
      <c r="C171" s="18"/>
      <c r="D171" s="18" t="s">
        <v>17</v>
      </c>
      <c r="E171" s="18" t="s">
        <v>19</v>
      </c>
      <c r="F171" s="18" t="s">
        <v>21</v>
      </c>
      <c r="G171" s="18" t="s">
        <v>22</v>
      </c>
      <c r="H171" s="18" t="s">
        <v>81</v>
      </c>
      <c r="I171" s="18" t="s">
        <v>25</v>
      </c>
      <c r="J171" s="18" t="s">
        <v>77</v>
      </c>
      <c r="L171" s="18"/>
      <c r="M171" s="18"/>
    </row>
    <row r="172" spans="2:13">
      <c r="B172" s="18"/>
      <c r="C172" s="20" t="s">
        <v>113</v>
      </c>
      <c r="D172" s="20"/>
      <c r="E172" s="20"/>
      <c r="F172" s="20"/>
      <c r="G172" s="20"/>
      <c r="H172" s="20"/>
      <c r="I172" s="20"/>
      <c r="J172" s="20"/>
      <c r="L172" s="18"/>
      <c r="M172" s="18"/>
    </row>
    <row r="173" spans="2:13">
      <c r="B173" s="18"/>
      <c r="C173" s="18" t="s">
        <v>181</v>
      </c>
      <c r="D173" s="23">
        <f>D164</f>
        <v>997.021276595745</v>
      </c>
      <c r="E173" s="23">
        <f>E164</f>
        <v>0.012909500451102</v>
      </c>
      <c r="F173" s="23">
        <f>F164</f>
        <v>0</v>
      </c>
      <c r="G173" s="23">
        <f>G164</f>
        <v>0</v>
      </c>
      <c r="H173">
        <v>0</v>
      </c>
      <c r="I173" s="23">
        <f>J164</f>
        <v>527.821883991414</v>
      </c>
      <c r="J173" s="22">
        <f>SUM(D173:I173)</f>
        <v>1524.85607008761</v>
      </c>
      <c r="L173" s="18"/>
      <c r="M173" s="18"/>
    </row>
    <row r="174" spans="2:13">
      <c r="B174" s="18"/>
      <c r="C174" s="19" t="s">
        <v>183</v>
      </c>
      <c r="D174" s="18">
        <v>0</v>
      </c>
      <c r="E174" s="15">
        <v>0</v>
      </c>
      <c r="F174" s="15">
        <v>0</v>
      </c>
      <c r="G174" s="15">
        <f>G165</f>
        <v>2.72516129032258</v>
      </c>
      <c r="H174" s="23">
        <f>'Исходные данные'!H46</f>
        <v>4</v>
      </c>
      <c r="I174" s="15">
        <f>J165</f>
        <v>170.267061130561</v>
      </c>
      <c r="J174" s="22">
        <f>SUM(D174:I174)</f>
        <v>176.992222420883</v>
      </c>
      <c r="L174" s="18"/>
      <c r="M174" s="18"/>
    </row>
    <row r="175" spans="2:13">
      <c r="B175" s="18"/>
      <c r="C175" s="19" t="s">
        <v>120</v>
      </c>
      <c r="D175" s="23">
        <f t="shared" ref="D175:J175" si="79">SUM(D173:D174)</f>
        <v>997.021276595745</v>
      </c>
      <c r="E175" s="23">
        <f t="shared" si="79"/>
        <v>0.012909500451102</v>
      </c>
      <c r="F175" s="23">
        <f t="shared" si="79"/>
        <v>0</v>
      </c>
      <c r="G175" s="23">
        <f t="shared" si="79"/>
        <v>2.72516129032258</v>
      </c>
      <c r="H175" s="23">
        <f t="shared" si="79"/>
        <v>4</v>
      </c>
      <c r="I175" s="23">
        <f t="shared" si="79"/>
        <v>698.088945121975</v>
      </c>
      <c r="J175" s="22">
        <f t="shared" si="79"/>
        <v>1701.84829250849</v>
      </c>
      <c r="L175" s="18"/>
      <c r="M175" s="18"/>
    </row>
    <row r="176" spans="2:13">
      <c r="B176" s="18"/>
      <c r="C176" s="19" t="s">
        <v>121</v>
      </c>
      <c r="D176" s="18"/>
      <c r="E176" s="15"/>
      <c r="F176" s="15"/>
      <c r="G176" s="15"/>
      <c r="H176" s="15"/>
      <c r="I176" s="15"/>
      <c r="J176" s="22"/>
      <c r="L176" s="18"/>
      <c r="M176" s="18"/>
    </row>
    <row r="177" spans="2:13">
      <c r="B177" s="18"/>
      <c r="C177" s="19" t="s">
        <v>186</v>
      </c>
      <c r="D177" s="18">
        <f>'Исходные данные'!F30</f>
        <v>990</v>
      </c>
      <c r="E177" s="15">
        <f>E173</f>
        <v>0.012909500451102</v>
      </c>
      <c r="F177" s="15">
        <v>0</v>
      </c>
      <c r="G177" s="15">
        <v>0</v>
      </c>
      <c r="H177" s="15">
        <f>H174-H178</f>
        <v>3.75</v>
      </c>
      <c r="I177" s="15">
        <f>J177-H177-E177-D177</f>
        <v>6.23709049954891</v>
      </c>
      <c r="J177" s="22">
        <v>1000</v>
      </c>
      <c r="L177" s="18"/>
      <c r="M177" s="18"/>
    </row>
    <row r="178" spans="2:13">
      <c r="B178" s="18"/>
      <c r="C178" s="19" t="s">
        <v>123</v>
      </c>
      <c r="D178" s="19">
        <f>'Исходные данные'!F46</f>
        <v>7.02127659574468</v>
      </c>
      <c r="E178" s="24">
        <v>0</v>
      </c>
      <c r="F178" s="24">
        <v>0</v>
      </c>
      <c r="G178" s="24">
        <f>G165</f>
        <v>2.72516129032258</v>
      </c>
      <c r="H178">
        <f>0.25</f>
        <v>0.25</v>
      </c>
      <c r="I178" s="24">
        <f>I179-I177</f>
        <v>691.851854622426</v>
      </c>
      <c r="J178" s="22">
        <f>SUM(D178:I178)</f>
        <v>701.848292508493</v>
      </c>
      <c r="L178" s="18"/>
      <c r="M178" s="18"/>
    </row>
    <row r="179" spans="2:13">
      <c r="B179" s="18"/>
      <c r="C179" s="19" t="s">
        <v>120</v>
      </c>
      <c r="D179" s="18">
        <f t="shared" ref="D179:I179" si="80">D175</f>
        <v>997.021276595745</v>
      </c>
      <c r="E179" s="18">
        <f t="shared" si="80"/>
        <v>0.012909500451102</v>
      </c>
      <c r="F179" s="18">
        <f t="shared" si="80"/>
        <v>0</v>
      </c>
      <c r="G179" s="18">
        <f t="shared" si="80"/>
        <v>2.72516129032258</v>
      </c>
      <c r="H179" s="18">
        <f t="shared" si="80"/>
        <v>4</v>
      </c>
      <c r="I179" s="18">
        <f t="shared" si="80"/>
        <v>698.088945121975</v>
      </c>
      <c r="J179" s="22">
        <f>SUM(D179:I179)</f>
        <v>1701.84829250849</v>
      </c>
      <c r="L179" s="18"/>
      <c r="M179" s="18"/>
    </row>
    <row r="180" spans="2:13">
      <c r="B180" s="18"/>
      <c r="C180" s="18"/>
      <c r="D180" s="18"/>
      <c r="E180" s="15"/>
      <c r="F180" s="15"/>
      <c r="G180" s="15"/>
      <c r="H180" s="15"/>
      <c r="I180" s="15"/>
      <c r="J180" s="15"/>
      <c r="K180" s="15"/>
      <c r="L180" s="18"/>
      <c r="M180" s="18"/>
    </row>
    <row r="181" spans="2:13">
      <c r="B181" s="18"/>
      <c r="C181" s="18"/>
      <c r="D181" s="18"/>
      <c r="E181" s="15"/>
      <c r="F181" s="15"/>
      <c r="G181" s="15"/>
      <c r="H181" s="15"/>
      <c r="I181" s="15"/>
      <c r="J181" s="15"/>
      <c r="K181" s="15"/>
      <c r="L181" s="18"/>
      <c r="M181" s="18"/>
    </row>
    <row r="182" spans="2:13">
      <c r="B182" s="18"/>
      <c r="C182" s="19" t="s">
        <v>187</v>
      </c>
      <c r="D182" s="19"/>
      <c r="E182" s="19"/>
      <c r="F182" s="19"/>
      <c r="G182" s="19"/>
      <c r="H182" s="19"/>
      <c r="I182" s="19"/>
      <c r="J182" s="19"/>
      <c r="K182" s="19"/>
      <c r="L182" s="18"/>
      <c r="M182" s="18"/>
    </row>
    <row r="183" spans="2:12">
      <c r="B183" s="18"/>
      <c r="C183" s="18"/>
      <c r="D183" s="20" t="s">
        <v>113</v>
      </c>
      <c r="E183" s="18" t="s">
        <v>188</v>
      </c>
      <c r="F183" s="19" t="s">
        <v>147</v>
      </c>
      <c r="G183" s="19" t="s">
        <v>189</v>
      </c>
      <c r="H183" s="19"/>
      <c r="I183" s="19"/>
      <c r="J183" s="19"/>
      <c r="K183" s="19"/>
      <c r="L183" s="18"/>
    </row>
    <row r="184" spans="2:12">
      <c r="B184" s="18"/>
      <c r="C184" s="18" t="s">
        <v>17</v>
      </c>
      <c r="D184" s="20">
        <f>D152</f>
        <v>25.6373322965148</v>
      </c>
      <c r="E184" s="18">
        <f>'Выщелачивание спека'!B17</f>
        <v>5.63733229651509</v>
      </c>
      <c r="F184" s="25">
        <f>D160</f>
        <v>0.509494048957317</v>
      </c>
      <c r="G184" s="20">
        <f t="shared" ref="G184:G189" si="81">D184-E184-F184</f>
        <v>19.4905059510424</v>
      </c>
      <c r="H184" s="18"/>
      <c r="I184" s="18"/>
      <c r="J184" s="19"/>
      <c r="K184" s="18"/>
      <c r="L184" s="18"/>
    </row>
    <row r="185" spans="2:12">
      <c r="B185" s="18"/>
      <c r="C185" s="18" t="s">
        <v>85</v>
      </c>
      <c r="D185" s="20">
        <f>H152</f>
        <v>42.079511976043</v>
      </c>
      <c r="E185" s="15">
        <f>'Выщелачивание спека'!C17</f>
        <v>9.25276425567827</v>
      </c>
      <c r="F185" s="21">
        <f>H160</f>
        <v>0.83625163050746</v>
      </c>
      <c r="G185" s="20">
        <f t="shared" si="81"/>
        <v>31.9904960898573</v>
      </c>
      <c r="H185" s="15"/>
      <c r="I185" s="15"/>
      <c r="J185" s="24"/>
      <c r="K185" s="15"/>
      <c r="L185" s="18"/>
    </row>
    <row r="186" spans="2:12">
      <c r="B186" s="18"/>
      <c r="C186" s="18" t="s">
        <v>151</v>
      </c>
      <c r="D186" s="20">
        <f>I152</f>
        <v>1062.35087138685</v>
      </c>
      <c r="E186" s="15">
        <f>'Выщелачивание спека'!D17</f>
        <v>232.5</v>
      </c>
      <c r="F186" s="21">
        <f>I160</f>
        <v>21.1122374440573</v>
      </c>
      <c r="G186" s="20">
        <f t="shared" si="81"/>
        <v>808.738633942793</v>
      </c>
      <c r="H186" s="15"/>
      <c r="I186" s="15"/>
      <c r="J186" s="24"/>
      <c r="K186" s="15"/>
      <c r="L186" s="18"/>
    </row>
    <row r="187" spans="2:12">
      <c r="B187" s="18"/>
      <c r="C187" s="18" t="s">
        <v>22</v>
      </c>
      <c r="D187" s="20">
        <f>G152</f>
        <v>753.926424855186</v>
      </c>
      <c r="E187" s="15">
        <f>'Выщелачивание спека'!E17</f>
        <v>165</v>
      </c>
      <c r="F187" s="21">
        <f>G160</f>
        <v>14.9828781861052</v>
      </c>
      <c r="G187" s="20">
        <f t="shared" si="81"/>
        <v>573.943546669081</v>
      </c>
      <c r="H187" s="15"/>
      <c r="I187" s="15"/>
      <c r="J187" s="24"/>
      <c r="K187" s="15"/>
      <c r="L187" s="18"/>
    </row>
    <row r="188" spans="2:12">
      <c r="B188" s="18"/>
      <c r="C188" s="18" t="s">
        <v>25</v>
      </c>
      <c r="D188" s="20">
        <f>J152</f>
        <v>7022.11267150624</v>
      </c>
      <c r="E188" s="15">
        <f>'Выщелачивание спека'!F17</f>
        <v>1417.60990344781</v>
      </c>
      <c r="F188" s="21">
        <f>J160</f>
        <v>139.551361111256</v>
      </c>
      <c r="G188" s="20">
        <f t="shared" si="81"/>
        <v>5464.95140694717</v>
      </c>
      <c r="H188" s="15"/>
      <c r="I188" s="15"/>
      <c r="J188" s="24"/>
      <c r="K188" s="15"/>
      <c r="L188" s="18"/>
    </row>
    <row r="189" spans="2:12">
      <c r="B189" s="18"/>
      <c r="C189" s="18" t="s">
        <v>77</v>
      </c>
      <c r="D189" s="20">
        <f>SUM(D184:D188)</f>
        <v>8906.10681202083</v>
      </c>
      <c r="E189" s="20">
        <f>SUM(E184:E188)</f>
        <v>1830</v>
      </c>
      <c r="F189" s="20">
        <f>SUM(F184:F188)</f>
        <v>176.992222420883</v>
      </c>
      <c r="G189" s="20">
        <f t="shared" si="81"/>
        <v>6899.11458959995</v>
      </c>
      <c r="H189" s="15"/>
      <c r="I189" s="15"/>
      <c r="J189" s="24"/>
      <c r="K189" s="15"/>
      <c r="L189" s="18"/>
    </row>
    <row r="190" spans="2:12">
      <c r="B190" s="18"/>
      <c r="D190" s="20"/>
      <c r="E190" s="15"/>
      <c r="F190" s="15"/>
      <c r="G190" s="15"/>
      <c r="H190" s="15"/>
      <c r="I190" s="15"/>
      <c r="J190" s="24"/>
      <c r="K190" s="15"/>
      <c r="L190" s="18"/>
    </row>
    <row r="191" spans="2:12">
      <c r="B191" s="18"/>
      <c r="D191" s="20"/>
      <c r="E191" s="15"/>
      <c r="F191" s="15"/>
      <c r="G191" s="15"/>
      <c r="H191" s="15"/>
      <c r="I191" s="15"/>
      <c r="J191" s="24"/>
      <c r="K191" s="15"/>
      <c r="L191" s="18"/>
    </row>
    <row r="192" spans="2:13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</row>
    <row r="193" spans="2:1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</row>
    <row r="194" spans="2:13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2:13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</row>
    <row r="196" spans="2:13">
      <c r="B196" s="18"/>
      <c r="C196" s="19" t="s">
        <v>190</v>
      </c>
      <c r="D196" s="19"/>
      <c r="E196" s="19"/>
      <c r="F196" s="19"/>
      <c r="G196" s="19"/>
      <c r="H196" s="19"/>
      <c r="I196" s="19"/>
      <c r="J196" s="19"/>
      <c r="K196" s="19"/>
      <c r="L196" s="18"/>
      <c r="M196" s="18"/>
    </row>
    <row r="197" spans="2:13">
      <c r="B197" s="18"/>
      <c r="C197" s="18"/>
      <c r="D197" s="18" t="s">
        <v>17</v>
      </c>
      <c r="E197" s="18" t="s">
        <v>19</v>
      </c>
      <c r="F197" s="18" t="s">
        <v>21</v>
      </c>
      <c r="G197" s="18" t="s">
        <v>22</v>
      </c>
      <c r="H197" s="18" t="s">
        <v>85</v>
      </c>
      <c r="I197" s="18" t="s">
        <v>151</v>
      </c>
      <c r="J197" s="18" t="s">
        <v>81</v>
      </c>
      <c r="K197" s="18" t="s">
        <v>25</v>
      </c>
      <c r="L197" s="18" t="s">
        <v>77</v>
      </c>
      <c r="M197" s="18"/>
    </row>
    <row r="198" spans="2:13">
      <c r="B198" s="18"/>
      <c r="C198" s="20" t="s">
        <v>113</v>
      </c>
      <c r="D198" s="20"/>
      <c r="E198" s="20"/>
      <c r="F198" s="20"/>
      <c r="G198" s="20"/>
      <c r="H198" s="20"/>
      <c r="I198" s="20"/>
      <c r="K198" s="20"/>
      <c r="L198" s="20"/>
      <c r="M198" s="18"/>
    </row>
    <row r="199" spans="2:13">
      <c r="B199" s="18"/>
      <c r="C199" s="18" t="s">
        <v>147</v>
      </c>
      <c r="D199" s="27">
        <f>G184</f>
        <v>19.4905059510424</v>
      </c>
      <c r="E199" s="15">
        <v>0</v>
      </c>
      <c r="F199" s="15">
        <v>0</v>
      </c>
      <c r="G199" s="28">
        <f>G187</f>
        <v>573.943546669081</v>
      </c>
      <c r="H199" s="28">
        <f>G185</f>
        <v>31.9904960898573</v>
      </c>
      <c r="I199" s="28">
        <f>G186</f>
        <v>808.738633942793</v>
      </c>
      <c r="J199">
        <v>0</v>
      </c>
      <c r="K199" s="28">
        <f>G188</f>
        <v>5464.95140694717</v>
      </c>
      <c r="L199" s="28">
        <f>SUM(D199:K199)</f>
        <v>6899.11458959994</v>
      </c>
      <c r="M199" s="18"/>
    </row>
    <row r="200" spans="2:13">
      <c r="B200" s="18"/>
      <c r="C200" s="19" t="s">
        <v>183</v>
      </c>
      <c r="D200" s="18">
        <f>D166</f>
        <v>0.509494048957322</v>
      </c>
      <c r="E200" s="15">
        <v>0</v>
      </c>
      <c r="F200" s="15">
        <v>0</v>
      </c>
      <c r="G200" s="15">
        <f>G166</f>
        <v>12.2577168957826</v>
      </c>
      <c r="H200" s="15">
        <f>H166</f>
        <v>0.67625163050746</v>
      </c>
      <c r="I200" s="15">
        <f>I166</f>
        <v>17.2722374440573</v>
      </c>
      <c r="J200">
        <v>0</v>
      </c>
      <c r="K200" s="15">
        <f>J166</f>
        <v>769.284299980695</v>
      </c>
      <c r="L200" s="28">
        <f>SUM(D200:K200)</f>
        <v>799.999999999999</v>
      </c>
      <c r="M200" s="18"/>
    </row>
    <row r="201" spans="2:13">
      <c r="B201" s="18"/>
      <c r="C201" s="19" t="s">
        <v>120</v>
      </c>
      <c r="D201" s="28">
        <f t="shared" ref="D201:J201" si="82">SUM(D199:D200)</f>
        <v>19.9999999999997</v>
      </c>
      <c r="E201" s="28">
        <f t="shared" si="82"/>
        <v>0</v>
      </c>
      <c r="F201" s="28">
        <f t="shared" si="82"/>
        <v>0</v>
      </c>
      <c r="G201" s="28">
        <f t="shared" si="82"/>
        <v>586.201263564863</v>
      </c>
      <c r="H201" s="28">
        <f t="shared" si="82"/>
        <v>32.6667477203647</v>
      </c>
      <c r="I201" s="28">
        <f t="shared" si="82"/>
        <v>826.01087138685</v>
      </c>
      <c r="J201">
        <v>0</v>
      </c>
      <c r="K201" s="28">
        <f>SUM(K199:K200)</f>
        <v>6234.23570692786</v>
      </c>
      <c r="L201" s="28">
        <f>SUM(L199:L200)</f>
        <v>7699.11458959994</v>
      </c>
      <c r="M201" s="18"/>
    </row>
    <row r="202" spans="2:13">
      <c r="B202" s="18"/>
      <c r="C202" s="19" t="s">
        <v>121</v>
      </c>
      <c r="D202" s="18"/>
      <c r="K202" s="15"/>
      <c r="L202" s="28"/>
      <c r="M202" s="18"/>
    </row>
    <row r="203" spans="2:13">
      <c r="B203" s="18"/>
      <c r="C203" s="19" t="s">
        <v>119</v>
      </c>
      <c r="D203" s="18">
        <f>D11</f>
        <v>20</v>
      </c>
      <c r="E203" s="15">
        <v>0</v>
      </c>
      <c r="F203" s="15">
        <v>0</v>
      </c>
      <c r="G203" s="15">
        <f>I11</f>
        <v>585.315744680851</v>
      </c>
      <c r="H203">
        <v>0</v>
      </c>
      <c r="I203" s="15">
        <v>0</v>
      </c>
      <c r="J203" s="15">
        <f>J11</f>
        <v>857.681770050614</v>
      </c>
      <c r="K203" s="15">
        <f>M11</f>
        <v>2368.5345318184</v>
      </c>
      <c r="L203" s="28">
        <f>SUM(D203:K203)</f>
        <v>3831.53204654987</v>
      </c>
      <c r="M203" s="18"/>
    </row>
    <row r="204" spans="2:13">
      <c r="B204" s="18"/>
      <c r="C204" s="19" t="s">
        <v>123</v>
      </c>
      <c r="D204" s="19">
        <v>0</v>
      </c>
      <c r="E204" s="24">
        <v>0</v>
      </c>
      <c r="F204" s="24">
        <v>0</v>
      </c>
      <c r="G204" s="29">
        <f>G205-G203</f>
        <v>0.885518884012413</v>
      </c>
      <c r="H204" s="24">
        <v>0</v>
      </c>
      <c r="I204" s="24">
        <v>0</v>
      </c>
      <c r="J204">
        <f>'Исходные данные'!H45</f>
        <v>1</v>
      </c>
      <c r="K204" s="29">
        <f>K205-K203</f>
        <v>3865.70117510946</v>
      </c>
      <c r="L204" s="28">
        <f>SUM(D204:K204)</f>
        <v>3867.58669399348</v>
      </c>
      <c r="M204" s="18"/>
    </row>
    <row r="205" spans="2:13">
      <c r="B205" s="18"/>
      <c r="C205" s="19" t="s">
        <v>120</v>
      </c>
      <c r="D205" s="28">
        <f t="shared" ref="D205:K205" si="83">D201</f>
        <v>19.9999999999997</v>
      </c>
      <c r="E205" s="28">
        <f t="shared" si="83"/>
        <v>0</v>
      </c>
      <c r="F205" s="28">
        <f t="shared" si="83"/>
        <v>0</v>
      </c>
      <c r="G205" s="28">
        <f t="shared" si="83"/>
        <v>586.201263564863</v>
      </c>
      <c r="H205" s="28">
        <f t="shared" si="83"/>
        <v>32.6667477203647</v>
      </c>
      <c r="I205" s="28">
        <f t="shared" si="83"/>
        <v>826.01087138685</v>
      </c>
      <c r="J205" s="28">
        <f t="shared" si="83"/>
        <v>0</v>
      </c>
      <c r="K205" s="28">
        <f t="shared" si="83"/>
        <v>6234.23570692786</v>
      </c>
      <c r="L205" s="28">
        <f>SUM(L203:L204)</f>
        <v>7699.11874054335</v>
      </c>
      <c r="M205" s="18"/>
    </row>
  </sheetData>
  <mergeCells count="10">
    <mergeCell ref="C3:N3"/>
    <mergeCell ref="C5:N5"/>
    <mergeCell ref="C13:N13"/>
    <mergeCell ref="C19:N19"/>
    <mergeCell ref="C33:K33"/>
    <mergeCell ref="C49:K49"/>
    <mergeCell ref="C64:K64"/>
    <mergeCell ref="C81:N81"/>
    <mergeCell ref="C95:L95"/>
    <mergeCell ref="C111:L11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"/>
  <sheetViews>
    <sheetView zoomScale="85" zoomScaleNormal="85" topLeftCell="A20" workbookViewId="0">
      <selection activeCell="J27" sqref="J27"/>
    </sheetView>
  </sheetViews>
  <sheetFormatPr defaultColWidth="9" defaultRowHeight="14.4"/>
  <cols>
    <col min="13" max="13" width="13.4444444444444" customWidth="1"/>
    <col min="20" max="20" width="19.7777777777778" customWidth="1"/>
  </cols>
  <sheetData>
    <row r="1" spans="1:13">
      <c r="A1" t="s">
        <v>191</v>
      </c>
      <c r="M1" t="s">
        <v>192</v>
      </c>
    </row>
    <row r="2" spans="1:23">
      <c r="A2" t="s">
        <v>193</v>
      </c>
      <c r="M2" t="s">
        <v>194</v>
      </c>
      <c r="N2">
        <v>106</v>
      </c>
      <c r="S2" t="s">
        <v>195</v>
      </c>
      <c r="U2" s="5" t="s">
        <v>196</v>
      </c>
      <c r="V2" s="6"/>
      <c r="W2" t="s">
        <v>197</v>
      </c>
    </row>
    <row r="3" spans="1:2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198</v>
      </c>
      <c r="H3" t="s">
        <v>30</v>
      </c>
      <c r="I3" t="s">
        <v>199</v>
      </c>
      <c r="M3" t="s">
        <v>28</v>
      </c>
      <c r="N3">
        <v>62</v>
      </c>
      <c r="S3" t="s">
        <v>200</v>
      </c>
      <c r="U3" s="5" t="s">
        <v>201</v>
      </c>
      <c r="V3" s="6"/>
      <c r="W3" t="s">
        <v>202</v>
      </c>
    </row>
    <row r="4" spans="1:23">
      <c r="A4">
        <v>48</v>
      </c>
      <c r="B4">
        <v>24</v>
      </c>
      <c r="C4">
        <v>8.14</v>
      </c>
      <c r="D4">
        <v>2.6</v>
      </c>
      <c r="E4">
        <v>2.8</v>
      </c>
      <c r="F4">
        <v>2.2</v>
      </c>
      <c r="G4">
        <v>1.46</v>
      </c>
      <c r="H4">
        <v>10.8</v>
      </c>
      <c r="I4">
        <v>7</v>
      </c>
      <c r="M4" t="s">
        <v>47</v>
      </c>
      <c r="N4">
        <v>100</v>
      </c>
      <c r="U4" s="5" t="s">
        <v>203</v>
      </c>
      <c r="V4" s="6"/>
      <c r="W4" t="s">
        <v>204</v>
      </c>
    </row>
    <row r="5" spans="13:22">
      <c r="M5" t="s">
        <v>19</v>
      </c>
      <c r="N5">
        <v>60</v>
      </c>
      <c r="U5" s="5"/>
      <c r="V5" s="6"/>
    </row>
    <row r="6" spans="1:22">
      <c r="A6" t="s">
        <v>205</v>
      </c>
      <c r="M6" t="s">
        <v>21</v>
      </c>
      <c r="N6">
        <v>56</v>
      </c>
      <c r="U6" s="5"/>
      <c r="V6" s="6"/>
    </row>
    <row r="7" spans="1:22">
      <c r="A7" t="s">
        <v>206</v>
      </c>
      <c r="B7" t="s">
        <v>22</v>
      </c>
      <c r="C7" t="s">
        <v>19</v>
      </c>
      <c r="D7" t="s">
        <v>198</v>
      </c>
      <c r="E7" t="s">
        <v>199</v>
      </c>
      <c r="M7" t="s">
        <v>20</v>
      </c>
      <c r="N7">
        <v>80</v>
      </c>
      <c r="U7" s="5"/>
      <c r="V7" s="6"/>
    </row>
    <row r="8" spans="1:22">
      <c r="A8">
        <v>54.2</v>
      </c>
      <c r="B8">
        <v>42.6</v>
      </c>
      <c r="C8">
        <v>1.3</v>
      </c>
      <c r="D8">
        <v>1.9</v>
      </c>
      <c r="E8">
        <v>6</v>
      </c>
      <c r="M8" t="s">
        <v>17</v>
      </c>
      <c r="N8">
        <v>102</v>
      </c>
      <c r="U8" s="5"/>
      <c r="V8" s="6"/>
    </row>
    <row r="9" spans="13:22">
      <c r="M9" t="s">
        <v>18</v>
      </c>
      <c r="N9">
        <v>160</v>
      </c>
      <c r="U9" s="5"/>
      <c r="V9" s="6"/>
    </row>
    <row r="10" spans="1:22">
      <c r="A10" t="s">
        <v>207</v>
      </c>
      <c r="M10" t="s">
        <v>22</v>
      </c>
      <c r="N10">
        <v>44</v>
      </c>
      <c r="U10" s="5"/>
      <c r="V10" s="6"/>
    </row>
    <row r="11" spans="1:22">
      <c r="A11" t="s">
        <v>208</v>
      </c>
      <c r="B11" t="s">
        <v>209</v>
      </c>
      <c r="C11">
        <v>150</v>
      </c>
      <c r="D11" t="s">
        <v>32</v>
      </c>
      <c r="G11" t="s">
        <v>25</v>
      </c>
      <c r="H11">
        <f>(C11/I11*100)*100</f>
        <v>15212.9817444219</v>
      </c>
      <c r="I11">
        <v>98.6</v>
      </c>
      <c r="J11">
        <v>0.5</v>
      </c>
      <c r="U11" s="5"/>
      <c r="V11" s="6"/>
    </row>
    <row r="12" spans="2:22">
      <c r="B12" t="s">
        <v>28</v>
      </c>
      <c r="C12" s="1">
        <f>C11/N2*N3</f>
        <v>87.7358490566038</v>
      </c>
      <c r="D12" t="s">
        <v>32</v>
      </c>
      <c r="E12" t="s">
        <v>22</v>
      </c>
      <c r="F12">
        <f>C11-C12</f>
        <v>62.2641509433962</v>
      </c>
      <c r="J12">
        <v>0.9</v>
      </c>
      <c r="M12" t="s">
        <v>210</v>
      </c>
      <c r="U12" s="5"/>
      <c r="V12" s="6"/>
    </row>
    <row r="13" spans="2:14">
      <c r="B13" t="s">
        <v>211</v>
      </c>
      <c r="C13">
        <f>(C11/I11*100)</f>
        <v>152.129817444219</v>
      </c>
      <c r="M13" t="s">
        <v>212</v>
      </c>
      <c r="N13">
        <v>1</v>
      </c>
    </row>
    <row r="14" spans="2:14">
      <c r="B14" t="s">
        <v>28</v>
      </c>
      <c r="C14" t="s">
        <v>22</v>
      </c>
      <c r="D14" t="s">
        <v>25</v>
      </c>
      <c r="E14" t="s">
        <v>213</v>
      </c>
      <c r="F14" t="s">
        <v>77</v>
      </c>
      <c r="M14" t="s">
        <v>214</v>
      </c>
      <c r="N14">
        <v>1</v>
      </c>
    </row>
    <row r="15" spans="2:14">
      <c r="B15">
        <f>C12</f>
        <v>87.7358490566038</v>
      </c>
      <c r="C15">
        <f>C11-B15</f>
        <v>62.2641509433962</v>
      </c>
      <c r="D15">
        <f>F15*J11/100</f>
        <v>0.760649087221095</v>
      </c>
      <c r="E15">
        <f>F15*J12/100</f>
        <v>1.36916835699797</v>
      </c>
      <c r="F15">
        <f>C11/I11*100</f>
        <v>152.129817444219</v>
      </c>
      <c r="M15" t="s">
        <v>215</v>
      </c>
      <c r="N15">
        <v>2</v>
      </c>
    </row>
    <row r="16" spans="13:14">
      <c r="M16" t="s">
        <v>216</v>
      </c>
      <c r="N16">
        <v>1</v>
      </c>
    </row>
    <row r="20" spans="1:1">
      <c r="A20" t="s">
        <v>217</v>
      </c>
    </row>
    <row r="21" spans="1:1">
      <c r="A21" t="s">
        <v>194</v>
      </c>
    </row>
    <row r="23" spans="1:1">
      <c r="A23" t="s">
        <v>218</v>
      </c>
    </row>
    <row r="24" spans="1:1">
      <c r="A24">
        <v>35</v>
      </c>
    </row>
    <row r="26" spans="1:6">
      <c r="A26" t="s">
        <v>219</v>
      </c>
      <c r="E26">
        <v>84.6</v>
      </c>
      <c r="F26" t="s">
        <v>220</v>
      </c>
    </row>
    <row r="27" spans="1:6">
      <c r="A27" t="s">
        <v>221</v>
      </c>
      <c r="E27">
        <v>87.1</v>
      </c>
      <c r="F27" t="s">
        <v>220</v>
      </c>
    </row>
    <row r="29" spans="6:6">
      <c r="F29">
        <v>1000</v>
      </c>
    </row>
    <row r="30" spans="1:7">
      <c r="A30" t="s">
        <v>222</v>
      </c>
      <c r="F30">
        <f>F29*0.99</f>
        <v>990</v>
      </c>
      <c r="G30" t="s">
        <v>223</v>
      </c>
    </row>
    <row r="33" spans="1:1">
      <c r="A33" t="s">
        <v>224</v>
      </c>
    </row>
    <row r="34" spans="5:8">
      <c r="E34" s="2" t="s">
        <v>17</v>
      </c>
      <c r="F34" s="2"/>
      <c r="H34" t="s">
        <v>28</v>
      </c>
    </row>
    <row r="35" spans="1:6">
      <c r="A35" t="s">
        <v>225</v>
      </c>
      <c r="E35" t="s">
        <v>226</v>
      </c>
      <c r="F35" t="s">
        <v>227</v>
      </c>
    </row>
    <row r="36" spans="1:8">
      <c r="A36" t="s">
        <v>228</v>
      </c>
      <c r="E36">
        <v>0.3</v>
      </c>
      <c r="F36">
        <f>$F$47/$E$47*E36</f>
        <v>3.51063829787234</v>
      </c>
      <c r="H36" t="s">
        <v>229</v>
      </c>
    </row>
    <row r="37" spans="1:8">
      <c r="A37" t="s">
        <v>230</v>
      </c>
      <c r="E37">
        <v>0.3</v>
      </c>
      <c r="F37">
        <f>$F$47/$E$47*E37</f>
        <v>3.51063829787234</v>
      </c>
      <c r="H37">
        <v>0.5</v>
      </c>
    </row>
    <row r="38" spans="1:8">
      <c r="A38" t="s">
        <v>231</v>
      </c>
      <c r="E38">
        <v>0.3</v>
      </c>
      <c r="F38">
        <f>$F$47/$E$47*E38</f>
        <v>3.51063829787234</v>
      </c>
      <c r="H38">
        <v>2</v>
      </c>
    </row>
    <row r="39" spans="1:8">
      <c r="A39" t="s">
        <v>232</v>
      </c>
      <c r="E39">
        <v>0.2</v>
      </c>
      <c r="F39">
        <f>$F$47/$E$47*E39</f>
        <v>2.34042553191489</v>
      </c>
      <c r="H39">
        <v>1</v>
      </c>
    </row>
    <row r="40" spans="1:1">
      <c r="A40" t="s">
        <v>233</v>
      </c>
    </row>
    <row r="41" spans="1:8">
      <c r="A41" t="s">
        <v>234</v>
      </c>
      <c r="E41">
        <v>12.9</v>
      </c>
      <c r="F41">
        <f>$F$47/$E$47*E41</f>
        <v>150.957446808511</v>
      </c>
      <c r="H41">
        <v>77.24</v>
      </c>
    </row>
    <row r="42" spans="1:8">
      <c r="A42" t="s">
        <v>235</v>
      </c>
      <c r="E42">
        <v>0.5</v>
      </c>
      <c r="F42">
        <f>$F$47/$E$47*E42</f>
        <v>5.85106382978724</v>
      </c>
      <c r="H42">
        <v>1</v>
      </c>
    </row>
    <row r="43" spans="1:8">
      <c r="A43" t="s">
        <v>236</v>
      </c>
      <c r="E43">
        <v>0.1</v>
      </c>
      <c r="F43">
        <f>$F$47/$E$47*E43</f>
        <v>1.17021276595745</v>
      </c>
      <c r="H43">
        <v>0.5</v>
      </c>
    </row>
    <row r="44" spans="1:8">
      <c r="A44" t="s">
        <v>237</v>
      </c>
      <c r="E44">
        <v>0.2</v>
      </c>
      <c r="F44">
        <f>$F$47/$E$47*E44</f>
        <v>2.34042553191489</v>
      </c>
      <c r="H44">
        <v>0.5</v>
      </c>
    </row>
    <row r="45" spans="1:8">
      <c r="A45" t="s">
        <v>238</v>
      </c>
      <c r="H45">
        <v>1</v>
      </c>
    </row>
    <row r="46" spans="1:8">
      <c r="A46" t="s">
        <v>239</v>
      </c>
      <c r="E46">
        <v>0.6</v>
      </c>
      <c r="F46">
        <f>$F$47/$E$47*E46</f>
        <v>7.02127659574468</v>
      </c>
      <c r="H46">
        <v>4</v>
      </c>
    </row>
    <row r="47" spans="1:8">
      <c r="A47" t="s">
        <v>240</v>
      </c>
      <c r="E47">
        <v>15.4</v>
      </c>
      <c r="F47">
        <f>'Приготовление шихты'!H3</f>
        <v>180.212765957447</v>
      </c>
      <c r="H47">
        <v>87.74</v>
      </c>
    </row>
    <row r="50" spans="1:1">
      <c r="A50" t="s">
        <v>241</v>
      </c>
    </row>
    <row r="51" spans="1:11">
      <c r="A51" t="s">
        <v>242</v>
      </c>
      <c r="E51">
        <v>120</v>
      </c>
      <c r="F51" t="s">
        <v>32</v>
      </c>
      <c r="I51" t="s">
        <v>243</v>
      </c>
      <c r="J51" s="4">
        <v>1</v>
      </c>
      <c r="K51">
        <v>1</v>
      </c>
    </row>
    <row r="52" spans="1:14">
      <c r="A52" t="s">
        <v>244</v>
      </c>
      <c r="E52">
        <v>34</v>
      </c>
      <c r="F52" t="s">
        <v>220</v>
      </c>
      <c r="I52" t="s">
        <v>245</v>
      </c>
      <c r="N52">
        <f>E51/K51*J51</f>
        <v>120</v>
      </c>
    </row>
    <row r="53" spans="1:7">
      <c r="A53" t="s">
        <v>27</v>
      </c>
      <c r="B53" t="s">
        <v>28</v>
      </c>
      <c r="C53" t="s">
        <v>29</v>
      </c>
      <c r="D53" t="s">
        <v>19</v>
      </c>
      <c r="E53" t="s">
        <v>21</v>
      </c>
      <c r="F53" t="s">
        <v>22</v>
      </c>
      <c r="G53" t="s">
        <v>30</v>
      </c>
    </row>
    <row r="54" spans="1:7">
      <c r="A54">
        <v>31.3</v>
      </c>
      <c r="B54">
        <v>19.4</v>
      </c>
      <c r="C54">
        <v>3.1</v>
      </c>
      <c r="D54">
        <v>29.4</v>
      </c>
      <c r="E54">
        <v>2.9</v>
      </c>
      <c r="F54">
        <v>2.1</v>
      </c>
      <c r="G54">
        <v>11.8</v>
      </c>
    </row>
    <row r="56" spans="1:1">
      <c r="A56" t="s">
        <v>246</v>
      </c>
    </row>
    <row r="57" spans="1:4">
      <c r="A57" t="s">
        <v>17</v>
      </c>
      <c r="B57" t="s">
        <v>28</v>
      </c>
      <c r="C57" t="s">
        <v>22</v>
      </c>
      <c r="D57" t="s">
        <v>25</v>
      </c>
    </row>
    <row r="58" spans="1:4">
      <c r="A58">
        <v>0.3</v>
      </c>
      <c r="B58">
        <v>0.32</v>
      </c>
      <c r="C58">
        <v>0.04</v>
      </c>
      <c r="D58">
        <v>61.16</v>
      </c>
    </row>
    <row r="60" spans="1:1">
      <c r="A60" t="s">
        <v>247</v>
      </c>
    </row>
    <row r="61" spans="1:10">
      <c r="A61" t="s">
        <v>248</v>
      </c>
      <c r="J61">
        <v>30</v>
      </c>
    </row>
    <row r="62" spans="1:10">
      <c r="A62" t="s">
        <v>249</v>
      </c>
      <c r="J62">
        <v>400</v>
      </c>
    </row>
    <row r="63" spans="1:1">
      <c r="A63" s="3">
        <v>44631</v>
      </c>
    </row>
    <row r="66" spans="1:11">
      <c r="A66" s="7" t="s">
        <v>250</v>
      </c>
      <c r="B66" s="7"/>
      <c r="C66" s="7"/>
      <c r="D66" s="7"/>
      <c r="E66" s="7"/>
      <c r="F66" s="7"/>
      <c r="G66" s="7"/>
      <c r="J66">
        <v>20</v>
      </c>
      <c r="K66" t="s">
        <v>9</v>
      </c>
    </row>
    <row r="67" spans="1:10">
      <c r="A67" t="s">
        <v>251</v>
      </c>
      <c r="J67">
        <v>2.7</v>
      </c>
    </row>
    <row r="68" spans="1:11">
      <c r="A68" t="s">
        <v>252</v>
      </c>
      <c r="J68" s="8">
        <v>310</v>
      </c>
      <c r="K68" t="s">
        <v>71</v>
      </c>
    </row>
    <row r="69" spans="1:11">
      <c r="A69" t="s">
        <v>253</v>
      </c>
      <c r="J69">
        <v>1440</v>
      </c>
      <c r="K69" t="s">
        <v>254</v>
      </c>
    </row>
    <row r="70" spans="1:11">
      <c r="A70" t="s">
        <v>255</v>
      </c>
      <c r="J70" s="8">
        <v>33</v>
      </c>
      <c r="K70" t="s">
        <v>220</v>
      </c>
    </row>
    <row r="72" spans="1:11">
      <c r="A72" t="s">
        <v>256</v>
      </c>
      <c r="J72" s="8">
        <v>1220</v>
      </c>
      <c r="K72" t="s">
        <v>254</v>
      </c>
    </row>
    <row r="73" spans="1:10">
      <c r="A73" t="s">
        <v>257</v>
      </c>
      <c r="J73">
        <v>1.5</v>
      </c>
    </row>
    <row r="74" spans="1:11">
      <c r="A74" t="s">
        <v>258</v>
      </c>
      <c r="J74" s="8">
        <v>1215</v>
      </c>
      <c r="K74" t="s">
        <v>254</v>
      </c>
    </row>
    <row r="75" spans="1:10">
      <c r="A75" t="s">
        <v>259</v>
      </c>
      <c r="J75">
        <v>1.5</v>
      </c>
    </row>
    <row r="76" spans="1:10">
      <c r="A76" t="s">
        <v>260</v>
      </c>
      <c r="J76" s="8">
        <v>2</v>
      </c>
    </row>
    <row r="77" spans="1:11">
      <c r="A77" t="s">
        <v>261</v>
      </c>
      <c r="J77">
        <v>120</v>
      </c>
      <c r="K77" t="s">
        <v>71</v>
      </c>
    </row>
    <row r="78" spans="1:10">
      <c r="A78" t="s">
        <v>262</v>
      </c>
      <c r="J78" s="8">
        <v>3.4</v>
      </c>
    </row>
    <row r="79" spans="1:11">
      <c r="A79" t="s">
        <v>263</v>
      </c>
      <c r="J79">
        <v>50</v>
      </c>
      <c r="K79" t="s">
        <v>32</v>
      </c>
    </row>
    <row r="82" spans="1:1">
      <c r="A82" t="s">
        <v>264</v>
      </c>
    </row>
    <row r="83" spans="1:13">
      <c r="A83" t="s">
        <v>265</v>
      </c>
      <c r="J83">
        <v>0.03982</v>
      </c>
      <c r="K83" t="s">
        <v>266</v>
      </c>
      <c r="L83">
        <f>J83*J87</f>
        <v>39.82</v>
      </c>
      <c r="M83" t="s">
        <v>32</v>
      </c>
    </row>
    <row r="84" spans="1:13">
      <c r="A84" t="s">
        <v>267</v>
      </c>
      <c r="J84">
        <v>6.93818</v>
      </c>
      <c r="K84" t="s">
        <v>266</v>
      </c>
      <c r="L84">
        <f>J84*J87</f>
        <v>6938.18</v>
      </c>
      <c r="M84" t="s">
        <v>32</v>
      </c>
    </row>
    <row r="85" spans="1:13">
      <c r="A85" t="s">
        <v>268</v>
      </c>
      <c r="J85">
        <v>0.06</v>
      </c>
      <c r="K85" t="s">
        <v>266</v>
      </c>
      <c r="L85">
        <f>J85*J87</f>
        <v>60</v>
      </c>
      <c r="M85" t="s">
        <v>32</v>
      </c>
    </row>
    <row r="86" spans="1:13">
      <c r="A86" t="s">
        <v>181</v>
      </c>
      <c r="J86">
        <v>0.8</v>
      </c>
      <c r="K86" t="s">
        <v>266</v>
      </c>
      <c r="L86">
        <f>J86*1000</f>
        <v>800</v>
      </c>
      <c r="M86" t="s">
        <v>32</v>
      </c>
    </row>
    <row r="87" spans="1:11">
      <c r="A87" t="s">
        <v>269</v>
      </c>
      <c r="J87">
        <v>1000</v>
      </c>
      <c r="K87" t="s">
        <v>254</v>
      </c>
    </row>
    <row r="89" spans="1:11">
      <c r="A89" t="s">
        <v>270</v>
      </c>
      <c r="J89">
        <v>140</v>
      </c>
      <c r="K89" t="s">
        <v>71</v>
      </c>
    </row>
    <row r="91" spans="1:11">
      <c r="A91" t="s">
        <v>271</v>
      </c>
      <c r="J91">
        <v>1270</v>
      </c>
      <c r="K91" t="s">
        <v>254</v>
      </c>
    </row>
    <row r="94" spans="1:10">
      <c r="A94" t="s">
        <v>272</v>
      </c>
      <c r="J94">
        <v>2.7</v>
      </c>
    </row>
    <row r="97" spans="1:10">
      <c r="A97" t="s">
        <v>273</v>
      </c>
      <c r="J97">
        <v>2</v>
      </c>
    </row>
    <row r="99" spans="1:11">
      <c r="A99" t="s">
        <v>274</v>
      </c>
      <c r="J99">
        <v>15</v>
      </c>
      <c r="K99" t="s">
        <v>220</v>
      </c>
    </row>
    <row r="102" spans="1:11">
      <c r="A102" t="s">
        <v>275</v>
      </c>
      <c r="J102">
        <v>10.4</v>
      </c>
      <c r="K102" t="s">
        <v>220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Заметки</vt:lpstr>
      <vt:lpstr>Приготовление шихты</vt:lpstr>
      <vt:lpstr>Выщелачивание спека</vt:lpstr>
      <vt:lpstr>Обескремнивание</vt:lpstr>
      <vt:lpstr>Кальцинация и карбонизация</vt:lpstr>
      <vt:lpstr>Таблицы</vt:lpstr>
      <vt:lpstr>Исходные 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</dc:creator>
  <cp:lastModifiedBy>User</cp:lastModifiedBy>
  <dcterms:created xsi:type="dcterms:W3CDTF">2022-04-12T11:57:00Z</dcterms:created>
  <dcterms:modified xsi:type="dcterms:W3CDTF">2023-04-03T21:44:39Z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A312044991FC4085BE6D3B98D3956EC6</vt:lpwstr>
  </property>
  <property fmtid="{D5CDD505-2E9C-101B-9397-08002B2CF9AE}" pid="3" name="KSOProductBuildVer">
    <vt:lpwstr>1033-11.2.0.11516</vt:lpwstr>
  </property>
</Properties>
</file>