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mchcgr.sharepoint.com/sites/MCG-Site-NotesAPPJ_JointProposal/DTC/要件整理/製品仕様書管理/work/yoshikawa/非機能要件/"/>
    </mc:Choice>
  </mc:AlternateContent>
  <xr:revisionPtr revIDLastSave="465" documentId="11_D317CE4EF0167DA41ED0F1971A9EF833AA47E5C9" xr6:coauthVersionLast="47" xr6:coauthVersionMax="47" xr10:uidLastSave="{FF3E1724-7256-49B4-BF69-65350C95B051}"/>
  <bookViews>
    <workbookView xWindow="-120" yWindow="-120" windowWidth="29040" windowHeight="17520" xr2:uid="{00000000-000D-0000-FFFF-FFFF00000000}"/>
  </bookViews>
  <sheets>
    <sheet name="非機能要件算出" sheetId="7" r:id="rId1"/>
    <sheet name="非機能要件まとめ" sheetId="2" r:id="rId2"/>
    <sheet name="⇒元データ" sheetId="3" r:id="rId3"/>
    <sheet name="黄_非機能まとめ" sheetId="4" r:id="rId4"/>
    <sheet name="青_非機能まとめ" sheetId="5" r:id="rId5"/>
    <sheet name="白_非機能まとめ" sheetId="6" r:id="rId6"/>
    <sheet name="DB一覧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7" l="1"/>
  <c r="G35" i="2" l="1"/>
  <c r="F35" i="2"/>
  <c r="G33" i="2"/>
  <c r="F33" i="2"/>
  <c r="G24" i="2"/>
  <c r="F24" i="2"/>
  <c r="G17" i="2"/>
  <c r="F17" i="2"/>
  <c r="G11" i="2"/>
  <c r="F11" i="2"/>
  <c r="G9" i="2"/>
  <c r="F9" i="2"/>
  <c r="G7" i="2"/>
  <c r="F7" i="2"/>
  <c r="G42" i="2"/>
  <c r="F42" i="2"/>
  <c r="E42" i="2"/>
  <c r="F12" i="6"/>
  <c r="F11" i="6"/>
  <c r="F10" i="6"/>
  <c r="F9" i="6"/>
  <c r="F8" i="6"/>
  <c r="F7" i="6"/>
  <c r="F6" i="6"/>
  <c r="F5" i="6"/>
  <c r="F4" i="6"/>
  <c r="F3" i="6"/>
  <c r="F2" i="6"/>
  <c r="G32" i="2"/>
  <c r="G31" i="2"/>
  <c r="G30" i="2"/>
  <c r="G29" i="2"/>
  <c r="G28" i="2"/>
  <c r="G27" i="2"/>
  <c r="G26" i="2"/>
  <c r="G25" i="2"/>
  <c r="G23" i="2"/>
  <c r="G22" i="2"/>
  <c r="G21" i="2"/>
  <c r="G20" i="2"/>
  <c r="G19" i="2"/>
  <c r="G18" i="2"/>
  <c r="F32" i="2"/>
  <c r="F31" i="2"/>
  <c r="F30" i="2"/>
  <c r="F29" i="2"/>
  <c r="F28" i="2"/>
  <c r="F27" i="2"/>
  <c r="F26" i="2"/>
  <c r="F25" i="2"/>
  <c r="F23" i="2"/>
  <c r="F22" i="2"/>
  <c r="F21" i="2"/>
  <c r="F20" i="2"/>
  <c r="F19" i="2"/>
  <c r="F18" i="2"/>
  <c r="E32" i="2"/>
  <c r="E31" i="2"/>
  <c r="E30" i="2"/>
  <c r="E29" i="2"/>
  <c r="E28" i="2"/>
  <c r="E27" i="2"/>
  <c r="E26" i="2"/>
  <c r="E25" i="2"/>
  <c r="E23" i="2"/>
  <c r="E22" i="2"/>
  <c r="E21" i="2"/>
  <c r="E20" i="2"/>
  <c r="E19" i="2"/>
  <c r="E18" i="2"/>
  <c r="G16" i="2"/>
  <c r="G15" i="2"/>
  <c r="G14" i="2"/>
  <c r="G13" i="2"/>
  <c r="G12" i="2"/>
  <c r="G10" i="2"/>
  <c r="G8" i="2"/>
  <c r="G6" i="2"/>
  <c r="G5" i="2"/>
  <c r="G4" i="2"/>
  <c r="G3" i="2"/>
  <c r="G2" i="2"/>
  <c r="F16" i="2"/>
  <c r="F15" i="2"/>
  <c r="F14" i="2"/>
  <c r="F13" i="2"/>
  <c r="F12" i="2"/>
  <c r="F10" i="2"/>
  <c r="F8" i="2"/>
  <c r="F6" i="2"/>
  <c r="F5" i="2"/>
  <c r="F4" i="2"/>
  <c r="F3" i="2"/>
  <c r="F2" i="2"/>
  <c r="E16" i="2"/>
  <c r="E15" i="2"/>
  <c r="E14" i="2"/>
  <c r="E13" i="2"/>
  <c r="E12" i="2"/>
  <c r="E10" i="2"/>
  <c r="E8" i="2"/>
  <c r="E6" i="2"/>
  <c r="E5" i="2"/>
  <c r="E4" i="2"/>
  <c r="E3" i="2"/>
  <c r="E2" i="2"/>
  <c r="C19" i="5"/>
  <c r="C7" i="5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G37" i="2" l="1"/>
  <c r="F40" i="2"/>
  <c r="F34" i="2"/>
  <c r="G36" i="2"/>
  <c r="G46" i="2"/>
  <c r="G34" i="2"/>
  <c r="F37" i="2"/>
  <c r="E34" i="2"/>
  <c r="F36" i="2"/>
  <c r="G40" i="2"/>
  <c r="E40" i="2"/>
  <c r="F41" i="2"/>
  <c r="G41" i="2"/>
  <c r="E38" i="2"/>
  <c r="E39" i="2"/>
  <c r="F38" i="2"/>
  <c r="G38" i="2"/>
  <c r="F39" i="2"/>
  <c r="F46" i="2"/>
  <c r="G39" i="2"/>
  <c r="E41" i="2"/>
  <c r="E46" i="2"/>
  <c r="E37" i="2"/>
  <c r="E36" i="2"/>
  <c r="F47" i="2" l="1"/>
  <c r="D4" i="7" s="1"/>
  <c r="D5" i="7" s="1"/>
  <c r="G47" i="2"/>
  <c r="D6" i="7" s="1"/>
</calcChain>
</file>

<file path=xl/sharedStrings.xml><?xml version="1.0" encoding="utf-8"?>
<sst xmlns="http://schemas.openxmlformats.org/spreadsheetml/2006/main" count="610" uniqueCount="268">
  <si>
    <t>#</t>
    <phoneticPr fontId="4"/>
  </si>
  <si>
    <t>(無機化学品) 製品仕様書 管理</t>
  </si>
  <si>
    <t>(ディスプ) 製品仕様書管理</t>
  </si>
  <si>
    <t>規格・仕様書</t>
  </si>
  <si>
    <t>(イオン) 製品仕様書管理</t>
  </si>
  <si>
    <t>(工業フィルム)製品仕様書管理</t>
  </si>
  <si>
    <t>JER 製品仕様書管理</t>
  </si>
  <si>
    <t>(ファイン)納入仕様書</t>
  </si>
  <si>
    <t>貿易管理・納入仕様書ＤＢ</t>
  </si>
  <si>
    <t>納入仕様書システム</t>
  </si>
  <si>
    <t>ＡＮ納入仕様書管理</t>
  </si>
  <si>
    <t>シート納入仕様書DB</t>
  </si>
  <si>
    <t>リソマックス文書管理</t>
  </si>
  <si>
    <t>化成品購買仕様書掲示</t>
  </si>
  <si>
    <t>メタブレン納入仕様書</t>
  </si>
  <si>
    <t>納入仕様書DB</t>
  </si>
  <si>
    <t>製品情報管理 Ver.2</t>
  </si>
  <si>
    <t>サプライチェーン</t>
  </si>
  <si>
    <t>LS事業部SDS</t>
  </si>
  <si>
    <t>納入仕様書・調査書DB（スペシャリティポリマー部）</t>
  </si>
  <si>
    <t>(イメージング)製品仕様書管理</t>
  </si>
  <si>
    <t>(ガリナイ)製品仕様書管理</t>
  </si>
  <si>
    <t>(パフォケミ)製品仕様書管理</t>
  </si>
  <si>
    <t>(フォスファー) 納入仕様書管理</t>
  </si>
  <si>
    <t>(ファイン)製品仕様書管理</t>
  </si>
  <si>
    <t>代表DB名</t>
    <rPh sb="0" eb="2">
      <t>ダイヒョウ</t>
    </rPh>
    <rPh sb="4" eb="5">
      <t>メイ</t>
    </rPh>
    <phoneticPr fontId="3"/>
  </si>
  <si>
    <t>利用事業部</t>
    <rPh sb="0" eb="2">
      <t>リヨウ</t>
    </rPh>
    <rPh sb="2" eb="5">
      <t>ジギョウブ</t>
    </rPh>
    <phoneticPr fontId="3"/>
  </si>
  <si>
    <t>ＳＭＢＧ　アドバンストソリューションズ統括本部　水・環境事業本部　分離材事業部　（イオン技術グループ/管理グループ）</t>
  </si>
  <si>
    <t>アドバンストソリューションズビジネスグループ　技術戦略本部　情電技術部　オプトエレクトロニクスアプリケーショングループ</t>
  </si>
  <si>
    <t>関東事業所　筑波製造部　（GaN企画管理グループ）</t>
  </si>
  <si>
    <t>ASBG　電池・エレクトロニクス本部　エレクトロニクスマテリアルズ事業部ディスプレイ材料G</t>
  </si>
  <si>
    <t>ＭＭＡ＆デリバティブズビジネスグループ　コーティング＆アディティブスグローバルビジネス本部　コーティング事業部</t>
  </si>
  <si>
    <t>★サプライチェーン所管　オペレーション（日本）本部　小名浜工場　製造部　生産管理</t>
  </si>
  <si>
    <t>ＭＭＡ/デリバティブズビジネスグループ　コーティング＆アディティブスグローバルビジネス本部　A&amp;FC事業部</t>
  </si>
  <si>
    <t>新菱　FC事業部門　RM部</t>
  </si>
  <si>
    <t>ＳＭＢＧ　アドバンストソリューションズ統括本部　技術戦略本部　情電技術部　オプトエレクトロニクスアプリケーショングループ</t>
  </si>
  <si>
    <t>滋賀事業所　品質保証部　品質保証１室</t>
  </si>
  <si>
    <t>アドバンストフィルムズ＆ポリマーズビジネスグループ　スペシャリティフィルムズ本部　工業・メディカルフィルムズ事業部　（ウエルビーイングテクノロジーグループ/インダストリーテクノロジーグループ)</t>
  </si>
  <si>
    <t>ＭＭＡ/デリバティブズビジネスグループ　コーティング＆アディティブスグローバルビジネス本部　コーティング事業部</t>
  </si>
  <si>
    <t>ＭＣＣ　サプライチェーン所管　オペレーション（日本）本部　東海事業所　品質保証部　品質保証２グループ</t>
  </si>
  <si>
    <t>ＳＭＢＧ　Ｒ＆Ｄ本部　フィルムズテクノロジーセンター　グローバルポリエステルフィルムズグループ</t>
  </si>
  <si>
    <t>ＭＭＡ/デリバティブズビジネスグループ　コーティング＆アディティブスグローバルビジネス本部　コーティング＆アディティブス技術部　化学品管理グループ</t>
  </si>
  <si>
    <t>黄</t>
    <rPh sb="0" eb="1">
      <t>キ</t>
    </rPh>
    <phoneticPr fontId="3"/>
  </si>
  <si>
    <t>分類</t>
    <rPh sb="0" eb="2">
      <t>ブンルイ</t>
    </rPh>
    <phoneticPr fontId="3"/>
  </si>
  <si>
    <t>納入仕様書管理</t>
  </si>
  <si>
    <t>ベーシックマテリアルズ＆ポリマーズビジネスグループ　マテリアルズ＆ポリマーズ事業本部 オレフィン・アロマ事業部</t>
  </si>
  <si>
    <t>ベーシックマテリアルズ＆ポリマーズビジネスグループ　マテリアルズ＆ポリマーズ事業本部 Ｃ２ケミカル事業部</t>
  </si>
  <si>
    <t>ベーシックマテリアルズ＆ポリマーズビジネスグループ　マテリアルズ＆ポリマーズ事業本部 Ｃ３ケミカル事業部</t>
  </si>
  <si>
    <t>ベーシックマテリアルズ＆ポリマーズビジネスグループ　マテリアルズ＆ポリマーズ事業本部 ＰＨＬ・ＰＣ事業部</t>
  </si>
  <si>
    <t>ベーシックマテリアルズ＆ポリマーズビジネスグループ　マテリアルズ＆ポリマーズ事業本部 Ｃ４・ＰＢＴ事業部</t>
  </si>
  <si>
    <t>ベーシックマテリアルズ＆ポリマーズビジネスグループ　マテリアルズ＆ポリマーズ事業本部 新規バイオケミカル室</t>
  </si>
  <si>
    <t>ベーシックマテリアルズ＆ポリマーズビジネスグループ　戦略企画本部 企画管理部</t>
  </si>
  <si>
    <t>ベーシックマテリアルズ＆ポリマーズビジネスグループ　戦略企画本部 ＣＮ・ＣＥ戦略部</t>
  </si>
  <si>
    <t>ベーシックマテリアルズ＆ポリマーズビジネスグループ　技術統括本部 基盤技術部</t>
  </si>
  <si>
    <t>ベーシックマテリアルズ＆ポリマーズビジネスグループ　炭素事業本部 炭素材・ＣＢゴム部</t>
  </si>
  <si>
    <t>ＭＭＡ＆デリバティブズビジネスグループ　コーティング＆アディティブスグローバルビジネス本部 Ａ＆ＦＣ事業部</t>
  </si>
  <si>
    <t>アドバンストソリューションズビジネスグループ　半導体本部 半導体マテリアルズ事業部</t>
  </si>
  <si>
    <t>アドバンストソリューションズビジネスグループ　半導体本部 インキュベーション部</t>
  </si>
  <si>
    <t>アドバンストソリューションズビジネスグループ　水・環境事業本部 分離材事業部（管理グループ）</t>
  </si>
  <si>
    <t>アドバンストフィルムズ＆ポリマーズビジネスグループ　アセチルポリマーズ本部　生産技術統括部　生産基盤管理部　品質管理グループ</t>
  </si>
  <si>
    <t>青</t>
    <rPh sb="0" eb="1">
      <t>アオ</t>
    </rPh>
    <phoneticPr fontId="3"/>
  </si>
  <si>
    <t>SF&amp;P-BG SF本部 工業・メディカルフィルムズ事業部 インダストリーテクノロジーG</t>
  </si>
  <si>
    <t>SC所管 OPJ 中日本事業所 品質保証部 FF品証１G</t>
  </si>
  <si>
    <t>AF&amp;P-BG R&amp;D本部　スペシャリティフィルムズテクノロジーセンター　工業・メディカルフィルムG FF技術１</t>
  </si>
  <si>
    <t>ＭＭＡ&amp;デリバティブスビジネスグループ　コーティング・アディティブスグローバルビジネス本部　(コーティング・アディティブス技術部　製品技術グループ/SPR事業部）</t>
  </si>
  <si>
    <t>ポリマーズ＆コンパウンズ／ＭＭＡビジネスグループ　ＭＭＡグローバルテクノロジー本部　ＡＮ技術部</t>
  </si>
  <si>
    <t>ＭＭＡ＆デリバティブズビジネスグループ　ＭＭＡ／ＰＭＭＡグローバルビジネス本部　ＰＭＭＡ技術部　ＰＭＭＡ　シートグループ</t>
  </si>
  <si>
    <t>技術統括本部　鶴見工場　オプトマテリアル製造部</t>
  </si>
  <si>
    <t>広島事業所　化成品製造部　生産技術課</t>
  </si>
  <si>
    <t>広島事業所　樹脂製造部　（技術G/企画調整G）</t>
  </si>
  <si>
    <t>アドバンストソリューションズドメイン　アメニティライフディビジョン　ライフソリューションセクター</t>
  </si>
  <si>
    <t>アドバンストソリューションズドメイン　アメニティライフディビジョン　ライフソリューションセクター　フードソリューションユニット</t>
  </si>
  <si>
    <t>アドバンストソリューションズビジネスグループ　ライフソリューションズ本部　フード・ヘルスケア事業部　フード品質保証グループ</t>
  </si>
  <si>
    <t>ＭＭＡ＆デリバティブズビジネスグループ　コーティング＆アディティブスグローバルビジネス本部　（コーティング事業部/SPR事業部</t>
  </si>
  <si>
    <t>白</t>
    <rPh sb="0" eb="1">
      <t>シロ</t>
    </rPh>
    <phoneticPr fontId="3"/>
  </si>
  <si>
    <t>利用時間</t>
    <rPh sb="0" eb="2">
      <t>リヨウ</t>
    </rPh>
    <rPh sb="2" eb="4">
      <t>ジカン</t>
    </rPh>
    <phoneticPr fontId="3"/>
  </si>
  <si>
    <t>利用者数</t>
    <rPh sb="0" eb="4">
      <t>リヨウシャスウ</t>
    </rPh>
    <phoneticPr fontId="3"/>
  </si>
  <si>
    <t>文書発行量（件/日）</t>
    <rPh sb="0" eb="2">
      <t>ブンショ</t>
    </rPh>
    <rPh sb="2" eb="4">
      <t>ハッコウ</t>
    </rPh>
    <rPh sb="4" eb="5">
      <t>リョウ</t>
    </rPh>
    <rPh sb="6" eb="7">
      <t>ケン</t>
    </rPh>
    <rPh sb="8" eb="9">
      <t>ニチ</t>
    </rPh>
    <phoneticPr fontId="3"/>
  </si>
  <si>
    <t>合計</t>
    <rPh sb="0" eb="2">
      <t>ゴウケイ</t>
    </rPh>
    <phoneticPr fontId="3"/>
  </si>
  <si>
    <t>#</t>
  </si>
  <si>
    <t>事業部名称</t>
    <rPh sb="0" eb="3">
      <t>ジギョウブ</t>
    </rPh>
    <rPh sb="3" eb="5">
      <t>メイショウ</t>
    </rPh>
    <phoneticPr fontId="2"/>
  </si>
  <si>
    <t>a.製品仕様書管理システムを使用する時間帯を教えてください。</t>
  </si>
  <si>
    <t>b.ご利用中のDBアプリにおける利用者数（＝移行先標準アプリの想定利用ユーザー数）を教えてください。※目安で問題ありません。</t>
  </si>
  <si>
    <t>c.文書について、1日当たりの見込起票件数を教えてください。※目安で問題ありません。</t>
  </si>
  <si>
    <t>ＭＣＣ　サプライチェーン所管　オペレーション（日本）本部　関東事業所　筑波製造部</t>
  </si>
  <si>
    <t>③　（登録ベース）、① （閲覧ベース）</t>
  </si>
  <si>
    <t>業務時間内（8時～18時めど）
24時間/365日 　</t>
  </si>
  <si>
    <t>5件/年</t>
  </si>
  <si>
    <t>①（海外拠点でも利用しているため）</t>
  </si>
  <si>
    <t>24時間/365日 　</t>
  </si>
  <si>
    <t>300件/年、4－5件/日</t>
  </si>
  <si>
    <t>イメージングマテリアルズ事業部、情電技術部　オプトエレクトロニクスアプリケーショングループ、および三菱ケミカルハイテクニカ　小田原OPC工場</t>
  </si>
  <si>
    <t>起票③、閲覧①</t>
  </si>
  <si>
    <t>100名</t>
  </si>
  <si>
    <t>20~30件/年           起票は少なく、閲覧がほとんど。新規よりも改訂が主。</t>
  </si>
  <si>
    <t>③</t>
  </si>
  <si>
    <t>業務時間内（8時～18時めど）</t>
  </si>
  <si>
    <t>500人くらい</t>
  </si>
  <si>
    <t>ざっくりで1か月10件程度</t>
  </si>
  <si>
    <t>3件/日</t>
  </si>
  <si>
    <t>ポリエステルフィルムズ本部、ポリエステルフィルムズテクノロジーセンター</t>
  </si>
  <si>
    <t>①（閲覧は24時間365日：3交代勤務があるため）、③（主に起票とワークフロー）</t>
  </si>
  <si>
    <t>2-3件/日</t>
  </si>
  <si>
    <t>エレクトロニクスマテリアルズ事業部　ディスプレイ材料グループ</t>
  </si>
  <si>
    <t>②</t>
  </si>
  <si>
    <t>24時間/土日祝日除く</t>
  </si>
  <si>
    <t>ID</t>
  </si>
  <si>
    <t>所属事業部名称（記入例：ポリマーズ＆コンパウンズ／ＭＭＡビジネスグループ　コーティング＆アディティブス本部　ファインケミカルズ事業部）</t>
  </si>
  <si>
    <t>製品仕様書管理システムを使用する時間帯を教えてください。</t>
  </si>
  <si>
    <t>ご利用中のDBアプリにおける利用者数（＝移行先標準アプリの想定利用ユーザー数）を教えてください。
※例：3000</t>
  </si>
  <si>
    <t>利用者fix</t>
    <rPh sb="0" eb="3">
      <t>リヨウシャ</t>
    </rPh>
    <phoneticPr fontId="1"/>
  </si>
  <si>
    <t>納入仕様書などの文書について、1日当たりの見込起票件数を教えてください。※例：5件/日</t>
  </si>
  <si>
    <t>件fix</t>
    <rPh sb="0" eb="1">
      <t>ケン</t>
    </rPh>
    <phoneticPr fontId="1"/>
  </si>
  <si>
    <t>ベーシックマテリアルズ＆ポリマーズビジネスグループ　マテリアルズ＆ポリマーズ事業本部　ＰＨＬ・ＰＣ事業部　技術グループ</t>
  </si>
  <si>
    <t>業務時間内</t>
  </si>
  <si>
    <t>30</t>
  </si>
  <si>
    <t>2~5件/週（調査書）</t>
  </si>
  <si>
    <t>BM＆P　マテリアルズ＆ポリマーズ事業本部　新規バイオケミカル室　バイオPESグループ</t>
  </si>
  <si>
    <t>３</t>
  </si>
  <si>
    <t>1～2件/日</t>
  </si>
  <si>
    <t>ベーシックマテリアルズ＆ポリマーズビジネスグループ</t>
  </si>
  <si>
    <t>5</t>
  </si>
  <si>
    <t>0.003件/年</t>
  </si>
  <si>
    <t>ASBG　半導体本部　インキュベーション部</t>
  </si>
  <si>
    <t>50</t>
  </si>
  <si>
    <t>1件/日</t>
  </si>
  <si>
    <t>1000</t>
  </si>
  <si>
    <t>ベーシックマテリアルズ＆ポリマーズビジネスグループ  マテリアルズ＆ポリマーズ事業本部 オレフィン・アロマ事業部 生産管理グループ</t>
  </si>
  <si>
    <t>不明</t>
  </si>
  <si>
    <t>管理業務なので起票はしない</t>
  </si>
  <si>
    <t>ベーシックマテリアルズ＆ポリマーズビジネスグループ炭素事業本部炭素材・CBゴム部</t>
  </si>
  <si>
    <t>最大5件/日</t>
  </si>
  <si>
    <t>ベーシックマテリアルズ＆ポリマーズビジネスグループ　マテリアルズ＆ポリマーズ事業本部　C4・PBT事業部</t>
  </si>
  <si>
    <t>70</t>
  </si>
  <si>
    <t>5～6件</t>
  </si>
  <si>
    <t>24時間/365日</t>
  </si>
  <si>
    <t>300</t>
  </si>
  <si>
    <t>2件/日</t>
  </si>
  <si>
    <t>ベーシックマテリアルズ＆ポリマーズビジネスグループ　マテリアルズ＆ポリマーズ事業本部　C3ケミカル事業部</t>
  </si>
  <si>
    <t>10件/日</t>
  </si>
  <si>
    <t>コーティング＆アディティブス技術部　化学品管理グループ</t>
  </si>
  <si>
    <t>（ファイン）納入仕様書DB：約50、納入仕様書DB：約20、（ファイン）製品仕様書DB：約50、（無機化学品）製品仕様書DB:約20</t>
  </si>
  <si>
    <t>各DBで最大10件/日</t>
  </si>
  <si>
    <t>ＭＣＣ　ベーシックマテリアルズ＆ポリマーズビジネスグループ　マテリアルズ＆ポリマーズ事業本部　Ｃ２ケミカル事業部</t>
  </si>
  <si>
    <t>100</t>
  </si>
  <si>
    <t>多い日で10件/日</t>
  </si>
  <si>
    <t>半導体マテリアルズ事業部</t>
  </si>
  <si>
    <t>6</t>
  </si>
  <si>
    <t>ベーシックマテリアルズ＆ポリマーズ ビジネスグループ　マテリアルズ＆ポリマーズ事業本部 オレフィン・アロマ事業部 生産管理グループ</t>
  </si>
  <si>
    <t>１件以下</t>
  </si>
  <si>
    <t>SMBG  アドバンスソリューション統括本部　水・環境事業本部　分離材事業部　管理G</t>
  </si>
  <si>
    <t>0</t>
  </si>
  <si>
    <t>MCC東海事業所（三重）　品証部品証１G</t>
  </si>
  <si>
    <t>10人以下</t>
  </si>
  <si>
    <t>10数件/年</t>
  </si>
  <si>
    <t>10</t>
  </si>
  <si>
    <t>1件/年</t>
  </si>
  <si>
    <t>ー</t>
    <phoneticPr fontId="3"/>
  </si>
  <si>
    <t>高機能・パッケージ材料事業部（事業部関係者確認済－記：東海(三重)品証２）
　対象DB：JER 製品仕様書管理</t>
    <phoneticPr fontId="3"/>
  </si>
  <si>
    <t>①（ファイン）製品仕様書DB
事業部：Ａ&amp;FC事業部（関係先：福岡品証）</t>
    <phoneticPr fontId="3"/>
  </si>
  <si>
    <t>②（ファイン）納入仕様書DB
事業部：A&amp;FC事業部（関係先：小名浜工場）</t>
    <phoneticPr fontId="3"/>
  </si>
  <si>
    <t>③（無機化学品）製品仕様書DB
事業部：コーティング事業部（関係先：福岡品証）</t>
    <phoneticPr fontId="3"/>
  </si>
  <si>
    <t>④納入仕様書DB
事業部：Ａ&amp;FC事業部（関係先：小名浜工場）</t>
    <phoneticPr fontId="3"/>
  </si>
  <si>
    <r>
      <t>　回答：</t>
    </r>
    <r>
      <rPr>
        <sz val="11"/>
        <color rgb="FF1E53A3"/>
        <rFont val="游ゴシック"/>
        <family val="3"/>
        <charset val="128"/>
        <scheme val="minor"/>
      </rPr>
      <t>③(業務時間内)：登録/編集ベース、　①(24hr/356日)：閲覧ベース</t>
    </r>
  </si>
  <si>
    <t>業務時間内（8時～18時めど）
24時間/365日 　</t>
    <phoneticPr fontId="3"/>
  </si>
  <si>
    <r>
      <t>　回答：</t>
    </r>
    <r>
      <rPr>
        <sz val="11"/>
        <color rgb="FF1E53A3"/>
        <rFont val="游ゴシック"/>
        <family val="3"/>
        <charset val="128"/>
        <scheme val="minor"/>
      </rPr>
      <t>約１００人</t>
    </r>
  </si>
  <si>
    <r>
      <t>　回答：</t>
    </r>
    <r>
      <rPr>
        <sz val="11"/>
        <color rgb="FF1E53A3"/>
        <rFont val="游ゴシック"/>
        <family val="3"/>
        <charset val="128"/>
        <scheme val="minor"/>
      </rPr>
      <t>２～３件（年：約４７０件）</t>
    </r>
  </si>
  <si>
    <t>日勤</t>
  </si>
  <si>
    <t>約50</t>
  </si>
  <si>
    <t>利用：日勤、</t>
    <phoneticPr fontId="3"/>
  </si>
  <si>
    <t>使用者数：約50、</t>
    <phoneticPr fontId="3"/>
  </si>
  <si>
    <t>3件/日</t>
    <phoneticPr fontId="3"/>
  </si>
  <si>
    <t>使用者数：約20、</t>
    <phoneticPr fontId="3"/>
  </si>
  <si>
    <t>1件/日</t>
    <phoneticPr fontId="3"/>
  </si>
  <si>
    <t>使用者数：約30、</t>
    <phoneticPr fontId="3"/>
  </si>
  <si>
    <t>回答あり</t>
  </si>
  <si>
    <t>フォロー中</t>
  </si>
  <si>
    <t>人見</t>
  </si>
  <si>
    <t>宮地</t>
  </si>
  <si>
    <t>和田</t>
  </si>
  <si>
    <t>全体チャット</t>
  </si>
  <si>
    <t>吉川さんとの個人チャット</t>
  </si>
  <si>
    <t>加藤</t>
  </si>
  <si>
    <t>森</t>
  </si>
  <si>
    <t>確認漏れ</t>
  </si>
  <si>
    <t>内川</t>
  </si>
  <si>
    <t>事業部名異なる</t>
  </si>
  <si>
    <t>対象外</t>
  </si>
  <si>
    <t>アンケート</t>
  </si>
  <si>
    <t>久保木</t>
  </si>
  <si>
    <t>アンケート回答なし</t>
  </si>
  <si>
    <t xml:space="preserve">分離材事業部
(イオン) 関連文書
(イオン) 製品仕様書管理
(イオン) 品質情報Ｍ
</t>
    <phoneticPr fontId="3"/>
  </si>
  <si>
    <t>コーティング＆アディティブスグローバルビジネス本部　コーティング事業部
対象DB：（パフォケミ）製品仕様書管理</t>
    <phoneticPr fontId="3"/>
  </si>
  <si>
    <t>電池・エレクトロニクス本部　エレクトロニクスマテリアルズ事業部　エネルギー変換材料グループ
（フォスファー）納入仕様書管理DB</t>
    <phoneticPr fontId="3"/>
  </si>
  <si>
    <t>内川さん</t>
    <rPh sb="0" eb="2">
      <t>ウチカワ</t>
    </rPh>
    <phoneticPr fontId="3"/>
  </si>
  <si>
    <t>回答：当IMF事業部ならざっと300名</t>
  </si>
  <si>
    <t>回答：1件/日以下</t>
    <phoneticPr fontId="3"/>
  </si>
  <si>
    <t>回答者氏名</t>
  </si>
  <si>
    <t>所属事業部名称及びDB名称
（記入例：SF&amp;P-BG SF本部 工業・メディカルフィルムズ事業部 インダストリーテクノロジーG/貿易管理・納入仕様書ＤＢ）</t>
  </si>
  <si>
    <t>清水　勇佑</t>
  </si>
  <si>
    <t>60程度</t>
  </si>
  <si>
    <t>38件 (2022年), 22件(2023年), 19件(2024年)</t>
  </si>
  <si>
    <t>沼田修</t>
  </si>
  <si>
    <t>数件/月</t>
  </si>
  <si>
    <t>永井　由香里</t>
  </si>
  <si>
    <t>ＭＭＡ＆デリバティブズビジネスグループ　ＭＭＡ／ＰＭＭＡグローバルビジネス本部　ＭＭＡ技術部　化成品製造部　企画調整グループ</t>
  </si>
  <si>
    <t>200</t>
  </si>
  <si>
    <t>山本 研二</t>
  </si>
  <si>
    <t>0.5件／日</t>
  </si>
  <si>
    <t>寺田浩二</t>
  </si>
  <si>
    <t>深沢徹也</t>
  </si>
  <si>
    <t>約160名。書類の件数は５．に記載。</t>
  </si>
  <si>
    <t>２０～２５件/日</t>
  </si>
  <si>
    <t>徳水眞</t>
  </si>
  <si>
    <t>約1000</t>
  </si>
  <si>
    <t>1件/日以下</t>
  </si>
  <si>
    <t>平井慎也</t>
  </si>
  <si>
    <t>小野雅彦</t>
  </si>
  <si>
    <t>20</t>
  </si>
  <si>
    <t>0.01件/日</t>
  </si>
  <si>
    <t>樹脂製造部技術G・納入仕様書システム、納入仕様書DB</t>
    <phoneticPr fontId="3"/>
  </si>
  <si>
    <t>MMA&amp;D-BG コーティング＆アディティブスグローバルビジネス本部 SPR事業部・納入仕様書・調査書DB（スペシャリティポリマー部）</t>
    <phoneticPr fontId="3"/>
  </si>
  <si>
    <t>BM&amp;P-BG M&amp;P事業本部  C3ケミカル事業部 技術G/AN納入仕様書管理DB</t>
    <phoneticPr fontId="3"/>
  </si>
  <si>
    <t>C&amp;A GB本部 SPR事業部/納入仕様書DB、納入仕様書システム</t>
    <phoneticPr fontId="3"/>
  </si>
  <si>
    <t>ＭＣＣ　サプライチェーン所管　オペレーション（日本）本部　中日本事業所　品質保証部　ＦＦ品証１グループ/貿易管理・納入仕様書ＤＢ</t>
    <phoneticPr fontId="3"/>
  </si>
  <si>
    <t>MMA&amp;D-BG　コーティング＆アディティブスグローバルビジネス本部　ＣＡ技術　製品技術グループ/メタブレン納入仕様書DB</t>
    <phoneticPr fontId="3"/>
  </si>
  <si>
    <t>MMA/PMMAグローバルビジネス本部　PMMA技術部 PMMAシートG/シート納入仕様書DB</t>
    <phoneticPr fontId="3"/>
  </si>
  <si>
    <t>納入仕様書システム</t>
    <phoneticPr fontId="3"/>
  </si>
  <si>
    <t>納入仕様書DB</t>
    <phoneticPr fontId="3"/>
  </si>
  <si>
    <t>対象外</t>
    <phoneticPr fontId="3"/>
  </si>
  <si>
    <t>ユーザー数</t>
    <rPh sb="4" eb="5">
      <t>スウ</t>
    </rPh>
    <phoneticPr fontId="3"/>
  </si>
  <si>
    <t>同時アクセス数</t>
    <rPh sb="0" eb="2">
      <t>ドウジ</t>
    </rPh>
    <rPh sb="6" eb="7">
      <t>スウ</t>
    </rPh>
    <phoneticPr fontId="3"/>
  </si>
  <si>
    <t>オンラインリクエスト件数</t>
    <rPh sb="10" eb="12">
      <t>ケンスウ</t>
    </rPh>
    <phoneticPr fontId="3"/>
  </si>
  <si>
    <t>バッチ処理件数</t>
    <rPh sb="3" eb="5">
      <t>ショリ</t>
    </rPh>
    <rPh sb="5" eb="7">
      <t>ケンスウ</t>
    </rPh>
    <phoneticPr fontId="3"/>
  </si>
  <si>
    <t>RFP提示</t>
    <rPh sb="3" eb="5">
      <t>テイジ</t>
    </rPh>
    <phoneticPr fontId="3"/>
  </si>
  <si>
    <t>(単位)</t>
    <rPh sb="1" eb="3">
      <t>タンイ</t>
    </rPh>
    <phoneticPr fontId="3"/>
  </si>
  <si>
    <t>人</t>
    <rPh sb="0" eb="1">
      <t>ヒト</t>
    </rPh>
    <phoneticPr fontId="3"/>
  </si>
  <si>
    <t>件/日</t>
    <rPh sb="0" eb="1">
      <t>ケン</t>
    </rPh>
    <rPh sb="2" eb="3">
      <t>ニチ</t>
    </rPh>
    <phoneticPr fontId="3"/>
  </si>
  <si>
    <t>非機能要件</t>
    <rPh sb="0" eb="3">
      <t>ヒキノウ</t>
    </rPh>
    <rPh sb="3" eb="5">
      <t>ヨウケン</t>
    </rPh>
    <phoneticPr fontId="3"/>
  </si>
  <si>
    <t>非機能要件算出</t>
    <rPh sb="0" eb="3">
      <t>ヒキノウ</t>
    </rPh>
    <rPh sb="3" eb="5">
      <t>ヨウケン</t>
    </rPh>
    <rPh sb="5" eb="7">
      <t>サンシュツ</t>
    </rPh>
    <phoneticPr fontId="3"/>
  </si>
  <si>
    <t>#</t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</si>
  <si>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</si>
  <si>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</si>
  <si>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</si>
  <si>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</si>
  <si>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①のロジック</t>
    <phoneticPr fontId="3"/>
  </si>
  <si>
    <t>②のロジック</t>
    <phoneticPr fontId="3"/>
  </si>
  <si>
    <t>・</t>
    <phoneticPr fontId="3"/>
  </si>
  <si>
    <t>現状利用者数（[非機能要件まとめ]sheetの[F47]セルの値）をもとに計算</t>
    <rPh sb="0" eb="2">
      <t>ゲンジョウ</t>
    </rPh>
    <rPh sb="2" eb="5">
      <t>リヨウシャ</t>
    </rPh>
    <rPh sb="5" eb="6">
      <t>スウ</t>
    </rPh>
    <rPh sb="8" eb="11">
      <t>ヒキノウ</t>
    </rPh>
    <rPh sb="11" eb="13">
      <t>ヨウケン</t>
    </rPh>
    <rPh sb="31" eb="32">
      <t>アタイ</t>
    </rPh>
    <rPh sb="37" eb="39">
      <t>ケイサン</t>
    </rPh>
    <phoneticPr fontId="3"/>
  </si>
  <si>
    <t>100の位を切り上げした数値を採用する</t>
    <rPh sb="4" eb="5">
      <t>クライ</t>
    </rPh>
    <rPh sb="6" eb="7">
      <t>キ</t>
    </rPh>
    <rPh sb="8" eb="9">
      <t>ア</t>
    </rPh>
    <rPh sb="12" eb="14">
      <t>スウチ</t>
    </rPh>
    <rPh sb="15" eb="17">
      <t>サイヨウ</t>
    </rPh>
    <phoneticPr fontId="3"/>
  </si>
  <si>
    <t>10の位を切り上げした数値を採用する</t>
    <rPh sb="3" eb="4">
      <t>クライ</t>
    </rPh>
    <rPh sb="5" eb="6">
      <t>キ</t>
    </rPh>
    <rPh sb="7" eb="8">
      <t>ア</t>
    </rPh>
    <rPh sb="11" eb="13">
      <t>スウチ</t>
    </rPh>
    <rPh sb="14" eb="16">
      <t>サイヨウ</t>
    </rPh>
    <phoneticPr fontId="3"/>
  </si>
  <si>
    <t>③のロジック</t>
    <phoneticPr fontId="3"/>
  </si>
  <si>
    <t>現状の1日あたりの提出数（[非機能要件まとめ]sheetの[G47]セルの値）をもとに計算</t>
    <rPh sb="0" eb="2">
      <t>ゲンジョウ</t>
    </rPh>
    <rPh sb="4" eb="5">
      <t>ニチ</t>
    </rPh>
    <rPh sb="9" eb="11">
      <t>テイシュツ</t>
    </rPh>
    <rPh sb="11" eb="12">
      <t>スウ</t>
    </rPh>
    <phoneticPr fontId="3"/>
  </si>
  <si>
    <t>オンラインリクエスト数は「提出リクエスト数＋承認リクエスト数＋閲覧リクエスト数」で算出</t>
    <rPh sb="10" eb="11">
      <t>スウ</t>
    </rPh>
    <rPh sb="13" eb="15">
      <t>テイシュツ</t>
    </rPh>
    <rPh sb="20" eb="21">
      <t>スウ</t>
    </rPh>
    <rPh sb="22" eb="24">
      <t>ショウニン</t>
    </rPh>
    <rPh sb="29" eb="30">
      <t>スウ</t>
    </rPh>
    <rPh sb="31" eb="33">
      <t>エツラン</t>
    </rPh>
    <rPh sb="38" eb="39">
      <t>スウ</t>
    </rPh>
    <rPh sb="41" eb="43">
      <t>サンシュツ</t>
    </rPh>
    <phoneticPr fontId="3"/>
  </si>
  <si>
    <r>
      <t>承認リクエスト数は提出リクエスト数に</t>
    </r>
    <r>
      <rPr>
        <b/>
        <u/>
        <sz val="11"/>
        <color theme="1"/>
        <rFont val="游ゴシック"/>
        <family val="3"/>
        <charset val="128"/>
        <scheme val="minor"/>
      </rPr>
      <t>係数4</t>
    </r>
    <r>
      <rPr>
        <sz val="11"/>
        <color theme="1"/>
        <rFont val="游ゴシック"/>
        <family val="2"/>
        <scheme val="minor"/>
      </rPr>
      <t>をかける</t>
    </r>
    <rPh sb="0" eb="2">
      <t>ショウニン</t>
    </rPh>
    <rPh sb="7" eb="8">
      <t>スウ</t>
    </rPh>
    <rPh sb="9" eb="11">
      <t>テイシュツ</t>
    </rPh>
    <rPh sb="16" eb="17">
      <t>スウ</t>
    </rPh>
    <rPh sb="18" eb="20">
      <t>ケイスウ</t>
    </rPh>
    <phoneticPr fontId="3"/>
  </si>
  <si>
    <r>
      <t>今後、現状利用者数が増加することも考慮し、</t>
    </r>
    <r>
      <rPr>
        <b/>
        <u/>
        <sz val="11"/>
        <color theme="1"/>
        <rFont val="游ゴシック"/>
        <family val="3"/>
        <charset val="128"/>
        <scheme val="minor"/>
      </rPr>
      <t>係数2</t>
    </r>
    <r>
      <rPr>
        <sz val="11"/>
        <color theme="1"/>
        <rFont val="游ゴシック"/>
        <family val="2"/>
        <scheme val="minor"/>
      </rPr>
      <t>をかける</t>
    </r>
    <rPh sb="0" eb="2">
      <t>コンゴ</t>
    </rPh>
    <rPh sb="3" eb="5">
      <t>ゲンジョウ</t>
    </rPh>
    <rPh sb="5" eb="8">
      <t>リヨウシャ</t>
    </rPh>
    <rPh sb="8" eb="9">
      <t>スウ</t>
    </rPh>
    <rPh sb="10" eb="12">
      <t>ゾウカ</t>
    </rPh>
    <rPh sb="17" eb="19">
      <t>コウリョ</t>
    </rPh>
    <rPh sb="21" eb="23">
      <t>ケイスウ</t>
    </rPh>
    <phoneticPr fontId="3"/>
  </si>
  <si>
    <r>
      <t>閲覧リクエスト数は提出リクエスト数に</t>
    </r>
    <r>
      <rPr>
        <b/>
        <u/>
        <sz val="11"/>
        <color theme="1"/>
        <rFont val="游ゴシック"/>
        <family val="3"/>
        <charset val="128"/>
        <scheme val="minor"/>
      </rPr>
      <t>係数10</t>
    </r>
    <r>
      <rPr>
        <sz val="11"/>
        <color theme="1"/>
        <rFont val="游ゴシック"/>
        <family val="2"/>
        <scheme val="minor"/>
      </rPr>
      <t>をかける</t>
    </r>
    <rPh sb="0" eb="2">
      <t>エツラン</t>
    </rPh>
    <rPh sb="7" eb="8">
      <t>スウ</t>
    </rPh>
    <rPh sb="9" eb="11">
      <t>テイシュツ</t>
    </rPh>
    <rPh sb="16" eb="17">
      <t>スウ</t>
    </rPh>
    <rPh sb="18" eb="20">
      <t>ケイスウ</t>
    </rPh>
    <phoneticPr fontId="3"/>
  </si>
  <si>
    <t>算出ロジック</t>
    <rPh sb="0" eb="2">
      <t>サンシュツ</t>
    </rPh>
    <phoneticPr fontId="3"/>
  </si>
  <si>
    <t>前提</t>
    <rPh sb="0" eb="2">
      <t>ゼンテイ</t>
    </rPh>
    <phoneticPr fontId="3"/>
  </si>
  <si>
    <t>移行先アプリがローコードプラットフォーであることがヒヤリハットと同様のため</t>
    <rPh sb="0" eb="2">
      <t>イコウ</t>
    </rPh>
    <rPh sb="2" eb="3">
      <t>サキ</t>
    </rPh>
    <rPh sb="32" eb="34">
      <t>ドウヨウ</t>
    </rPh>
    <phoneticPr fontId="3"/>
  </si>
  <si>
    <t>算出ロジックはヒヤリハットと類似のロジックを使用する</t>
    <rPh sb="0" eb="2">
      <t>サンシュツ</t>
    </rPh>
    <rPh sb="14" eb="16">
      <t>ルイジ</t>
    </rPh>
    <rPh sb="22" eb="24">
      <t>シヨウ</t>
    </rPh>
    <phoneticPr fontId="3"/>
  </si>
  <si>
    <t>④のロジック</t>
    <phoneticPr fontId="3"/>
  </si>
  <si>
    <t>バッチ処理は削除フォルダ内の文書削除、リマインドメール、廃版置換、補助項目反映がある</t>
    <rPh sb="3" eb="5">
      <t>ショリ</t>
    </rPh>
    <phoneticPr fontId="3"/>
  </si>
  <si>
    <t>*RFP提示の数値にはすべて「約」がつく</t>
    <rPh sb="4" eb="6">
      <t>テイジ</t>
    </rPh>
    <rPh sb="7" eb="9">
      <t>スウチ</t>
    </rPh>
    <rPh sb="15" eb="16">
      <t>ヤク</t>
    </rPh>
    <phoneticPr fontId="3"/>
  </si>
  <si>
    <t>バッチ処理数は現状の1日あたりの提出数（[非機能要件まとめ]sheetの[G47]セルの値）に係数をかけて計算</t>
    <rPh sb="3" eb="6">
      <t>ショリスウ</t>
    </rPh>
    <rPh sb="7" eb="9">
      <t>ゲンジョウ</t>
    </rPh>
    <rPh sb="11" eb="12">
      <t>ニチ</t>
    </rPh>
    <rPh sb="16" eb="19">
      <t>テイシュツスウ</t>
    </rPh>
    <rPh sb="47" eb="49">
      <t>ケイスウ</t>
    </rPh>
    <rPh sb="53" eb="55">
      <t>ケイサン</t>
    </rPh>
    <phoneticPr fontId="3"/>
  </si>
  <si>
    <r>
      <t>現状1日あたり96件のため、</t>
    </r>
    <r>
      <rPr>
        <b/>
        <u/>
        <sz val="11"/>
        <color theme="1"/>
        <rFont val="游ゴシック"/>
        <family val="3"/>
        <charset val="128"/>
        <scheme val="minor"/>
      </rPr>
      <t>係数0.3</t>
    </r>
    <r>
      <rPr>
        <sz val="11"/>
        <color theme="1"/>
        <rFont val="游ゴシック"/>
        <family val="2"/>
        <scheme val="minor"/>
      </rPr>
      <t>をかける</t>
    </r>
    <phoneticPr fontId="3"/>
  </si>
  <si>
    <r>
      <t>今後増える余地を考え、さらに</t>
    </r>
    <r>
      <rPr>
        <b/>
        <u/>
        <sz val="11"/>
        <color theme="1"/>
        <rFont val="游ゴシック"/>
        <family val="3"/>
        <charset val="128"/>
        <scheme val="minor"/>
      </rPr>
      <t>係数2</t>
    </r>
    <r>
      <rPr>
        <sz val="11"/>
        <color theme="1"/>
        <rFont val="游ゴシック"/>
        <family val="2"/>
        <scheme val="minor"/>
      </rPr>
      <t>をかけ、1の位を切り上げをする</t>
    </r>
    <rPh sb="0" eb="2">
      <t>コンゴ</t>
    </rPh>
    <rPh sb="2" eb="3">
      <t>フ</t>
    </rPh>
    <rPh sb="5" eb="7">
      <t>ヨチ</t>
    </rPh>
    <rPh sb="8" eb="9">
      <t>カンガ</t>
    </rPh>
    <rPh sb="14" eb="16">
      <t>ケイスウ</t>
    </rPh>
    <rPh sb="23" eb="24">
      <t>クライ</t>
    </rPh>
    <rPh sb="25" eb="26">
      <t>キ</t>
    </rPh>
    <rPh sb="27" eb="28">
      <t>ア</t>
    </rPh>
    <phoneticPr fontId="3"/>
  </si>
  <si>
    <r>
      <t>ピーク時間帯の同時アクセスするユーザーを全ユーザー数の</t>
    </r>
    <r>
      <rPr>
        <b/>
        <u/>
        <sz val="11"/>
        <color theme="1"/>
        <rFont val="游ゴシック"/>
        <family val="3"/>
        <charset val="128"/>
        <scheme val="minor"/>
      </rPr>
      <t>5%</t>
    </r>
    <r>
      <rPr>
        <sz val="11"/>
        <color theme="1"/>
        <rFont val="游ゴシック"/>
        <family val="2"/>
        <scheme val="minor"/>
      </rPr>
      <t>と仮定</t>
    </r>
    <rPh sb="3" eb="6">
      <t>ジカンタイ</t>
    </rPh>
    <rPh sb="7" eb="9">
      <t>ドウジ</t>
    </rPh>
    <rPh sb="20" eb="21">
      <t>ゼン</t>
    </rPh>
    <rPh sb="25" eb="26">
      <t>スウ</t>
    </rPh>
    <rPh sb="30" eb="32">
      <t>カテイ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</si>
</sst>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1E53A3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b/>
      <u/>
      <sz val="18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5" fillId="0" borderId="1" xfId="0" applyNumberFormat="1" applyFont="1" applyBorder="1" applyAlignment="1">
      <alignment vertical="center"/>
    </xf>
    <xf numFmtId="0" fontId="6" fillId="0" borderId="0" xfId="0" applyFont="1"/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 wrapText="1" readingOrder="1"/>
    </xf>
    <xf numFmtId="0" fontId="8" fillId="5" borderId="0" xfId="0" applyFont="1" applyFill="1" applyAlignment="1">
      <alignment horizontal="centerContinuous"/>
    </xf>
    <xf numFmtId="0" fontId="0" fillId="0" borderId="0" xfId="0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49" fontId="5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1" xfId="0" applyFill="1" applyBorder="1" applyAlignment="1">
      <alignment wrapText="1"/>
    </xf>
    <xf numFmtId="0" fontId="0" fillId="7" borderId="1" xfId="0" applyFill="1" applyBorder="1"/>
    <xf numFmtId="0" fontId="0" fillId="0" borderId="1" xfId="0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10" borderId="1" xfId="0" applyFill="1" applyBorder="1"/>
    <xf numFmtId="0" fontId="0" fillId="6" borderId="1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6CC9-712E-490B-B1CA-CDB31E599E08}">
  <dimension ref="B1:K37"/>
  <sheetViews>
    <sheetView showGridLines="0" tabSelected="1" topLeftCell="A6" workbookViewId="0">
      <selection activeCell="C22" sqref="C22"/>
    </sheetView>
  </sheetViews>
  <sheetFormatPr defaultRowHeight="18.75" x14ac:dyDescent="0.4"/>
  <cols>
    <col min="2" max="2" width="4.125" customWidth="1"/>
    <col min="3" max="3" width="27" customWidth="1"/>
    <col min="10" max="10" width="4.125" customWidth="1"/>
    <col min="11" max="11" width="4.5" customWidth="1"/>
  </cols>
  <sheetData>
    <row r="1" spans="2:11" ht="30" x14ac:dyDescent="0.6">
      <c r="B1" s="28" t="s">
        <v>239</v>
      </c>
    </row>
    <row r="2" spans="2:11" x14ac:dyDescent="0.4">
      <c r="E2" t="s">
        <v>263</v>
      </c>
    </row>
    <row r="3" spans="2:11" x14ac:dyDescent="0.4">
      <c r="B3" s="30" t="s">
        <v>240</v>
      </c>
      <c r="C3" s="30" t="s">
        <v>238</v>
      </c>
      <c r="D3" s="25" t="s">
        <v>234</v>
      </c>
      <c r="E3" s="25" t="s">
        <v>235</v>
      </c>
    </row>
    <row r="4" spans="2:11" x14ac:dyDescent="0.4">
      <c r="B4" s="26" t="s">
        <v>241</v>
      </c>
      <c r="C4" s="26" t="s">
        <v>230</v>
      </c>
      <c r="D4" s="26">
        <f>ROUNDUP(非機能要件まとめ!F47*2,-3)</f>
        <v>10000</v>
      </c>
      <c r="E4" s="26" t="s">
        <v>236</v>
      </c>
    </row>
    <row r="5" spans="2:11" x14ac:dyDescent="0.4">
      <c r="B5" s="26" t="s">
        <v>242</v>
      </c>
      <c r="C5" s="26" t="s">
        <v>231</v>
      </c>
      <c r="D5" s="26">
        <f>ROUNDUP(D4*0.05,-2)</f>
        <v>500</v>
      </c>
      <c r="E5" s="26" t="s">
        <v>236</v>
      </c>
    </row>
    <row r="6" spans="2:11" x14ac:dyDescent="0.4">
      <c r="B6" s="26" t="s">
        <v>243</v>
      </c>
      <c r="C6" s="26" t="s">
        <v>232</v>
      </c>
      <c r="D6" s="26">
        <f>ROUNDUP(非機能要件まとめ!G47*(1+4+10),-3)</f>
        <v>2000</v>
      </c>
      <c r="E6" s="26" t="s">
        <v>237</v>
      </c>
    </row>
    <row r="7" spans="2:11" x14ac:dyDescent="0.4">
      <c r="B7" s="26" t="s">
        <v>244</v>
      </c>
      <c r="C7" s="26" t="s">
        <v>233</v>
      </c>
      <c r="D7" s="26">
        <f>ROUNDUP(非機能要件まとめ!G47*0.3*2,-1)</f>
        <v>60</v>
      </c>
      <c r="E7" s="26" t="s">
        <v>237</v>
      </c>
    </row>
    <row r="10" spans="2:11" ht="24" x14ac:dyDescent="0.5">
      <c r="B10" s="27" t="s">
        <v>257</v>
      </c>
    </row>
    <row r="11" spans="2:11" x14ac:dyDescent="0.4">
      <c r="B11" s="29" t="s">
        <v>258</v>
      </c>
    </row>
    <row r="12" spans="2:11" x14ac:dyDescent="0.4">
      <c r="B12" t="s">
        <v>247</v>
      </c>
      <c r="C12" t="s">
        <v>259</v>
      </c>
    </row>
    <row r="13" spans="2:11" ht="24" x14ac:dyDescent="0.5">
      <c r="B13" s="27"/>
      <c r="C13" t="s">
        <v>260</v>
      </c>
    </row>
    <row r="15" spans="2:11" x14ac:dyDescent="0.4">
      <c r="B15" s="29" t="s">
        <v>245</v>
      </c>
      <c r="K15" s="29"/>
    </row>
    <row r="16" spans="2:11" x14ac:dyDescent="0.4">
      <c r="B16" t="s">
        <v>247</v>
      </c>
      <c r="C16" t="s">
        <v>248</v>
      </c>
    </row>
    <row r="17" spans="2:3" x14ac:dyDescent="0.4">
      <c r="B17" t="s">
        <v>247</v>
      </c>
      <c r="C17" t="s">
        <v>255</v>
      </c>
    </row>
    <row r="18" spans="2:3" x14ac:dyDescent="0.4">
      <c r="B18" t="s">
        <v>247</v>
      </c>
      <c r="C18" t="s">
        <v>249</v>
      </c>
    </row>
    <row r="21" spans="2:3" x14ac:dyDescent="0.4">
      <c r="B21" s="29" t="s">
        <v>246</v>
      </c>
    </row>
    <row r="22" spans="2:3" x14ac:dyDescent="0.4">
      <c r="B22" t="s">
        <v>247</v>
      </c>
      <c r="C22" t="s">
        <v>267</v>
      </c>
    </row>
    <row r="23" spans="2:3" x14ac:dyDescent="0.4">
      <c r="B23" t="s">
        <v>247</v>
      </c>
      <c r="C23" t="s">
        <v>250</v>
      </c>
    </row>
    <row r="27" spans="2:3" x14ac:dyDescent="0.4">
      <c r="B27" s="29" t="s">
        <v>251</v>
      </c>
    </row>
    <row r="28" spans="2:3" x14ac:dyDescent="0.4">
      <c r="B28" t="s">
        <v>247</v>
      </c>
      <c r="C28" t="s">
        <v>252</v>
      </c>
    </row>
    <row r="29" spans="2:3" x14ac:dyDescent="0.4">
      <c r="B29" t="s">
        <v>247</v>
      </c>
      <c r="C29" t="s">
        <v>253</v>
      </c>
    </row>
    <row r="30" spans="2:3" x14ac:dyDescent="0.4">
      <c r="B30" t="s">
        <v>247</v>
      </c>
      <c r="C30" t="s">
        <v>254</v>
      </c>
    </row>
    <row r="31" spans="2:3" x14ac:dyDescent="0.4">
      <c r="B31" t="s">
        <v>247</v>
      </c>
      <c r="C31" t="s">
        <v>256</v>
      </c>
    </row>
    <row r="32" spans="2:3" x14ac:dyDescent="0.4">
      <c r="B32" t="s">
        <v>247</v>
      </c>
      <c r="C32" t="s">
        <v>249</v>
      </c>
    </row>
    <row r="33" spans="2:3" x14ac:dyDescent="0.4">
      <c r="B33" s="29" t="s">
        <v>261</v>
      </c>
    </row>
    <row r="34" spans="2:3" x14ac:dyDescent="0.4">
      <c r="B34" t="s">
        <v>247</v>
      </c>
      <c r="C34" t="s">
        <v>264</v>
      </c>
    </row>
    <row r="35" spans="2:3" x14ac:dyDescent="0.4">
      <c r="B35" t="s">
        <v>247</v>
      </c>
      <c r="C35" t="s">
        <v>262</v>
      </c>
    </row>
    <row r="36" spans="2:3" x14ac:dyDescent="0.4">
      <c r="B36" t="s">
        <v>247</v>
      </c>
      <c r="C36" t="s">
        <v>265</v>
      </c>
    </row>
    <row r="37" spans="2:3" x14ac:dyDescent="0.4">
      <c r="B37" t="s">
        <v>247</v>
      </c>
      <c r="C37" t="s">
        <v>266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5D5B-68B8-4F7E-912A-F5AAFDB3ADF5}">
  <dimension ref="A1:K47"/>
  <sheetViews>
    <sheetView showGridLines="0" topLeftCell="A26" zoomScale="85" zoomScaleNormal="85" workbookViewId="0">
      <selection activeCell="H33" sqref="H33"/>
    </sheetView>
  </sheetViews>
  <sheetFormatPr defaultRowHeight="18.75" x14ac:dyDescent="0.4"/>
  <cols>
    <col min="1" max="1" width="5.125" bestFit="1" customWidth="1"/>
    <col min="3" max="3" width="52.875" customWidth="1"/>
    <col min="4" max="4" width="26.5" bestFit="1" customWidth="1"/>
    <col min="5" max="7" width="30.375" style="13" customWidth="1"/>
    <col min="8" max="10" width="28.375" customWidth="1"/>
  </cols>
  <sheetData>
    <row r="1" spans="1:11" x14ac:dyDescent="0.4">
      <c r="A1" s="1" t="s">
        <v>0</v>
      </c>
      <c r="B1" s="1" t="s">
        <v>43</v>
      </c>
      <c r="C1" s="1" t="s">
        <v>26</v>
      </c>
      <c r="D1" s="1" t="s">
        <v>25</v>
      </c>
      <c r="E1" s="16" t="s">
        <v>75</v>
      </c>
      <c r="F1" s="16" t="s">
        <v>76</v>
      </c>
      <c r="G1" s="16" t="s">
        <v>77</v>
      </c>
    </row>
    <row r="2" spans="1:11" ht="33" x14ac:dyDescent="0.4">
      <c r="A2" s="3">
        <f t="shared" ref="A2:A46" si="0">ROW()-1</f>
        <v>1</v>
      </c>
      <c r="B2" s="4" t="s">
        <v>42</v>
      </c>
      <c r="C2" s="5" t="s">
        <v>27</v>
      </c>
      <c r="D2" s="5" t="s">
        <v>4</v>
      </c>
      <c r="E2" s="17" t="str">
        <f>IFERROR(VLOOKUP(非機能要件まとめ!$C2,黄_非機能まとめ!$C:$I,3,FALSE),"")</f>
        <v>24時間/365日 　</v>
      </c>
      <c r="F2" s="17">
        <f>IFERROR(VLOOKUP(非機能要件まとめ!$C2,黄_非機能まとめ!$C:$I,5,FALSE),"")</f>
        <v>100</v>
      </c>
      <c r="G2" s="17">
        <f>IFERROR(VLOOKUP(非機能要件まとめ!$C2,黄_非機能まとめ!$C:$I,7,FALSE),"")</f>
        <v>5</v>
      </c>
    </row>
    <row r="3" spans="1:11" ht="37.5" x14ac:dyDescent="0.4">
      <c r="A3" s="3">
        <f t="shared" si="0"/>
        <v>2</v>
      </c>
      <c r="B3" s="4" t="s">
        <v>42</v>
      </c>
      <c r="C3" s="5" t="s">
        <v>28</v>
      </c>
      <c r="D3" s="5" t="s">
        <v>20</v>
      </c>
      <c r="E3" s="17" t="str">
        <f>IFERROR(VLOOKUP(非機能要件まとめ!$C3,黄_非機能まとめ!$C:$I,3,FALSE),"")</f>
        <v>業務時間内（8時～18時めど）
24時間/365日 　</v>
      </c>
      <c r="F3" s="17">
        <f>IFERROR(VLOOKUP(非機能要件まとめ!$C3,黄_非機能まとめ!$C:$I,5,FALSE),"")</f>
        <v>100</v>
      </c>
      <c r="G3" s="17">
        <f>IFERROR(VLOOKUP(非機能要件まとめ!$C3,黄_非機能まとめ!$C:$I,7,FALSE),"")</f>
        <v>0.125</v>
      </c>
    </row>
    <row r="4" spans="1:11" ht="37.5" x14ac:dyDescent="0.4">
      <c r="A4" s="3">
        <f t="shared" si="0"/>
        <v>3</v>
      </c>
      <c r="B4" s="4" t="s">
        <v>42</v>
      </c>
      <c r="C4" s="5" t="s">
        <v>29</v>
      </c>
      <c r="D4" s="5" t="s">
        <v>21</v>
      </c>
      <c r="E4" s="17" t="str">
        <f>IFERROR(VLOOKUP(非機能要件まとめ!$C4,黄_非機能まとめ!$C:$I,3,FALSE),"")</f>
        <v>業務時間内（8時～18時めど）
24時間/365日 　</v>
      </c>
      <c r="F4" s="17">
        <f>IFERROR(VLOOKUP(非機能要件まとめ!$C4,黄_非機能まとめ!$C:$I,5,FALSE),"")</f>
        <v>130</v>
      </c>
      <c r="G4" s="17">
        <f>IFERROR(VLOOKUP(非機能要件まとめ!$C4,黄_非機能まとめ!$C:$I,7,FALSE),"")</f>
        <v>2.0833333333333332E-2</v>
      </c>
    </row>
    <row r="5" spans="1:11" ht="33" x14ac:dyDescent="0.4">
      <c r="A5" s="3">
        <f t="shared" si="0"/>
        <v>4</v>
      </c>
      <c r="B5" s="4" t="s">
        <v>42</v>
      </c>
      <c r="C5" s="5" t="s">
        <v>30</v>
      </c>
      <c r="D5" s="5" t="s">
        <v>2</v>
      </c>
      <c r="E5" s="17" t="str">
        <f>IFERROR(VLOOKUP(非機能要件まとめ!$C5,黄_非機能まとめ!$C:$I,3,FALSE),"")</f>
        <v>24時間/土日祝日除く</v>
      </c>
      <c r="F5" s="17">
        <f>IFERROR(VLOOKUP(非機能要件まとめ!$C5,黄_非機能まとめ!$C:$I,5,FALSE),"")</f>
        <v>100</v>
      </c>
      <c r="G5" s="17">
        <f>IFERROR(VLOOKUP(非機能要件まとめ!$C5,黄_非機能まとめ!$C:$I,7,FALSE),"")</f>
        <v>3</v>
      </c>
    </row>
    <row r="6" spans="1:11" ht="33" x14ac:dyDescent="0.4">
      <c r="A6" s="3">
        <f t="shared" si="0"/>
        <v>5</v>
      </c>
      <c r="B6" s="4" t="s">
        <v>42</v>
      </c>
      <c r="C6" s="5" t="s">
        <v>31</v>
      </c>
      <c r="D6" s="5" t="s">
        <v>22</v>
      </c>
      <c r="E6" s="17" t="str">
        <f>IFERROR(VLOOKUP(非機能要件まとめ!$C6,黄_非機能まとめ!$C:$I,3,FALSE),"")</f>
        <v>業務時間内（8時～18時めど）</v>
      </c>
      <c r="F6" s="17">
        <f>IFERROR(VLOOKUP(非機能要件まとめ!$C6,黄_非機能まとめ!$C:$I,5,FALSE),"")</f>
        <v>40</v>
      </c>
      <c r="G6" s="17">
        <f>IFERROR(VLOOKUP(非機能要件まとめ!$C6,黄_非機能まとめ!$C:$I,7,FALSE),"")</f>
        <v>3</v>
      </c>
      <c r="H6" s="21" t="s">
        <v>175</v>
      </c>
      <c r="I6" s="21" t="s">
        <v>178</v>
      </c>
      <c r="J6" s="21" t="s">
        <v>180</v>
      </c>
    </row>
    <row r="7" spans="1:11" ht="33" x14ac:dyDescent="0.4">
      <c r="A7" s="3">
        <f t="shared" si="0"/>
        <v>6</v>
      </c>
      <c r="B7" s="4" t="s">
        <v>42</v>
      </c>
      <c r="C7" s="5" t="s">
        <v>32</v>
      </c>
      <c r="D7" s="5" t="s">
        <v>7</v>
      </c>
      <c r="E7" s="31"/>
      <c r="F7" s="31">
        <f>MEDIAN(F$2:F$6,F$8,F$10,F$12:F$16)</f>
        <v>100</v>
      </c>
      <c r="G7" s="31">
        <f>MEDIAN(G$2:G$6,G$8,G$10,G$12:G$16)</f>
        <v>2</v>
      </c>
    </row>
    <row r="8" spans="1:11" ht="33" x14ac:dyDescent="0.4">
      <c r="A8" s="3">
        <f t="shared" si="0"/>
        <v>7</v>
      </c>
      <c r="B8" s="4" t="s">
        <v>42</v>
      </c>
      <c r="C8" s="5" t="s">
        <v>33</v>
      </c>
      <c r="D8" s="5" t="s">
        <v>7</v>
      </c>
      <c r="E8" s="17" t="str">
        <f>IFERROR(VLOOKUP(非機能要件まとめ!$C8,黄_非機能まとめ!$C:$I,3,FALSE),"")</f>
        <v>業務時間内（8時～18時めど）</v>
      </c>
      <c r="F8" s="17">
        <f>IFERROR(VLOOKUP(非機能要件まとめ!$C8,黄_非機能まとめ!$C:$I,5,FALSE),"")</f>
        <v>50</v>
      </c>
      <c r="G8" s="17">
        <f>IFERROR(VLOOKUP(非機能要件まとめ!$C8,黄_非機能まとめ!$C:$I,7,FALSE),"")</f>
        <v>3</v>
      </c>
      <c r="H8" s="21" t="s">
        <v>175</v>
      </c>
      <c r="I8" s="21" t="s">
        <v>179</v>
      </c>
      <c r="J8" s="21" t="s">
        <v>180</v>
      </c>
    </row>
    <row r="9" spans="1:11" x14ac:dyDescent="0.4">
      <c r="A9" s="3">
        <f t="shared" si="0"/>
        <v>8</v>
      </c>
      <c r="B9" s="4" t="s">
        <v>42</v>
      </c>
      <c r="C9" s="5" t="s">
        <v>34</v>
      </c>
      <c r="D9" s="5" t="s">
        <v>7</v>
      </c>
      <c r="E9" s="31"/>
      <c r="F9" s="31">
        <f>MEDIAN(F$2:F$6,F$8,F$10,F$12:F$16)</f>
        <v>100</v>
      </c>
      <c r="G9" s="31">
        <f>MEDIAN(G$2:G$6,G$8,G$10,G$12:G$16)</f>
        <v>2</v>
      </c>
      <c r="H9" t="s">
        <v>176</v>
      </c>
      <c r="I9" t="s">
        <v>177</v>
      </c>
    </row>
    <row r="10" spans="1:11" ht="33" x14ac:dyDescent="0.4">
      <c r="A10" s="3">
        <f t="shared" si="0"/>
        <v>9</v>
      </c>
      <c r="B10" s="4" t="s">
        <v>42</v>
      </c>
      <c r="C10" s="5" t="s">
        <v>35</v>
      </c>
      <c r="D10" s="5" t="s">
        <v>23</v>
      </c>
      <c r="E10" s="17" t="str">
        <f>IFERROR(VLOOKUP(非機能要件まとめ!$C10,黄_非機能まとめ!$C:$I,3,FALSE),"")</f>
        <v>業務時間内（8時～18時めど）</v>
      </c>
      <c r="F10" s="17">
        <f>IFERROR(VLOOKUP(非機能要件まとめ!$C10,黄_非機能まとめ!$C:$I,5,FALSE),"")</f>
        <v>500</v>
      </c>
      <c r="G10" s="17">
        <f>IFERROR(VLOOKUP(非機能要件まとめ!$C10,黄_非機能まとめ!$C:$I,7,FALSE),"")</f>
        <v>0.5</v>
      </c>
      <c r="H10" s="21" t="s">
        <v>175</v>
      </c>
      <c r="I10" s="21" t="s">
        <v>182</v>
      </c>
      <c r="J10" s="21" t="s">
        <v>181</v>
      </c>
      <c r="K10" t="s">
        <v>186</v>
      </c>
    </row>
    <row r="11" spans="1:11" x14ac:dyDescent="0.4">
      <c r="A11" s="3">
        <f t="shared" si="0"/>
        <v>10</v>
      </c>
      <c r="B11" s="4" t="s">
        <v>42</v>
      </c>
      <c r="C11" s="5" t="s">
        <v>36</v>
      </c>
      <c r="D11" s="5" t="s">
        <v>5</v>
      </c>
      <c r="E11" s="31"/>
      <c r="F11" s="31">
        <f>MEDIAN(F$2:F$6,F$8,F$10,F$12:F$16)</f>
        <v>100</v>
      </c>
      <c r="G11" s="31">
        <f>MEDIAN(G$2:G$6,G$8,G$10,G$12:G$16)</f>
        <v>2</v>
      </c>
      <c r="H11" t="s">
        <v>176</v>
      </c>
      <c r="I11" t="s">
        <v>183</v>
      </c>
    </row>
    <row r="12" spans="1:11" ht="66" x14ac:dyDescent="0.4">
      <c r="A12" s="3">
        <f t="shared" si="0"/>
        <v>11</v>
      </c>
      <c r="B12" s="4" t="s">
        <v>42</v>
      </c>
      <c r="C12" s="5" t="s">
        <v>37</v>
      </c>
      <c r="D12" s="5" t="s">
        <v>5</v>
      </c>
      <c r="E12" s="17" t="str">
        <f>IFERROR(VLOOKUP(非機能要件まとめ!$C12,黄_非機能まとめ!$C:$I,3,FALSE),"")</f>
        <v>24時間/365日 　</v>
      </c>
      <c r="F12" s="17">
        <f>IFERROR(VLOOKUP(非機能要件まとめ!$C12,黄_非機能まとめ!$C:$I,5,FALSE),"")</f>
        <v>300</v>
      </c>
      <c r="G12" s="17">
        <f>IFERROR(VLOOKUP(非機能要件まとめ!$C12,黄_非機能まとめ!$C:$I,7,FALSE),"")</f>
        <v>1</v>
      </c>
      <c r="H12" t="s">
        <v>184</v>
      </c>
      <c r="I12" t="s">
        <v>185</v>
      </c>
    </row>
    <row r="13" spans="1:11" ht="33" x14ac:dyDescent="0.4">
      <c r="A13" s="3">
        <f t="shared" si="0"/>
        <v>12</v>
      </c>
      <c r="B13" s="4" t="s">
        <v>42</v>
      </c>
      <c r="C13" s="5" t="s">
        <v>38</v>
      </c>
      <c r="D13" s="5" t="s">
        <v>1</v>
      </c>
      <c r="E13" s="17" t="str">
        <f>IFERROR(VLOOKUP(非機能要件まとめ!$C13,黄_非機能まとめ!$C:$I,3,FALSE),"")</f>
        <v>業務時間内（8時～18時めど）</v>
      </c>
      <c r="F13" s="17">
        <f>IFERROR(VLOOKUP(非機能要件まとめ!$C13,黄_非機能まとめ!$C:$I,5,FALSE),"")</f>
        <v>20</v>
      </c>
      <c r="G13" s="17">
        <f>IFERROR(VLOOKUP(非機能要件まとめ!$C13,黄_非機能まとめ!$C:$I,7,FALSE),"")</f>
        <v>1</v>
      </c>
    </row>
    <row r="14" spans="1:11" ht="37.5" x14ac:dyDescent="0.4">
      <c r="A14" s="3">
        <f t="shared" si="0"/>
        <v>13</v>
      </c>
      <c r="B14" s="4" t="s">
        <v>42</v>
      </c>
      <c r="C14" s="5" t="s">
        <v>39</v>
      </c>
      <c r="D14" s="5" t="s">
        <v>6</v>
      </c>
      <c r="E14" s="17" t="str">
        <f>IFERROR(VLOOKUP(非機能要件まとめ!$C14,黄_非機能まとめ!$C:$I,3,FALSE),"")</f>
        <v>業務時間内（8時～18時めど）
24時間/365日 　</v>
      </c>
      <c r="F14" s="17">
        <f>IFERROR(VLOOKUP(非機能要件まとめ!$C14,黄_非機能まとめ!$C:$I,5,FALSE),"")</f>
        <v>100</v>
      </c>
      <c r="G14" s="17">
        <f>IFERROR(VLOOKUP(非機能要件まとめ!$C14,黄_非機能まとめ!$C:$I,7,FALSE),"")</f>
        <v>3</v>
      </c>
    </row>
    <row r="15" spans="1:11" ht="37.5" x14ac:dyDescent="0.4">
      <c r="A15" s="3">
        <f t="shared" si="0"/>
        <v>14</v>
      </c>
      <c r="B15" s="4" t="s">
        <v>42</v>
      </c>
      <c r="C15" s="5" t="s">
        <v>40</v>
      </c>
      <c r="D15" s="5" t="s">
        <v>3</v>
      </c>
      <c r="E15" s="17" t="str">
        <f>IFERROR(VLOOKUP(非機能要件まとめ!$C15,黄_非機能まとめ!$C:$I,3,FALSE),"")</f>
        <v>業務時間内（8時～18時めど）
24時間/365日 　</v>
      </c>
      <c r="F15" s="17">
        <f>IFERROR(VLOOKUP(非機能要件まとめ!$C15,黄_非機能まとめ!$C:$I,5,FALSE),"")</f>
        <v>700</v>
      </c>
      <c r="G15" s="17">
        <f>IFERROR(VLOOKUP(非機能要件まとめ!$C15,黄_非機能まとめ!$C:$I,7,FALSE),"")</f>
        <v>3</v>
      </c>
    </row>
    <row r="16" spans="1:11" ht="49.5" x14ac:dyDescent="0.4">
      <c r="A16" s="3">
        <f t="shared" si="0"/>
        <v>15</v>
      </c>
      <c r="B16" s="4" t="s">
        <v>42</v>
      </c>
      <c r="C16" s="5" t="s">
        <v>41</v>
      </c>
      <c r="D16" s="5" t="s">
        <v>24</v>
      </c>
      <c r="E16" s="17" t="str">
        <f>IFERROR(VLOOKUP(非機能要件まとめ!$C16,黄_非機能まとめ!$C:$I,3,FALSE),"")</f>
        <v>業務時間内（8時～18時めど）</v>
      </c>
      <c r="F16" s="17">
        <f>IFERROR(VLOOKUP(非機能要件まとめ!$C16,黄_非機能まとめ!$C:$I,5,FALSE),"")</f>
        <v>50</v>
      </c>
      <c r="G16" s="17">
        <f>IFERROR(VLOOKUP(非機能要件まとめ!$C16,黄_非機能まとめ!$C:$I,7,FALSE),"")</f>
        <v>1</v>
      </c>
    </row>
    <row r="17" spans="1:10" x14ac:dyDescent="0.4">
      <c r="A17" s="3">
        <f t="shared" si="0"/>
        <v>16</v>
      </c>
      <c r="B17" s="4" t="s">
        <v>42</v>
      </c>
      <c r="C17" s="5" t="s">
        <v>34</v>
      </c>
      <c r="D17" s="5" t="s">
        <v>24</v>
      </c>
      <c r="E17" s="31"/>
      <c r="F17" s="31">
        <f>MEDIAN(F$2:F$6,F$8,F$10,F$12:F$16)</f>
        <v>100</v>
      </c>
      <c r="G17" s="31">
        <f>MEDIAN(G$2:G$6,G$8,G$10,G$12:G$16)</f>
        <v>2</v>
      </c>
      <c r="H17" t="s">
        <v>176</v>
      </c>
      <c r="I17" t="s">
        <v>177</v>
      </c>
    </row>
    <row r="18" spans="1:10" ht="33" x14ac:dyDescent="0.4">
      <c r="A18" s="6">
        <f t="shared" si="0"/>
        <v>17</v>
      </c>
      <c r="B18" s="7" t="s">
        <v>60</v>
      </c>
      <c r="C18" s="8" t="s">
        <v>45</v>
      </c>
      <c r="D18" s="8" t="s">
        <v>44</v>
      </c>
      <c r="E18" s="17" t="str">
        <f>IFERROR(VLOOKUP($C18,青_非機能まとめ!$C:$H,2,FALSE),"")</f>
        <v>業務時間内</v>
      </c>
      <c r="F18" s="17">
        <f>IFERROR(VLOOKUP($C18,青_非機能まとめ!$C:$H,4,FALSE),"")</f>
        <v>0</v>
      </c>
      <c r="G18" s="17">
        <f>IFERROR(VLOOKUP($C18,青_非機能まとめ!$C:$H,6,FALSE),"")</f>
        <v>0</v>
      </c>
    </row>
    <row r="19" spans="1:10" ht="33" x14ac:dyDescent="0.4">
      <c r="A19" s="6">
        <f t="shared" si="0"/>
        <v>18</v>
      </c>
      <c r="B19" s="7" t="s">
        <v>60</v>
      </c>
      <c r="C19" s="8" t="s">
        <v>46</v>
      </c>
      <c r="D19" s="8" t="s">
        <v>44</v>
      </c>
      <c r="E19" s="17" t="str">
        <f>IFERROR(VLOOKUP($C19,青_非機能まとめ!$C:$H,2,FALSE),"")</f>
        <v>24時間/365日</v>
      </c>
      <c r="F19" s="17">
        <f>IFERROR(VLOOKUP($C19,青_非機能まとめ!$C:$H,4,FALSE),"")</f>
        <v>100</v>
      </c>
      <c r="G19" s="17">
        <f>IFERROR(VLOOKUP($C19,青_非機能まとめ!$C:$H,6,FALSE),"")</f>
        <v>10</v>
      </c>
    </row>
    <row r="20" spans="1:10" ht="33" x14ac:dyDescent="0.4">
      <c r="A20" s="6">
        <f t="shared" si="0"/>
        <v>19</v>
      </c>
      <c r="B20" s="7" t="s">
        <v>60</v>
      </c>
      <c r="C20" s="8" t="s">
        <v>47</v>
      </c>
      <c r="D20" s="8" t="s">
        <v>44</v>
      </c>
      <c r="E20" s="17" t="str">
        <f>IFERROR(VLOOKUP($C20,青_非機能まとめ!$C:$H,2,FALSE),"")</f>
        <v>業務時間内</v>
      </c>
      <c r="F20" s="17">
        <f>IFERROR(VLOOKUP($C20,青_非機能まとめ!$C:$H,4,FALSE),"")</f>
        <v>100</v>
      </c>
      <c r="G20" s="17">
        <f>IFERROR(VLOOKUP($C20,青_非機能まとめ!$C:$H,6,FALSE),"")</f>
        <v>10</v>
      </c>
    </row>
    <row r="21" spans="1:10" ht="33" x14ac:dyDescent="0.4">
      <c r="A21" s="6">
        <f t="shared" si="0"/>
        <v>20</v>
      </c>
      <c r="B21" s="7" t="s">
        <v>60</v>
      </c>
      <c r="C21" s="8" t="s">
        <v>48</v>
      </c>
      <c r="D21" s="8" t="s">
        <v>44</v>
      </c>
      <c r="E21" s="17" t="str">
        <f>IFERROR(VLOOKUP($C21,青_非機能まとめ!$C:$H,2,FALSE),"")</f>
        <v>業務時間内</v>
      </c>
      <c r="F21" s="17">
        <f>IFERROR(VLOOKUP($C21,青_非機能まとめ!$C:$H,4,FALSE),"")</f>
        <v>330</v>
      </c>
      <c r="G21" s="17">
        <f>IFERROR(VLOOKUP($C21,青_非機能まとめ!$C:$H,6,FALSE),"")</f>
        <v>2.71428571428571</v>
      </c>
    </row>
    <row r="22" spans="1:10" ht="33" x14ac:dyDescent="0.4">
      <c r="A22" s="6">
        <f t="shared" si="0"/>
        <v>21</v>
      </c>
      <c r="B22" s="7" t="s">
        <v>60</v>
      </c>
      <c r="C22" s="8" t="s">
        <v>49</v>
      </c>
      <c r="D22" s="8" t="s">
        <v>44</v>
      </c>
      <c r="E22" s="17" t="str">
        <f>IFERROR(VLOOKUP($C22,青_非機能まとめ!$C:$H,2,FALSE),"")</f>
        <v>業務時間内</v>
      </c>
      <c r="F22" s="17">
        <f>IFERROR(VLOOKUP($C22,青_非機能まとめ!$C:$H,4,FALSE),"")</f>
        <v>70</v>
      </c>
      <c r="G22" s="17">
        <f>IFERROR(VLOOKUP($C22,青_非機能まとめ!$C:$H,6,FALSE),"")</f>
        <v>6</v>
      </c>
    </row>
    <row r="23" spans="1:10" ht="33" x14ac:dyDescent="0.4">
      <c r="A23" s="6">
        <f t="shared" si="0"/>
        <v>22</v>
      </c>
      <c r="B23" s="7" t="s">
        <v>60</v>
      </c>
      <c r="C23" s="8" t="s">
        <v>50</v>
      </c>
      <c r="D23" s="8" t="s">
        <v>44</v>
      </c>
      <c r="E23" s="17" t="str">
        <f>IFERROR(VLOOKUP($C23,青_非機能まとめ!$C:$H,2,FALSE),"")</f>
        <v>業務時間内</v>
      </c>
      <c r="F23" s="17">
        <f>IFERROR(VLOOKUP($C23,青_非機能まとめ!$C:$H,4,FALSE),"")</f>
        <v>3</v>
      </c>
      <c r="G23" s="17">
        <f>IFERROR(VLOOKUP($C23,青_非機能まとめ!$C:$H,6,FALSE),"")</f>
        <v>2</v>
      </c>
    </row>
    <row r="24" spans="1:10" ht="33" x14ac:dyDescent="0.4">
      <c r="A24" s="6">
        <f t="shared" si="0"/>
        <v>23</v>
      </c>
      <c r="B24" s="7" t="s">
        <v>60</v>
      </c>
      <c r="C24" s="8" t="s">
        <v>51</v>
      </c>
      <c r="D24" s="8" t="s">
        <v>44</v>
      </c>
      <c r="E24" s="31"/>
      <c r="F24" s="31">
        <f>MEDIAN(F18:F23,F25:F31)</f>
        <v>30</v>
      </c>
      <c r="G24" s="31">
        <f>MEDIAN(G18:G23,G25:G31)</f>
        <v>2.71428571428571</v>
      </c>
      <c r="H24" t="s">
        <v>190</v>
      </c>
    </row>
    <row r="25" spans="1:10" ht="33" x14ac:dyDescent="0.4">
      <c r="A25" s="6">
        <f t="shared" si="0"/>
        <v>24</v>
      </c>
      <c r="B25" s="7" t="s">
        <v>60</v>
      </c>
      <c r="C25" s="8" t="s">
        <v>52</v>
      </c>
      <c r="D25" s="8" t="s">
        <v>44</v>
      </c>
      <c r="E25" s="17" t="str">
        <f>IFERROR(VLOOKUP($C25,青_非機能まとめ!$C:$H,2,FALSE),"")</f>
        <v>業務時間内</v>
      </c>
      <c r="F25" s="17">
        <f>IFERROR(VLOOKUP($C25,青_非機能まとめ!$C:$H,4,FALSE),"")</f>
        <v>10</v>
      </c>
      <c r="G25" s="17">
        <f>IFERROR(VLOOKUP($C25,青_非機能まとめ!$C:$H,6,FALSE),"")</f>
        <v>4.1666666666666666E-3</v>
      </c>
    </row>
    <row r="26" spans="1:10" ht="33" x14ac:dyDescent="0.4">
      <c r="A26" s="6">
        <f t="shared" si="0"/>
        <v>25</v>
      </c>
      <c r="B26" s="7" t="s">
        <v>60</v>
      </c>
      <c r="C26" s="8" t="s">
        <v>53</v>
      </c>
      <c r="D26" s="8" t="s">
        <v>44</v>
      </c>
      <c r="E26" s="17" t="str">
        <f>IFERROR(VLOOKUP($C26,青_非機能まとめ!$C:$H,2,FALSE),"")</f>
        <v>業務時間内</v>
      </c>
      <c r="F26" s="17">
        <f>IFERROR(VLOOKUP($C26,青_非機能まとめ!$C:$H,4,FALSE),"")</f>
        <v>5</v>
      </c>
      <c r="G26" s="17">
        <f>IFERROR(VLOOKUP($C26,青_非機能まとめ!$C:$H,6,FALSE),"")</f>
        <v>1.2500000000000001E-5</v>
      </c>
      <c r="H26" t="s">
        <v>175</v>
      </c>
      <c r="I26" t="s">
        <v>189</v>
      </c>
      <c r="J26" t="s">
        <v>188</v>
      </c>
    </row>
    <row r="27" spans="1:10" ht="33" x14ac:dyDescent="0.4">
      <c r="A27" s="6">
        <f t="shared" si="0"/>
        <v>26</v>
      </c>
      <c r="B27" s="7" t="s">
        <v>60</v>
      </c>
      <c r="C27" s="8" t="s">
        <v>54</v>
      </c>
      <c r="D27" s="8" t="s">
        <v>44</v>
      </c>
      <c r="E27" s="17" t="str">
        <f>IFERROR(VLOOKUP($C27,青_非機能まとめ!$C:$H,2,FALSE),"")</f>
        <v>業務時間内</v>
      </c>
      <c r="F27" s="17">
        <f>IFERROR(VLOOKUP($C27,青_非機能まとめ!$C:$H,4,FALSE),"")</f>
        <v>30</v>
      </c>
      <c r="G27" s="17">
        <f>IFERROR(VLOOKUP($C27,青_非機能まとめ!$C:$H,6,FALSE),"")</f>
        <v>5</v>
      </c>
    </row>
    <row r="28" spans="1:10" ht="33" x14ac:dyDescent="0.4">
      <c r="A28" s="6">
        <f t="shared" si="0"/>
        <v>27</v>
      </c>
      <c r="B28" s="7" t="s">
        <v>60</v>
      </c>
      <c r="C28" s="8" t="s">
        <v>55</v>
      </c>
      <c r="D28" s="8" t="s">
        <v>44</v>
      </c>
      <c r="E28" s="17" t="str">
        <f>IFERROR(VLOOKUP($C28,青_非機能まとめ!$C:$H,2,FALSE),"")</f>
        <v>24時間/土日祝日除く</v>
      </c>
      <c r="F28" s="17">
        <f>IFERROR(VLOOKUP($C28,青_非機能まとめ!$C:$H,4,FALSE),"")</f>
        <v>20</v>
      </c>
      <c r="G28" s="17">
        <f>IFERROR(VLOOKUP($C28,青_非機能まとめ!$C:$H,6,FALSE),"")</f>
        <v>10</v>
      </c>
    </row>
    <row r="29" spans="1:10" ht="33" x14ac:dyDescent="0.4">
      <c r="A29" s="6">
        <f t="shared" si="0"/>
        <v>28</v>
      </c>
      <c r="B29" s="7" t="s">
        <v>60</v>
      </c>
      <c r="C29" s="8" t="s">
        <v>56</v>
      </c>
      <c r="D29" s="8" t="s">
        <v>44</v>
      </c>
      <c r="E29" s="17" t="str">
        <f>IFERROR(VLOOKUP($C29,青_非機能まとめ!$C:$H,2,FALSE),"")</f>
        <v>業務時間内</v>
      </c>
      <c r="F29" s="17">
        <f>IFERROR(VLOOKUP($C29,青_非機能まとめ!$C:$H,4,FALSE),"")</f>
        <v>100</v>
      </c>
      <c r="G29" s="17">
        <f>IFERROR(VLOOKUP($C29,青_非機能まとめ!$C:$H,6,FALSE),"")</f>
        <v>6</v>
      </c>
    </row>
    <row r="30" spans="1:10" ht="33" x14ac:dyDescent="0.4">
      <c r="A30" s="6">
        <f t="shared" si="0"/>
        <v>29</v>
      </c>
      <c r="B30" s="7" t="s">
        <v>60</v>
      </c>
      <c r="C30" s="8" t="s">
        <v>57</v>
      </c>
      <c r="D30" s="8" t="s">
        <v>44</v>
      </c>
      <c r="E30" s="17" t="str">
        <f>IFERROR(VLOOKUP($C30,青_非機能まとめ!$C:$H,2,FALSE),"")</f>
        <v>業務時間内</v>
      </c>
      <c r="F30" s="17">
        <f>IFERROR(VLOOKUP($C30,青_非機能まとめ!$C:$H,4,FALSE),"")</f>
        <v>50</v>
      </c>
      <c r="G30" s="17">
        <f>IFERROR(VLOOKUP($C30,青_非機能まとめ!$C:$H,6,FALSE),"")</f>
        <v>1</v>
      </c>
    </row>
    <row r="31" spans="1:10" ht="33" x14ac:dyDescent="0.4">
      <c r="A31" s="6">
        <f t="shared" si="0"/>
        <v>30</v>
      </c>
      <c r="B31" s="7" t="s">
        <v>60</v>
      </c>
      <c r="C31" s="8" t="s">
        <v>58</v>
      </c>
      <c r="D31" s="8" t="s">
        <v>44</v>
      </c>
      <c r="E31" s="17" t="str">
        <f>IFERROR(VLOOKUP($C31,青_非機能まとめ!$C:$H,2,FALSE),"")</f>
        <v>24時間/365日</v>
      </c>
      <c r="F31" s="17">
        <f>IFERROR(VLOOKUP($C31,青_非機能まとめ!$C:$H,4,FALSE),"")</f>
        <v>30</v>
      </c>
      <c r="G31" s="17">
        <f>IFERROR(VLOOKUP($C31,青_非機能まとめ!$C:$H,6,FALSE),"")</f>
        <v>0</v>
      </c>
    </row>
    <row r="32" spans="1:10" ht="33" x14ac:dyDescent="0.4">
      <c r="A32" s="6">
        <f t="shared" si="0"/>
        <v>31</v>
      </c>
      <c r="B32" s="7" t="s">
        <v>60</v>
      </c>
      <c r="C32" s="8" t="s">
        <v>59</v>
      </c>
      <c r="D32" s="8" t="s">
        <v>44</v>
      </c>
      <c r="E32" s="24" t="str">
        <f>IFERROR(VLOOKUP($C32,青_非機能まとめ!$C:$H,2,FALSE),"")</f>
        <v/>
      </c>
      <c r="F32" s="24" t="str">
        <f>IFERROR(VLOOKUP($C32,青_非機能まとめ!$C:$H,4,FALSE),"")</f>
        <v/>
      </c>
      <c r="G32" s="24" t="str">
        <f>IFERROR(VLOOKUP($C32,青_非機能まとめ!$C:$H,6,FALSE),"")</f>
        <v/>
      </c>
      <c r="H32" t="s">
        <v>187</v>
      </c>
    </row>
    <row r="33" spans="1:8" ht="33" x14ac:dyDescent="0.4">
      <c r="A33" s="9">
        <f t="shared" si="0"/>
        <v>32</v>
      </c>
      <c r="B33" s="10" t="s">
        <v>74</v>
      </c>
      <c r="C33" s="11" t="s">
        <v>61</v>
      </c>
      <c r="D33" s="11" t="s">
        <v>8</v>
      </c>
      <c r="E33" s="31"/>
      <c r="F33" s="31">
        <f>MEDIAN(F34,F36:F38,F40:F42,F46)</f>
        <v>50</v>
      </c>
      <c r="G33" s="31">
        <f>MEDIAN(G34,G36:G38,G40:G42,G46)</f>
        <v>0.5</v>
      </c>
    </row>
    <row r="34" spans="1:8" x14ac:dyDescent="0.4">
      <c r="A34" s="9">
        <f t="shared" si="0"/>
        <v>33</v>
      </c>
      <c r="B34" s="10" t="s">
        <v>74</v>
      </c>
      <c r="C34" s="11" t="s">
        <v>62</v>
      </c>
      <c r="D34" s="11" t="s">
        <v>8</v>
      </c>
      <c r="E34" s="17" t="str">
        <f>IFERROR(VLOOKUP($C34&amp;"-"&amp;$D34,白_非機能まとめ!$F:$L,3,FALSE),"")</f>
        <v>24時間/365日</v>
      </c>
      <c r="F34" s="17">
        <f>IFERROR(VLOOKUP($C34&amp;"-"&amp;$D34,白_非機能まとめ!$F:$L,5,FALSE),"")</f>
        <v>1000</v>
      </c>
      <c r="G34" s="17">
        <f>IFERROR(VLOOKUP($C34&amp;"-"&amp;$D34,白_非機能まとめ!$F:$L,7,FALSE),"")</f>
        <v>1</v>
      </c>
    </row>
    <row r="35" spans="1:8" ht="33" x14ac:dyDescent="0.4">
      <c r="A35" s="9">
        <f t="shared" si="0"/>
        <v>34</v>
      </c>
      <c r="B35" s="10" t="s">
        <v>74</v>
      </c>
      <c r="C35" s="11" t="s">
        <v>63</v>
      </c>
      <c r="D35" s="11" t="s">
        <v>8</v>
      </c>
      <c r="E35" s="31"/>
      <c r="F35" s="31">
        <f>MEDIAN(F34,F36:F38,F40:F42,F46)</f>
        <v>50</v>
      </c>
      <c r="G35" s="31">
        <f>MEDIAN(G34,G36:G38,G40:G42,G46)</f>
        <v>0.5</v>
      </c>
    </row>
    <row r="36" spans="1:8" ht="49.5" x14ac:dyDescent="0.4">
      <c r="A36" s="9">
        <f t="shared" si="0"/>
        <v>35</v>
      </c>
      <c r="B36" s="10" t="s">
        <v>74</v>
      </c>
      <c r="C36" s="11" t="s">
        <v>64</v>
      </c>
      <c r="D36" s="11" t="s">
        <v>9</v>
      </c>
      <c r="E36" s="17">
        <f>IFERROR(VLOOKUP($C36&amp;"-"&amp;$D36,白_非機能まとめ!$F:$L,3,FALSE),"")</f>
        <v>0</v>
      </c>
      <c r="F36" s="17">
        <f>IFERROR(VLOOKUP($C36&amp;"-"&amp;$D36,白_非機能まとめ!$F:$L,5,FALSE),"")</f>
        <v>0</v>
      </c>
      <c r="G36" s="17">
        <f>IFERROR(VLOOKUP($C36&amp;"-"&amp;$D36,白_非機能まとめ!$F:$L,7,FALSE),"")</f>
        <v>0</v>
      </c>
    </row>
    <row r="37" spans="1:8" ht="33" x14ac:dyDescent="0.4">
      <c r="A37" s="9">
        <f t="shared" si="0"/>
        <v>36</v>
      </c>
      <c r="B37" s="10" t="s">
        <v>74</v>
      </c>
      <c r="C37" s="11" t="s">
        <v>65</v>
      </c>
      <c r="D37" s="11" t="s">
        <v>10</v>
      </c>
      <c r="E37" s="17" t="str">
        <f>IFERROR(VLOOKUP($C37&amp;"-"&amp;$D37,白_非機能まとめ!$F:$L,3,FALSE),"")</f>
        <v>業務時間内</v>
      </c>
      <c r="F37" s="17">
        <f>IFERROR(VLOOKUP($C37&amp;"-"&amp;$D37,白_非機能まとめ!$F:$L,5,FALSE),"")</f>
        <v>100</v>
      </c>
      <c r="G37" s="17">
        <f>IFERROR(VLOOKUP($C37&amp;"-"&amp;$D37,白_非機能まとめ!$F:$L,7,FALSE),"")</f>
        <v>0.5</v>
      </c>
    </row>
    <row r="38" spans="1:8" ht="33" x14ac:dyDescent="0.4">
      <c r="A38" s="9">
        <f t="shared" si="0"/>
        <v>37</v>
      </c>
      <c r="B38" s="10" t="s">
        <v>74</v>
      </c>
      <c r="C38" s="11" t="s">
        <v>66</v>
      </c>
      <c r="D38" s="11" t="s">
        <v>11</v>
      </c>
      <c r="E38" s="17" t="str">
        <f>IFERROR(VLOOKUP($C38&amp;"-"&amp;$D38,白_非機能まとめ!$F:$L,3,FALSE),"")</f>
        <v>業務時間内</v>
      </c>
      <c r="F38" s="17">
        <f>IFERROR(VLOOKUP($C38&amp;"-"&amp;$D38,白_非機能まとめ!$F:$L,5,FALSE),"")</f>
        <v>20</v>
      </c>
      <c r="G38" s="17">
        <f>IFERROR(VLOOKUP($C38&amp;"-"&amp;$D38,白_非機能まとめ!$F:$L,7,FALSE),"")</f>
        <v>0.01</v>
      </c>
    </row>
    <row r="39" spans="1:8" x14ac:dyDescent="0.4">
      <c r="A39" s="9">
        <f t="shared" si="0"/>
        <v>38</v>
      </c>
      <c r="B39" s="10" t="s">
        <v>74</v>
      </c>
      <c r="C39" s="11" t="s">
        <v>67</v>
      </c>
      <c r="D39" s="11" t="s">
        <v>12</v>
      </c>
      <c r="E39" s="24" t="str">
        <f>IFERROR(VLOOKUP($C39&amp;"-"&amp;$D39,白_非機能まとめ!$F:$L,3,FALSE),"")</f>
        <v/>
      </c>
      <c r="F39" s="24" t="str">
        <f>IFERROR(VLOOKUP($C39&amp;"-"&amp;$D39,白_非機能まとめ!$F:$L,5,FALSE),"")</f>
        <v/>
      </c>
      <c r="G39" s="24" t="str">
        <f>IFERROR(VLOOKUP($C39&amp;"-"&amp;$D39,白_非機能まとめ!$F:$L,7,FALSE),"")</f>
        <v/>
      </c>
      <c r="H39" t="s">
        <v>229</v>
      </c>
    </row>
    <row r="40" spans="1:8" x14ac:dyDescent="0.4">
      <c r="A40" s="9">
        <f t="shared" si="0"/>
        <v>39</v>
      </c>
      <c r="B40" s="10" t="s">
        <v>74</v>
      </c>
      <c r="C40" s="11" t="s">
        <v>68</v>
      </c>
      <c r="D40" s="11" t="s">
        <v>13</v>
      </c>
      <c r="E40" s="17" t="str">
        <f>IFERROR(VLOOKUP($C40&amp;"-"&amp;$D40,白_非機能まとめ!$F:$L,3,FALSE),"")</f>
        <v>業務時間内</v>
      </c>
      <c r="F40" s="17">
        <f>IFERROR(VLOOKUP($C40&amp;"-"&amp;$D40,白_非機能まとめ!$F:$L,5,FALSE),"")</f>
        <v>200</v>
      </c>
      <c r="G40" s="17">
        <f>IFERROR(VLOOKUP($C40&amp;"-"&amp;$D40,白_非機能まとめ!$F:$L,7,FALSE),"")</f>
        <v>3</v>
      </c>
    </row>
    <row r="41" spans="1:8" x14ac:dyDescent="0.4">
      <c r="A41" s="9">
        <f t="shared" si="0"/>
        <v>40</v>
      </c>
      <c r="B41" s="10" t="s">
        <v>74</v>
      </c>
      <c r="C41" s="11" t="s">
        <v>69</v>
      </c>
      <c r="D41" s="11" t="s">
        <v>14</v>
      </c>
      <c r="E41" s="17" t="str">
        <f>IFERROR(VLOOKUP($C41&amp;"-"&amp;$D41,白_非機能まとめ!$F:$L,3,FALSE),"")</f>
        <v>業務時間内</v>
      </c>
      <c r="F41" s="17">
        <f>IFERROR(VLOOKUP($C41&amp;"-"&amp;$D41,白_非機能まとめ!$F:$L,5,FALSE),"")</f>
        <v>70</v>
      </c>
      <c r="G41" s="17">
        <f>IFERROR(VLOOKUP($C41&amp;"-"&amp;$D41,白_非機能まとめ!$F:$L,7,FALSE),"")</f>
        <v>3</v>
      </c>
    </row>
    <row r="42" spans="1:8" x14ac:dyDescent="0.4">
      <c r="A42" s="9">
        <f t="shared" si="0"/>
        <v>41</v>
      </c>
      <c r="B42" s="10" t="s">
        <v>74</v>
      </c>
      <c r="C42" s="11" t="s">
        <v>69</v>
      </c>
      <c r="D42" s="11" t="s">
        <v>15</v>
      </c>
      <c r="E42" s="17">
        <f>IFERROR(VLOOKUP($C42&amp;"-"&amp;$D42,白_非機能まとめ!$F:$L,3,FALSE),"")</f>
        <v>0</v>
      </c>
      <c r="F42" s="17">
        <f>IFERROR(VLOOKUP($C42&amp;"-"&amp;$D42,白_非機能まとめ!$F:$L,5,FALSE),"")</f>
        <v>0</v>
      </c>
      <c r="G42" s="17">
        <f>IFERROR(VLOOKUP($C42&amp;"-"&amp;$D42,白_非機能まとめ!$F:$L,7,FALSE),"")</f>
        <v>0</v>
      </c>
    </row>
    <row r="43" spans="1:8" ht="33" x14ac:dyDescent="0.4">
      <c r="A43" s="9">
        <f t="shared" si="0"/>
        <v>42</v>
      </c>
      <c r="B43" s="10" t="s">
        <v>74</v>
      </c>
      <c r="C43" s="11" t="s">
        <v>70</v>
      </c>
      <c r="D43" s="11" t="s">
        <v>16</v>
      </c>
      <c r="E43" s="24"/>
      <c r="F43" s="24"/>
      <c r="G43" s="24"/>
      <c r="H43" t="s">
        <v>229</v>
      </c>
    </row>
    <row r="44" spans="1:8" ht="33" x14ac:dyDescent="0.4">
      <c r="A44" s="9">
        <f t="shared" si="0"/>
        <v>43</v>
      </c>
      <c r="B44" s="10" t="s">
        <v>74</v>
      </c>
      <c r="C44" s="11" t="s">
        <v>71</v>
      </c>
      <c r="D44" s="11" t="s">
        <v>17</v>
      </c>
      <c r="E44" s="24"/>
      <c r="F44" s="24"/>
      <c r="G44" s="24"/>
      <c r="H44" t="s">
        <v>229</v>
      </c>
    </row>
    <row r="45" spans="1:8" ht="33" x14ac:dyDescent="0.4">
      <c r="A45" s="9">
        <f t="shared" si="0"/>
        <v>44</v>
      </c>
      <c r="B45" s="10" t="s">
        <v>74</v>
      </c>
      <c r="C45" s="11" t="s">
        <v>72</v>
      </c>
      <c r="D45" s="11" t="s">
        <v>18</v>
      </c>
      <c r="E45" s="24"/>
      <c r="F45" s="24"/>
      <c r="G45" s="24"/>
      <c r="H45" t="s">
        <v>229</v>
      </c>
    </row>
    <row r="46" spans="1:8" ht="33" x14ac:dyDescent="0.4">
      <c r="A46" s="9">
        <f t="shared" si="0"/>
        <v>45</v>
      </c>
      <c r="B46" s="10" t="s">
        <v>74</v>
      </c>
      <c r="C46" s="11" t="s">
        <v>73</v>
      </c>
      <c r="D46" s="11" t="s">
        <v>19</v>
      </c>
      <c r="E46" s="17" t="str">
        <f>IFERROR(VLOOKUP($C46&amp;"-"&amp;$D46,白_非機能まとめ!$F:$L,3,FALSE),"")</f>
        <v>業務時間内</v>
      </c>
      <c r="F46" s="17">
        <f>IFERROR(VLOOKUP($C46&amp;"-"&amp;$D46,白_非機能まとめ!$F:$L,5,FALSE),"")</f>
        <v>30</v>
      </c>
      <c r="G46" s="17">
        <f>IFERROR(VLOOKUP($C46&amp;"-"&amp;$D46,白_非機能まとめ!$F:$L,7,FALSE),"")</f>
        <v>0.5</v>
      </c>
    </row>
    <row r="47" spans="1:8" x14ac:dyDescent="0.4">
      <c r="A47" s="12" t="s">
        <v>78</v>
      </c>
      <c r="B47" s="12"/>
      <c r="C47" s="12"/>
      <c r="D47" s="12"/>
      <c r="E47" s="17"/>
      <c r="F47" s="17">
        <f>SUM(F2:F46)</f>
        <v>4988</v>
      </c>
      <c r="G47" s="17">
        <f>SUM(G2:G46)</f>
        <v>96.08858392857141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DD2F-BA61-418C-9F0E-0ED069A01650}">
  <sheetPr>
    <tabColor theme="0" tint="-0.499984740745262"/>
  </sheetPr>
  <dimension ref="A1"/>
  <sheetViews>
    <sheetView workbookViewId="0">
      <selection activeCell="F30" sqref="F30"/>
    </sheetView>
  </sheetViews>
  <sheetFormatPr defaultRowHeight="18.75" x14ac:dyDescent="0.4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0E90-1406-4658-9F3A-20B2B5D6148B}">
  <dimension ref="A2:I15"/>
  <sheetViews>
    <sheetView topLeftCell="C6" workbookViewId="0">
      <selection activeCell="E15" sqref="E15:F15"/>
    </sheetView>
  </sheetViews>
  <sheetFormatPr defaultRowHeight="18.75" x14ac:dyDescent="0.4"/>
  <cols>
    <col min="1" max="1" width="2.625" bestFit="1" customWidth="1"/>
    <col min="2" max="3" width="51.375" style="13" customWidth="1"/>
    <col min="4" max="9" width="51.375" customWidth="1"/>
  </cols>
  <sheetData>
    <row r="2" spans="1:9" x14ac:dyDescent="0.4">
      <c r="A2" s="14" t="s">
        <v>79</v>
      </c>
      <c r="B2" s="15" t="s">
        <v>80</v>
      </c>
      <c r="C2" s="15"/>
      <c r="D2" s="14" t="s">
        <v>81</v>
      </c>
      <c r="E2" s="14"/>
      <c r="F2" s="14" t="s">
        <v>82</v>
      </c>
      <c r="G2" s="14"/>
      <c r="H2" s="14" t="s">
        <v>83</v>
      </c>
      <c r="I2" s="14"/>
    </row>
    <row r="3" spans="1:9" ht="37.5" x14ac:dyDescent="0.4">
      <c r="A3">
        <v>1</v>
      </c>
      <c r="B3" s="13" t="s">
        <v>84</v>
      </c>
      <c r="C3" s="13" t="s">
        <v>29</v>
      </c>
      <c r="D3" t="s">
        <v>85</v>
      </c>
      <c r="E3" t="s">
        <v>86</v>
      </c>
      <c r="F3">
        <v>130</v>
      </c>
      <c r="G3">
        <v>130</v>
      </c>
      <c r="H3" t="s">
        <v>87</v>
      </c>
      <c r="I3">
        <v>2.0833333333333332E-2</v>
      </c>
    </row>
    <row r="4" spans="1:9" ht="93.75" x14ac:dyDescent="0.4">
      <c r="A4">
        <v>2</v>
      </c>
      <c r="B4" s="13" t="s">
        <v>191</v>
      </c>
      <c r="C4" s="13" t="s">
        <v>27</v>
      </c>
      <c r="D4" t="s">
        <v>88</v>
      </c>
      <c r="E4" t="s">
        <v>89</v>
      </c>
      <c r="F4">
        <v>100</v>
      </c>
      <c r="G4">
        <v>100</v>
      </c>
      <c r="H4" t="s">
        <v>90</v>
      </c>
      <c r="I4">
        <v>5</v>
      </c>
    </row>
    <row r="5" spans="1:9" ht="56.25" x14ac:dyDescent="0.4">
      <c r="A5">
        <v>3</v>
      </c>
      <c r="B5" s="13" t="s">
        <v>91</v>
      </c>
      <c r="C5" s="13" t="s">
        <v>28</v>
      </c>
      <c r="D5" t="s">
        <v>92</v>
      </c>
      <c r="E5" t="s">
        <v>86</v>
      </c>
      <c r="F5" t="s">
        <v>93</v>
      </c>
      <c r="G5">
        <v>100</v>
      </c>
      <c r="H5" t="s">
        <v>94</v>
      </c>
      <c r="I5">
        <v>0.125</v>
      </c>
    </row>
    <row r="6" spans="1:9" ht="56.25" x14ac:dyDescent="0.4">
      <c r="A6">
        <v>4</v>
      </c>
      <c r="B6" s="13" t="s">
        <v>193</v>
      </c>
      <c r="C6" s="13" t="s">
        <v>35</v>
      </c>
      <c r="D6" t="s">
        <v>95</v>
      </c>
      <c r="E6" t="s">
        <v>96</v>
      </c>
      <c r="F6" t="s">
        <v>97</v>
      </c>
      <c r="G6">
        <v>500</v>
      </c>
      <c r="H6" t="s">
        <v>98</v>
      </c>
      <c r="I6">
        <v>0.5</v>
      </c>
    </row>
    <row r="7" spans="1:9" ht="56.25" x14ac:dyDescent="0.4">
      <c r="A7">
        <v>5</v>
      </c>
      <c r="B7" s="13" t="s">
        <v>192</v>
      </c>
      <c r="C7" s="13" t="s">
        <v>31</v>
      </c>
      <c r="D7" t="s">
        <v>95</v>
      </c>
      <c r="E7" t="s">
        <v>96</v>
      </c>
      <c r="F7">
        <v>40</v>
      </c>
      <c r="G7">
        <v>40</v>
      </c>
      <c r="H7" t="s">
        <v>99</v>
      </c>
      <c r="I7">
        <v>3</v>
      </c>
    </row>
    <row r="8" spans="1:9" ht="37.5" x14ac:dyDescent="0.4">
      <c r="A8">
        <v>6</v>
      </c>
      <c r="B8" s="13" t="s">
        <v>100</v>
      </c>
      <c r="C8" s="13" t="s">
        <v>40</v>
      </c>
      <c r="D8" t="s">
        <v>101</v>
      </c>
      <c r="E8" t="s">
        <v>86</v>
      </c>
      <c r="F8">
        <v>700</v>
      </c>
      <c r="G8">
        <v>700</v>
      </c>
      <c r="H8" t="s">
        <v>102</v>
      </c>
      <c r="I8">
        <v>3</v>
      </c>
    </row>
    <row r="9" spans="1:9" ht="37.5" x14ac:dyDescent="0.4">
      <c r="A9">
        <v>7</v>
      </c>
      <c r="B9" s="13" t="s">
        <v>103</v>
      </c>
      <c r="C9" s="13" t="s">
        <v>30</v>
      </c>
      <c r="D9" t="s">
        <v>104</v>
      </c>
      <c r="E9" t="s">
        <v>105</v>
      </c>
      <c r="F9">
        <v>100</v>
      </c>
      <c r="G9">
        <v>100</v>
      </c>
      <c r="H9" t="s">
        <v>99</v>
      </c>
      <c r="I9">
        <v>3</v>
      </c>
    </row>
    <row r="10" spans="1:9" ht="56.25" x14ac:dyDescent="0.4">
      <c r="A10" s="13">
        <v>8</v>
      </c>
      <c r="B10" s="13" t="s">
        <v>158</v>
      </c>
      <c r="C10" s="13" t="s">
        <v>39</v>
      </c>
      <c r="D10" t="s">
        <v>163</v>
      </c>
      <c r="E10" s="13" t="s">
        <v>164</v>
      </c>
      <c r="F10" t="s">
        <v>165</v>
      </c>
      <c r="G10" s="13">
        <v>100</v>
      </c>
      <c r="H10" t="s">
        <v>166</v>
      </c>
      <c r="I10" s="13">
        <v>3</v>
      </c>
    </row>
    <row r="11" spans="1:9" ht="56.25" x14ac:dyDescent="0.4">
      <c r="A11" s="13">
        <v>9</v>
      </c>
      <c r="B11" s="13" t="s">
        <v>159</v>
      </c>
      <c r="C11" s="13" t="s">
        <v>41</v>
      </c>
      <c r="D11" s="13" t="s">
        <v>167</v>
      </c>
      <c r="E11" s="13" t="s">
        <v>96</v>
      </c>
      <c r="F11" s="13" t="s">
        <v>168</v>
      </c>
      <c r="G11" s="13">
        <v>50</v>
      </c>
      <c r="H11" s="13" t="s">
        <v>125</v>
      </c>
      <c r="I11" s="13">
        <v>1</v>
      </c>
    </row>
    <row r="12" spans="1:9" ht="37.5" x14ac:dyDescent="0.4">
      <c r="A12" s="13">
        <v>10</v>
      </c>
      <c r="B12" s="13" t="s">
        <v>160</v>
      </c>
      <c r="C12" s="13" t="s">
        <v>33</v>
      </c>
      <c r="D12" t="s">
        <v>169</v>
      </c>
      <c r="E12" s="13" t="s">
        <v>96</v>
      </c>
      <c r="F12" s="13" t="s">
        <v>170</v>
      </c>
      <c r="G12" s="13">
        <v>50</v>
      </c>
      <c r="H12" s="13" t="s">
        <v>171</v>
      </c>
      <c r="I12" s="13">
        <v>3</v>
      </c>
    </row>
    <row r="13" spans="1:9" ht="56.25" x14ac:dyDescent="0.4">
      <c r="A13" s="13">
        <v>11</v>
      </c>
      <c r="B13" s="13" t="s">
        <v>161</v>
      </c>
      <c r="C13" s="13" t="s">
        <v>38</v>
      </c>
      <c r="D13" t="s">
        <v>169</v>
      </c>
      <c r="E13" s="13" t="s">
        <v>96</v>
      </c>
      <c r="F13" s="13" t="s">
        <v>172</v>
      </c>
      <c r="G13" s="13">
        <v>20</v>
      </c>
      <c r="H13" s="13" t="s">
        <v>173</v>
      </c>
      <c r="I13" s="13">
        <v>1</v>
      </c>
    </row>
    <row r="14" spans="1:9" ht="37.5" x14ac:dyDescent="0.4">
      <c r="A14" s="13">
        <v>12</v>
      </c>
      <c r="B14" s="13" t="s">
        <v>162</v>
      </c>
      <c r="D14" t="s">
        <v>169</v>
      </c>
      <c r="E14" s="13" t="s">
        <v>96</v>
      </c>
      <c r="F14" s="13" t="s">
        <v>174</v>
      </c>
      <c r="G14" s="13">
        <v>30</v>
      </c>
      <c r="H14" s="13" t="s">
        <v>125</v>
      </c>
      <c r="I14" s="13">
        <v>1</v>
      </c>
    </row>
    <row r="15" spans="1:9" ht="75" x14ac:dyDescent="0.4">
      <c r="A15" s="13">
        <v>13</v>
      </c>
      <c r="B15" t="s">
        <v>194</v>
      </c>
      <c r="C15" s="13" t="s">
        <v>37</v>
      </c>
      <c r="E15" s="13" t="s">
        <v>89</v>
      </c>
      <c r="F15" t="s">
        <v>195</v>
      </c>
      <c r="G15" s="13">
        <v>300</v>
      </c>
      <c r="H15" t="s">
        <v>196</v>
      </c>
      <c r="I15" s="13">
        <v>1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5BF7-9ABC-48AF-AEA3-D6568F90A43D}">
  <dimension ref="A2:H19"/>
  <sheetViews>
    <sheetView workbookViewId="0">
      <selection activeCell="C5" sqref="C5"/>
    </sheetView>
  </sheetViews>
  <sheetFormatPr defaultRowHeight="18.75" x14ac:dyDescent="0.4"/>
  <cols>
    <col min="1" max="1" width="3.5" bestFit="1" customWidth="1"/>
    <col min="2" max="3" width="48" style="13" customWidth="1"/>
    <col min="4" max="8" width="20.875" customWidth="1"/>
  </cols>
  <sheetData>
    <row r="2" spans="1:8" ht="56.25" x14ac:dyDescent="0.4">
      <c r="A2" s="18" t="s">
        <v>106</v>
      </c>
      <c r="B2" s="19" t="s">
        <v>107</v>
      </c>
      <c r="C2" s="20"/>
      <c r="D2" s="18" t="s">
        <v>108</v>
      </c>
      <c r="E2" s="18" t="s">
        <v>109</v>
      </c>
      <c r="F2" s="18" t="s">
        <v>110</v>
      </c>
      <c r="G2" s="18" t="s">
        <v>111</v>
      </c>
      <c r="H2" s="18" t="s">
        <v>112</v>
      </c>
    </row>
    <row r="3" spans="1:8" ht="56.25" x14ac:dyDescent="0.4">
      <c r="A3">
        <v>1</v>
      </c>
      <c r="B3" s="13" t="s">
        <v>113</v>
      </c>
      <c r="C3" s="13" t="s">
        <v>48</v>
      </c>
      <c r="D3" t="s">
        <v>114</v>
      </c>
      <c r="E3" t="s">
        <v>115</v>
      </c>
      <c r="F3">
        <v>330</v>
      </c>
      <c r="G3" t="s">
        <v>116</v>
      </c>
      <c r="H3">
        <v>2.71428571428571</v>
      </c>
    </row>
    <row r="4" spans="1:8" ht="56.25" x14ac:dyDescent="0.4">
      <c r="A4">
        <v>2</v>
      </c>
      <c r="B4" s="13" t="s">
        <v>117</v>
      </c>
      <c r="C4" s="13" t="s">
        <v>50</v>
      </c>
      <c r="D4" t="s">
        <v>114</v>
      </c>
      <c r="E4" t="s">
        <v>118</v>
      </c>
      <c r="F4">
        <v>3</v>
      </c>
      <c r="G4" t="s">
        <v>119</v>
      </c>
      <c r="H4">
        <v>2</v>
      </c>
    </row>
    <row r="5" spans="1:8" ht="37.5" x14ac:dyDescent="0.4">
      <c r="A5">
        <v>3</v>
      </c>
      <c r="B5" s="13" t="s">
        <v>120</v>
      </c>
      <c r="C5" s="13" t="s">
        <v>53</v>
      </c>
      <c r="D5" t="s">
        <v>114</v>
      </c>
      <c r="E5" t="s">
        <v>121</v>
      </c>
      <c r="F5">
        <v>5</v>
      </c>
      <c r="G5" t="s">
        <v>122</v>
      </c>
      <c r="H5">
        <v>1.2500000000000001E-5</v>
      </c>
    </row>
    <row r="6" spans="1:8" ht="37.5" x14ac:dyDescent="0.4">
      <c r="A6">
        <v>4</v>
      </c>
      <c r="B6" s="13" t="s">
        <v>123</v>
      </c>
      <c r="C6" s="13" t="s">
        <v>57</v>
      </c>
      <c r="D6" t="s">
        <v>114</v>
      </c>
      <c r="E6" t="s">
        <v>124</v>
      </c>
      <c r="F6">
        <v>50</v>
      </c>
      <c r="G6" t="s">
        <v>125</v>
      </c>
      <c r="H6">
        <v>1</v>
      </c>
    </row>
    <row r="7" spans="1:8" ht="56.25" x14ac:dyDescent="0.4">
      <c r="A7">
        <v>5</v>
      </c>
      <c r="B7" s="13" t="s">
        <v>50</v>
      </c>
      <c r="C7" s="13" t="str">
        <f>VLOOKUP(B7,DB一覧!$C$18:$C$32,1,FALSE)</f>
        <v>ベーシックマテリアルズ＆ポリマーズビジネスグループ　マテリアルズ＆ポリマーズ事業本部 新規バイオケミカル室</v>
      </c>
      <c r="D7" t="s">
        <v>114</v>
      </c>
      <c r="E7" t="s">
        <v>126</v>
      </c>
      <c r="F7">
        <v>1000</v>
      </c>
      <c r="G7" t="s">
        <v>125</v>
      </c>
      <c r="H7">
        <v>1</v>
      </c>
    </row>
    <row r="8" spans="1:8" ht="56.25" x14ac:dyDescent="0.4">
      <c r="A8">
        <v>6</v>
      </c>
      <c r="B8" s="13" t="s">
        <v>127</v>
      </c>
      <c r="C8" s="13" t="s">
        <v>45</v>
      </c>
      <c r="D8" t="s">
        <v>114</v>
      </c>
      <c r="E8" t="s">
        <v>128</v>
      </c>
      <c r="G8" t="s">
        <v>129</v>
      </c>
    </row>
    <row r="9" spans="1:8" ht="37.5" x14ac:dyDescent="0.4">
      <c r="A9">
        <v>7</v>
      </c>
      <c r="B9" s="13" t="s">
        <v>130</v>
      </c>
      <c r="C9" s="13" t="s">
        <v>54</v>
      </c>
      <c r="D9" t="s">
        <v>114</v>
      </c>
      <c r="E9" t="s">
        <v>115</v>
      </c>
      <c r="F9">
        <v>30</v>
      </c>
      <c r="G9" t="s">
        <v>131</v>
      </c>
      <c r="H9">
        <v>5</v>
      </c>
    </row>
    <row r="10" spans="1:8" ht="37.5" x14ac:dyDescent="0.4">
      <c r="A10">
        <v>8</v>
      </c>
      <c r="B10" s="13" t="s">
        <v>132</v>
      </c>
      <c r="C10" s="13" t="s">
        <v>49</v>
      </c>
      <c r="D10" t="s">
        <v>114</v>
      </c>
      <c r="E10" t="s">
        <v>133</v>
      </c>
      <c r="F10">
        <v>70</v>
      </c>
      <c r="G10" t="s">
        <v>134</v>
      </c>
      <c r="H10">
        <v>6</v>
      </c>
    </row>
    <row r="11" spans="1:8" ht="37.5" x14ac:dyDescent="0.4">
      <c r="A11" s="21">
        <v>9</v>
      </c>
      <c r="B11" s="22" t="s">
        <v>48</v>
      </c>
      <c r="C11" s="22"/>
      <c r="D11" s="21" t="s">
        <v>135</v>
      </c>
      <c r="E11" s="21" t="s">
        <v>136</v>
      </c>
      <c r="F11" s="21">
        <v>300</v>
      </c>
      <c r="G11" s="21" t="s">
        <v>137</v>
      </c>
      <c r="H11" s="21">
        <v>2</v>
      </c>
    </row>
    <row r="12" spans="1:8" ht="37.5" x14ac:dyDescent="0.4">
      <c r="A12">
        <v>10</v>
      </c>
      <c r="B12" s="13" t="s">
        <v>138</v>
      </c>
      <c r="C12" s="13" t="s">
        <v>47</v>
      </c>
      <c r="D12" t="s">
        <v>114</v>
      </c>
      <c r="E12" t="s">
        <v>93</v>
      </c>
      <c r="F12">
        <v>100</v>
      </c>
      <c r="G12" t="s">
        <v>139</v>
      </c>
      <c r="H12">
        <v>10</v>
      </c>
    </row>
    <row r="13" spans="1:8" ht="37.5" x14ac:dyDescent="0.4">
      <c r="A13">
        <v>11</v>
      </c>
      <c r="B13" s="13" t="s">
        <v>140</v>
      </c>
      <c r="C13" s="8" t="s">
        <v>55</v>
      </c>
      <c r="D13" t="s">
        <v>105</v>
      </c>
      <c r="E13" t="s">
        <v>141</v>
      </c>
      <c r="F13">
        <v>20</v>
      </c>
      <c r="G13" t="s">
        <v>142</v>
      </c>
      <c r="H13">
        <v>10</v>
      </c>
    </row>
    <row r="14" spans="1:8" ht="56.25" x14ac:dyDescent="0.4">
      <c r="A14">
        <v>12</v>
      </c>
      <c r="B14" s="13" t="s">
        <v>143</v>
      </c>
      <c r="C14" s="13" t="s">
        <v>46</v>
      </c>
      <c r="D14" t="s">
        <v>135</v>
      </c>
      <c r="E14" t="s">
        <v>144</v>
      </c>
      <c r="F14">
        <v>100</v>
      </c>
      <c r="G14" t="s">
        <v>145</v>
      </c>
      <c r="H14">
        <v>10</v>
      </c>
    </row>
    <row r="15" spans="1:8" ht="37.5" x14ac:dyDescent="0.4">
      <c r="A15">
        <v>13</v>
      </c>
      <c r="B15" s="13" t="s">
        <v>146</v>
      </c>
      <c r="C15" s="13" t="s">
        <v>56</v>
      </c>
      <c r="D15" t="s">
        <v>114</v>
      </c>
      <c r="E15" t="s">
        <v>144</v>
      </c>
      <c r="F15">
        <v>100</v>
      </c>
      <c r="G15" t="s">
        <v>147</v>
      </c>
      <c r="H15">
        <v>6</v>
      </c>
    </row>
    <row r="16" spans="1:8" ht="56.25" x14ac:dyDescent="0.4">
      <c r="A16" s="21">
        <v>14</v>
      </c>
      <c r="B16" s="22" t="s">
        <v>148</v>
      </c>
      <c r="C16" s="22"/>
      <c r="D16" s="21" t="s">
        <v>105</v>
      </c>
      <c r="E16" s="21" t="s">
        <v>144</v>
      </c>
      <c r="F16" s="21">
        <v>100</v>
      </c>
      <c r="G16" s="21" t="s">
        <v>149</v>
      </c>
      <c r="H16" s="21">
        <v>1</v>
      </c>
    </row>
    <row r="17" spans="1:8" ht="37.5" x14ac:dyDescent="0.4">
      <c r="A17">
        <v>15</v>
      </c>
      <c r="B17" s="13" t="s">
        <v>150</v>
      </c>
      <c r="C17" s="13" t="s">
        <v>58</v>
      </c>
      <c r="D17" t="s">
        <v>135</v>
      </c>
      <c r="E17" t="s">
        <v>115</v>
      </c>
      <c r="F17">
        <v>30</v>
      </c>
      <c r="G17" t="s">
        <v>151</v>
      </c>
      <c r="H17">
        <v>0</v>
      </c>
    </row>
    <row r="18" spans="1:8" x14ac:dyDescent="0.4">
      <c r="A18" s="21">
        <v>16</v>
      </c>
      <c r="B18" s="22" t="s">
        <v>152</v>
      </c>
      <c r="C18" s="22" t="s">
        <v>157</v>
      </c>
      <c r="D18" s="21" t="s">
        <v>114</v>
      </c>
      <c r="E18" s="21" t="s">
        <v>153</v>
      </c>
      <c r="F18" s="21">
        <v>10</v>
      </c>
      <c r="G18" s="21" t="s">
        <v>154</v>
      </c>
      <c r="H18" s="21">
        <v>8.3333333333333329E-2</v>
      </c>
    </row>
    <row r="19" spans="1:8" ht="37.5" x14ac:dyDescent="0.4">
      <c r="A19">
        <v>17</v>
      </c>
      <c r="B19" s="13" t="s">
        <v>52</v>
      </c>
      <c r="C19" s="13" t="str">
        <f>VLOOKUP(B19,DB一覧!$C$18:$C$32,1,FALSE)</f>
        <v>ベーシックマテリアルズ＆ポリマーズビジネスグループ　戦略企画本部 ＣＮ・ＣＥ戦略部</v>
      </c>
      <c r="D19" t="s">
        <v>114</v>
      </c>
      <c r="E19" t="s">
        <v>155</v>
      </c>
      <c r="F19">
        <v>10</v>
      </c>
      <c r="G19" t="s">
        <v>156</v>
      </c>
      <c r="H19">
        <v>4.1666666666666666E-3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9993-DC07-486E-998A-F355144810C9}">
  <dimension ref="A1:L12"/>
  <sheetViews>
    <sheetView topLeftCell="A8" workbookViewId="0">
      <selection activeCell="E9" sqref="A9:E9"/>
    </sheetView>
  </sheetViews>
  <sheetFormatPr defaultRowHeight="18.75" x14ac:dyDescent="0.4"/>
  <cols>
    <col min="3" max="3" width="47" style="13" customWidth="1"/>
    <col min="4" max="4" width="47" customWidth="1"/>
    <col min="5" max="6" width="24" style="13" customWidth="1"/>
  </cols>
  <sheetData>
    <row r="1" spans="1:12" ht="75" x14ac:dyDescent="0.4">
      <c r="A1" s="14" t="s">
        <v>106</v>
      </c>
      <c r="B1" s="14" t="s">
        <v>197</v>
      </c>
      <c r="C1" s="15" t="s">
        <v>198</v>
      </c>
      <c r="D1" s="21"/>
      <c r="E1" s="22"/>
      <c r="F1" s="22"/>
      <c r="G1" s="14" t="s">
        <v>108</v>
      </c>
      <c r="H1" s="21"/>
      <c r="I1" s="14" t="s">
        <v>109</v>
      </c>
      <c r="J1" s="21"/>
      <c r="K1" s="14" t="s">
        <v>111</v>
      </c>
      <c r="L1" s="21"/>
    </row>
    <row r="2" spans="1:12" ht="56.25" x14ac:dyDescent="0.4">
      <c r="A2">
        <v>1</v>
      </c>
      <c r="B2" t="s">
        <v>199</v>
      </c>
      <c r="C2" s="13" t="s">
        <v>220</v>
      </c>
      <c r="D2" s="5" t="s">
        <v>69</v>
      </c>
      <c r="E2" s="23" t="s">
        <v>227</v>
      </c>
      <c r="F2" s="23" t="str">
        <f>D2&amp;"-"&amp;E2</f>
        <v>広島事業所　樹脂製造部　（技術G/企画調整G）-納入仕様書システム</v>
      </c>
      <c r="G2" t="s">
        <v>114</v>
      </c>
      <c r="H2" t="s">
        <v>114</v>
      </c>
      <c r="I2" t="s">
        <v>200</v>
      </c>
      <c r="J2">
        <v>60</v>
      </c>
      <c r="K2" t="s">
        <v>201</v>
      </c>
      <c r="L2">
        <v>38</v>
      </c>
    </row>
    <row r="3" spans="1:12" ht="56.25" x14ac:dyDescent="0.4">
      <c r="A3" s="21"/>
      <c r="B3" s="21"/>
      <c r="C3" s="22"/>
      <c r="D3" s="5" t="s">
        <v>69</v>
      </c>
      <c r="E3" s="23" t="s">
        <v>228</v>
      </c>
      <c r="F3" s="23" t="str">
        <f t="shared" ref="F3:F12" si="0">D3&amp;"-"&amp;E3</f>
        <v>広島事業所　樹脂製造部　（技術G/企画調整G）-納入仕様書DB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150" x14ac:dyDescent="0.4">
      <c r="A4">
        <v>2</v>
      </c>
      <c r="B4" t="s">
        <v>202</v>
      </c>
      <c r="C4" s="13" t="s">
        <v>221</v>
      </c>
      <c r="D4" s="11" t="s">
        <v>73</v>
      </c>
      <c r="E4" s="11" t="s">
        <v>19</v>
      </c>
      <c r="F4" s="23" t="str">
        <f t="shared" si="0"/>
        <v>ＭＭＡ＆デリバティブズビジネスグループ　コーティング＆アディティブスグローバルビジネス本部　（コーティング事業部/SPR事業部-納入仕様書・調査書DB（スペシャリティポリマー部）</v>
      </c>
      <c r="G4" t="s">
        <v>114</v>
      </c>
      <c r="H4" t="s">
        <v>114</v>
      </c>
      <c r="I4" t="s">
        <v>115</v>
      </c>
      <c r="J4">
        <v>30</v>
      </c>
      <c r="K4" t="s">
        <v>203</v>
      </c>
      <c r="L4">
        <v>0.5</v>
      </c>
    </row>
    <row r="5" spans="1:12" ht="56.25" x14ac:dyDescent="0.4">
      <c r="A5">
        <v>3</v>
      </c>
      <c r="B5" t="s">
        <v>204</v>
      </c>
      <c r="C5" s="13" t="s">
        <v>205</v>
      </c>
      <c r="D5" s="11" t="s">
        <v>68</v>
      </c>
      <c r="E5" s="11" t="s">
        <v>13</v>
      </c>
      <c r="F5" s="23" t="str">
        <f t="shared" si="0"/>
        <v>広島事業所　化成品製造部　生産技術課-化成品購買仕様書掲示</v>
      </c>
      <c r="G5" t="s">
        <v>114</v>
      </c>
      <c r="H5" t="s">
        <v>114</v>
      </c>
      <c r="I5" t="s">
        <v>206</v>
      </c>
      <c r="J5">
        <v>200</v>
      </c>
      <c r="K5" t="s">
        <v>99</v>
      </c>
      <c r="L5">
        <v>3</v>
      </c>
    </row>
    <row r="6" spans="1:12" ht="93.75" x14ac:dyDescent="0.4">
      <c r="A6">
        <v>4</v>
      </c>
      <c r="B6" t="s">
        <v>207</v>
      </c>
      <c r="C6" s="13" t="s">
        <v>222</v>
      </c>
      <c r="D6" s="11" t="s">
        <v>65</v>
      </c>
      <c r="E6" s="11" t="s">
        <v>10</v>
      </c>
      <c r="F6" s="23" t="str">
        <f t="shared" si="0"/>
        <v>ポリマーズ＆コンパウンズ／ＭＭＡビジネスグループ　ＭＭＡグローバルテクノロジー本部　ＡＮ技術部-ＡＮ納入仕様書管理</v>
      </c>
      <c r="G6" t="s">
        <v>114</v>
      </c>
      <c r="H6" t="s">
        <v>114</v>
      </c>
      <c r="I6" t="s">
        <v>144</v>
      </c>
      <c r="J6">
        <v>100</v>
      </c>
      <c r="K6" t="s">
        <v>208</v>
      </c>
      <c r="L6">
        <v>0.5</v>
      </c>
    </row>
    <row r="7" spans="1:12" ht="150" x14ac:dyDescent="0.4">
      <c r="A7">
        <v>5</v>
      </c>
      <c r="B7" t="s">
        <v>209</v>
      </c>
      <c r="C7" s="13" t="s">
        <v>223</v>
      </c>
      <c r="D7" s="5" t="s">
        <v>64</v>
      </c>
      <c r="E7" s="23" t="s">
        <v>228</v>
      </c>
      <c r="F7" s="23" t="str">
        <f t="shared" si="0"/>
        <v>ＭＭＡ&amp;デリバティブスビジネスグループ　コーティング・アディティブスグローバルビジネス本部　(コーティング・アディティブス技術部　製品技術グループ/SPR事業部）-納入仕様書DB</v>
      </c>
      <c r="G7" t="s">
        <v>114</v>
      </c>
      <c r="H7" t="s">
        <v>114</v>
      </c>
      <c r="I7" t="s">
        <v>206</v>
      </c>
      <c r="J7">
        <v>200</v>
      </c>
      <c r="K7" t="s">
        <v>125</v>
      </c>
      <c r="L7">
        <v>1</v>
      </c>
    </row>
    <row r="8" spans="1:12" ht="150" x14ac:dyDescent="0.4">
      <c r="A8" s="21"/>
      <c r="B8" s="21"/>
      <c r="C8" s="22"/>
      <c r="D8" s="5" t="s">
        <v>64</v>
      </c>
      <c r="E8" s="23" t="s">
        <v>227</v>
      </c>
      <c r="F8" s="23" t="str">
        <f t="shared" si="0"/>
        <v>ＭＭＡ&amp;デリバティブスビジネスグループ　コーティング・アディティブスグローバルビジネス本部　(コーティング・アディティブス技術部　製品技術グループ/SPR事業部）-納入仕様書システム</v>
      </c>
    </row>
    <row r="9" spans="1:12" ht="112.5" x14ac:dyDescent="0.4">
      <c r="A9">
        <v>6</v>
      </c>
      <c r="B9" t="s">
        <v>210</v>
      </c>
      <c r="C9" s="13" t="s">
        <v>72</v>
      </c>
      <c r="D9" s="11" t="s">
        <v>72</v>
      </c>
      <c r="E9" s="11" t="s">
        <v>18</v>
      </c>
      <c r="F9" s="23" t="str">
        <f t="shared" si="0"/>
        <v>アドバンストソリューションズビジネスグループ　ライフソリューションズ本部　フード・ヘルスケア事業部　フード品質保証グループ-LS事業部SDS</v>
      </c>
      <c r="G9" t="s">
        <v>114</v>
      </c>
      <c r="H9" t="s">
        <v>114</v>
      </c>
      <c r="I9" t="s">
        <v>211</v>
      </c>
      <c r="J9">
        <v>160</v>
      </c>
      <c r="K9" t="s">
        <v>212</v>
      </c>
      <c r="L9">
        <v>25</v>
      </c>
    </row>
    <row r="10" spans="1:12" ht="56.25" x14ac:dyDescent="0.4">
      <c r="A10">
        <v>7</v>
      </c>
      <c r="B10" t="s">
        <v>213</v>
      </c>
      <c r="C10" s="13" t="s">
        <v>224</v>
      </c>
      <c r="D10" s="11" t="s">
        <v>62</v>
      </c>
      <c r="E10" s="13" t="s">
        <v>8</v>
      </c>
      <c r="F10" s="23" t="str">
        <f t="shared" si="0"/>
        <v>SC所管 OPJ 中日本事業所 品質保証部 FF品証１G-貿易管理・納入仕様書ＤＢ</v>
      </c>
      <c r="G10" t="s">
        <v>135</v>
      </c>
      <c r="H10" t="s">
        <v>135</v>
      </c>
      <c r="I10" t="s">
        <v>214</v>
      </c>
      <c r="J10">
        <v>1000</v>
      </c>
      <c r="K10" t="s">
        <v>215</v>
      </c>
      <c r="L10">
        <v>1</v>
      </c>
    </row>
    <row r="11" spans="1:12" ht="56.25" x14ac:dyDescent="0.4">
      <c r="A11">
        <v>8</v>
      </c>
      <c r="B11" t="s">
        <v>216</v>
      </c>
      <c r="C11" s="13" t="s">
        <v>225</v>
      </c>
      <c r="D11" s="11" t="s">
        <v>69</v>
      </c>
      <c r="E11" s="11" t="s">
        <v>14</v>
      </c>
      <c r="F11" s="23" t="str">
        <f t="shared" si="0"/>
        <v>広島事業所　樹脂製造部　（技術G/企画調整G）-メタブレン納入仕様書</v>
      </c>
      <c r="G11" t="s">
        <v>114</v>
      </c>
      <c r="H11" t="s">
        <v>114</v>
      </c>
      <c r="I11" t="s">
        <v>133</v>
      </c>
      <c r="J11">
        <v>70</v>
      </c>
      <c r="K11" t="s">
        <v>99</v>
      </c>
      <c r="L11">
        <v>3</v>
      </c>
    </row>
    <row r="12" spans="1:12" ht="112.5" x14ac:dyDescent="0.4">
      <c r="A12">
        <v>9</v>
      </c>
      <c r="B12" t="s">
        <v>217</v>
      </c>
      <c r="C12" s="13" t="s">
        <v>226</v>
      </c>
      <c r="D12" s="11" t="s">
        <v>66</v>
      </c>
      <c r="E12" s="13" t="s">
        <v>11</v>
      </c>
      <c r="F12" s="23" t="str">
        <f t="shared" si="0"/>
        <v>ＭＭＡ＆デリバティブズビジネスグループ　ＭＭＡ／ＰＭＭＡグローバルビジネス本部　ＰＭＭＡ技術部　ＰＭＭＡ　シートグループ-シート納入仕様書DB</v>
      </c>
      <c r="G12" t="s">
        <v>114</v>
      </c>
      <c r="H12" t="s">
        <v>114</v>
      </c>
      <c r="I12" t="s">
        <v>218</v>
      </c>
      <c r="J12">
        <v>20</v>
      </c>
      <c r="K12" t="s">
        <v>219</v>
      </c>
      <c r="L12">
        <v>0.01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C2" sqref="C2:D17"/>
    </sheetView>
  </sheetViews>
  <sheetFormatPr defaultRowHeight="16.5" x14ac:dyDescent="0.35"/>
  <cols>
    <col min="1" max="1" width="5.125" style="2" bestFit="1" customWidth="1"/>
    <col min="2" max="2" width="9" style="2"/>
    <col min="3" max="3" width="52.875" style="2" customWidth="1"/>
    <col min="4" max="4" width="26.5" style="2" bestFit="1" customWidth="1"/>
    <col min="5" max="16384" width="9" style="2"/>
  </cols>
  <sheetData>
    <row r="1" spans="1:4" x14ac:dyDescent="0.35">
      <c r="A1" s="1" t="s">
        <v>0</v>
      </c>
      <c r="B1" s="1" t="s">
        <v>43</v>
      </c>
      <c r="C1" s="1" t="s">
        <v>26</v>
      </c>
      <c r="D1" s="1" t="s">
        <v>25</v>
      </c>
    </row>
    <row r="2" spans="1:4" ht="33" x14ac:dyDescent="0.35">
      <c r="A2" s="3">
        <f t="shared" ref="A2:A46" si="0">ROW()-1</f>
        <v>1</v>
      </c>
      <c r="B2" s="4" t="s">
        <v>42</v>
      </c>
      <c r="C2" s="5" t="s">
        <v>27</v>
      </c>
      <c r="D2" s="5" t="s">
        <v>4</v>
      </c>
    </row>
    <row r="3" spans="1:4" ht="33" x14ac:dyDescent="0.35">
      <c r="A3" s="3">
        <f t="shared" si="0"/>
        <v>2</v>
      </c>
      <c r="B3" s="4" t="s">
        <v>42</v>
      </c>
      <c r="C3" s="5" t="s">
        <v>28</v>
      </c>
      <c r="D3" s="5" t="s">
        <v>20</v>
      </c>
    </row>
    <row r="4" spans="1:4" x14ac:dyDescent="0.35">
      <c r="A4" s="3">
        <f t="shared" si="0"/>
        <v>3</v>
      </c>
      <c r="B4" s="4" t="s">
        <v>42</v>
      </c>
      <c r="C4" s="5" t="s">
        <v>29</v>
      </c>
      <c r="D4" s="5" t="s">
        <v>21</v>
      </c>
    </row>
    <row r="5" spans="1:4" ht="33" x14ac:dyDescent="0.35">
      <c r="A5" s="3">
        <f t="shared" si="0"/>
        <v>4</v>
      </c>
      <c r="B5" s="4" t="s">
        <v>42</v>
      </c>
      <c r="C5" s="5" t="s">
        <v>30</v>
      </c>
      <c r="D5" s="5" t="s">
        <v>2</v>
      </c>
    </row>
    <row r="6" spans="1:4" ht="33" x14ac:dyDescent="0.35">
      <c r="A6" s="3">
        <f t="shared" si="0"/>
        <v>5</v>
      </c>
      <c r="B6" s="4" t="s">
        <v>42</v>
      </c>
      <c r="C6" s="5" t="s">
        <v>31</v>
      </c>
      <c r="D6" s="5" t="s">
        <v>22</v>
      </c>
    </row>
    <row r="7" spans="1:4" ht="33" x14ac:dyDescent="0.35">
      <c r="A7" s="3">
        <f t="shared" si="0"/>
        <v>6</v>
      </c>
      <c r="B7" s="4" t="s">
        <v>42</v>
      </c>
      <c r="C7" s="5" t="s">
        <v>32</v>
      </c>
      <c r="D7" s="5" t="s">
        <v>7</v>
      </c>
    </row>
    <row r="8" spans="1:4" ht="33" x14ac:dyDescent="0.35">
      <c r="A8" s="3">
        <f t="shared" si="0"/>
        <v>7</v>
      </c>
      <c r="B8" s="4" t="s">
        <v>42</v>
      </c>
      <c r="C8" s="5" t="s">
        <v>33</v>
      </c>
      <c r="D8" s="5" t="s">
        <v>7</v>
      </c>
    </row>
    <row r="9" spans="1:4" x14ac:dyDescent="0.35">
      <c r="A9" s="3">
        <f t="shared" si="0"/>
        <v>8</v>
      </c>
      <c r="B9" s="4" t="s">
        <v>42</v>
      </c>
      <c r="C9" s="5" t="s">
        <v>34</v>
      </c>
      <c r="D9" s="5" t="s">
        <v>7</v>
      </c>
    </row>
    <row r="10" spans="1:4" ht="33" x14ac:dyDescent="0.35">
      <c r="A10" s="3">
        <f t="shared" si="0"/>
        <v>9</v>
      </c>
      <c r="B10" s="4" t="s">
        <v>42</v>
      </c>
      <c r="C10" s="5" t="s">
        <v>35</v>
      </c>
      <c r="D10" s="5" t="s">
        <v>23</v>
      </c>
    </row>
    <row r="11" spans="1:4" x14ac:dyDescent="0.35">
      <c r="A11" s="3">
        <f t="shared" si="0"/>
        <v>10</v>
      </c>
      <c r="B11" s="4" t="s">
        <v>42</v>
      </c>
      <c r="C11" s="5" t="s">
        <v>36</v>
      </c>
      <c r="D11" s="5" t="s">
        <v>5</v>
      </c>
    </row>
    <row r="12" spans="1:4" ht="66" x14ac:dyDescent="0.35">
      <c r="A12" s="3">
        <f t="shared" si="0"/>
        <v>11</v>
      </c>
      <c r="B12" s="4" t="s">
        <v>42</v>
      </c>
      <c r="C12" s="5" t="s">
        <v>37</v>
      </c>
      <c r="D12" s="5" t="s">
        <v>5</v>
      </c>
    </row>
    <row r="13" spans="1:4" ht="33" x14ac:dyDescent="0.35">
      <c r="A13" s="3">
        <f t="shared" si="0"/>
        <v>12</v>
      </c>
      <c r="B13" s="4" t="s">
        <v>42</v>
      </c>
      <c r="C13" s="5" t="s">
        <v>38</v>
      </c>
      <c r="D13" s="5" t="s">
        <v>1</v>
      </c>
    </row>
    <row r="14" spans="1:4" ht="33" x14ac:dyDescent="0.35">
      <c r="A14" s="3">
        <f t="shared" si="0"/>
        <v>13</v>
      </c>
      <c r="B14" s="4" t="s">
        <v>42</v>
      </c>
      <c r="C14" s="5" t="s">
        <v>39</v>
      </c>
      <c r="D14" s="5" t="s">
        <v>6</v>
      </c>
    </row>
    <row r="15" spans="1:4" ht="33" x14ac:dyDescent="0.35">
      <c r="A15" s="3">
        <f t="shared" si="0"/>
        <v>14</v>
      </c>
      <c r="B15" s="4" t="s">
        <v>42</v>
      </c>
      <c r="C15" s="5" t="s">
        <v>40</v>
      </c>
      <c r="D15" s="5" t="s">
        <v>3</v>
      </c>
    </row>
    <row r="16" spans="1:4" ht="49.5" x14ac:dyDescent="0.35">
      <c r="A16" s="3">
        <f t="shared" si="0"/>
        <v>15</v>
      </c>
      <c r="B16" s="4" t="s">
        <v>42</v>
      </c>
      <c r="C16" s="5" t="s">
        <v>41</v>
      </c>
      <c r="D16" s="5" t="s">
        <v>24</v>
      </c>
    </row>
    <row r="17" spans="1:4" x14ac:dyDescent="0.35">
      <c r="A17" s="3">
        <f t="shared" si="0"/>
        <v>16</v>
      </c>
      <c r="B17" s="4" t="s">
        <v>42</v>
      </c>
      <c r="C17" s="5" t="s">
        <v>34</v>
      </c>
      <c r="D17" s="5" t="s">
        <v>24</v>
      </c>
    </row>
    <row r="18" spans="1:4" ht="33" x14ac:dyDescent="0.35">
      <c r="A18" s="6">
        <f t="shared" si="0"/>
        <v>17</v>
      </c>
      <c r="B18" s="7" t="s">
        <v>60</v>
      </c>
      <c r="C18" s="8" t="s">
        <v>45</v>
      </c>
      <c r="D18" s="8" t="s">
        <v>44</v>
      </c>
    </row>
    <row r="19" spans="1:4" ht="33" x14ac:dyDescent="0.35">
      <c r="A19" s="6">
        <f t="shared" si="0"/>
        <v>18</v>
      </c>
      <c r="B19" s="7" t="s">
        <v>60</v>
      </c>
      <c r="C19" s="8" t="s">
        <v>46</v>
      </c>
      <c r="D19" s="8" t="s">
        <v>44</v>
      </c>
    </row>
    <row r="20" spans="1:4" ht="33" x14ac:dyDescent="0.35">
      <c r="A20" s="6">
        <f t="shared" si="0"/>
        <v>19</v>
      </c>
      <c r="B20" s="7" t="s">
        <v>60</v>
      </c>
      <c r="C20" s="8" t="s">
        <v>47</v>
      </c>
      <c r="D20" s="8" t="s">
        <v>44</v>
      </c>
    </row>
    <row r="21" spans="1:4" ht="33" x14ac:dyDescent="0.35">
      <c r="A21" s="6">
        <f t="shared" si="0"/>
        <v>20</v>
      </c>
      <c r="B21" s="7" t="s">
        <v>60</v>
      </c>
      <c r="C21" s="8" t="s">
        <v>48</v>
      </c>
      <c r="D21" s="8" t="s">
        <v>44</v>
      </c>
    </row>
    <row r="22" spans="1:4" ht="33" x14ac:dyDescent="0.35">
      <c r="A22" s="6">
        <f t="shared" si="0"/>
        <v>21</v>
      </c>
      <c r="B22" s="7" t="s">
        <v>60</v>
      </c>
      <c r="C22" s="8" t="s">
        <v>49</v>
      </c>
      <c r="D22" s="8" t="s">
        <v>44</v>
      </c>
    </row>
    <row r="23" spans="1:4" ht="33" x14ac:dyDescent="0.35">
      <c r="A23" s="6">
        <f t="shared" si="0"/>
        <v>22</v>
      </c>
      <c r="B23" s="7" t="s">
        <v>60</v>
      </c>
      <c r="C23" s="8" t="s">
        <v>50</v>
      </c>
      <c r="D23" s="8" t="s">
        <v>44</v>
      </c>
    </row>
    <row r="24" spans="1:4" ht="33" x14ac:dyDescent="0.35">
      <c r="A24" s="6">
        <f t="shared" si="0"/>
        <v>23</v>
      </c>
      <c r="B24" s="7" t="s">
        <v>60</v>
      </c>
      <c r="C24" s="8" t="s">
        <v>51</v>
      </c>
      <c r="D24" s="8" t="s">
        <v>44</v>
      </c>
    </row>
    <row r="25" spans="1:4" ht="33" x14ac:dyDescent="0.35">
      <c r="A25" s="6">
        <f t="shared" si="0"/>
        <v>24</v>
      </c>
      <c r="B25" s="7" t="s">
        <v>60</v>
      </c>
      <c r="C25" s="8" t="s">
        <v>52</v>
      </c>
      <c r="D25" s="8" t="s">
        <v>44</v>
      </c>
    </row>
    <row r="26" spans="1:4" ht="33" x14ac:dyDescent="0.35">
      <c r="A26" s="6">
        <f t="shared" si="0"/>
        <v>25</v>
      </c>
      <c r="B26" s="7" t="s">
        <v>60</v>
      </c>
      <c r="C26" s="8" t="s">
        <v>53</v>
      </c>
      <c r="D26" s="8" t="s">
        <v>44</v>
      </c>
    </row>
    <row r="27" spans="1:4" ht="33" x14ac:dyDescent="0.35">
      <c r="A27" s="6">
        <f t="shared" si="0"/>
        <v>26</v>
      </c>
      <c r="B27" s="7" t="s">
        <v>60</v>
      </c>
      <c r="C27" s="8" t="s">
        <v>54</v>
      </c>
      <c r="D27" s="8" t="s">
        <v>44</v>
      </c>
    </row>
    <row r="28" spans="1:4" ht="33" x14ac:dyDescent="0.35">
      <c r="A28" s="6">
        <f t="shared" si="0"/>
        <v>27</v>
      </c>
      <c r="B28" s="7" t="s">
        <v>60</v>
      </c>
      <c r="C28" s="8" t="s">
        <v>55</v>
      </c>
      <c r="D28" s="8" t="s">
        <v>44</v>
      </c>
    </row>
    <row r="29" spans="1:4" ht="33" x14ac:dyDescent="0.35">
      <c r="A29" s="6">
        <f t="shared" si="0"/>
        <v>28</v>
      </c>
      <c r="B29" s="7" t="s">
        <v>60</v>
      </c>
      <c r="C29" s="8" t="s">
        <v>56</v>
      </c>
      <c r="D29" s="8" t="s">
        <v>44</v>
      </c>
    </row>
    <row r="30" spans="1:4" ht="33" x14ac:dyDescent="0.35">
      <c r="A30" s="6">
        <f t="shared" si="0"/>
        <v>29</v>
      </c>
      <c r="B30" s="7" t="s">
        <v>60</v>
      </c>
      <c r="C30" s="8" t="s">
        <v>57</v>
      </c>
      <c r="D30" s="8" t="s">
        <v>44</v>
      </c>
    </row>
    <row r="31" spans="1:4" ht="33" x14ac:dyDescent="0.35">
      <c r="A31" s="6">
        <f t="shared" si="0"/>
        <v>30</v>
      </c>
      <c r="B31" s="7" t="s">
        <v>60</v>
      </c>
      <c r="C31" s="8" t="s">
        <v>58</v>
      </c>
      <c r="D31" s="8" t="s">
        <v>44</v>
      </c>
    </row>
    <row r="32" spans="1:4" ht="33" x14ac:dyDescent="0.35">
      <c r="A32" s="6">
        <f t="shared" si="0"/>
        <v>31</v>
      </c>
      <c r="B32" s="7" t="s">
        <v>60</v>
      </c>
      <c r="C32" s="8" t="s">
        <v>59</v>
      </c>
      <c r="D32" s="8" t="s">
        <v>44</v>
      </c>
    </row>
    <row r="33" spans="1:4" ht="33" x14ac:dyDescent="0.35">
      <c r="A33" s="9">
        <f t="shared" si="0"/>
        <v>32</v>
      </c>
      <c r="B33" s="10" t="s">
        <v>74</v>
      </c>
      <c r="C33" s="11" t="s">
        <v>61</v>
      </c>
      <c r="D33" s="11" t="s">
        <v>8</v>
      </c>
    </row>
    <row r="34" spans="1:4" x14ac:dyDescent="0.35">
      <c r="A34" s="9">
        <f t="shared" si="0"/>
        <v>33</v>
      </c>
      <c r="B34" s="10" t="s">
        <v>74</v>
      </c>
      <c r="C34" s="11" t="s">
        <v>62</v>
      </c>
      <c r="D34" s="11" t="s">
        <v>8</v>
      </c>
    </row>
    <row r="35" spans="1:4" ht="33" x14ac:dyDescent="0.35">
      <c r="A35" s="9">
        <f t="shared" si="0"/>
        <v>34</v>
      </c>
      <c r="B35" s="10" t="s">
        <v>74</v>
      </c>
      <c r="C35" s="11" t="s">
        <v>63</v>
      </c>
      <c r="D35" s="11" t="s">
        <v>8</v>
      </c>
    </row>
    <row r="36" spans="1:4" ht="49.5" x14ac:dyDescent="0.35">
      <c r="A36" s="9">
        <f t="shared" si="0"/>
        <v>35</v>
      </c>
      <c r="B36" s="10" t="s">
        <v>74</v>
      </c>
      <c r="C36" s="11" t="s">
        <v>64</v>
      </c>
      <c r="D36" s="11" t="s">
        <v>9</v>
      </c>
    </row>
    <row r="37" spans="1:4" ht="33" x14ac:dyDescent="0.35">
      <c r="A37" s="9">
        <f t="shared" si="0"/>
        <v>36</v>
      </c>
      <c r="B37" s="10" t="s">
        <v>74</v>
      </c>
      <c r="C37" s="11" t="s">
        <v>65</v>
      </c>
      <c r="D37" s="11" t="s">
        <v>10</v>
      </c>
    </row>
    <row r="38" spans="1:4" ht="33" x14ac:dyDescent="0.35">
      <c r="A38" s="9">
        <f t="shared" si="0"/>
        <v>37</v>
      </c>
      <c r="B38" s="10" t="s">
        <v>74</v>
      </c>
      <c r="C38" s="11" t="s">
        <v>66</v>
      </c>
      <c r="D38" s="11" t="s">
        <v>11</v>
      </c>
    </row>
    <row r="39" spans="1:4" x14ac:dyDescent="0.35">
      <c r="A39" s="9">
        <f t="shared" si="0"/>
        <v>38</v>
      </c>
      <c r="B39" s="10" t="s">
        <v>74</v>
      </c>
      <c r="C39" s="11" t="s">
        <v>67</v>
      </c>
      <c r="D39" s="11" t="s">
        <v>12</v>
      </c>
    </row>
    <row r="40" spans="1:4" x14ac:dyDescent="0.35">
      <c r="A40" s="9">
        <f t="shared" si="0"/>
        <v>39</v>
      </c>
      <c r="B40" s="10" t="s">
        <v>74</v>
      </c>
      <c r="C40" s="11" t="s">
        <v>68</v>
      </c>
      <c r="D40" s="11" t="s">
        <v>13</v>
      </c>
    </row>
    <row r="41" spans="1:4" x14ac:dyDescent="0.35">
      <c r="A41" s="9">
        <f t="shared" si="0"/>
        <v>40</v>
      </c>
      <c r="B41" s="10" t="s">
        <v>74</v>
      </c>
      <c r="C41" s="11" t="s">
        <v>69</v>
      </c>
      <c r="D41" s="11" t="s">
        <v>14</v>
      </c>
    </row>
    <row r="42" spans="1:4" x14ac:dyDescent="0.35">
      <c r="A42" s="9">
        <f t="shared" si="0"/>
        <v>41</v>
      </c>
      <c r="B42" s="10" t="s">
        <v>74</v>
      </c>
      <c r="C42" s="11" t="s">
        <v>69</v>
      </c>
      <c r="D42" s="11" t="s">
        <v>15</v>
      </c>
    </row>
    <row r="43" spans="1:4" ht="33" x14ac:dyDescent="0.35">
      <c r="A43" s="9">
        <f t="shared" si="0"/>
        <v>42</v>
      </c>
      <c r="B43" s="10" t="s">
        <v>74</v>
      </c>
      <c r="C43" s="11" t="s">
        <v>70</v>
      </c>
      <c r="D43" s="11" t="s">
        <v>16</v>
      </c>
    </row>
    <row r="44" spans="1:4" ht="33" x14ac:dyDescent="0.35">
      <c r="A44" s="9">
        <f t="shared" si="0"/>
        <v>43</v>
      </c>
      <c r="B44" s="10" t="s">
        <v>74</v>
      </c>
      <c r="C44" s="11" t="s">
        <v>71</v>
      </c>
      <c r="D44" s="11" t="s">
        <v>17</v>
      </c>
    </row>
    <row r="45" spans="1:4" ht="33" x14ac:dyDescent="0.35">
      <c r="A45" s="9">
        <f t="shared" si="0"/>
        <v>44</v>
      </c>
      <c r="B45" s="10" t="s">
        <v>74</v>
      </c>
      <c r="C45" s="11" t="s">
        <v>72</v>
      </c>
      <c r="D45" s="11" t="s">
        <v>18</v>
      </c>
    </row>
    <row r="46" spans="1:4" ht="33" x14ac:dyDescent="0.35">
      <c r="A46" s="9">
        <f t="shared" si="0"/>
        <v>45</v>
      </c>
      <c r="B46" s="10" t="s">
        <v>74</v>
      </c>
      <c r="C46" s="11" t="s">
        <v>73</v>
      </c>
      <c r="D46" s="11" t="s">
        <v>19</v>
      </c>
    </row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8FCBCAB954336408DEB4A5D02F0741B" ma:contentTypeVersion="20" ma:contentTypeDescription="新しいドキュメントを作成します。" ma:contentTypeScope="" ma:versionID="f961dddaeff2f93d5470b5af79597af6">
  <xsd:schema xmlns:xsd="http://www.w3.org/2001/XMLSchema" xmlns:xs="http://www.w3.org/2001/XMLSchema" xmlns:p="http://schemas.microsoft.com/office/2006/metadata/properties" xmlns:ns2="9bcccf7a-90e7-4c41-b561-df0396e3d8d6" xmlns:ns3="bd230ec0-5253-49d5-b08f-f3f2f62a1ffc" targetNamespace="http://schemas.microsoft.com/office/2006/metadata/properties" ma:root="true" ma:fieldsID="ef5005ed78bffd3de17cfce921e1dc28" ns2:_="" ns3:_="">
    <xsd:import namespace="9bcccf7a-90e7-4c41-b561-df0396e3d8d6"/>
    <xsd:import namespace="bd230ec0-5253-49d5-b08f-f3f2f62a1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_x3042__x3042__x3042_" minOccurs="0"/>
                <xsd:element ref="ns2:_x0054_ag2" minOccurs="0"/>
                <xsd:element ref="ns2:_x0054_ag3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ccf7a-90e7-4c41-b561-df0396e3d8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08ec21e9-19a1-4e51-8266-82527bcf33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x3042__x3042__x3042_" ma:index="22" nillable="true" ma:displayName="あああ" ma:format="Dropdown" ma:internalName="_x3042__x3042__x3042_">
      <xsd:simpleType>
        <xsd:union memberTypes="dms:Text">
          <xsd:simpleType>
            <xsd:restriction base="dms:Choice">
              <xsd:enumeration value="選択肢 1"/>
            </xsd:restriction>
          </xsd:simpleType>
        </xsd:union>
      </xsd:simpleType>
    </xsd:element>
    <xsd:element name="_x0054_ag2" ma:index="23" nillable="true" ma:displayName="Tag2" ma:format="Dropdown" ma:internalName="_x0054_ag2">
      <xsd:simpleType>
        <xsd:union memberTypes="dms:Text">
          <xsd:simpleType>
            <xsd:restriction base="dms:Choice">
              <xsd:enumeration value="選択肢 1"/>
              <xsd:enumeration value="選択肢 2"/>
              <xsd:enumeration value="選択肢 3"/>
            </xsd:restriction>
          </xsd:simpleType>
        </xsd:union>
      </xsd:simpleType>
    </xsd:element>
    <xsd:element name="_x0054_ag3" ma:index="24" nillable="true" ma:displayName="Tag3" ma:format="Dropdown" ma:internalName="_x0054_ag3">
      <xsd:simpleType>
        <xsd:union memberTypes="dms:Text">
          <xsd:simpleType>
            <xsd:restriction base="dms:Choice">
              <xsd:enumeration value="選択肢 1"/>
              <xsd:enumeration value="選択肢 2"/>
              <xsd:enumeration value="選択肢 3"/>
            </xsd:restriction>
          </xsd:simpleType>
        </xsd:union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30ec0-5253-49d5-b08f-f3f2f62a1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c69b169-0e59-4a18-807b-6ebd83c52ca6}" ma:internalName="TaxCatchAll" ma:showField="CatchAllData" ma:web="bd230ec0-5253-49d5-b08f-f3f2f62a1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cccf7a-90e7-4c41-b561-df0396e3d8d6">
      <Terms xmlns="http://schemas.microsoft.com/office/infopath/2007/PartnerControls"/>
    </lcf76f155ced4ddcb4097134ff3c332f>
    <TaxCatchAll xmlns="bd230ec0-5253-49d5-b08f-f3f2f62a1ffc" xsi:nil="true"/>
    <_x0054_ag3 xmlns="9bcccf7a-90e7-4c41-b561-df0396e3d8d6" xsi:nil="true"/>
    <_x0054_ag2 xmlns="9bcccf7a-90e7-4c41-b561-df0396e3d8d6" xsi:nil="true"/>
    <_x3042__x3042__x3042_ xmlns="9bcccf7a-90e7-4c41-b561-df0396e3d8d6" xsi:nil="true"/>
  </documentManagement>
</p:properties>
</file>

<file path=customXml/itemProps1.xml><?xml version="1.0" encoding="utf-8"?>
<ds:datastoreItem xmlns:ds="http://schemas.openxmlformats.org/officeDocument/2006/customXml" ds:itemID="{04081195-5196-453D-BE59-0B3E454A4A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6300C0-519E-4939-B248-0DA312D6D8B7}"/>
</file>

<file path=customXml/itemProps3.xml><?xml version="1.0" encoding="utf-8"?>
<ds:datastoreItem xmlns:ds="http://schemas.openxmlformats.org/officeDocument/2006/customXml" ds:itemID="{C73894E1-31E8-4FCA-8E61-EB166FC0DFCE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1e4a447b-9560-42e8-893e-f4215a3220b6"/>
    <ds:schemaRef ds:uri="http://www.w3.org/XML/1998/namespace"/>
    <ds:schemaRef ds:uri="http://schemas.microsoft.com/office/infopath/2007/PartnerControls"/>
    <ds:schemaRef ds:uri="596019e9-1edf-4dc1-99fb-682fc8d87733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非機能要件算出</vt:lpstr>
      <vt:lpstr>非機能要件まとめ</vt:lpstr>
      <vt:lpstr>⇒元データ</vt:lpstr>
      <vt:lpstr>黄_非機能まとめ</vt:lpstr>
      <vt:lpstr>青_非機能まとめ</vt:lpstr>
      <vt:lpstr>白_非機能まとめ</vt:lpstr>
      <vt:lpstr>DB一覧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Yoshikawa, Naoki</cp:lastModifiedBy>
  <cp:revision/>
  <dcterms:created xsi:type="dcterms:W3CDTF">2025-06-23T23:29:33Z</dcterms:created>
  <dcterms:modified xsi:type="dcterms:W3CDTF">2025-06-27T01:33:34Z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0x010100D8FCBCAB954336408DEB4A5D02F0741B</vt:lpwstr>
  </property>
  <property fmtid="{D5CDD505-2E9C-101B-9397-08002B2CF9AE}" pid="3" name="MediaServiceImageTags">
    <vt:lpwstr/>
  </property>
</Properties>
</file>