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1E34388E-C9EB-4EBD-9E20-B808DCD9C020}" xr6:coauthVersionLast="47" xr6:coauthVersionMax="47" xr10:uidLastSave="{00000000-0000-0000-0000-000000000000}"/>
  <bookViews>
    <workbookView xWindow="-108" yWindow="-108" windowWidth="23256" windowHeight="12456" firstSheet="3" activeTab="7" xr2:uid="{5797350A-2201-4380-846D-59C36ECDD923}"/>
  </bookViews>
  <sheets>
    <sheet name="costos operativos" sheetId="5" r:id="rId1"/>
    <sheet name="MO" sheetId="4" r:id="rId2"/>
    <sheet name="PROYECCION DE INGRESOS" sheetId="3" r:id="rId3"/>
    <sheet name="DEPRECIACION" sheetId="2" r:id="rId4"/>
    <sheet name="FINANCIAMIEN-TOPRESTAMOS" sheetId="1" r:id="rId5"/>
    <sheet name="FLUJOS" sheetId="6" r:id="rId6"/>
    <sheet name="PUNTO DE EQUILIBRIO" sheetId="8" r:id="rId7"/>
    <sheet name="BC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6" l="1"/>
  <c r="K17" i="6" s="1"/>
  <c r="K16" i="6"/>
  <c r="K15" i="6"/>
  <c r="K14" i="6"/>
  <c r="C11" i="6"/>
  <c r="B5" i="2"/>
  <c r="B9" i="2" s="1"/>
  <c r="B29" i="6"/>
  <c r="F3" i="3"/>
  <c r="F11" i="4"/>
  <c r="E12" i="4"/>
  <c r="E13" i="4"/>
  <c r="I13" i="4" s="1"/>
  <c r="E14" i="4"/>
  <c r="I14" i="4" s="1"/>
  <c r="E15" i="4"/>
  <c r="I15" i="4" s="1"/>
  <c r="E16" i="4"/>
  <c r="J16" i="4" s="1"/>
  <c r="E11" i="4"/>
  <c r="J11" i="4" s="1"/>
  <c r="D9" i="4"/>
  <c r="D13" i="5"/>
  <c r="E13" i="5" s="1"/>
  <c r="D12" i="5"/>
  <c r="E12" i="5" s="1"/>
  <c r="E7" i="2"/>
  <c r="E6" i="2"/>
  <c r="F4" i="3"/>
  <c r="C31" i="5"/>
  <c r="C32" i="5"/>
  <c r="C30" i="5"/>
  <c r="G5" i="5"/>
  <c r="G7" i="5" s="1"/>
  <c r="C13" i="6" s="1"/>
  <c r="F5" i="5"/>
  <c r="E21" i="5"/>
  <c r="E22" i="5"/>
  <c r="E5" i="5"/>
  <c r="E7" i="5" s="1"/>
  <c r="F12" i="4"/>
  <c r="G12" i="4"/>
  <c r="J13" i="4"/>
  <c r="F13" i="4"/>
  <c r="G13" i="4"/>
  <c r="F14" i="4"/>
  <c r="G14" i="4"/>
  <c r="J12" i="4"/>
  <c r="J14" i="4"/>
  <c r="I12" i="4"/>
  <c r="E24" i="5"/>
  <c r="E26" i="5" s="1"/>
  <c r="C15" i="6" s="1"/>
  <c r="D15" i="6" s="1"/>
  <c r="E15" i="6" s="1"/>
  <c r="F15" i="6" s="1"/>
  <c r="G15" i="6" s="1"/>
  <c r="E4" i="2"/>
  <c r="F7" i="4"/>
  <c r="E14" i="5"/>
  <c r="E15" i="5"/>
  <c r="E25" i="5"/>
  <c r="E23" i="5"/>
  <c r="G11" i="4"/>
  <c r="G15" i="4"/>
  <c r="G16" i="4"/>
  <c r="F15" i="4"/>
  <c r="F16" i="4"/>
  <c r="G8" i="4"/>
  <c r="F8" i="4"/>
  <c r="E8" i="4"/>
  <c r="J8" i="4" s="1"/>
  <c r="C9" i="4"/>
  <c r="C17" i="4"/>
  <c r="G7" i="4"/>
  <c r="E7" i="4"/>
  <c r="I7" i="4" s="1"/>
  <c r="F7" i="5"/>
  <c r="H9" i="4"/>
  <c r="C18" i="6" l="1"/>
  <c r="D18" i="6" s="1"/>
  <c r="E18" i="6" s="1"/>
  <c r="F18" i="6" s="1"/>
  <c r="G18" i="6" s="1"/>
  <c r="E16" i="5"/>
  <c r="E5" i="2"/>
  <c r="E9" i="2"/>
  <c r="C21" i="6" s="1"/>
  <c r="D21" i="6" s="1"/>
  <c r="E21" i="6" s="1"/>
  <c r="F21" i="6" s="1"/>
  <c r="G21" i="6" s="1"/>
  <c r="D13" i="6"/>
  <c r="E13" i="6" s="1"/>
  <c r="F13" i="6" s="1"/>
  <c r="G13" i="6" s="1"/>
  <c r="F5" i="3"/>
  <c r="D11" i="6" s="1"/>
  <c r="J15" i="4"/>
  <c r="L15" i="4" s="1"/>
  <c r="K15" i="4" s="1"/>
  <c r="J7" i="4"/>
  <c r="L7" i="4" s="1"/>
  <c r="K7" i="4" s="1"/>
  <c r="G9" i="4"/>
  <c r="L12" i="4"/>
  <c r="K12" i="4" s="1"/>
  <c r="H17" i="4"/>
  <c r="L14" i="4"/>
  <c r="K14" i="4" s="1"/>
  <c r="L13" i="4"/>
  <c r="K13" i="4" s="1"/>
  <c r="F17" i="4"/>
  <c r="G17" i="4"/>
  <c r="I16" i="4"/>
  <c r="L16" i="4" s="1"/>
  <c r="K16" i="4" s="1"/>
  <c r="I11" i="4"/>
  <c r="L11" i="4"/>
  <c r="E17" i="4"/>
  <c r="I8" i="4"/>
  <c r="I9" i="4" s="1"/>
  <c r="E9" i="4"/>
  <c r="J9" i="4"/>
  <c r="F9" i="4"/>
  <c r="C33" i="5"/>
  <c r="C16" i="6" s="1"/>
  <c r="D16" i="6" s="1"/>
  <c r="E16" i="6" s="1"/>
  <c r="F16" i="6" s="1"/>
  <c r="G16" i="6" s="1"/>
  <c r="D16" i="5"/>
  <c r="C14" i="6"/>
  <c r="D14" i="6" s="1"/>
  <c r="E14" i="6" s="1"/>
  <c r="C8" i="8" l="1"/>
  <c r="D4" i="9"/>
  <c r="E11" i="6"/>
  <c r="D8" i="8"/>
  <c r="E4" i="9"/>
  <c r="J17" i="4"/>
  <c r="I17" i="4"/>
  <c r="L17" i="4"/>
  <c r="M17" i="4" s="1"/>
  <c r="K11" i="4"/>
  <c r="K17" i="4" s="1"/>
  <c r="L8" i="4"/>
  <c r="B9" i="1"/>
  <c r="C13" i="1" s="1"/>
  <c r="D7" i="8"/>
  <c r="C7" i="8"/>
  <c r="F14" i="6"/>
  <c r="E7" i="8"/>
  <c r="C10" i="1" l="1"/>
  <c r="B10" i="1" s="1"/>
  <c r="D11" i="1" s="1"/>
  <c r="C14" i="1"/>
  <c r="D10" i="1"/>
  <c r="C11" i="1"/>
  <c r="C12" i="1"/>
  <c r="E8" i="8"/>
  <c r="F4" i="9"/>
  <c r="F11" i="6"/>
  <c r="K8" i="4"/>
  <c r="K9" i="4" s="1"/>
  <c r="L9" i="4"/>
  <c r="M9" i="4" s="1"/>
  <c r="B7" i="6"/>
  <c r="B9" i="6" s="1"/>
  <c r="B19" i="1"/>
  <c r="D20" i="1" s="1"/>
  <c r="G14" i="6"/>
  <c r="F7" i="8"/>
  <c r="E20" i="1" l="1"/>
  <c r="F20" i="1" s="1"/>
  <c r="B11" i="1"/>
  <c r="D12" i="1" s="1"/>
  <c r="E12" i="1" s="1"/>
  <c r="E10" i="1"/>
  <c r="C20" i="6" s="1"/>
  <c r="C5" i="9"/>
  <c r="G4" i="9"/>
  <c r="G11" i="6"/>
  <c r="F8" i="8"/>
  <c r="M18" i="4"/>
  <c r="C17" i="6" s="1"/>
  <c r="E11" i="1"/>
  <c r="G7" i="8"/>
  <c r="B12" i="1" l="1"/>
  <c r="D13" i="1" s="1"/>
  <c r="E21" i="1"/>
  <c r="E22" i="1" s="1"/>
  <c r="E23" i="1" s="1"/>
  <c r="C20" i="1"/>
  <c r="B20" i="1" s="1"/>
  <c r="D21" i="1" s="1"/>
  <c r="F10" i="1"/>
  <c r="G8" i="8"/>
  <c r="H4" i="9"/>
  <c r="C22" i="6"/>
  <c r="C23" i="6" s="1"/>
  <c r="C24" i="6" s="1"/>
  <c r="C25" i="6" s="1"/>
  <c r="C26" i="6" s="1"/>
  <c r="D5" i="9"/>
  <c r="D6" i="9" s="1"/>
  <c r="D7" i="9" s="1"/>
  <c r="C6" i="8"/>
  <c r="C12" i="8" s="1"/>
  <c r="D17" i="6"/>
  <c r="F12" i="1"/>
  <c r="E20" i="6"/>
  <c r="D20" i="6"/>
  <c r="F11" i="1"/>
  <c r="C14" i="8" l="1"/>
  <c r="C13" i="8"/>
  <c r="B13" i="1"/>
  <c r="D14" i="1" s="1"/>
  <c r="E14" i="1" s="1"/>
  <c r="F14" i="1" s="1"/>
  <c r="F22" i="1"/>
  <c r="F21" i="1"/>
  <c r="C21" i="1"/>
  <c r="B21" i="1" s="1"/>
  <c r="D22" i="1" s="1"/>
  <c r="D6" i="8"/>
  <c r="D12" i="8" s="1"/>
  <c r="D13" i="8" s="1"/>
  <c r="E17" i="6"/>
  <c r="D22" i="6"/>
  <c r="D23" i="6" s="1"/>
  <c r="D24" i="6" s="1"/>
  <c r="D25" i="6" s="1"/>
  <c r="D26" i="6" s="1"/>
  <c r="E5" i="9"/>
  <c r="E6" i="9" s="1"/>
  <c r="E7" i="9" s="1"/>
  <c r="E24" i="1"/>
  <c r="F23" i="1"/>
  <c r="C27" i="6"/>
  <c r="G20" i="6"/>
  <c r="E13" i="1"/>
  <c r="D15" i="1" l="1"/>
  <c r="E22" i="6"/>
  <c r="E23" i="6" s="1"/>
  <c r="E24" i="6" s="1"/>
  <c r="E25" i="6" s="1"/>
  <c r="F17" i="6"/>
  <c r="E6" i="8"/>
  <c r="E12" i="8" s="1"/>
  <c r="E13" i="8" s="1"/>
  <c r="F5" i="9"/>
  <c r="F6" i="9" s="1"/>
  <c r="F7" i="9" s="1"/>
  <c r="D27" i="6"/>
  <c r="C22" i="1"/>
  <c r="B22" i="1" s="1"/>
  <c r="F24" i="1"/>
  <c r="E25" i="1"/>
  <c r="F13" i="1"/>
  <c r="F20" i="6"/>
  <c r="E15" i="1"/>
  <c r="C28" i="6"/>
  <c r="C29" i="6" s="1"/>
  <c r="C30" i="6" l="1"/>
  <c r="E26" i="6"/>
  <c r="E27" i="6" s="1"/>
  <c r="E28" i="6" s="1"/>
  <c r="E29" i="6" s="1"/>
  <c r="E30" i="6" s="1"/>
  <c r="F6" i="8"/>
  <c r="F12" i="8" s="1"/>
  <c r="F13" i="8" s="1"/>
  <c r="G5" i="9"/>
  <c r="G6" i="9" s="1"/>
  <c r="G7" i="9" s="1"/>
  <c r="F22" i="6"/>
  <c r="F23" i="6" s="1"/>
  <c r="F24" i="6" s="1"/>
  <c r="F25" i="6" s="1"/>
  <c r="F26" i="6" s="1"/>
  <c r="G17" i="6"/>
  <c r="D23" i="1"/>
  <c r="D28" i="6"/>
  <c r="D29" i="6" s="1"/>
  <c r="D30" i="6" s="1"/>
  <c r="H25" i="1"/>
  <c r="G22" i="6" l="1"/>
  <c r="G23" i="6" s="1"/>
  <c r="G24" i="6" s="1"/>
  <c r="G25" i="6" s="1"/>
  <c r="G6" i="8"/>
  <c r="G12" i="8" s="1"/>
  <c r="G13" i="8" s="1"/>
  <c r="H5" i="9"/>
  <c r="H6" i="9" s="1"/>
  <c r="H7" i="9" s="1"/>
  <c r="C23" i="1"/>
  <c r="B23" i="1" s="1"/>
  <c r="F27" i="6"/>
  <c r="G26" i="6" l="1"/>
  <c r="G27" i="6" s="1"/>
  <c r="G28" i="6" s="1"/>
  <c r="G29" i="6" s="1"/>
  <c r="G30" i="6" s="1"/>
  <c r="F28" i="6"/>
  <c r="F29" i="6" s="1"/>
  <c r="D24" i="1"/>
  <c r="B34" i="6" l="1"/>
  <c r="B36" i="6" s="1"/>
  <c r="B35" i="6"/>
  <c r="B37" i="6"/>
  <c r="F30" i="6"/>
  <c r="C24" i="1"/>
  <c r="B24" i="1" s="1"/>
  <c r="D25" i="1"/>
  <c r="C25" i="1" s="1"/>
  <c r="B38" i="6" l="1"/>
  <c r="B40" i="6" l="1"/>
  <c r="B39" i="6"/>
</calcChain>
</file>

<file path=xl/sharedStrings.xml><?xml version="1.0" encoding="utf-8"?>
<sst xmlns="http://schemas.openxmlformats.org/spreadsheetml/2006/main" count="167" uniqueCount="136">
  <si>
    <t>PERIODO</t>
  </si>
  <si>
    <t xml:space="preserve">SALDO </t>
  </si>
  <si>
    <t>CAPITAL</t>
  </si>
  <si>
    <t>INTERES</t>
  </si>
  <si>
    <t>TOTAL DE PAGO</t>
  </si>
  <si>
    <t>cuota mensual</t>
  </si>
  <si>
    <t xml:space="preserve">DETALLE </t>
  </si>
  <si>
    <t>TOTAL</t>
  </si>
  <si>
    <t>TOTAL AÑOS</t>
  </si>
  <si>
    <t>%</t>
  </si>
  <si>
    <t>DEPRECIACIÓN</t>
  </si>
  <si>
    <t>DETALLE</t>
  </si>
  <si>
    <t>UNIDAD</t>
  </si>
  <si>
    <t>CANT</t>
  </si>
  <si>
    <t>V UNIT</t>
  </si>
  <si>
    <t>total</t>
  </si>
  <si>
    <t>Gasto personal</t>
  </si>
  <si>
    <t>CARGO</t>
  </si>
  <si>
    <t>SALARIO UNIFICADO</t>
  </si>
  <si>
    <t xml:space="preserve">SALARIO </t>
  </si>
  <si>
    <t>Salario anual</t>
  </si>
  <si>
    <t>FOND DE RESERVA</t>
  </si>
  <si>
    <t>10 TERCERO</t>
  </si>
  <si>
    <t>10 CUARTO</t>
  </si>
  <si>
    <t>VACACIONES</t>
  </si>
  <si>
    <t>IESS</t>
  </si>
  <si>
    <t>T MES</t>
  </si>
  <si>
    <t>T AÑO</t>
  </si>
  <si>
    <t>T AÑO +1</t>
  </si>
  <si>
    <t xml:space="preserve">Administrativo </t>
  </si>
  <si>
    <t>Administrador</t>
  </si>
  <si>
    <t>Contador</t>
  </si>
  <si>
    <t>mantenimiento</t>
  </si>
  <si>
    <t>Costos directos</t>
  </si>
  <si>
    <t>CANTIDAD</t>
  </si>
  <si>
    <t>V UNITARIO</t>
  </si>
  <si>
    <t>Cs/Día</t>
  </si>
  <si>
    <t>Cs/Mes</t>
  </si>
  <si>
    <t>Cs/Año</t>
  </si>
  <si>
    <t>Total Cs Directos</t>
  </si>
  <si>
    <t>Agua</t>
  </si>
  <si>
    <t>m3</t>
  </si>
  <si>
    <t>Luz</t>
  </si>
  <si>
    <t>Telf</t>
  </si>
  <si>
    <t>Total servicios basicos</t>
  </si>
  <si>
    <t>Implementos de limpieza</t>
  </si>
  <si>
    <t>Arriendo</t>
  </si>
  <si>
    <t>Total gastos varios</t>
  </si>
  <si>
    <t>Instalaciones</t>
  </si>
  <si>
    <t xml:space="preserve">Maquinaria y equipo </t>
  </si>
  <si>
    <t>Vehiculo</t>
  </si>
  <si>
    <t>u</t>
  </si>
  <si>
    <t>internet</t>
  </si>
  <si>
    <t>Total mantenimiento</t>
  </si>
  <si>
    <t>Credito</t>
  </si>
  <si>
    <t>Inversion propia</t>
  </si>
  <si>
    <t>total inversion</t>
  </si>
  <si>
    <t>INGRESOS</t>
  </si>
  <si>
    <t>ventas</t>
  </si>
  <si>
    <t>EGRESOS</t>
  </si>
  <si>
    <t>costos directos</t>
  </si>
  <si>
    <t>servicios basicos</t>
  </si>
  <si>
    <t>gasto sueldos</t>
  </si>
  <si>
    <t>otros</t>
  </si>
  <si>
    <t>GASTOS FINANCIEROS</t>
  </si>
  <si>
    <t xml:space="preserve">utilidad neta </t>
  </si>
  <si>
    <t>Flujo neto</t>
  </si>
  <si>
    <t>% rendimiento</t>
  </si>
  <si>
    <t xml:space="preserve">Tasa de descuento </t>
  </si>
  <si>
    <t>VAN</t>
  </si>
  <si>
    <t>TIR</t>
  </si>
  <si>
    <t>gastos indirectos</t>
  </si>
  <si>
    <t>reparto de la utilidad</t>
  </si>
  <si>
    <t>Rotacion de la inversion</t>
  </si>
  <si>
    <t>ROI</t>
  </si>
  <si>
    <t>RAE</t>
  </si>
  <si>
    <t>ROE</t>
  </si>
  <si>
    <t>FLUJO NETO DEL PROYECTO</t>
  </si>
  <si>
    <t>RENDIMIENTO SOBRE INVERSION</t>
  </si>
  <si>
    <t>.</t>
  </si>
  <si>
    <t>RENDIMIENTO SOBRE PATRIMONIO</t>
  </si>
  <si>
    <t>RENDIMIENTO SOBRE ACTIVO</t>
  </si>
  <si>
    <t>Costo fijo</t>
  </si>
  <si>
    <t>Ct variable</t>
  </si>
  <si>
    <t>total ingresos</t>
  </si>
  <si>
    <t>PE=</t>
  </si>
  <si>
    <t>CF/1-(CV/Ventas)</t>
  </si>
  <si>
    <t>PE1</t>
  </si>
  <si>
    <t>PE2</t>
  </si>
  <si>
    <t>PE3</t>
  </si>
  <si>
    <t>PE4</t>
  </si>
  <si>
    <t>PE5</t>
  </si>
  <si>
    <t>Periodo</t>
  </si>
  <si>
    <t>Ingresos</t>
  </si>
  <si>
    <t>Costos</t>
  </si>
  <si>
    <t>Factor</t>
  </si>
  <si>
    <t>unid/mes</t>
  </si>
  <si>
    <t>Servicio basico</t>
  </si>
  <si>
    <t>Kw/h</t>
  </si>
  <si>
    <t>Servicio</t>
  </si>
  <si>
    <t>Costo indirecto</t>
  </si>
  <si>
    <t>Material de oficina</t>
  </si>
  <si>
    <t>Guardias</t>
  </si>
  <si>
    <t>Mantenimiento</t>
  </si>
  <si>
    <t>U</t>
  </si>
  <si>
    <t>Programador</t>
  </si>
  <si>
    <t>Logistica</t>
  </si>
  <si>
    <t>Ing. Comunicación</t>
  </si>
  <si>
    <t>Lic.Marketing</t>
  </si>
  <si>
    <t>Encargado Mantenimiento</t>
  </si>
  <si>
    <t xml:space="preserve"> </t>
  </si>
  <si>
    <t>Suscripcion anual</t>
  </si>
  <si>
    <t>Suscripcion mensaual</t>
  </si>
  <si>
    <t>SISTEMA</t>
  </si>
  <si>
    <t>COMPUTADORA</t>
  </si>
  <si>
    <t>DESCONTINUACION DE TECNOLOGIA</t>
  </si>
  <si>
    <t>FINANCIAMIENTO A CREDITO</t>
  </si>
  <si>
    <t>TIEMPO/PERIODOS</t>
  </si>
  <si>
    <t>FLUJO DE CAJA</t>
  </si>
  <si>
    <t>RUBROS</t>
  </si>
  <si>
    <t>EQUILIBRIO</t>
  </si>
  <si>
    <t>DEPRECIACION</t>
  </si>
  <si>
    <t>TOTAL EGRESOS</t>
  </si>
  <si>
    <t>UTILIDAD BRUTA</t>
  </si>
  <si>
    <t>20% de UTILIDAD</t>
  </si>
  <si>
    <t>UTILIDAD ANTES DE IMPUESTOS</t>
  </si>
  <si>
    <t>IMPUESTO A LA RENTA 8%</t>
  </si>
  <si>
    <t>AMORTIZACION</t>
  </si>
  <si>
    <t>COSTO TOTAL</t>
  </si>
  <si>
    <t>Costo de produccion</t>
  </si>
  <si>
    <t>Gastos Administrativos</t>
  </si>
  <si>
    <t>Gastos de Ventas</t>
  </si>
  <si>
    <t>Gastos Financieros</t>
  </si>
  <si>
    <t>Total</t>
  </si>
  <si>
    <t>vendedor</t>
  </si>
  <si>
    <t>Sistema de 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</si>
</sst>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&quot;$&quot;\-#,##0.00"/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10" fontId="2" fillId="0" borderId="2" xfId="2" applyNumberFormat="1" applyFont="1" applyBorder="1" applyAlignment="1"/>
    <xf numFmtId="0" fontId="0" fillId="0" borderId="1" xfId="0" applyBorder="1"/>
    <xf numFmtId="43" fontId="0" fillId="0" borderId="1" xfId="1" applyFont="1" applyBorder="1"/>
    <xf numFmtId="43" fontId="0" fillId="0" borderId="1" xfId="0" applyNumberFormat="1" applyBorder="1"/>
    <xf numFmtId="0" fontId="2" fillId="0" borderId="0" xfId="0" applyFont="1"/>
    <xf numFmtId="43" fontId="2" fillId="0" borderId="0" xfId="1" applyFont="1" applyBorder="1"/>
    <xf numFmtId="0" fontId="0" fillId="0" borderId="1" xfId="0" applyBorder="1" applyAlignment="1">
      <alignment horizontal="center"/>
    </xf>
    <xf numFmtId="2" fontId="2" fillId="0" borderId="0" xfId="0" applyNumberFormat="1" applyFont="1"/>
    <xf numFmtId="9" fontId="0" fillId="0" borderId="1" xfId="2" applyFont="1" applyBorder="1"/>
    <xf numFmtId="0" fontId="2" fillId="2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13" fontId="0" fillId="0" borderId="1" xfId="1" applyNumberFormat="1" applyFont="1" applyBorder="1"/>
    <xf numFmtId="43" fontId="0" fillId="0" borderId="0" xfId="0" applyNumberFormat="1" applyAlignment="1">
      <alignment horizontal="center"/>
    </xf>
    <xf numFmtId="0" fontId="0" fillId="0" borderId="1" xfId="0" applyBorder="1" applyAlignment="1">
      <alignment wrapText="1"/>
    </xf>
    <xf numFmtId="8" fontId="0" fillId="0" borderId="1" xfId="1" applyNumberFormat="1" applyFont="1" applyBorder="1" applyAlignment="1">
      <alignment horizontal="center"/>
    </xf>
    <xf numFmtId="10" fontId="0" fillId="0" borderId="1" xfId="0" applyNumberFormat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1" xfId="0" applyNumberFormat="1" applyBorder="1"/>
    <xf numFmtId="8" fontId="0" fillId="0" borderId="1" xfId="1" applyNumberFormat="1" applyFont="1" applyBorder="1"/>
    <xf numFmtId="2" fontId="0" fillId="0" borderId="1" xfId="2" applyNumberFormat="1" applyFont="1" applyBorder="1"/>
    <xf numFmtId="2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368C-24ED-4D86-AEE3-85825E4E2A23}">
  <dimension ref="A2:G33"/>
  <sheetViews>
    <sheetView topLeftCell="A4" zoomScale="90" zoomScaleNormal="90" workbookViewId="0">
      <selection activeCell="G13" sqref="G13"/>
    </sheetView>
  </sheetViews>
  <sheetFormatPr baseColWidth="10" defaultColWidth="10.77734375" defaultRowHeight="14.4" x14ac:dyDescent="0.3"/>
  <cols>
    <col min="1" max="1" width="26.6640625" bestFit="1" customWidth="1"/>
  </cols>
  <sheetData>
    <row r="2" spans="1:7" x14ac:dyDescent="0.3">
      <c r="A2" s="14" t="s">
        <v>33</v>
      </c>
    </row>
    <row r="4" spans="1:7" x14ac:dyDescent="0.3">
      <c r="A4" s="17" t="s">
        <v>11</v>
      </c>
      <c r="B4" s="17" t="s">
        <v>12</v>
      </c>
      <c r="C4" s="17" t="s">
        <v>34</v>
      </c>
      <c r="D4" s="17" t="s">
        <v>35</v>
      </c>
      <c r="E4" s="17" t="s">
        <v>36</v>
      </c>
      <c r="F4" s="17" t="s">
        <v>37</v>
      </c>
      <c r="G4" s="17" t="s">
        <v>38</v>
      </c>
    </row>
    <row r="5" spans="1:7" x14ac:dyDescent="0.3">
      <c r="A5" s="14" t="s">
        <v>135</v>
      </c>
      <c r="B5" s="14" t="s">
        <v>51</v>
      </c>
      <c r="C5" s="14">
        <v>1</v>
      </c>
      <c r="D5" s="19">
        <v>200</v>
      </c>
      <c r="E5" s="19">
        <f>+F5/30</f>
        <v>6.666666666666667</v>
      </c>
      <c r="F5" s="19">
        <f>+D5</f>
        <v>200</v>
      </c>
      <c r="G5" s="19">
        <f>12*D5</f>
        <v>2400</v>
      </c>
    </row>
    <row r="6" spans="1:7" x14ac:dyDescent="0.3">
      <c r="A6" s="14"/>
      <c r="B6" s="14"/>
      <c r="C6" s="14"/>
      <c r="D6" s="19"/>
      <c r="E6" s="19"/>
      <c r="F6" s="19"/>
      <c r="G6" s="19"/>
    </row>
    <row r="7" spans="1:7" x14ac:dyDescent="0.3">
      <c r="A7" s="5" t="s">
        <v>39</v>
      </c>
      <c r="B7" s="14"/>
      <c r="C7" s="14"/>
      <c r="D7" s="14"/>
      <c r="E7" s="18">
        <f>SUM(E5:E6)</f>
        <v>6.666666666666667</v>
      </c>
      <c r="F7" s="18">
        <f>SUM(F5:F6)</f>
        <v>200</v>
      </c>
      <c r="G7" s="18">
        <f>SUM(G5:G6)</f>
        <v>2400</v>
      </c>
    </row>
    <row r="10" spans="1:7" x14ac:dyDescent="0.3">
      <c r="A10" s="2" t="s">
        <v>97</v>
      </c>
    </row>
    <row r="11" spans="1:7" x14ac:dyDescent="0.3">
      <c r="A11" s="17" t="s">
        <v>11</v>
      </c>
      <c r="B11" s="17" t="s">
        <v>12</v>
      </c>
      <c r="C11" s="17" t="s">
        <v>34</v>
      </c>
      <c r="D11" s="17" t="s">
        <v>37</v>
      </c>
      <c r="E11" s="17" t="s">
        <v>38</v>
      </c>
      <c r="G11" s="6"/>
    </row>
    <row r="12" spans="1:7" x14ac:dyDescent="0.3">
      <c r="A12" s="9" t="s">
        <v>40</v>
      </c>
      <c r="B12" s="14" t="s">
        <v>41</v>
      </c>
      <c r="C12" s="14">
        <v>20</v>
      </c>
      <c r="D12" s="14">
        <f>+C12*0.83</f>
        <v>16.599999999999998</v>
      </c>
      <c r="E12" s="14">
        <f>+D12*12</f>
        <v>199.2</v>
      </c>
    </row>
    <row r="13" spans="1:7" x14ac:dyDescent="0.3">
      <c r="A13" s="9" t="s">
        <v>42</v>
      </c>
      <c r="B13" s="14" t="s">
        <v>98</v>
      </c>
      <c r="C13" s="14">
        <v>15</v>
      </c>
      <c r="D13" s="14">
        <f>+C13*9.2</f>
        <v>138</v>
      </c>
      <c r="E13" s="14">
        <f t="shared" ref="E13:E15" si="0">+D13*12</f>
        <v>1656</v>
      </c>
    </row>
    <row r="14" spans="1:7" x14ac:dyDescent="0.3">
      <c r="A14" s="9" t="s">
        <v>52</v>
      </c>
      <c r="B14" s="14" t="s">
        <v>99</v>
      </c>
      <c r="C14" s="14">
        <v>1</v>
      </c>
      <c r="D14" s="14">
        <v>110</v>
      </c>
      <c r="E14" s="14">
        <f t="shared" si="0"/>
        <v>1320</v>
      </c>
    </row>
    <row r="15" spans="1:7" x14ac:dyDescent="0.3">
      <c r="A15" s="9" t="s">
        <v>43</v>
      </c>
      <c r="B15" s="14" t="s">
        <v>99</v>
      </c>
      <c r="C15" s="14">
        <v>1</v>
      </c>
      <c r="D15" s="14">
        <v>85</v>
      </c>
      <c r="E15" s="14">
        <f t="shared" si="0"/>
        <v>1020</v>
      </c>
    </row>
    <row r="16" spans="1:7" x14ac:dyDescent="0.3">
      <c r="A16" s="1" t="s">
        <v>44</v>
      </c>
      <c r="B16" s="14"/>
      <c r="C16" s="14"/>
      <c r="D16" s="18">
        <f>SUM(D12:D15)</f>
        <v>349.6</v>
      </c>
      <c r="E16" s="18">
        <f>SUM(E12:E15)</f>
        <v>4195.2</v>
      </c>
      <c r="G16" s="15"/>
    </row>
    <row r="17" spans="1:7" x14ac:dyDescent="0.3">
      <c r="A17" s="9"/>
      <c r="B17" s="9"/>
      <c r="C17" s="9"/>
      <c r="D17" s="9"/>
      <c r="E17" s="9"/>
    </row>
    <row r="19" spans="1:7" x14ac:dyDescent="0.3">
      <c r="A19" s="2" t="s">
        <v>100</v>
      </c>
    </row>
    <row r="20" spans="1:7" x14ac:dyDescent="0.3">
      <c r="A20" s="17" t="s">
        <v>11</v>
      </c>
      <c r="B20" s="17" t="s">
        <v>12</v>
      </c>
      <c r="C20" s="17" t="s">
        <v>34</v>
      </c>
      <c r="D20" s="17" t="s">
        <v>37</v>
      </c>
      <c r="E20" s="17" t="s">
        <v>38</v>
      </c>
      <c r="G20" s="6"/>
    </row>
    <row r="21" spans="1:7" x14ac:dyDescent="0.3">
      <c r="A21" s="9" t="s">
        <v>101</v>
      </c>
      <c r="B21" s="14" t="s">
        <v>104</v>
      </c>
      <c r="C21" s="14">
        <v>1</v>
      </c>
      <c r="D21" s="14">
        <v>12</v>
      </c>
      <c r="E21" s="14">
        <f>D21*12</f>
        <v>144</v>
      </c>
      <c r="G21" s="6"/>
    </row>
    <row r="22" spans="1:7" x14ac:dyDescent="0.3">
      <c r="A22" s="9" t="s">
        <v>45</v>
      </c>
      <c r="B22" s="14" t="s">
        <v>104</v>
      </c>
      <c r="C22" s="14">
        <v>1</v>
      </c>
      <c r="D22" s="19">
        <v>20</v>
      </c>
      <c r="E22" s="19">
        <f>D22*12</f>
        <v>240</v>
      </c>
    </row>
    <row r="23" spans="1:7" x14ac:dyDescent="0.3">
      <c r="A23" s="9" t="s">
        <v>102</v>
      </c>
      <c r="B23" s="14" t="s">
        <v>104</v>
      </c>
      <c r="C23" s="14">
        <v>1</v>
      </c>
      <c r="D23" s="19">
        <v>400</v>
      </c>
      <c r="E23" s="19">
        <f t="shared" ref="E23:E25" si="1">D23*12</f>
        <v>4800</v>
      </c>
    </row>
    <row r="24" spans="1:7" x14ac:dyDescent="0.3">
      <c r="A24" s="9" t="s">
        <v>103</v>
      </c>
      <c r="B24" s="14" t="s">
        <v>104</v>
      </c>
      <c r="C24" s="14">
        <v>1</v>
      </c>
      <c r="D24" s="19">
        <v>100</v>
      </c>
      <c r="E24" s="19">
        <f>+C24*D24</f>
        <v>100</v>
      </c>
    </row>
    <row r="25" spans="1:7" x14ac:dyDescent="0.3">
      <c r="A25" s="9" t="s">
        <v>46</v>
      </c>
      <c r="B25" s="14" t="s">
        <v>104</v>
      </c>
      <c r="C25" s="14">
        <v>1</v>
      </c>
      <c r="D25" s="19">
        <v>200</v>
      </c>
      <c r="E25" s="19">
        <f t="shared" si="1"/>
        <v>2400</v>
      </c>
    </row>
    <row r="26" spans="1:7" x14ac:dyDescent="0.3">
      <c r="A26" s="1" t="s">
        <v>47</v>
      </c>
      <c r="B26" s="14"/>
      <c r="C26" s="14"/>
      <c r="D26" s="14"/>
      <c r="E26" s="18">
        <f>SUM(E22:E25)</f>
        <v>7540</v>
      </c>
    </row>
    <row r="28" spans="1:7" x14ac:dyDescent="0.3">
      <c r="A28" s="2" t="s">
        <v>103</v>
      </c>
    </row>
    <row r="29" spans="1:7" x14ac:dyDescent="0.3">
      <c r="A29" s="17" t="s">
        <v>11</v>
      </c>
      <c r="B29" s="17" t="s">
        <v>37</v>
      </c>
      <c r="C29" s="17" t="s">
        <v>38</v>
      </c>
    </row>
    <row r="30" spans="1:7" x14ac:dyDescent="0.3">
      <c r="A30" s="9" t="s">
        <v>48</v>
      </c>
      <c r="B30" s="14">
        <v>150</v>
      </c>
      <c r="C30" s="14">
        <f>+B30*12</f>
        <v>1800</v>
      </c>
    </row>
    <row r="31" spans="1:7" x14ac:dyDescent="0.3">
      <c r="A31" s="9" t="s">
        <v>49</v>
      </c>
      <c r="B31" s="14">
        <v>250</v>
      </c>
      <c r="C31" s="14">
        <f t="shared" ref="C31:C32" si="2">+B31*12</f>
        <v>3000</v>
      </c>
    </row>
    <row r="32" spans="1:7" x14ac:dyDescent="0.3">
      <c r="A32" s="9" t="s">
        <v>50</v>
      </c>
      <c r="B32" s="14">
        <v>40</v>
      </c>
      <c r="C32" s="14">
        <f t="shared" si="2"/>
        <v>480</v>
      </c>
    </row>
    <row r="33" spans="1:3" x14ac:dyDescent="0.3">
      <c r="A33" s="1" t="s">
        <v>53</v>
      </c>
      <c r="B33" s="14"/>
      <c r="C33" s="5">
        <f>SUM(C30:C32)</f>
        <v>5280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AE9-F588-4E4E-930A-61E2532E255D}">
  <dimension ref="B4:M18"/>
  <sheetViews>
    <sheetView zoomScaleNormal="100" workbookViewId="0">
      <selection activeCell="B10" sqref="B10:M10"/>
    </sheetView>
  </sheetViews>
  <sheetFormatPr baseColWidth="10" defaultColWidth="10.77734375" defaultRowHeight="14.4" x14ac:dyDescent="0.3"/>
  <cols>
    <col min="2" max="2" width="15.33203125" bestFit="1" customWidth="1"/>
    <col min="3" max="3" width="18.44140625" bestFit="1" customWidth="1"/>
  </cols>
  <sheetData>
    <row r="4" spans="2:13" x14ac:dyDescent="0.3">
      <c r="B4" s="7" t="s">
        <v>16</v>
      </c>
      <c r="C4" s="7"/>
      <c r="D4" s="7"/>
      <c r="E4" s="7"/>
      <c r="F4" s="7"/>
      <c r="G4" s="7"/>
      <c r="H4" s="7"/>
      <c r="I4" s="7"/>
      <c r="J4" s="8">
        <v>0.1115</v>
      </c>
      <c r="K4" s="7"/>
    </row>
    <row r="5" spans="2:13" ht="28.8" x14ac:dyDescent="0.3">
      <c r="B5" s="20" t="s">
        <v>17</v>
      </c>
      <c r="C5" s="21" t="s">
        <v>18</v>
      </c>
      <c r="D5" s="21" t="s">
        <v>19</v>
      </c>
      <c r="E5" s="21" t="s">
        <v>20</v>
      </c>
      <c r="F5" s="21" t="s">
        <v>21</v>
      </c>
      <c r="G5" s="21" t="s">
        <v>22</v>
      </c>
      <c r="H5" s="21" t="s">
        <v>23</v>
      </c>
      <c r="I5" s="21" t="s">
        <v>24</v>
      </c>
      <c r="J5" s="21" t="s">
        <v>25</v>
      </c>
      <c r="K5" s="21" t="s">
        <v>26</v>
      </c>
      <c r="L5" s="21" t="s">
        <v>27</v>
      </c>
      <c r="M5" s="21" t="s">
        <v>28</v>
      </c>
    </row>
    <row r="6" spans="2:13" x14ac:dyDescent="0.3">
      <c r="B6" s="41" t="s">
        <v>29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2:13" x14ac:dyDescent="0.3">
      <c r="B7" s="14" t="s">
        <v>30</v>
      </c>
      <c r="C7" s="22">
        <v>1</v>
      </c>
      <c r="D7" s="24">
        <v>800</v>
      </c>
      <c r="E7" s="24">
        <f>D7*12</f>
        <v>9600</v>
      </c>
      <c r="F7" s="24">
        <f>D7*C7</f>
        <v>800</v>
      </c>
      <c r="G7" s="24">
        <f>D7</f>
        <v>800</v>
      </c>
      <c r="H7" s="24">
        <v>425</v>
      </c>
      <c r="I7" s="24">
        <f>E7/24</f>
        <v>400</v>
      </c>
      <c r="J7" s="24">
        <f>E7*$J$4</f>
        <v>1070.4000000000001</v>
      </c>
      <c r="K7" s="24">
        <f>L7/12</f>
        <v>1091.2833333333333</v>
      </c>
      <c r="L7" s="24">
        <f>E7+I7+J7+G7+H7+F7</f>
        <v>13095.4</v>
      </c>
      <c r="M7" s="25"/>
    </row>
    <row r="8" spans="2:13" x14ac:dyDescent="0.3">
      <c r="B8" s="14" t="s">
        <v>31</v>
      </c>
      <c r="C8" s="22">
        <v>1</v>
      </c>
      <c r="D8" s="24">
        <v>700</v>
      </c>
      <c r="E8" s="24">
        <f>D8*12</f>
        <v>8400</v>
      </c>
      <c r="F8" s="24">
        <f>D8*C8</f>
        <v>700</v>
      </c>
      <c r="G8" s="24">
        <f>D8</f>
        <v>700</v>
      </c>
      <c r="H8" s="24">
        <v>425</v>
      </c>
      <c r="I8" s="24">
        <f>E8/24</f>
        <v>350</v>
      </c>
      <c r="J8" s="24">
        <f>E8*$J$4</f>
        <v>936.6</v>
      </c>
      <c r="K8" s="24">
        <f>L8/12</f>
        <v>959.30000000000007</v>
      </c>
      <c r="L8" s="24">
        <f>E8+I8+J8+G8+H8+F8</f>
        <v>11511.6</v>
      </c>
      <c r="M8" s="25"/>
    </row>
    <row r="9" spans="2:13" x14ac:dyDescent="0.3">
      <c r="B9" s="5"/>
      <c r="C9" s="23">
        <f>+SUM(C7:C8)</f>
        <v>2</v>
      </c>
      <c r="D9" s="26">
        <f>+SUM(D7:D8)</f>
        <v>1500</v>
      </c>
      <c r="E9" s="26">
        <f t="shared" ref="E9:L9" si="0">+SUM(E7:E8)</f>
        <v>18000</v>
      </c>
      <c r="F9" s="26">
        <f t="shared" si="0"/>
        <v>1500</v>
      </c>
      <c r="G9" s="26">
        <f t="shared" si="0"/>
        <v>1500</v>
      </c>
      <c r="H9" s="26">
        <f t="shared" si="0"/>
        <v>850</v>
      </c>
      <c r="I9" s="26">
        <f t="shared" si="0"/>
        <v>750</v>
      </c>
      <c r="J9" s="26">
        <f t="shared" si="0"/>
        <v>2007</v>
      </c>
      <c r="K9" s="26">
        <f t="shared" si="0"/>
        <v>2050.5833333333335</v>
      </c>
      <c r="L9" s="26">
        <f t="shared" si="0"/>
        <v>24607</v>
      </c>
      <c r="M9" s="26">
        <f>+L9</f>
        <v>24607</v>
      </c>
    </row>
    <row r="10" spans="2:13" x14ac:dyDescent="0.3">
      <c r="B10" s="41" t="s">
        <v>110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3">
      <c r="B11" s="31" t="s">
        <v>105</v>
      </c>
      <c r="C11" s="22">
        <v>4</v>
      </c>
      <c r="D11" s="24">
        <v>800</v>
      </c>
      <c r="E11" s="24">
        <f>D11*12</f>
        <v>9600</v>
      </c>
      <c r="F11" s="24">
        <f>D11*C11</f>
        <v>3200</v>
      </c>
      <c r="G11" s="24">
        <f>D11*C11</f>
        <v>3200</v>
      </c>
      <c r="H11" s="24">
        <v>425</v>
      </c>
      <c r="I11" s="24">
        <f>E11/24</f>
        <v>400</v>
      </c>
      <c r="J11" s="24">
        <f>E11*$J$4</f>
        <v>1070.4000000000001</v>
      </c>
      <c r="K11" s="24">
        <f>L11/12</f>
        <v>1491.2833333333335</v>
      </c>
      <c r="L11" s="24">
        <f>E11+I11+J11+G11+H11+F11</f>
        <v>17895.400000000001</v>
      </c>
      <c r="M11" s="25"/>
    </row>
    <row r="12" spans="2:13" ht="28.8" x14ac:dyDescent="0.3">
      <c r="B12" s="31" t="s">
        <v>107</v>
      </c>
      <c r="C12" s="22">
        <v>2</v>
      </c>
      <c r="D12" s="24">
        <v>800</v>
      </c>
      <c r="E12" s="24">
        <f t="shared" ref="E12:E16" si="1">D12*12</f>
        <v>9600</v>
      </c>
      <c r="F12" s="24">
        <f t="shared" ref="F12:F14" si="2">D12*C12</f>
        <v>1600</v>
      </c>
      <c r="G12" s="24">
        <f t="shared" ref="G12:G14" si="3">D12*C12</f>
        <v>1600</v>
      </c>
      <c r="H12" s="24">
        <v>425</v>
      </c>
      <c r="I12" s="24">
        <f t="shared" ref="I12:I14" si="4">E12/24</f>
        <v>400</v>
      </c>
      <c r="J12" s="24">
        <f t="shared" ref="J12:J14" si="5">E12*$J$4</f>
        <v>1070.4000000000001</v>
      </c>
      <c r="K12" s="24">
        <f t="shared" ref="K12:K14" si="6">L12/12</f>
        <v>1224.6166666666666</v>
      </c>
      <c r="L12" s="24">
        <f t="shared" ref="L12:L14" si="7">E12+I12+J12+G12+H12+F12</f>
        <v>14695.4</v>
      </c>
      <c r="M12" s="25"/>
    </row>
    <row r="13" spans="2:13" x14ac:dyDescent="0.3">
      <c r="B13" s="31" t="s">
        <v>106</v>
      </c>
      <c r="C13" s="22">
        <v>1</v>
      </c>
      <c r="D13" s="24">
        <v>720</v>
      </c>
      <c r="E13" s="24">
        <f t="shared" si="1"/>
        <v>8640</v>
      </c>
      <c r="F13" s="24">
        <f t="shared" si="2"/>
        <v>720</v>
      </c>
      <c r="G13" s="24">
        <f t="shared" si="3"/>
        <v>720</v>
      </c>
      <c r="H13" s="24">
        <v>425</v>
      </c>
      <c r="I13" s="24">
        <f t="shared" si="4"/>
        <v>360</v>
      </c>
      <c r="J13" s="24">
        <f t="shared" si="5"/>
        <v>963.36</v>
      </c>
      <c r="K13" s="24">
        <f t="shared" si="6"/>
        <v>985.69666666666672</v>
      </c>
      <c r="L13" s="24">
        <f t="shared" si="7"/>
        <v>11828.36</v>
      </c>
      <c r="M13" s="25"/>
    </row>
    <row r="14" spans="2:13" x14ac:dyDescent="0.3">
      <c r="B14" s="31" t="s">
        <v>108</v>
      </c>
      <c r="C14" s="22">
        <v>1</v>
      </c>
      <c r="D14" s="24">
        <v>720</v>
      </c>
      <c r="E14" s="24">
        <f t="shared" si="1"/>
        <v>8640</v>
      </c>
      <c r="F14" s="24">
        <f t="shared" si="2"/>
        <v>720</v>
      </c>
      <c r="G14" s="24">
        <f t="shared" si="3"/>
        <v>720</v>
      </c>
      <c r="H14" s="24">
        <v>425</v>
      </c>
      <c r="I14" s="24">
        <f t="shared" si="4"/>
        <v>360</v>
      </c>
      <c r="J14" s="24">
        <f t="shared" si="5"/>
        <v>963.36</v>
      </c>
      <c r="K14" s="24">
        <f t="shared" si="6"/>
        <v>985.69666666666672</v>
      </c>
      <c r="L14" s="24">
        <f t="shared" si="7"/>
        <v>11828.36</v>
      </c>
      <c r="M14" s="25"/>
    </row>
    <row r="15" spans="2:13" x14ac:dyDescent="0.3">
      <c r="B15" s="29" t="s">
        <v>134</v>
      </c>
      <c r="C15" s="22">
        <v>1</v>
      </c>
      <c r="D15" s="24">
        <v>600</v>
      </c>
      <c r="E15" s="24">
        <f t="shared" si="1"/>
        <v>7200</v>
      </c>
      <c r="F15" s="24">
        <f t="shared" ref="F15:F16" si="8">D15*C15</f>
        <v>600</v>
      </c>
      <c r="G15" s="24">
        <f t="shared" ref="G15:G16" si="9">D15*C15</f>
        <v>600</v>
      </c>
      <c r="H15" s="24">
        <v>425</v>
      </c>
      <c r="I15" s="24">
        <f t="shared" ref="I15:I16" si="10">E15/24</f>
        <v>300</v>
      </c>
      <c r="J15" s="24">
        <f t="shared" ref="J15:J16" si="11">E15*$J$4</f>
        <v>802.80000000000007</v>
      </c>
      <c r="K15" s="24">
        <f t="shared" ref="K15:K16" si="12">L15/12</f>
        <v>827.31666666666661</v>
      </c>
      <c r="L15" s="24">
        <f t="shared" ref="L15:L16" si="13">E15+I15+J15+G15+H15+F15</f>
        <v>9927.7999999999993</v>
      </c>
      <c r="M15" s="25"/>
    </row>
    <row r="16" spans="2:13" ht="28.8" x14ac:dyDescent="0.3">
      <c r="B16" s="31" t="s">
        <v>109</v>
      </c>
      <c r="C16" s="22">
        <v>1</v>
      </c>
      <c r="D16" s="24">
        <v>425</v>
      </c>
      <c r="E16" s="24">
        <f t="shared" si="1"/>
        <v>5100</v>
      </c>
      <c r="F16" s="24">
        <f t="shared" si="8"/>
        <v>425</v>
      </c>
      <c r="G16" s="24">
        <f t="shared" si="9"/>
        <v>425</v>
      </c>
      <c r="H16" s="24">
        <v>425</v>
      </c>
      <c r="I16" s="24">
        <f t="shared" si="10"/>
        <v>212.5</v>
      </c>
      <c r="J16" s="24">
        <f t="shared" si="11"/>
        <v>568.65</v>
      </c>
      <c r="K16" s="24">
        <f t="shared" si="12"/>
        <v>596.3458333333333</v>
      </c>
      <c r="L16" s="24">
        <f t="shared" si="13"/>
        <v>7156.15</v>
      </c>
      <c r="M16" s="25"/>
    </row>
    <row r="17" spans="2:13" x14ac:dyDescent="0.3">
      <c r="B17" s="30"/>
      <c r="C17" s="27">
        <f>+SUM(C11:C16)</f>
        <v>10</v>
      </c>
      <c r="D17" s="28"/>
      <c r="E17" s="28">
        <f>+SUM(E11:E16)</f>
        <v>48780</v>
      </c>
      <c r="F17" s="28">
        <f t="shared" ref="F17:L17" si="14">+SUM(F11:F16)</f>
        <v>7265</v>
      </c>
      <c r="G17" s="28">
        <f t="shared" si="14"/>
        <v>7265</v>
      </c>
      <c r="H17" s="28">
        <f t="shared" si="14"/>
        <v>2550</v>
      </c>
      <c r="I17" s="28">
        <f t="shared" si="14"/>
        <v>2032.5</v>
      </c>
      <c r="J17" s="28">
        <f t="shared" si="14"/>
        <v>5438.97</v>
      </c>
      <c r="K17" s="28">
        <f t="shared" si="14"/>
        <v>6110.9558333333334</v>
      </c>
      <c r="L17" s="28">
        <f t="shared" si="14"/>
        <v>73331.47</v>
      </c>
      <c r="M17" s="28">
        <f>+L17</f>
        <v>73331.47</v>
      </c>
    </row>
    <row r="18" spans="2:13" x14ac:dyDescent="0.3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1">
        <f>+L17+L9</f>
        <v>97938.47</v>
      </c>
    </row>
  </sheetData>
  <mergeCells count="2">
    <mergeCell ref="B6:M6"/>
    <mergeCell ref="B10:M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046-18EA-4263-AB5D-25973A303ACC}">
  <dimension ref="B2:H5"/>
  <sheetViews>
    <sheetView zoomScale="90" zoomScaleNormal="90" workbookViewId="0">
      <selection activeCell="F5" sqref="F5"/>
    </sheetView>
  </sheetViews>
  <sheetFormatPr baseColWidth="10" defaultColWidth="10.77734375" defaultRowHeight="14.4" x14ac:dyDescent="0.3"/>
  <cols>
    <col min="2" max="2" width="22.109375" bestFit="1" customWidth="1"/>
    <col min="4" max="4" width="12.88671875" bestFit="1" customWidth="1"/>
    <col min="6" max="6" width="13.6640625" bestFit="1" customWidth="1"/>
  </cols>
  <sheetData>
    <row r="2" spans="2:8" x14ac:dyDescent="0.3"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/>
      <c r="H2" s="6"/>
    </row>
    <row r="3" spans="2:8" x14ac:dyDescent="0.3">
      <c r="B3" s="9" t="s">
        <v>111</v>
      </c>
      <c r="C3" s="9" t="s">
        <v>96</v>
      </c>
      <c r="D3" s="32">
        <v>8</v>
      </c>
      <c r="E3" s="10">
        <v>2000</v>
      </c>
      <c r="F3" s="10">
        <f>+D3*E3*12</f>
        <v>192000</v>
      </c>
    </row>
    <row r="4" spans="2:8" x14ac:dyDescent="0.3">
      <c r="B4" s="9" t="s">
        <v>112</v>
      </c>
      <c r="C4" s="9" t="s">
        <v>96</v>
      </c>
      <c r="D4" s="32">
        <v>4</v>
      </c>
      <c r="E4" s="10">
        <v>225</v>
      </c>
      <c r="F4" s="10">
        <f>+E4*12</f>
        <v>2700</v>
      </c>
    </row>
    <row r="5" spans="2:8" x14ac:dyDescent="0.3">
      <c r="E5" s="2" t="s">
        <v>7</v>
      </c>
      <c r="F5" s="33">
        <f>SUM(F3:F4)</f>
        <v>194700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1438-B4AD-411F-B0B6-4ADF899856D7}">
  <dimension ref="A3:E9"/>
  <sheetViews>
    <sheetView zoomScale="110" zoomScaleNormal="110" workbookViewId="0">
      <selection activeCell="G9" sqref="G9"/>
    </sheetView>
  </sheetViews>
  <sheetFormatPr baseColWidth="10" defaultColWidth="10.77734375" defaultRowHeight="14.4" x14ac:dyDescent="0.3"/>
  <cols>
    <col min="1" max="1" width="18.77734375" bestFit="1" customWidth="1"/>
    <col min="2" max="2" width="12.6640625" bestFit="1" customWidth="1"/>
    <col min="3" max="3" width="11.6640625" bestFit="1" customWidth="1"/>
    <col min="4" max="4" width="5.33203125" bestFit="1" customWidth="1"/>
    <col min="5" max="5" width="13.6640625" bestFit="1" customWidth="1"/>
  </cols>
  <sheetData>
    <row r="3" spans="1:5" x14ac:dyDescent="0.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x14ac:dyDescent="0.3">
      <c r="A4" s="9" t="s">
        <v>113</v>
      </c>
      <c r="B4" s="24">
        <v>85</v>
      </c>
      <c r="C4" s="22">
        <v>5</v>
      </c>
      <c r="D4" s="24">
        <v>0.33</v>
      </c>
      <c r="E4" s="24">
        <f t="shared" ref="E4:E6" si="0">+(B4-B4*D4)/C4</f>
        <v>11.39</v>
      </c>
    </row>
    <row r="5" spans="1:5" x14ac:dyDescent="0.3">
      <c r="A5" s="9" t="s">
        <v>114</v>
      </c>
      <c r="B5" s="24">
        <f>1200*5</f>
        <v>6000</v>
      </c>
      <c r="C5" s="22">
        <v>5</v>
      </c>
      <c r="D5" s="24">
        <v>0.33</v>
      </c>
      <c r="E5" s="24">
        <f t="shared" si="0"/>
        <v>804</v>
      </c>
    </row>
    <row r="6" spans="1:5" x14ac:dyDescent="0.3">
      <c r="A6" s="9"/>
      <c r="B6" s="24">
        <v>0</v>
      </c>
      <c r="C6" s="22">
        <v>5</v>
      </c>
      <c r="D6" s="24">
        <v>0.2</v>
      </c>
      <c r="E6" s="24">
        <f t="shared" si="0"/>
        <v>0</v>
      </c>
    </row>
    <row r="7" spans="1:5" ht="28.8" x14ac:dyDescent="0.3">
      <c r="A7" s="34" t="s">
        <v>115</v>
      </c>
      <c r="B7" s="24">
        <v>120000</v>
      </c>
      <c r="C7" s="22">
        <v>10</v>
      </c>
      <c r="D7" s="24">
        <v>0.08</v>
      </c>
      <c r="E7" s="24">
        <f>+(B7-B7*D7)/C7</f>
        <v>11040</v>
      </c>
    </row>
    <row r="8" spans="1:5" x14ac:dyDescent="0.3">
      <c r="A8" s="9"/>
      <c r="B8" s="24"/>
      <c r="C8" s="22"/>
      <c r="D8" s="24"/>
      <c r="E8" s="24"/>
    </row>
    <row r="9" spans="1:5" x14ac:dyDescent="0.3">
      <c r="B9" s="14">
        <f>SUM(B4:B8)</f>
        <v>126085</v>
      </c>
      <c r="C9" s="14"/>
      <c r="D9" s="14"/>
      <c r="E9" s="25">
        <f>SUM(E4:E8)</f>
        <v>11855.39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B5BF-205B-4655-ADB0-F385D3023BA3}">
  <dimension ref="A2:H25"/>
  <sheetViews>
    <sheetView zoomScale="90" zoomScaleNormal="90" workbookViewId="0">
      <selection activeCell="H25" sqref="H25"/>
    </sheetView>
  </sheetViews>
  <sheetFormatPr baseColWidth="10" defaultColWidth="10.77734375" defaultRowHeight="14.4" x14ac:dyDescent="0.3"/>
  <cols>
    <col min="1" max="1" width="17.44140625" bestFit="1" customWidth="1"/>
    <col min="2" max="2" width="23.5546875" customWidth="1"/>
    <col min="3" max="4" width="11.33203125" bestFit="1" customWidth="1"/>
    <col min="5" max="5" width="14.5546875" bestFit="1" customWidth="1"/>
    <col min="6" max="6" width="13.44140625" bestFit="1" customWidth="1"/>
  </cols>
  <sheetData>
    <row r="2" spans="1:8" x14ac:dyDescent="0.3">
      <c r="A2" s="9" t="s">
        <v>3</v>
      </c>
      <c r="B2" s="36">
        <v>4.99E-2</v>
      </c>
    </row>
    <row r="3" spans="1:8" ht="28.8" x14ac:dyDescent="0.3">
      <c r="A3" s="34" t="s">
        <v>116</v>
      </c>
      <c r="B3" s="11">
        <v>50000</v>
      </c>
    </row>
    <row r="4" spans="1:8" x14ac:dyDescent="0.3">
      <c r="A4" s="9" t="s">
        <v>117</v>
      </c>
      <c r="B4" s="9">
        <v>5</v>
      </c>
    </row>
    <row r="6" spans="1:8" x14ac:dyDescent="0.3">
      <c r="B6" s="2"/>
    </row>
    <row r="8" spans="1:8" x14ac:dyDescent="0.3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</row>
    <row r="9" spans="1:8" x14ac:dyDescent="0.3">
      <c r="A9" s="14">
        <v>0</v>
      </c>
      <c r="B9" s="24">
        <f>+B3</f>
        <v>50000</v>
      </c>
      <c r="C9" s="24"/>
      <c r="D9" s="24"/>
      <c r="E9" s="24"/>
      <c r="F9" s="24"/>
    </row>
    <row r="10" spans="1:8" x14ac:dyDescent="0.3">
      <c r="A10" s="14">
        <v>1</v>
      </c>
      <c r="B10" s="24">
        <f>+B9-C10</f>
        <v>40000</v>
      </c>
      <c r="C10" s="24">
        <f>+$B$9/$B$4</f>
        <v>10000</v>
      </c>
      <c r="D10" s="24">
        <f>+B9*$B$2</f>
        <v>2495</v>
      </c>
      <c r="E10" s="24">
        <f>+D10+C10</f>
        <v>12495</v>
      </c>
      <c r="F10" s="24">
        <f>+E10/12</f>
        <v>1041.25</v>
      </c>
      <c r="G10" s="4"/>
      <c r="H10" s="4"/>
    </row>
    <row r="11" spans="1:8" x14ac:dyDescent="0.3">
      <c r="A11" s="14">
        <v>2</v>
      </c>
      <c r="B11" s="24">
        <f t="shared" ref="B11:B13" si="0">+B10-C11</f>
        <v>30000</v>
      </c>
      <c r="C11" s="24">
        <f t="shared" ref="C11:C14" si="1">+$B$9/$B$4</f>
        <v>10000</v>
      </c>
      <c r="D11" s="24">
        <f t="shared" ref="D11:D14" si="2">+B10*$B$2</f>
        <v>1996</v>
      </c>
      <c r="E11" s="24">
        <f>+C11+D11</f>
        <v>11996</v>
      </c>
      <c r="F11" s="24">
        <f t="shared" ref="F11:F13" si="3">+E11/12</f>
        <v>999.66666666666663</v>
      </c>
      <c r="G11" s="4"/>
      <c r="H11" s="4"/>
    </row>
    <row r="12" spans="1:8" x14ac:dyDescent="0.3">
      <c r="A12" s="14">
        <v>3</v>
      </c>
      <c r="B12" s="24">
        <f t="shared" si="0"/>
        <v>20000</v>
      </c>
      <c r="C12" s="24">
        <f t="shared" si="1"/>
        <v>10000</v>
      </c>
      <c r="D12" s="24">
        <f t="shared" si="2"/>
        <v>1497</v>
      </c>
      <c r="E12" s="24">
        <f t="shared" ref="E12:E14" si="4">+C12+D12</f>
        <v>11497</v>
      </c>
      <c r="F12" s="24">
        <f t="shared" si="3"/>
        <v>958.08333333333337</v>
      </c>
      <c r="G12" s="4"/>
      <c r="H12" s="4"/>
    </row>
    <row r="13" spans="1:8" x14ac:dyDescent="0.3">
      <c r="A13" s="14">
        <v>4</v>
      </c>
      <c r="B13" s="24">
        <f t="shared" si="0"/>
        <v>10000</v>
      </c>
      <c r="C13" s="24">
        <f t="shared" si="1"/>
        <v>10000</v>
      </c>
      <c r="D13" s="24">
        <f t="shared" si="2"/>
        <v>998</v>
      </c>
      <c r="E13" s="24">
        <f t="shared" si="4"/>
        <v>10998</v>
      </c>
      <c r="F13" s="24">
        <f t="shared" si="3"/>
        <v>916.5</v>
      </c>
      <c r="G13" s="4"/>
      <c r="H13" s="4"/>
    </row>
    <row r="14" spans="1:8" x14ac:dyDescent="0.3">
      <c r="A14" s="14">
        <v>5</v>
      </c>
      <c r="B14" s="24"/>
      <c r="C14" s="24">
        <f t="shared" si="1"/>
        <v>10000</v>
      </c>
      <c r="D14" s="24">
        <f t="shared" si="2"/>
        <v>499</v>
      </c>
      <c r="E14" s="24">
        <f t="shared" si="4"/>
        <v>10499</v>
      </c>
      <c r="F14" s="24">
        <f>+E14/12</f>
        <v>874.91666666666663</v>
      </c>
      <c r="G14" s="4"/>
      <c r="H14" s="4"/>
    </row>
    <row r="15" spans="1:8" x14ac:dyDescent="0.3">
      <c r="A15" s="14"/>
      <c r="B15" s="24"/>
      <c r="C15" s="24"/>
      <c r="D15" s="24">
        <f>SUM(D10:D14)</f>
        <v>7485</v>
      </c>
      <c r="E15" s="24">
        <f>SUM(E10:E14)</f>
        <v>57485</v>
      </c>
      <c r="F15" s="24"/>
      <c r="G15" s="4"/>
      <c r="H15" s="4"/>
    </row>
    <row r="16" spans="1:8" x14ac:dyDescent="0.3">
      <c r="A16" s="2"/>
      <c r="B16" s="3"/>
      <c r="C16" s="3"/>
      <c r="D16" s="3"/>
      <c r="E16" s="3"/>
      <c r="F16" s="3"/>
      <c r="G16" s="4"/>
      <c r="H16" s="4"/>
    </row>
    <row r="17" spans="1:8" x14ac:dyDescent="0.3">
      <c r="A17" s="2"/>
      <c r="B17" s="3"/>
      <c r="C17" s="3"/>
      <c r="D17" s="3"/>
      <c r="E17" s="3"/>
      <c r="F17" s="3"/>
      <c r="G17" s="4"/>
      <c r="H17" s="4"/>
    </row>
    <row r="18" spans="1:8" x14ac:dyDescent="0.3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4"/>
      <c r="H18" s="4"/>
    </row>
    <row r="19" spans="1:8" x14ac:dyDescent="0.3">
      <c r="A19" s="14">
        <v>0</v>
      </c>
      <c r="B19" s="24">
        <f>+B3</f>
        <v>50000</v>
      </c>
      <c r="C19" s="24"/>
      <c r="D19" s="24"/>
      <c r="E19" s="24"/>
      <c r="F19" s="24"/>
      <c r="G19" s="4"/>
      <c r="H19" s="4"/>
    </row>
    <row r="20" spans="1:8" x14ac:dyDescent="0.3">
      <c r="A20" s="14">
        <v>1</v>
      </c>
      <c r="B20" s="24">
        <f>+B19-C20</f>
        <v>40949.452332659581</v>
      </c>
      <c r="C20" s="24">
        <f>+E20-D20</f>
        <v>9050.5476673404191</v>
      </c>
      <c r="D20" s="24">
        <f>+B19*$B$2</f>
        <v>2495</v>
      </c>
      <c r="E20" s="35">
        <f>+PMT(B2,B4,-$B$19)</f>
        <v>11545.547667340419</v>
      </c>
      <c r="F20" s="24">
        <f>+E20/12</f>
        <v>962.12897227836822</v>
      </c>
      <c r="G20" s="4"/>
      <c r="H20" s="4"/>
    </row>
    <row r="21" spans="1:8" x14ac:dyDescent="0.3">
      <c r="A21" s="14">
        <v>2</v>
      </c>
      <c r="B21" s="24">
        <f t="shared" ref="B21:B24" si="5">+B20-C21</f>
        <v>31447.282336718876</v>
      </c>
      <c r="C21" s="24">
        <f t="shared" ref="C21:C25" si="6">+E21-D21</f>
        <v>9502.1699959407051</v>
      </c>
      <c r="D21" s="24">
        <f t="shared" ref="D21:D24" si="7">+B20*$B$2</f>
        <v>2043.3776713997131</v>
      </c>
      <c r="E21" s="35">
        <f>+E20</f>
        <v>11545.547667340419</v>
      </c>
      <c r="F21" s="24">
        <f t="shared" ref="F21:F24" si="8">+E21/12</f>
        <v>962.12897227836822</v>
      </c>
      <c r="G21" s="4"/>
      <c r="H21" s="4"/>
    </row>
    <row r="22" spans="1:8" x14ac:dyDescent="0.3">
      <c r="A22" s="14">
        <v>3</v>
      </c>
      <c r="B22" s="24">
        <f t="shared" si="5"/>
        <v>21470.954057980729</v>
      </c>
      <c r="C22" s="24">
        <f t="shared" si="6"/>
        <v>9976.3282787381468</v>
      </c>
      <c r="D22" s="24">
        <f t="shared" si="7"/>
        <v>1569.2193886022719</v>
      </c>
      <c r="E22" s="35">
        <f t="shared" ref="E22:E24" si="9">+E21</f>
        <v>11545.547667340419</v>
      </c>
      <c r="F22" s="24">
        <f t="shared" si="8"/>
        <v>962.12897227836822</v>
      </c>
      <c r="G22" s="4"/>
      <c r="H22" s="4"/>
    </row>
    <row r="23" spans="1:8" x14ac:dyDescent="0.3">
      <c r="A23" s="14">
        <v>4</v>
      </c>
      <c r="B23" s="24">
        <f t="shared" si="5"/>
        <v>10996.806998133548</v>
      </c>
      <c r="C23" s="24">
        <f t="shared" si="6"/>
        <v>10474.147059847181</v>
      </c>
      <c r="D23" s="24">
        <f t="shared" si="7"/>
        <v>1071.4006074932383</v>
      </c>
      <c r="E23" s="35">
        <f t="shared" si="9"/>
        <v>11545.547667340419</v>
      </c>
      <c r="F23" s="24">
        <f t="shared" si="8"/>
        <v>962.12897227836822</v>
      </c>
      <c r="G23" s="4"/>
      <c r="H23" s="4"/>
    </row>
    <row r="24" spans="1:8" x14ac:dyDescent="0.3">
      <c r="A24" s="14">
        <v>5</v>
      </c>
      <c r="B24" s="24">
        <f t="shared" si="5"/>
        <v>0</v>
      </c>
      <c r="C24" s="24">
        <f t="shared" si="6"/>
        <v>10996.806998133556</v>
      </c>
      <c r="D24" s="24">
        <f t="shared" si="7"/>
        <v>548.74066920686403</v>
      </c>
      <c r="E24" s="35">
        <f t="shared" si="9"/>
        <v>11545.547667340419</v>
      </c>
      <c r="F24" s="24">
        <f t="shared" si="8"/>
        <v>962.12897227836822</v>
      </c>
      <c r="G24" s="4"/>
      <c r="H24" s="4"/>
    </row>
    <row r="25" spans="1:8" x14ac:dyDescent="0.3">
      <c r="A25" s="9"/>
      <c r="B25" s="9"/>
      <c r="C25" s="11">
        <f t="shared" si="6"/>
        <v>50000.000000000007</v>
      </c>
      <c r="D25" s="11">
        <f>+D20+D21+D22+D23+D24</f>
        <v>7727.7383367020875</v>
      </c>
      <c r="E25" s="35">
        <f>SUM(E20:E24)</f>
        <v>57727.738336702096</v>
      </c>
      <c r="F25" s="24"/>
      <c r="H25" s="4">
        <f>+E25-E15</f>
        <v>242.73833670209569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8469-C46E-4D9E-9B5D-1724A84F2AC5}">
  <dimension ref="A3:K41"/>
  <sheetViews>
    <sheetView topLeftCell="A6" zoomScale="80" zoomScaleNormal="80" workbookViewId="0">
      <selection activeCell="K14" sqref="K14"/>
    </sheetView>
  </sheetViews>
  <sheetFormatPr baseColWidth="10" defaultColWidth="10.77734375" defaultRowHeight="14.4" x14ac:dyDescent="0.3"/>
  <cols>
    <col min="1" max="1" width="29.5546875" customWidth="1"/>
    <col min="2" max="2" width="13.6640625" bestFit="1" customWidth="1"/>
    <col min="3" max="3" width="14.77734375" customWidth="1"/>
    <col min="4" max="7" width="12.6640625" bestFit="1" customWidth="1"/>
  </cols>
  <sheetData>
    <row r="3" spans="1:11" x14ac:dyDescent="0.3">
      <c r="A3" t="s">
        <v>118</v>
      </c>
    </row>
    <row r="5" spans="1:11" x14ac:dyDescent="0.3">
      <c r="A5" t="s">
        <v>0</v>
      </c>
      <c r="B5" s="14">
        <v>0</v>
      </c>
      <c r="C5" s="14">
        <v>1</v>
      </c>
      <c r="D5" s="14">
        <v>2</v>
      </c>
      <c r="E5" s="14">
        <v>3</v>
      </c>
      <c r="F5" s="14">
        <v>4</v>
      </c>
      <c r="G5" s="14">
        <v>5</v>
      </c>
    </row>
    <row r="6" spans="1:11" x14ac:dyDescent="0.3">
      <c r="A6" t="s">
        <v>119</v>
      </c>
      <c r="B6" s="14"/>
      <c r="C6" s="14"/>
      <c r="D6" s="14"/>
      <c r="E6" s="14"/>
      <c r="F6" s="14"/>
      <c r="G6" s="14"/>
    </row>
    <row r="7" spans="1:11" x14ac:dyDescent="0.3">
      <c r="A7" s="37" t="s">
        <v>54</v>
      </c>
      <c r="B7" s="24">
        <f>+'FINANCIAMIEN-TOPRESTAMOS'!B3</f>
        <v>50000</v>
      </c>
      <c r="C7" s="14"/>
      <c r="D7" s="14"/>
      <c r="E7" s="14"/>
      <c r="F7" s="14"/>
      <c r="G7" s="14"/>
    </row>
    <row r="8" spans="1:11" x14ac:dyDescent="0.3">
      <c r="A8" s="37" t="s">
        <v>55</v>
      </c>
      <c r="B8" s="24">
        <v>60000</v>
      </c>
      <c r="C8" s="14"/>
      <c r="D8" s="14"/>
      <c r="E8" s="14"/>
      <c r="F8" s="14"/>
      <c r="G8" s="14"/>
    </row>
    <row r="9" spans="1:11" x14ac:dyDescent="0.3">
      <c r="A9" s="37" t="s">
        <v>56</v>
      </c>
      <c r="B9" s="24">
        <f>+B8+B7</f>
        <v>110000</v>
      </c>
      <c r="C9" s="14"/>
      <c r="D9" s="14"/>
      <c r="E9" s="14"/>
      <c r="F9" s="14"/>
      <c r="G9" s="14"/>
    </row>
    <row r="10" spans="1:11" x14ac:dyDescent="0.3">
      <c r="A10" s="12" t="s">
        <v>57</v>
      </c>
      <c r="B10" s="14"/>
      <c r="C10" s="14"/>
      <c r="D10" s="14"/>
      <c r="E10" s="14"/>
      <c r="F10" s="14"/>
      <c r="G10" s="14"/>
    </row>
    <row r="11" spans="1:11" x14ac:dyDescent="0.3">
      <c r="A11" s="37" t="s">
        <v>58</v>
      </c>
      <c r="B11" s="14"/>
      <c r="C11" s="24">
        <f>+'PROYECCION DE INGRESOS'!F5</f>
        <v>194700</v>
      </c>
      <c r="D11" s="24">
        <f>(C11*1.02%)+C11</f>
        <v>196685.94</v>
      </c>
      <c r="E11" s="24">
        <f t="shared" ref="E11:G11" si="0">(D11*1.02%)+D11</f>
        <v>198692.13658799999</v>
      </c>
      <c r="F11" s="24">
        <f t="shared" si="0"/>
        <v>200718.79638119761</v>
      </c>
      <c r="G11" s="24">
        <f t="shared" si="0"/>
        <v>202766.12810428583</v>
      </c>
    </row>
    <row r="12" spans="1:11" x14ac:dyDescent="0.3">
      <c r="A12" s="12" t="s">
        <v>59</v>
      </c>
      <c r="B12" s="2"/>
      <c r="C12" s="3"/>
      <c r="D12" s="3"/>
      <c r="E12" s="3"/>
      <c r="F12" s="3"/>
      <c r="G12" s="3"/>
      <c r="I12" t="s">
        <v>128</v>
      </c>
    </row>
    <row r="13" spans="1:11" x14ac:dyDescent="0.3">
      <c r="A13" s="9" t="s">
        <v>60</v>
      </c>
      <c r="B13" s="14"/>
      <c r="C13" s="24">
        <f>+'costos operativos'!G7</f>
        <v>2400</v>
      </c>
      <c r="D13" s="24">
        <f>C13*1.02%+C13</f>
        <v>2424.48</v>
      </c>
      <c r="E13" s="24">
        <f t="shared" ref="E13:G13" si="1">D13*1.02%+D13</f>
        <v>2449.2096959999999</v>
      </c>
      <c r="F13" s="24">
        <f t="shared" si="1"/>
        <v>2474.1916348991999</v>
      </c>
      <c r="G13" s="24">
        <f t="shared" si="1"/>
        <v>2499.4283895751719</v>
      </c>
      <c r="I13" t="s">
        <v>129</v>
      </c>
      <c r="K13" s="4">
        <f>SUM(MO!L11,MO!L12,MO!L13,MO!L14)</f>
        <v>56247.520000000004</v>
      </c>
    </row>
    <row r="14" spans="1:11" x14ac:dyDescent="0.3">
      <c r="A14" s="9" t="s">
        <v>61</v>
      </c>
      <c r="B14" s="14"/>
      <c r="C14" s="24">
        <f>+'costos operativos'!E16:E16</f>
        <v>4195.2</v>
      </c>
      <c r="D14" s="24">
        <f t="shared" ref="D14:G18" si="2">C14*1.02%+C14</f>
        <v>4237.9910399999999</v>
      </c>
      <c r="E14" s="24">
        <f t="shared" si="2"/>
        <v>4281.2185486079998</v>
      </c>
      <c r="F14" s="24">
        <f t="shared" si="2"/>
        <v>4324.8869778038015</v>
      </c>
      <c r="G14" s="24">
        <f t="shared" si="2"/>
        <v>4369.0008249774</v>
      </c>
      <c r="I14" t="s">
        <v>130</v>
      </c>
      <c r="K14" s="4">
        <f>MO!M9</f>
        <v>24607</v>
      </c>
    </row>
    <row r="15" spans="1:11" x14ac:dyDescent="0.3">
      <c r="A15" s="9" t="s">
        <v>71</v>
      </c>
      <c r="B15" s="14"/>
      <c r="C15" s="24">
        <f>+'costos operativos'!E26</f>
        <v>7540</v>
      </c>
      <c r="D15" s="24">
        <f t="shared" si="2"/>
        <v>7616.9080000000004</v>
      </c>
      <c r="E15" s="24">
        <f t="shared" si="2"/>
        <v>7694.6004616</v>
      </c>
      <c r="F15" s="24">
        <f t="shared" si="2"/>
        <v>7773.0853863083203</v>
      </c>
      <c r="G15" s="24">
        <f t="shared" si="2"/>
        <v>7852.3708572486648</v>
      </c>
      <c r="I15" t="s">
        <v>131</v>
      </c>
      <c r="K15" s="4">
        <f>MO!L15</f>
        <v>9927.7999999999993</v>
      </c>
    </row>
    <row r="16" spans="1:11" x14ac:dyDescent="0.3">
      <c r="A16" s="9" t="s">
        <v>32</v>
      </c>
      <c r="B16" s="14"/>
      <c r="C16" s="24">
        <f>+'costos operativos'!C33</f>
        <v>5280</v>
      </c>
      <c r="D16" s="24">
        <f t="shared" si="2"/>
        <v>5333.8559999999998</v>
      </c>
      <c r="E16" s="24">
        <f t="shared" si="2"/>
        <v>5388.2613311999994</v>
      </c>
      <c r="F16" s="24">
        <f t="shared" si="2"/>
        <v>5443.2215967782395</v>
      </c>
      <c r="G16" s="24">
        <f t="shared" si="2"/>
        <v>5498.7424570653775</v>
      </c>
      <c r="I16" t="s">
        <v>132</v>
      </c>
      <c r="K16" s="4">
        <f>B7</f>
        <v>50000</v>
      </c>
    </row>
    <row r="17" spans="1:11" x14ac:dyDescent="0.3">
      <c r="A17" s="9" t="s">
        <v>62</v>
      </c>
      <c r="B17" s="14"/>
      <c r="C17" s="24">
        <f>+MO!M18</f>
        <v>97938.47</v>
      </c>
      <c r="D17" s="24">
        <f t="shared" si="2"/>
        <v>98937.442393999998</v>
      </c>
      <c r="E17" s="24">
        <f t="shared" si="2"/>
        <v>99946.604306418798</v>
      </c>
      <c r="F17" s="24">
        <f t="shared" si="2"/>
        <v>100966.05967034427</v>
      </c>
      <c r="G17" s="24">
        <f t="shared" si="2"/>
        <v>101995.91347898178</v>
      </c>
      <c r="I17" t="s">
        <v>133</v>
      </c>
      <c r="K17" s="4">
        <f>SUM(K13:K16)</f>
        <v>140782.32</v>
      </c>
    </row>
    <row r="18" spans="1:11" x14ac:dyDescent="0.3">
      <c r="A18" s="9" t="s">
        <v>63</v>
      </c>
      <c r="B18" s="14"/>
      <c r="C18" s="24">
        <f>C13*2%</f>
        <v>48</v>
      </c>
      <c r="D18" s="24">
        <f t="shared" si="2"/>
        <v>48.489600000000003</v>
      </c>
      <c r="E18" s="24">
        <f t="shared" si="2"/>
        <v>48.984193920000003</v>
      </c>
      <c r="F18" s="24">
        <f t="shared" si="2"/>
        <v>49.483832697984006</v>
      </c>
      <c r="G18" s="24">
        <f t="shared" si="2"/>
        <v>49.988567791503442</v>
      </c>
    </row>
    <row r="19" spans="1:11" x14ac:dyDescent="0.3">
      <c r="A19" s="12" t="s">
        <v>64</v>
      </c>
      <c r="B19" s="2"/>
      <c r="C19" s="3"/>
      <c r="D19" s="3"/>
      <c r="E19" s="3"/>
      <c r="F19" s="3"/>
      <c r="G19" s="3"/>
    </row>
    <row r="20" spans="1:11" x14ac:dyDescent="0.3">
      <c r="A20" s="9" t="s">
        <v>127</v>
      </c>
      <c r="B20" s="14"/>
      <c r="C20" s="44">
        <f>+'FINANCIAMIEN-TOPRESTAMOS'!E10</f>
        <v>12495</v>
      </c>
      <c r="D20" s="44">
        <f>+'FINANCIAMIEN-TOPRESTAMOS'!E11</f>
        <v>11996</v>
      </c>
      <c r="E20" s="44">
        <f>+'FINANCIAMIEN-TOPRESTAMOS'!E12</f>
        <v>11497</v>
      </c>
      <c r="F20" s="44">
        <f>+'FINANCIAMIEN-TOPRESTAMOS'!E13</f>
        <v>10998</v>
      </c>
      <c r="G20" s="24">
        <f>+'FINANCIAMIEN-TOPRESTAMOS'!E14</f>
        <v>10499</v>
      </c>
    </row>
    <row r="21" spans="1:11" x14ac:dyDescent="0.3">
      <c r="A21" s="9" t="s">
        <v>121</v>
      </c>
      <c r="B21" s="14"/>
      <c r="C21" s="24">
        <f>+DEPRECIACION!E9</f>
        <v>11855.39</v>
      </c>
      <c r="D21" s="24">
        <f>+C21</f>
        <v>11855.39</v>
      </c>
      <c r="E21" s="24">
        <f t="shared" ref="E21:G21" si="3">+D21</f>
        <v>11855.39</v>
      </c>
      <c r="F21" s="24">
        <f t="shared" si="3"/>
        <v>11855.39</v>
      </c>
      <c r="G21" s="24">
        <f t="shared" si="3"/>
        <v>11855.39</v>
      </c>
    </row>
    <row r="22" spans="1:11" x14ac:dyDescent="0.3">
      <c r="A22" s="9" t="s">
        <v>122</v>
      </c>
      <c r="B22" s="14"/>
      <c r="C22" s="24">
        <f>+SUM(C13:C18)</f>
        <v>117401.67</v>
      </c>
      <c r="D22" s="24">
        <f t="shared" ref="D22:G22" si="4">+SUM(D13:D18)</f>
        <v>118599.167034</v>
      </c>
      <c r="E22" s="24">
        <f t="shared" si="4"/>
        <v>119808.8785377468</v>
      </c>
      <c r="F22" s="24">
        <f t="shared" si="4"/>
        <v>121030.92909883181</v>
      </c>
      <c r="G22" s="24">
        <f t="shared" si="4"/>
        <v>122265.44457563989</v>
      </c>
    </row>
    <row r="23" spans="1:11" x14ac:dyDescent="0.3">
      <c r="A23" s="9" t="s">
        <v>123</v>
      </c>
      <c r="B23" s="14"/>
      <c r="C23" s="24">
        <f>C11-C22-C20-C21</f>
        <v>52947.94</v>
      </c>
      <c r="D23" s="24">
        <f t="shared" ref="D23:G23" si="5">D11-D22-D20-D21</f>
        <v>54235.382966000005</v>
      </c>
      <c r="E23" s="24">
        <f t="shared" si="5"/>
        <v>55530.868050253193</v>
      </c>
      <c r="F23" s="24">
        <f t="shared" si="5"/>
        <v>56834.477282365799</v>
      </c>
      <c r="G23" s="24">
        <f t="shared" si="5"/>
        <v>58146.29352864594</v>
      </c>
    </row>
    <row r="24" spans="1:11" x14ac:dyDescent="0.3">
      <c r="A24" s="9" t="s">
        <v>124</v>
      </c>
      <c r="B24" s="14"/>
      <c r="C24" s="24">
        <f>C23*20%</f>
        <v>10589.588000000002</v>
      </c>
      <c r="D24" s="24">
        <f t="shared" ref="D24:G24" si="6">D23*20%</f>
        <v>10847.076593200001</v>
      </c>
      <c r="E24" s="24">
        <f t="shared" si="6"/>
        <v>11106.173610050639</v>
      </c>
      <c r="F24" s="24">
        <f t="shared" si="6"/>
        <v>11366.895456473161</v>
      </c>
      <c r="G24" s="24">
        <f t="shared" si="6"/>
        <v>11629.258705729189</v>
      </c>
    </row>
    <row r="25" spans="1:11" x14ac:dyDescent="0.3">
      <c r="A25" s="9" t="s">
        <v>125</v>
      </c>
      <c r="B25" s="14"/>
      <c r="C25" s="24">
        <f>+C23-C24</f>
        <v>42358.351999999999</v>
      </c>
      <c r="D25" s="24">
        <f t="shared" ref="D25:G25" si="7">+D23-D24</f>
        <v>43388.306372800005</v>
      </c>
      <c r="E25" s="24">
        <f t="shared" si="7"/>
        <v>44424.694440202555</v>
      </c>
      <c r="F25" s="24">
        <f t="shared" si="7"/>
        <v>45467.581825892637</v>
      </c>
      <c r="G25" s="24">
        <f t="shared" si="7"/>
        <v>46517.03482291675</v>
      </c>
    </row>
    <row r="26" spans="1:11" x14ac:dyDescent="0.3">
      <c r="A26" s="9" t="s">
        <v>126</v>
      </c>
      <c r="B26" s="14"/>
      <c r="C26" s="24">
        <f>C25*8%</f>
        <v>3388.6681600000002</v>
      </c>
      <c r="D26" s="24">
        <f t="shared" ref="D26:G26" si="8">D25*8%</f>
        <v>3471.0645098240007</v>
      </c>
      <c r="E26" s="24">
        <f t="shared" si="8"/>
        <v>3553.9755552162046</v>
      </c>
      <c r="F26" s="24">
        <f t="shared" si="8"/>
        <v>3637.406546071411</v>
      </c>
      <c r="G26" s="24">
        <f t="shared" si="8"/>
        <v>3721.3627858333402</v>
      </c>
    </row>
    <row r="27" spans="1:11" x14ac:dyDescent="0.3">
      <c r="A27" s="9" t="s">
        <v>65</v>
      </c>
      <c r="B27" s="14"/>
      <c r="C27" s="24">
        <f>C25-C26</f>
        <v>38969.683839999998</v>
      </c>
      <c r="D27" s="24">
        <f>D25-D26</f>
        <v>39917.241862976007</v>
      </c>
      <c r="E27" s="24">
        <f t="shared" ref="E27:G27" si="9">E25-E26</f>
        <v>40870.718884986352</v>
      </c>
      <c r="F27" s="24">
        <f t="shared" si="9"/>
        <v>41830.175279821226</v>
      </c>
      <c r="G27" s="24">
        <f t="shared" si="9"/>
        <v>42795.672037083408</v>
      </c>
    </row>
    <row r="28" spans="1:11" x14ac:dyDescent="0.3">
      <c r="A28" s="9" t="s">
        <v>72</v>
      </c>
      <c r="B28" s="14"/>
      <c r="C28" s="24">
        <f>+C27*0.13</f>
        <v>5066.0588992000003</v>
      </c>
      <c r="D28" s="24">
        <f t="shared" ref="D28:G28" si="10">+D27*0.13</f>
        <v>5189.2414421868807</v>
      </c>
      <c r="E28" s="24">
        <f t="shared" si="10"/>
        <v>5313.1934550482256</v>
      </c>
      <c r="F28" s="24">
        <f t="shared" si="10"/>
        <v>5437.9227863767592</v>
      </c>
      <c r="G28" s="24">
        <f t="shared" si="10"/>
        <v>5563.437364820843</v>
      </c>
    </row>
    <row r="29" spans="1:11" x14ac:dyDescent="0.3">
      <c r="A29" s="9" t="s">
        <v>66</v>
      </c>
      <c r="B29" s="24">
        <f>-1*B9</f>
        <v>-110000</v>
      </c>
      <c r="C29" s="24">
        <f>+C27-C28</f>
        <v>33903.6249408</v>
      </c>
      <c r="D29" s="24">
        <f t="shared" ref="D29:G29" si="11">+D27-D28</f>
        <v>34728.000420789125</v>
      </c>
      <c r="E29" s="24">
        <f t="shared" si="11"/>
        <v>35557.525429938127</v>
      </c>
      <c r="F29" s="24">
        <f t="shared" si="11"/>
        <v>36392.252493444466</v>
      </c>
      <c r="G29" s="24">
        <f t="shared" si="11"/>
        <v>37232.234672262566</v>
      </c>
    </row>
    <row r="30" spans="1:11" x14ac:dyDescent="0.3">
      <c r="A30" s="9" t="s">
        <v>67</v>
      </c>
      <c r="B30" s="14"/>
      <c r="C30" s="45">
        <f>C29/C11</f>
        <v>0.17413263965485362</v>
      </c>
      <c r="D30" s="45">
        <f t="shared" ref="D30:G30" si="12">D29/D11</f>
        <v>0.17656574954360807</v>
      </c>
      <c r="E30" s="45">
        <f t="shared" si="12"/>
        <v>0.17895788952971389</v>
      </c>
      <c r="F30" s="45">
        <f t="shared" si="12"/>
        <v>0.18130963890561433</v>
      </c>
      <c r="G30" s="45">
        <f t="shared" si="12"/>
        <v>0.1836215694423747</v>
      </c>
    </row>
    <row r="33" spans="1:3" x14ac:dyDescent="0.3">
      <c r="A33" s="1" t="s">
        <v>68</v>
      </c>
      <c r="B33" s="46">
        <v>0.12</v>
      </c>
    </row>
    <row r="34" spans="1:3" x14ac:dyDescent="0.3">
      <c r="A34" s="1" t="s">
        <v>69</v>
      </c>
      <c r="B34" s="47">
        <f>+NPV(B33,C29:G29)+B29</f>
        <v>17519.691499254433</v>
      </c>
    </row>
    <row r="35" spans="1:3" x14ac:dyDescent="0.3">
      <c r="A35" s="1" t="s">
        <v>70</v>
      </c>
      <c r="B35" s="46">
        <f>+IRR(B29:G29)</f>
        <v>0.18141852011424575</v>
      </c>
    </row>
    <row r="36" spans="1:3" x14ac:dyDescent="0.3">
      <c r="A36" s="1" t="s">
        <v>73</v>
      </c>
      <c r="B36" s="48">
        <f>+B34/B9</f>
        <v>0.15926992272049484</v>
      </c>
    </row>
    <row r="37" spans="1:3" x14ac:dyDescent="0.3">
      <c r="A37" s="1" t="s">
        <v>77</v>
      </c>
      <c r="B37" s="11">
        <f>+SUM(B29:G29)</f>
        <v>67813.637957234285</v>
      </c>
    </row>
    <row r="38" spans="1:3" x14ac:dyDescent="0.3">
      <c r="A38" s="1" t="s">
        <v>74</v>
      </c>
      <c r="B38" s="48">
        <f>+DEPRECIACION!B9/FLUJOS!B37</f>
        <v>1.8592867717775845</v>
      </c>
      <c r="C38" t="s">
        <v>80</v>
      </c>
    </row>
    <row r="39" spans="1:3" x14ac:dyDescent="0.3">
      <c r="A39" s="1" t="s">
        <v>75</v>
      </c>
      <c r="B39" s="48">
        <f>+(DEPRECIACION!B9+'costos operativos'!G7)/B37</f>
        <v>1.8946778829507311</v>
      </c>
      <c r="C39" t="s">
        <v>81</v>
      </c>
    </row>
    <row r="40" spans="1:3" x14ac:dyDescent="0.3">
      <c r="A40" s="1" t="s">
        <v>76</v>
      </c>
      <c r="B40" s="48">
        <f>+B9/B37</f>
        <v>1.6220925954358907</v>
      </c>
      <c r="C40" t="s">
        <v>78</v>
      </c>
    </row>
    <row r="41" spans="1:3" x14ac:dyDescent="0.3">
      <c r="C4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4BDF-6851-43F6-8847-2871010162B9}">
  <dimension ref="B3:G14"/>
  <sheetViews>
    <sheetView zoomScale="50" zoomScaleNormal="50" workbookViewId="0">
      <selection activeCell="C13" sqref="C13"/>
    </sheetView>
  </sheetViews>
  <sheetFormatPr baseColWidth="10" defaultColWidth="10.77734375" defaultRowHeight="14.4" x14ac:dyDescent="0.3"/>
  <cols>
    <col min="2" max="2" width="17.109375" bestFit="1" customWidth="1"/>
    <col min="3" max="3" width="15.109375" bestFit="1" customWidth="1"/>
    <col min="4" max="4" width="14.33203125" customWidth="1"/>
    <col min="5" max="6" width="14.44140625" customWidth="1"/>
    <col min="7" max="7" width="15.33203125" customWidth="1"/>
  </cols>
  <sheetData>
    <row r="3" spans="2:7" x14ac:dyDescent="0.3">
      <c r="B3" t="s">
        <v>120</v>
      </c>
    </row>
    <row r="5" spans="2:7" x14ac:dyDescent="0.3">
      <c r="B5" s="9"/>
      <c r="C5" s="9">
        <v>1</v>
      </c>
      <c r="D5" s="9">
        <v>2</v>
      </c>
      <c r="E5" s="9">
        <v>3</v>
      </c>
      <c r="F5" s="9">
        <v>4</v>
      </c>
      <c r="G5" s="9">
        <v>5</v>
      </c>
    </row>
    <row r="6" spans="2:7" x14ac:dyDescent="0.3">
      <c r="B6" s="40" t="s">
        <v>82</v>
      </c>
      <c r="C6" s="10">
        <f>+FLUJOS!C13+FLUJOS!C17</f>
        <v>100338.47</v>
      </c>
      <c r="D6" s="10">
        <f>+FLUJOS!D13+FLUJOS!D17</f>
        <v>101361.92239399999</v>
      </c>
      <c r="E6" s="10">
        <f>+FLUJOS!E13+FLUJOS!E17</f>
        <v>102395.8140024188</v>
      </c>
      <c r="F6" s="10">
        <f>+FLUJOS!F13+FLUJOS!F17</f>
        <v>103440.25130524347</v>
      </c>
      <c r="G6" s="10">
        <f>+FLUJOS!G13+FLUJOS!G17</f>
        <v>104495.34186855695</v>
      </c>
    </row>
    <row r="7" spans="2:7" x14ac:dyDescent="0.3">
      <c r="B7" s="40" t="s">
        <v>83</v>
      </c>
      <c r="C7" s="10">
        <f>+FLUJOS!C14+FLUJOS!C15+FLUJOS!C16+FLUJOS!C18</f>
        <v>17063.2</v>
      </c>
      <c r="D7" s="10">
        <f>+FLUJOS!D14+FLUJOS!D15+FLUJOS!D16+FLUJOS!D18</f>
        <v>17237.244640000001</v>
      </c>
      <c r="E7" s="10">
        <f>+FLUJOS!E14+FLUJOS!E15+FLUJOS!E16+FLUJOS!E18</f>
        <v>17413.064535328002</v>
      </c>
      <c r="F7" s="10">
        <f>+FLUJOS!F14+FLUJOS!F15+FLUJOS!F16+FLUJOS!F18</f>
        <v>17590.677793588347</v>
      </c>
      <c r="G7" s="10">
        <f>+FLUJOS!G14+FLUJOS!G15+FLUJOS!G16+FLUJOS!G18</f>
        <v>17770.102707082948</v>
      </c>
    </row>
    <row r="8" spans="2:7" x14ac:dyDescent="0.3">
      <c r="B8" s="40" t="s">
        <v>84</v>
      </c>
      <c r="C8" s="10">
        <f>+FLUJOS!C11</f>
        <v>194700</v>
      </c>
      <c r="D8" s="10">
        <f>+FLUJOS!D11</f>
        <v>196685.94</v>
      </c>
      <c r="E8" s="10">
        <f>+FLUJOS!E11</f>
        <v>198692.13658799999</v>
      </c>
      <c r="F8" s="10">
        <f>+FLUJOS!F11</f>
        <v>200718.79638119761</v>
      </c>
      <c r="G8" s="10">
        <f>+FLUJOS!G11</f>
        <v>202766.12810428583</v>
      </c>
    </row>
    <row r="10" spans="2:7" x14ac:dyDescent="0.3">
      <c r="B10" t="s">
        <v>85</v>
      </c>
      <c r="C10" t="s">
        <v>86</v>
      </c>
    </row>
    <row r="11" spans="2:7" x14ac:dyDescent="0.3">
      <c r="C11" s="5" t="s">
        <v>87</v>
      </c>
      <c r="D11" s="5" t="s">
        <v>88</v>
      </c>
      <c r="E11" s="5" t="s">
        <v>89</v>
      </c>
      <c r="F11" s="5" t="s">
        <v>90</v>
      </c>
      <c r="G11" s="5" t="s">
        <v>91</v>
      </c>
    </row>
    <row r="12" spans="2:7" x14ac:dyDescent="0.3">
      <c r="C12" s="11">
        <f>C6/(1-(C7/C8))</f>
        <v>109976.64959625482</v>
      </c>
      <c r="D12" s="11">
        <f t="shared" ref="D12:G12" si="0">D6/(1-(D7/D8))</f>
        <v>111098.41142213662</v>
      </c>
      <c r="E12" s="11">
        <f t="shared" si="0"/>
        <v>112231.61521864243</v>
      </c>
      <c r="F12" s="11">
        <f t="shared" si="0"/>
        <v>113376.37769387256</v>
      </c>
      <c r="G12" s="11">
        <f t="shared" si="0"/>
        <v>114532.81674635006</v>
      </c>
    </row>
    <row r="13" spans="2:7" x14ac:dyDescent="0.3">
      <c r="C13" s="16">
        <f>C12/C8</f>
        <v>0.5648518212442466</v>
      </c>
      <c r="D13" s="16">
        <f t="shared" ref="D13:G13" si="1">D12/D8</f>
        <v>0.5648518212442466</v>
      </c>
      <c r="E13" s="16">
        <f t="shared" si="1"/>
        <v>0.56485182124424671</v>
      </c>
      <c r="F13" s="16">
        <f t="shared" si="1"/>
        <v>0.5648518212442466</v>
      </c>
      <c r="G13" s="16">
        <f t="shared" si="1"/>
        <v>0.5648518212442466</v>
      </c>
    </row>
    <row r="14" spans="2:7" x14ac:dyDescent="0.3">
      <c r="C14" s="49">
        <f>+C12/300</f>
        <v>366.58883198751607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034A-D8CD-4D29-8B4E-2555EF3BD0FF}">
  <dimension ref="B3:H7"/>
  <sheetViews>
    <sheetView tabSelected="1" zoomScale="110" zoomScaleNormal="110" workbookViewId="0">
      <selection activeCell="H5" sqref="H5"/>
    </sheetView>
  </sheetViews>
  <sheetFormatPr baseColWidth="10" defaultColWidth="10.77734375" defaultRowHeight="14.4" x14ac:dyDescent="0.3"/>
  <cols>
    <col min="3" max="3" width="12.77734375" customWidth="1"/>
    <col min="4" max="7" width="11.44140625" bestFit="1" customWidth="1"/>
  </cols>
  <sheetData>
    <row r="3" spans="2:8" x14ac:dyDescent="0.3">
      <c r="B3" s="39" t="s">
        <v>92</v>
      </c>
      <c r="C3" s="38">
        <v>0</v>
      </c>
      <c r="D3" s="38">
        <v>1</v>
      </c>
      <c r="E3" s="38">
        <v>2</v>
      </c>
      <c r="F3" s="38">
        <v>3</v>
      </c>
      <c r="G3" s="38">
        <v>4</v>
      </c>
      <c r="H3" s="38">
        <v>5</v>
      </c>
    </row>
    <row r="4" spans="2:8" x14ac:dyDescent="0.3">
      <c r="B4" s="39" t="s">
        <v>93</v>
      </c>
      <c r="C4" s="14">
        <v>0</v>
      </c>
      <c r="D4" s="25">
        <f>+FLUJOS!C11</f>
        <v>194700</v>
      </c>
      <c r="E4" s="25">
        <f>+FLUJOS!D11</f>
        <v>196685.94</v>
      </c>
      <c r="F4" s="25">
        <f>+FLUJOS!E11</f>
        <v>198692.13658799999</v>
      </c>
      <c r="G4" s="25">
        <f>+FLUJOS!F11</f>
        <v>200718.79638119761</v>
      </c>
      <c r="H4" s="25">
        <f>+FLUJOS!G11</f>
        <v>202766.12810428583</v>
      </c>
    </row>
    <row r="5" spans="2:8" x14ac:dyDescent="0.3">
      <c r="B5" s="39" t="s">
        <v>94</v>
      </c>
      <c r="C5" s="25">
        <f>+FLUJOS!B9</f>
        <v>110000</v>
      </c>
      <c r="D5" s="25">
        <f>+SUM(FLUJOS!C13:C18)</f>
        <v>117401.67</v>
      </c>
      <c r="E5" s="25">
        <f>+SUM(FLUJOS!D13:D18)</f>
        <v>118599.167034</v>
      </c>
      <c r="F5" s="25">
        <f>+SUM(FLUJOS!E13:E18)</f>
        <v>119808.8785377468</v>
      </c>
      <c r="G5" s="25">
        <f>+SUM(FLUJOS!F13:F18)</f>
        <v>121030.92909883181</v>
      </c>
      <c r="H5" s="25">
        <f>+SUM(FLUJOS!G13:G18)</f>
        <v>122265.44457563989</v>
      </c>
    </row>
    <row r="6" spans="2:8" x14ac:dyDescent="0.3">
      <c r="B6" s="39" t="s">
        <v>95</v>
      </c>
      <c r="C6" s="14">
        <v>0</v>
      </c>
      <c r="D6" s="25">
        <f>+D5/D4%</f>
        <v>60.298751926040062</v>
      </c>
      <c r="E6" s="25">
        <f t="shared" ref="E6:H6" si="0">+E5/E4%</f>
        <v>60.298751926040062</v>
      </c>
      <c r="F6" s="25">
        <f t="shared" si="0"/>
        <v>60.298751926040062</v>
      </c>
      <c r="G6" s="25">
        <f t="shared" si="0"/>
        <v>60.298751926040055</v>
      </c>
      <c r="H6" s="25">
        <f t="shared" si="0"/>
        <v>60.298751926040055</v>
      </c>
    </row>
    <row r="7" spans="2:8" x14ac:dyDescent="0.3">
      <c r="B7" s="9"/>
      <c r="C7" s="14"/>
      <c r="D7" s="25">
        <f>100-D6</f>
        <v>39.701248073959938</v>
      </c>
      <c r="E7" s="25">
        <f t="shared" ref="E7:H7" si="1">100-E6</f>
        <v>39.701248073959938</v>
      </c>
      <c r="F7" s="25">
        <f t="shared" si="1"/>
        <v>39.701248073959938</v>
      </c>
      <c r="G7" s="25">
        <f t="shared" si="1"/>
        <v>39.701248073959945</v>
      </c>
      <c r="H7" s="25">
        <f t="shared" si="1"/>
        <v>39.701248073959945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costos operativos</vt:lpstr>
      <vt:lpstr>MO</vt:lpstr>
      <vt:lpstr>PROYECCION DE INGRESOS</vt:lpstr>
      <vt:lpstr>DEPRECIACION</vt:lpstr>
      <vt:lpstr>FINANCIAMIEN-TOPRESTAMOS</vt:lpstr>
      <vt:lpstr>FLUJOS</vt:lpstr>
      <vt:lpstr>PUNTO DE EQUILIBRIO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JHONNG</dc:creator>
  <cp:lastModifiedBy>Israel Londoño</cp:lastModifiedBy>
  <dcterms:created xsi:type="dcterms:W3CDTF">2019-01-23T16:27:02Z</dcterms:created>
  <dcterms:modified xsi:type="dcterms:W3CDTF">2022-11-13T03:56:58Z</dcterms:modified>
</cp:coreProperties>
</file>