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00.100\RadixNAS\HR_Accounts_96\RK\Payroll Administration-Accounts\Employee TDS_Calculation\2024-25\"/>
    </mc:Choice>
  </mc:AlternateContent>
  <xr:revisionPtr revIDLastSave="42" documentId="13_ncr:1_{BC07FAC9-59CD-47BF-8A98-6B219F37F9DB}" xr6:coauthVersionLast="47" xr6:coauthVersionMax="47" xr10:uidLastSave="{53915812-0BE8-48C6-A0A7-3B0B58A2445A}"/>
  <bookViews>
    <workbookView xWindow="-108" yWindow="-108" windowWidth="23256" windowHeight="12576" tabRatio="920" xr2:uid="{00000000-000D-0000-FFFF-FFFF00000000}"/>
  </bookViews>
  <sheets>
    <sheet name="Sheet1" sheetId="1312" r:id="rId1"/>
    <sheet name="Sheet2" sheetId="1313" r:id="rId2"/>
  </sheets>
  <externalReferences>
    <externalReference r:id="rId3"/>
  </externalReferences>
  <definedNames>
    <definedName name="Pending">'[1]$Dharmesh Acharya-1$'!$N$20</definedName>
    <definedName name="Received">#REF!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312" l="1"/>
  <c r="D25" i="1312"/>
  <c r="H8" i="1312"/>
  <c r="H37" i="1312"/>
  <c r="D4" i="1312"/>
  <c r="D10" i="1312" s="1"/>
  <c r="D11" i="1312" l="1"/>
  <c r="D7" i="1312"/>
  <c r="Q31" i="1312"/>
  <c r="Q29" i="1312"/>
  <c r="Q5" i="1312"/>
  <c r="Q4" i="1312"/>
  <c r="Q2" i="1312"/>
  <c r="D13" i="1312" l="1"/>
  <c r="D18" i="1312"/>
  <c r="D22" i="1312"/>
  <c r="D14" i="1312"/>
  <c r="D19" i="1312"/>
  <c r="D8" i="1312"/>
  <c r="D16" i="1312"/>
  <c r="D20" i="1312"/>
  <c r="D9" i="1312"/>
  <c r="D12" i="1312"/>
  <c r="D17" i="1312"/>
  <c r="D21" i="1312"/>
  <c r="H6" i="1312"/>
  <c r="D26" i="1312" l="1"/>
  <c r="H9" i="1312" s="1"/>
  <c r="H23" i="1312"/>
  <c r="D24" i="1312"/>
  <c r="D28" i="1312"/>
  <c r="F32" i="1312"/>
  <c r="F30" i="1312"/>
  <c r="H36" i="1312" l="1"/>
  <c r="H21" i="1312"/>
  <c r="H7" i="1312"/>
  <c r="H26" i="1312"/>
  <c r="H25" i="1312"/>
  <c r="H22" i="1312" l="1"/>
  <c r="F27" i="1312" l="1"/>
  <c r="F8" i="1312" l="1"/>
  <c r="F18" i="1312" l="1"/>
  <c r="H10" i="1312"/>
  <c r="H18" i="1312" l="1"/>
  <c r="H28" i="1312" s="1"/>
  <c r="H38" i="1312"/>
  <c r="H40" i="1312" s="1"/>
  <c r="H41" i="1312" l="1"/>
  <c r="H30" i="1312"/>
  <c r="H42" i="1312" l="1"/>
  <c r="H44" i="1312" s="1"/>
  <c r="H45" i="1312" s="1"/>
  <c r="H29" i="1312"/>
  <c r="H32" i="1312" s="1"/>
  <c r="I22" i="1312" l="1"/>
  <c r="H33" i="13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Nikunj Prajapati</author>
  </authors>
  <commentList>
    <comment ref="F7" authorId="0" shapeId="0" xr:uid="{8E579157-97A7-4AE6-8927-A3798B80C216}">
      <text>
        <r>
          <rPr>
            <b/>
            <sz val="9"/>
            <color indexed="81"/>
            <rFont val="Tahoma"/>
            <family val="2"/>
          </rPr>
          <t>Nikunj Prajapati:</t>
        </r>
        <r>
          <rPr>
            <sz val="9"/>
            <color indexed="81"/>
            <rFont val="Tahoma"/>
            <family val="2"/>
          </rPr>
          <t xml:space="preserve">
Mention amount of investment you project</t>
        </r>
      </text>
    </comment>
    <comment ref="F20" authorId="0" shapeId="0" xr:uid="{33EFB9D9-0652-48FB-AB4B-2361144CB5F0}">
      <text>
        <r>
          <rPr>
            <b/>
            <sz val="9"/>
            <color indexed="81"/>
            <rFont val="Tahoma"/>
            <family val="2"/>
          </rPr>
          <t>Nikunj Prajapati:</t>
        </r>
        <r>
          <rPr>
            <sz val="9"/>
            <color indexed="81"/>
            <rFont val="Tahoma"/>
            <family val="2"/>
          </rPr>
          <t xml:space="preserve">
Mention amount as you availed against each head</t>
        </r>
      </text>
    </comment>
  </commentList>
</comments>
</file>

<file path=xl/sharedStrings.xml><?xml version="1.0" encoding="utf-8"?>
<sst xmlns="http://schemas.openxmlformats.org/spreadsheetml/2006/main" count="106" uniqueCount="96">
  <si>
    <t>Radixweb</t>
  </si>
  <si>
    <t>Particular</t>
  </si>
  <si>
    <t>Amount</t>
  </si>
  <si>
    <t>Total Children</t>
  </si>
  <si>
    <t>Taxation Forecast 2025 -2026</t>
  </si>
  <si>
    <t>Home Loan Interest</t>
  </si>
  <si>
    <t>Children with age &gt; 8 years</t>
  </si>
  <si>
    <t>Note:</t>
  </si>
  <si>
    <t>NPS</t>
  </si>
  <si>
    <t>Cell with Blue color is editable. Details mentioned in salary heads are for reference only.</t>
  </si>
  <si>
    <t>Salary period</t>
  </si>
  <si>
    <t>APY</t>
  </si>
  <si>
    <t>80 D Self</t>
  </si>
  <si>
    <t>Enter your all salary heads as per salary slip.</t>
  </si>
  <si>
    <t>PARTICULAR</t>
  </si>
  <si>
    <t>Per Month</t>
  </si>
  <si>
    <t>Per  Year</t>
  </si>
  <si>
    <t>House Rent Monthly</t>
  </si>
  <si>
    <t>80 D Parents</t>
  </si>
  <si>
    <t>Parents Senior Citizen?</t>
  </si>
  <si>
    <t>Eligible 80D</t>
  </si>
  <si>
    <t>No</t>
  </si>
  <si>
    <t>BASIC SALARY</t>
  </si>
  <si>
    <t>Investments</t>
  </si>
  <si>
    <t>Eligible 80CCD 1B</t>
  </si>
  <si>
    <t>Investment</t>
  </si>
  <si>
    <t>HRA  - U/S 10(13A)   (PARTLY EXEMPTED)</t>
  </si>
  <si>
    <t>PF</t>
  </si>
  <si>
    <t>Eligible 80CCD 2</t>
  </si>
  <si>
    <t>Yes</t>
  </si>
  <si>
    <t>MEDICAL ALLOWANCE</t>
  </si>
  <si>
    <t>Home loan Princ</t>
  </si>
  <si>
    <t>Salary</t>
  </si>
  <si>
    <t>OTHER ALLOWANCE</t>
  </si>
  <si>
    <t>LIC/ELSS/</t>
  </si>
  <si>
    <t>Other Income (A TO F)</t>
  </si>
  <si>
    <t xml:space="preserve">CHILDREN ALLOWANCE                    </t>
  </si>
  <si>
    <t>Tution Fees</t>
  </si>
  <si>
    <t>Referral Bonus A</t>
  </si>
  <si>
    <t xml:space="preserve">CHILDREN HOSTEL ALLOWANCE.   </t>
  </si>
  <si>
    <t>NSC</t>
  </si>
  <si>
    <t>Bonus B</t>
  </si>
  <si>
    <t>ADVANCE RETAINER INCENTIVE</t>
  </si>
  <si>
    <t>Term Plan</t>
  </si>
  <si>
    <t>Other Income C</t>
  </si>
  <si>
    <t xml:space="preserve">LTA                                          </t>
  </si>
  <si>
    <t>PPF</t>
  </si>
  <si>
    <t>Other Income D</t>
  </si>
  <si>
    <t>TO BE PAID   AS REIMBURSEMENT OF EXPS.</t>
  </si>
  <si>
    <t>SSY</t>
  </si>
  <si>
    <t>Other Income E</t>
  </si>
  <si>
    <t xml:space="preserve"> -- MOBILE ,TELEPHONE &amp; INTERNET EXPS.                                              </t>
  </si>
  <si>
    <t>Tx Svr FD/NSC</t>
  </si>
  <si>
    <t>Leave Encash F</t>
  </si>
  <si>
    <t xml:space="preserve"> -- PETROL/DIESEL EXPS.                                                                               </t>
  </si>
  <si>
    <t>Tx Svr MF/SIP</t>
  </si>
  <si>
    <t xml:space="preserve"> -- DRIVER'S SALARY</t>
  </si>
  <si>
    <t>Eligible 80C</t>
  </si>
  <si>
    <t>Total Income</t>
  </si>
  <si>
    <t xml:space="preserve"> -- MAGAZINES &amp; NEWS PAPERS                                                            </t>
  </si>
  <si>
    <t xml:space="preserve"> -- ATTIRE EXPS.                                                                                             </t>
  </si>
  <si>
    <t>Reimbursement</t>
  </si>
  <si>
    <t>Other Deductions</t>
  </si>
  <si>
    <t xml:space="preserve"> -- MEAL CARD/VOUCHER                             </t>
  </si>
  <si>
    <t>LTA Claimed</t>
  </si>
  <si>
    <t>Eligibla HRA</t>
  </si>
  <si>
    <t>Suggested Regime</t>
  </si>
  <si>
    <t xml:space="preserve"> -- GIFT VOUCHER.                                      </t>
  </si>
  <si>
    <t>Attire.</t>
  </si>
  <si>
    <t>Child</t>
  </si>
  <si>
    <t>Telephone.</t>
  </si>
  <si>
    <t>Hostel Child</t>
  </si>
  <si>
    <t xml:space="preserve">CONTRIBUTION TO P.F.   </t>
  </si>
  <si>
    <t>Petrol.</t>
  </si>
  <si>
    <t>Standard Deduction</t>
  </si>
  <si>
    <t>CONTRIBUTION TO EMPLOYER NPS</t>
  </si>
  <si>
    <t>Driver.</t>
  </si>
  <si>
    <t>Tax on employment</t>
  </si>
  <si>
    <t>CTC FOR PAYROLL</t>
  </si>
  <si>
    <t>Magazine.</t>
  </si>
  <si>
    <t>Inc/loss house property</t>
  </si>
  <si>
    <t>Exempt Reimb.</t>
  </si>
  <si>
    <t>LESS: PROFESSIONAL TAX</t>
  </si>
  <si>
    <t>Taxable Income Old Regime</t>
  </si>
  <si>
    <t>80 DD</t>
  </si>
  <si>
    <t>Total Tax</t>
  </si>
  <si>
    <t>Eligible 80 DD</t>
  </si>
  <si>
    <t>Rebate</t>
  </si>
  <si>
    <t>80 DDB</t>
  </si>
  <si>
    <t>Tax already deducted</t>
  </si>
  <si>
    <t>Eligible 80 DDB</t>
  </si>
  <si>
    <t>Balance Tax</t>
  </si>
  <si>
    <t>Monthly Tax</t>
  </si>
  <si>
    <t>New Regime  2025-26</t>
  </si>
  <si>
    <t>Other Income</t>
  </si>
  <si>
    <t>Taxable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</si>
</sst>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_-* #,##0.00_-;\-* #,##0.00_-;_-* &quot;-&quot;??_-;_-@_-"/>
    <numFmt numFmtId="166" formatCode="_(* #,##0_);_(* \(#,##0\);_(* &quot;-&quot;??_);_(@_)"/>
  </numFmts>
  <fonts count="2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9" tint="-0.499984740745262"/>
      <name val="Calibri"/>
      <family val="2"/>
      <scheme val="minor"/>
    </font>
    <font>
      <b/>
      <u/>
      <sz val="11"/>
      <color theme="9" tint="-0.499984740745262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  <xf numFmtId="0" fontId="4" fillId="0" borderId="0"/>
    <xf numFmtId="0" fontId="4" fillId="0" borderId="0"/>
    <xf numFmtId="0" fontId="3" fillId="2" borderId="0" applyNumberFormat="0" applyFon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2" fillId="0" borderId="0"/>
    <xf numFmtId="0" fontId="11" fillId="0" borderId="0">
      <alignment vertical="center"/>
    </xf>
    <xf numFmtId="164" fontId="11" fillId="0" borderId="0" applyFont="0" applyFill="0" applyBorder="0" applyAlignment="0" applyProtection="0">
      <alignment vertical="center"/>
    </xf>
  </cellStyleXfs>
  <cellXfs count="90">
    <xf numFmtId="0" fontId="0" fillId="0" borderId="0" xfId="0"/>
    <xf numFmtId="166" fontId="15" fillId="3" borderId="1" xfId="9" applyNumberFormat="1" applyFont="1" applyFill="1" applyBorder="1" applyProtection="1">
      <protection locked="0"/>
    </xf>
    <xf numFmtId="0" fontId="15" fillId="0" borderId="0" xfId="0" applyFont="1" applyProtection="1">
      <protection locked="0"/>
    </xf>
    <xf numFmtId="43" fontId="15" fillId="0" borderId="0" xfId="9" applyFont="1" applyProtection="1">
      <protection locked="0"/>
    </xf>
    <xf numFmtId="14" fontId="12" fillId="5" borderId="8" xfId="0" applyNumberFormat="1" applyFont="1" applyFill="1" applyBorder="1" applyAlignment="1" applyProtection="1">
      <alignment vertical="center"/>
      <protection locked="0"/>
    </xf>
    <xf numFmtId="0" fontId="17" fillId="5" borderId="0" xfId="0" applyFont="1" applyFill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hidden="1"/>
    </xf>
    <xf numFmtId="43" fontId="17" fillId="0" borderId="1" xfId="9" applyFont="1" applyBorder="1" applyAlignment="1" applyProtection="1">
      <alignment horizontal="center"/>
      <protection hidden="1"/>
    </xf>
    <xf numFmtId="0" fontId="15" fillId="0" borderId="1" xfId="0" applyFont="1" applyBorder="1" applyProtection="1">
      <protection hidden="1"/>
    </xf>
    <xf numFmtId="0" fontId="15" fillId="0" borderId="0" xfId="0" applyFont="1" applyProtection="1">
      <protection hidden="1"/>
    </xf>
    <xf numFmtId="43" fontId="15" fillId="0" borderId="0" xfId="9" applyFont="1" applyProtection="1">
      <protection hidden="1"/>
    </xf>
    <xf numFmtId="0" fontId="12" fillId="4" borderId="7" xfId="0" applyFont="1" applyFill="1" applyBorder="1" applyAlignment="1" applyProtection="1">
      <alignment vertical="center"/>
      <protection hidden="1"/>
    </xf>
    <xf numFmtId="14" fontId="12" fillId="4" borderId="8" xfId="0" applyNumberFormat="1" applyFont="1" applyFill="1" applyBorder="1" applyAlignment="1" applyProtection="1">
      <alignment vertical="center"/>
      <protection hidden="1"/>
    </xf>
    <xf numFmtId="43" fontId="12" fillId="4" borderId="13" xfId="9" applyFont="1" applyFill="1" applyBorder="1" applyAlignment="1" applyProtection="1">
      <alignment vertical="center"/>
      <protection hidden="1"/>
    </xf>
    <xf numFmtId="0" fontId="15" fillId="0" borderId="1" xfId="0" applyFont="1" applyBorder="1" applyAlignment="1" applyProtection="1">
      <alignment horizontal="left" indent="1"/>
      <protection hidden="1"/>
    </xf>
    <xf numFmtId="0" fontId="12" fillId="0" borderId="9" xfId="12" applyFont="1" applyBorder="1" applyProtection="1">
      <alignment vertical="center"/>
      <protection hidden="1"/>
    </xf>
    <xf numFmtId="0" fontId="12" fillId="0" borderId="4" xfId="12" applyFont="1" applyBorder="1" applyProtection="1">
      <alignment vertical="center"/>
      <protection hidden="1"/>
    </xf>
    <xf numFmtId="0" fontId="12" fillId="0" borderId="5" xfId="12" applyFont="1" applyBorder="1" applyAlignment="1" applyProtection="1">
      <alignment horizontal="center" vertical="center"/>
      <protection hidden="1"/>
    </xf>
    <xf numFmtId="0" fontId="12" fillId="0" borderId="6" xfId="12" applyFont="1" applyBorder="1" applyAlignment="1" applyProtection="1">
      <alignment horizontal="center" vertical="center"/>
      <protection hidden="1"/>
    </xf>
    <xf numFmtId="0" fontId="12" fillId="0" borderId="18" xfId="12" applyFont="1" applyBorder="1" applyProtection="1">
      <alignment vertical="center"/>
      <protection hidden="1"/>
    </xf>
    <xf numFmtId="0" fontId="12" fillId="0" borderId="19" xfId="12" applyFont="1" applyBorder="1" applyProtection="1">
      <alignment vertical="center"/>
      <protection hidden="1"/>
    </xf>
    <xf numFmtId="0" fontId="12" fillId="0" borderId="20" xfId="12" applyFont="1" applyBorder="1" applyProtection="1">
      <alignment vertical="center"/>
      <protection hidden="1"/>
    </xf>
    <xf numFmtId="43" fontId="15" fillId="0" borderId="1" xfId="9" applyFont="1" applyBorder="1" applyProtection="1">
      <protection hidden="1"/>
    </xf>
    <xf numFmtId="0" fontId="14" fillId="0" borderId="9" xfId="12" applyFont="1" applyBorder="1" applyProtection="1">
      <alignment vertical="center"/>
      <protection hidden="1"/>
    </xf>
    <xf numFmtId="0" fontId="14" fillId="0" borderId="4" xfId="12" applyFont="1" applyBorder="1" applyProtection="1">
      <alignment vertical="center"/>
      <protection hidden="1"/>
    </xf>
    <xf numFmtId="0" fontId="14" fillId="0" borderId="14" xfId="12" applyFont="1" applyBorder="1" applyProtection="1">
      <alignment vertical="center"/>
      <protection hidden="1"/>
    </xf>
    <xf numFmtId="0" fontId="14" fillId="0" borderId="0" xfId="12" applyFont="1" applyProtection="1">
      <alignment vertical="center"/>
      <protection hidden="1"/>
    </xf>
    <xf numFmtId="0" fontId="15" fillId="0" borderId="2" xfId="0" applyFont="1" applyBorder="1" applyAlignment="1" applyProtection="1">
      <alignment horizontal="left" indent="1"/>
      <protection hidden="1"/>
    </xf>
    <xf numFmtId="0" fontId="14" fillId="0" borderId="12" xfId="12" applyFont="1" applyBorder="1" applyProtection="1">
      <alignment vertical="center"/>
      <protection hidden="1"/>
    </xf>
    <xf numFmtId="0" fontId="14" fillId="0" borderId="2" xfId="12" applyFont="1" applyBorder="1" applyProtection="1">
      <alignment vertical="center"/>
      <protection hidden="1"/>
    </xf>
    <xf numFmtId="0" fontId="13" fillId="3" borderId="14" xfId="12" applyFont="1" applyFill="1" applyBorder="1" applyProtection="1">
      <alignment vertical="center"/>
      <protection hidden="1"/>
    </xf>
    <xf numFmtId="0" fontId="13" fillId="3" borderId="2" xfId="12" applyFont="1" applyFill="1" applyBorder="1" applyProtection="1">
      <alignment vertical="center"/>
      <protection hidden="1"/>
    </xf>
    <xf numFmtId="0" fontId="15" fillId="0" borderId="2" xfId="0" applyFont="1" applyBorder="1" applyProtection="1">
      <protection hidden="1"/>
    </xf>
    <xf numFmtId="0" fontId="17" fillId="0" borderId="1" xfId="0" applyFont="1" applyBorder="1" applyAlignment="1" applyProtection="1">
      <alignment horizontal="left"/>
      <protection hidden="1"/>
    </xf>
    <xf numFmtId="0" fontId="17" fillId="0" borderId="2" xfId="0" applyFont="1" applyBorder="1" applyAlignment="1" applyProtection="1">
      <alignment horizontal="center"/>
      <protection hidden="1"/>
    </xf>
    <xf numFmtId="0" fontId="17" fillId="0" borderId="3" xfId="0" applyFont="1" applyBorder="1" applyAlignment="1" applyProtection="1">
      <alignment horizontal="center"/>
      <protection hidden="1"/>
    </xf>
    <xf numFmtId="43" fontId="15" fillId="0" borderId="12" xfId="9" applyFont="1" applyFill="1" applyBorder="1" applyAlignment="1" applyProtection="1">
      <alignment vertical="center"/>
      <protection hidden="1"/>
    </xf>
    <xf numFmtId="43" fontId="15" fillId="0" borderId="17" xfId="9" applyFont="1" applyFill="1" applyBorder="1" applyAlignment="1" applyProtection="1">
      <alignment vertical="center"/>
      <protection hidden="1"/>
    </xf>
    <xf numFmtId="43" fontId="15" fillId="0" borderId="2" xfId="9" applyFont="1" applyFill="1" applyBorder="1" applyAlignment="1" applyProtection="1">
      <alignment vertical="center"/>
      <protection hidden="1"/>
    </xf>
    <xf numFmtId="0" fontId="14" fillId="0" borderId="17" xfId="12" applyFont="1" applyBorder="1" applyProtection="1">
      <alignment vertical="center"/>
      <protection hidden="1"/>
    </xf>
    <xf numFmtId="0" fontId="12" fillId="0" borderId="12" xfId="12" applyFont="1" applyBorder="1" applyProtection="1">
      <alignment vertical="center"/>
      <protection hidden="1"/>
    </xf>
    <xf numFmtId="0" fontId="12" fillId="0" borderId="2" xfId="12" applyFont="1" applyBorder="1" applyProtection="1">
      <alignment vertical="center"/>
      <protection hidden="1"/>
    </xf>
    <xf numFmtId="0" fontId="16" fillId="0" borderId="12" xfId="12" applyFont="1" applyBorder="1" applyProtection="1">
      <alignment vertical="center"/>
      <protection hidden="1"/>
    </xf>
    <xf numFmtId="0" fontId="16" fillId="0" borderId="17" xfId="12" applyFont="1" applyBorder="1" applyProtection="1">
      <alignment vertical="center"/>
      <protection hidden="1"/>
    </xf>
    <xf numFmtId="0" fontId="15" fillId="0" borderId="14" xfId="12" applyFont="1" applyBorder="1" applyAlignment="1" applyProtection="1">
      <alignment horizontal="left" vertical="center"/>
      <protection hidden="1"/>
    </xf>
    <xf numFmtId="0" fontId="15" fillId="0" borderId="2" xfId="12" applyFont="1" applyBorder="1" applyAlignment="1" applyProtection="1">
      <alignment horizontal="left" vertical="center"/>
      <protection hidden="1"/>
    </xf>
    <xf numFmtId="0" fontId="17" fillId="0" borderId="0" xfId="0" applyFont="1" applyAlignment="1" applyProtection="1">
      <alignment horizontal="center"/>
      <protection hidden="1"/>
    </xf>
    <xf numFmtId="164" fontId="15" fillId="0" borderId="0" xfId="0" applyNumberFormat="1" applyFont="1" applyProtection="1">
      <protection locked="0"/>
    </xf>
    <xf numFmtId="4" fontId="15" fillId="3" borderId="1" xfId="9" applyNumberFormat="1" applyFont="1" applyFill="1" applyBorder="1" applyProtection="1">
      <protection locked="0"/>
    </xf>
    <xf numFmtId="2" fontId="15" fillId="3" borderId="1" xfId="9" applyNumberFormat="1" applyFont="1" applyFill="1" applyBorder="1" applyProtection="1">
      <protection locked="0"/>
    </xf>
    <xf numFmtId="2" fontId="15" fillId="0" borderId="1" xfId="9" applyNumberFormat="1" applyFont="1" applyFill="1" applyBorder="1" applyProtection="1">
      <protection hidden="1"/>
    </xf>
    <xf numFmtId="2" fontId="15" fillId="0" borderId="1" xfId="9" applyNumberFormat="1" applyFont="1" applyBorder="1" applyProtection="1">
      <protection hidden="1"/>
    </xf>
    <xf numFmtId="2" fontId="15" fillId="0" borderId="0" xfId="9" applyNumberFormat="1" applyFont="1" applyProtection="1">
      <protection hidden="1"/>
    </xf>
    <xf numFmtId="2" fontId="17" fillId="0" borderId="1" xfId="9" applyNumberFormat="1" applyFont="1" applyBorder="1" applyProtection="1">
      <protection hidden="1"/>
    </xf>
    <xf numFmtId="2" fontId="17" fillId="0" borderId="2" xfId="0" applyNumberFormat="1" applyFont="1" applyBorder="1" applyAlignment="1" applyProtection="1">
      <alignment horizontal="center"/>
      <protection hidden="1"/>
    </xf>
    <xf numFmtId="2" fontId="1" fillId="3" borderId="5" xfId="9" applyNumberFormat="1" applyFont="1" applyFill="1" applyBorder="1" applyAlignment="1" applyProtection="1">
      <alignment vertical="center"/>
      <protection locked="0"/>
    </xf>
    <xf numFmtId="2" fontId="1" fillId="3" borderId="1" xfId="9" applyNumberFormat="1" applyFont="1" applyFill="1" applyBorder="1" applyAlignment="1" applyProtection="1">
      <alignment vertical="center"/>
      <protection locked="0"/>
    </xf>
    <xf numFmtId="2" fontId="14" fillId="3" borderId="1" xfId="9" applyNumberFormat="1" applyFont="1" applyFill="1" applyBorder="1" applyAlignment="1" applyProtection="1">
      <alignment horizontal="center" vertical="center"/>
      <protection locked="0"/>
    </xf>
    <xf numFmtId="2" fontId="14" fillId="3" borderId="1" xfId="9" applyNumberFormat="1" applyFont="1" applyFill="1" applyBorder="1" applyAlignment="1" applyProtection="1">
      <alignment horizontal="right" vertical="center"/>
      <protection locked="0"/>
    </xf>
    <xf numFmtId="2" fontId="12" fillId="0" borderId="1" xfId="9" applyNumberFormat="1" applyFont="1" applyFill="1" applyBorder="1" applyAlignment="1" applyProtection="1">
      <alignment horizontal="right" vertical="center"/>
      <protection hidden="1"/>
    </xf>
    <xf numFmtId="2" fontId="16" fillId="0" borderId="17" xfId="12" applyNumberFormat="1" applyFont="1" applyBorder="1" applyAlignment="1" applyProtection="1">
      <alignment horizontal="right" vertical="center"/>
      <protection hidden="1"/>
    </xf>
    <xf numFmtId="2" fontId="15" fillId="3" borderId="1" xfId="13" applyNumberFormat="1" applyFont="1" applyFill="1" applyBorder="1" applyAlignment="1" applyProtection="1">
      <alignment horizontal="right" vertical="center"/>
      <protection locked="0"/>
    </xf>
    <xf numFmtId="2" fontId="15" fillId="0" borderId="1" xfId="9" applyNumberFormat="1" applyFont="1" applyFill="1" applyBorder="1" applyAlignment="1" applyProtection="1">
      <alignment vertical="center"/>
      <protection hidden="1"/>
    </xf>
    <xf numFmtId="2" fontId="16" fillId="0" borderId="2" xfId="12" applyNumberFormat="1" applyFont="1" applyBorder="1" applyProtection="1">
      <alignment vertical="center"/>
      <protection hidden="1"/>
    </xf>
    <xf numFmtId="4" fontId="15" fillId="0" borderId="1" xfId="9" applyNumberFormat="1" applyFont="1" applyFill="1" applyBorder="1" applyProtection="1">
      <protection hidden="1"/>
    </xf>
    <xf numFmtId="2" fontId="15" fillId="3" borderId="1" xfId="9" applyNumberFormat="1" applyFont="1" applyFill="1" applyBorder="1" applyProtection="1">
      <protection hidden="1"/>
    </xf>
    <xf numFmtId="0" fontId="14" fillId="0" borderId="21" xfId="12" applyFont="1" applyBorder="1" applyProtection="1">
      <alignment vertical="center"/>
      <protection hidden="1"/>
    </xf>
    <xf numFmtId="2" fontId="15" fillId="0" borderId="0" xfId="0" applyNumberFormat="1" applyFont="1" applyProtection="1">
      <protection locked="0"/>
    </xf>
    <xf numFmtId="4" fontId="15" fillId="0" borderId="0" xfId="0" applyNumberFormat="1" applyFont="1" applyProtection="1">
      <protection locked="0"/>
    </xf>
    <xf numFmtId="0" fontId="15" fillId="0" borderId="1" xfId="0" applyFont="1" applyBorder="1" applyProtection="1">
      <protection locked="0" hidden="1"/>
    </xf>
    <xf numFmtId="2" fontId="15" fillId="0" borderId="1" xfId="9" applyNumberFormat="1" applyFont="1" applyBorder="1" applyProtection="1">
      <protection locked="0" hidden="1"/>
    </xf>
    <xf numFmtId="0" fontId="17" fillId="6" borderId="0" xfId="0" applyFont="1" applyFill="1" applyProtection="1">
      <protection locked="0"/>
    </xf>
    <xf numFmtId="0" fontId="17" fillId="0" borderId="1" xfId="0" applyFont="1" applyBorder="1" applyProtection="1">
      <protection hidden="1"/>
    </xf>
    <xf numFmtId="9" fontId="15" fillId="0" borderId="0" xfId="0" applyNumberFormat="1" applyFont="1" applyProtection="1">
      <protection locked="0"/>
    </xf>
    <xf numFmtId="0" fontId="17" fillId="0" borderId="0" xfId="0" applyFont="1" applyProtection="1">
      <protection locked="0"/>
    </xf>
    <xf numFmtId="0" fontId="15" fillId="0" borderId="0" xfId="0" applyFont="1" applyProtection="1">
      <protection locked="0" hidden="1"/>
    </xf>
    <xf numFmtId="2" fontId="15" fillId="0" borderId="0" xfId="9" applyNumberFormat="1" applyFont="1" applyFill="1" applyBorder="1" applyProtection="1">
      <protection locked="0" hidden="1"/>
    </xf>
    <xf numFmtId="0" fontId="17" fillId="0" borderId="0" xfId="0" applyFont="1" applyAlignment="1" applyProtection="1">
      <alignment horizontal="center"/>
      <protection locked="0"/>
    </xf>
    <xf numFmtId="2" fontId="17" fillId="0" borderId="0" xfId="0" applyNumberFormat="1" applyFont="1" applyAlignment="1" applyProtection="1">
      <alignment horizontal="center"/>
      <protection locked="0"/>
    </xf>
    <xf numFmtId="2" fontId="15" fillId="0" borderId="0" xfId="0" applyNumberFormat="1" applyFont="1" applyProtection="1">
      <protection locked="0" hidden="1"/>
    </xf>
    <xf numFmtId="0" fontId="18" fillId="0" borderId="15" xfId="0" applyFont="1" applyBorder="1" applyAlignment="1" applyProtection="1">
      <alignment horizontal="center" vertical="center"/>
      <protection hidden="1"/>
    </xf>
    <xf numFmtId="0" fontId="18" fillId="0" borderId="16" xfId="0" applyFont="1" applyBorder="1" applyAlignment="1" applyProtection="1">
      <alignment horizontal="center" vertical="center"/>
      <protection hidden="1"/>
    </xf>
    <xf numFmtId="0" fontId="10" fillId="4" borderId="9" xfId="0" applyFont="1" applyFill="1" applyBorder="1" applyAlignment="1" applyProtection="1">
      <alignment horizontal="center" vertical="center"/>
      <protection hidden="1"/>
    </xf>
    <xf numFmtId="0" fontId="10" fillId="4" borderId="10" xfId="0" applyFont="1" applyFill="1" applyBorder="1" applyAlignment="1" applyProtection="1">
      <alignment horizontal="center" vertical="center"/>
      <protection hidden="1"/>
    </xf>
    <xf numFmtId="0" fontId="10" fillId="4" borderId="11" xfId="0" applyFont="1" applyFill="1" applyBorder="1" applyAlignment="1" applyProtection="1">
      <alignment horizontal="center" vertical="center"/>
      <protection hidden="1"/>
    </xf>
    <xf numFmtId="0" fontId="17" fillId="4" borderId="7" xfId="0" applyFont="1" applyFill="1" applyBorder="1" applyAlignment="1" applyProtection="1">
      <alignment horizontal="center" vertical="center"/>
      <protection hidden="1"/>
    </xf>
    <xf numFmtId="0" fontId="17" fillId="4" borderId="8" xfId="0" applyFont="1" applyFill="1" applyBorder="1" applyAlignment="1" applyProtection="1">
      <alignment horizontal="center" vertical="center"/>
      <protection hidden="1"/>
    </xf>
    <xf numFmtId="0" fontId="17" fillId="4" borderId="13" xfId="0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/>
      <protection locked="0" hidden="1"/>
    </xf>
    <xf numFmtId="0" fontId="17" fillId="0" borderId="1" xfId="0" applyFont="1" applyBorder="1" applyAlignment="1" applyProtection="1">
      <alignment horizontal="center"/>
      <protection locked="0" hidden="1"/>
    </xf>
  </cellXfs>
  <cellStyles count="14">
    <cellStyle name="Comma" xfId="9" builtinId="3"/>
    <cellStyle name="Comma 2" xfId="1" xr:uid="{00000000-0005-0000-0000-000001000000}"/>
    <cellStyle name="Comma 3" xfId="2" xr:uid="{00000000-0005-0000-0000-000002000000}"/>
    <cellStyle name="Comma 3 2" xfId="13" xr:uid="{00000000-0005-0000-0000-000003000000}"/>
    <cellStyle name="Comma 4" xfId="3" xr:uid="{00000000-0005-0000-0000-000004000000}"/>
    <cellStyle name="Comma 5" xfId="4" xr:uid="{00000000-0005-0000-0000-000005000000}"/>
    <cellStyle name="Excel Built-in Normal" xfId="5" xr:uid="{00000000-0005-0000-0000-000006000000}"/>
    <cellStyle name="Normal" xfId="0" builtinId="0"/>
    <cellStyle name="Normal 2" xfId="6" xr:uid="{00000000-0005-0000-0000-000008000000}"/>
    <cellStyle name="Normal 2 2" xfId="7" xr:uid="{00000000-0005-0000-0000-000009000000}"/>
    <cellStyle name="Normal 3" xfId="10" xr:uid="{00000000-0005-0000-0000-00000A000000}"/>
    <cellStyle name="Normal 3 2" xfId="12" xr:uid="{00000000-0005-0000-0000-00000B000000}"/>
    <cellStyle name="Normal 4" xfId="11" xr:uid="{00000000-0005-0000-0000-00000C000000}"/>
    <cellStyle name="Yellow" xfId="8" xr:uid="{00000000-0005-0000-0000-00000D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$Dharmesh%20Acharya-1$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$Dharmesh Acharya-1$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45"/>
  <sheetViews>
    <sheetView tabSelected="1" zoomScale="85" zoomScaleNormal="85" workbookViewId="0">
      <pane xSplit="2" ySplit="2" topLeftCell="C3" activePane="bottomRight" state="frozen"/>
      <selection pane="bottomRight" activeCell="J13" sqref="J13"/>
      <selection pane="bottomLeft" activeCell="A3" sqref="A3"/>
      <selection pane="topRight" activeCell="C1" sqref="C1"/>
    </sheetView>
  </sheetViews>
  <sheetFormatPr defaultColWidth="9.140625" defaultRowHeight="14.45"/>
  <cols>
    <col min="1" max="1" width="18.5703125" style="2" customWidth="1"/>
    <col min="2" max="2" width="31" style="2" customWidth="1"/>
    <col min="3" max="3" width="16.7109375" style="2" bestFit="1" customWidth="1"/>
    <col min="4" max="4" width="18.28515625" style="2" bestFit="1" customWidth="1"/>
    <col min="5" max="5" width="20.28515625" style="2" customWidth="1"/>
    <col min="6" max="6" width="18.7109375" style="3" customWidth="1"/>
    <col min="7" max="7" width="26.28515625" style="2" customWidth="1"/>
    <col min="8" max="8" width="19.140625" style="3" customWidth="1"/>
    <col min="9" max="9" width="10" style="2" customWidth="1"/>
    <col min="10" max="10" width="21.7109375" style="2" customWidth="1"/>
    <col min="11" max="11" width="16.5703125" style="2" customWidth="1"/>
    <col min="12" max="12" width="9.7109375" style="2" bestFit="1" customWidth="1"/>
    <col min="13" max="13" width="11.5703125" style="2" bestFit="1" customWidth="1"/>
    <col min="14" max="16" width="9.140625" style="2"/>
    <col min="17" max="17" width="9.140625" style="2" hidden="1" customWidth="1"/>
    <col min="18" max="16384" width="9.140625" style="2"/>
  </cols>
  <sheetData>
    <row r="1" spans="1:17" ht="15" customHeight="1" thickBot="1">
      <c r="A1" s="80" t="s">
        <v>0</v>
      </c>
      <c r="B1" s="80"/>
      <c r="C1" s="80"/>
      <c r="D1" s="81"/>
      <c r="E1" s="6" t="s">
        <v>1</v>
      </c>
      <c r="F1" s="7" t="s">
        <v>2</v>
      </c>
      <c r="G1" s="8" t="s">
        <v>3</v>
      </c>
      <c r="H1" s="1">
        <v>0</v>
      </c>
    </row>
    <row r="2" spans="1:17" ht="15.75" customHeight="1">
      <c r="A2" s="82" t="s">
        <v>4</v>
      </c>
      <c r="B2" s="83"/>
      <c r="C2" s="83"/>
      <c r="D2" s="84"/>
      <c r="E2" s="8" t="s">
        <v>5</v>
      </c>
      <c r="F2" s="48">
        <v>0</v>
      </c>
      <c r="G2" s="8" t="s">
        <v>6</v>
      </c>
      <c r="H2" s="1">
        <v>0</v>
      </c>
      <c r="K2" s="71" t="s">
        <v>7</v>
      </c>
      <c r="Q2" s="64">
        <f>F2</f>
        <v>0</v>
      </c>
    </row>
    <row r="3" spans="1:17" ht="15" thickBot="1">
      <c r="A3" s="85"/>
      <c r="B3" s="86"/>
      <c r="C3" s="86"/>
      <c r="D3" s="87"/>
      <c r="E3" s="8" t="s">
        <v>8</v>
      </c>
      <c r="F3" s="48">
        <v>0</v>
      </c>
      <c r="G3" s="9"/>
      <c r="H3" s="10"/>
      <c r="K3" s="2" t="s">
        <v>9</v>
      </c>
      <c r="Q3" s="9"/>
    </row>
    <row r="4" spans="1:17" ht="15" thickBot="1">
      <c r="A4" s="11" t="s">
        <v>10</v>
      </c>
      <c r="B4" s="4">
        <v>45748</v>
      </c>
      <c r="C4" s="12">
        <v>46112</v>
      </c>
      <c r="D4" s="13">
        <f>+ROUND((C4-B4)/30.33,2)</f>
        <v>12</v>
      </c>
      <c r="E4" s="8" t="s">
        <v>11</v>
      </c>
      <c r="F4" s="48">
        <v>0</v>
      </c>
      <c r="G4" s="14" t="s">
        <v>12</v>
      </c>
      <c r="H4" s="49">
        <v>0</v>
      </c>
      <c r="K4" s="2" t="s">
        <v>13</v>
      </c>
      <c r="Q4" s="50">
        <f>H4</f>
        <v>0</v>
      </c>
    </row>
    <row r="5" spans="1:17">
      <c r="A5" s="15" t="s">
        <v>14</v>
      </c>
      <c r="B5" s="16"/>
      <c r="C5" s="17" t="s">
        <v>15</v>
      </c>
      <c r="D5" s="18" t="s">
        <v>16</v>
      </c>
      <c r="E5" s="8" t="s">
        <v>17</v>
      </c>
      <c r="F5" s="48">
        <v>0</v>
      </c>
      <c r="G5" s="14" t="s">
        <v>18</v>
      </c>
      <c r="H5" s="49">
        <v>0</v>
      </c>
      <c r="I5" s="46" t="s">
        <v>19</v>
      </c>
      <c r="Q5" s="50">
        <f>H5</f>
        <v>0</v>
      </c>
    </row>
    <row r="6" spans="1:17" ht="15" thickBot="1">
      <c r="A6" s="19"/>
      <c r="B6" s="20"/>
      <c r="C6" s="20"/>
      <c r="D6" s="21"/>
      <c r="E6" s="9"/>
      <c r="F6" s="10"/>
      <c r="G6" s="8" t="s">
        <v>20</v>
      </c>
      <c r="H6" s="51">
        <f>MIN(25000,Q4)+IF(I6="Yes",MIN(50000,Q5),MIN(25000,Q5))</f>
        <v>0</v>
      </c>
      <c r="I6" s="5" t="s">
        <v>21</v>
      </c>
      <c r="M6" s="67"/>
    </row>
    <row r="7" spans="1:17">
      <c r="A7" s="23" t="s">
        <v>22</v>
      </c>
      <c r="B7" s="24"/>
      <c r="C7" s="55">
        <v>0</v>
      </c>
      <c r="D7" s="62">
        <f t="shared" ref="D7:D14" si="0">C7*MIN($D$4,12)</f>
        <v>0</v>
      </c>
      <c r="E7" s="6" t="s">
        <v>23</v>
      </c>
      <c r="F7" s="7" t="s">
        <v>2</v>
      </c>
      <c r="G7" s="8" t="s">
        <v>24</v>
      </c>
      <c r="H7" s="51">
        <f>MIN(50000,SUM(F3+F4))</f>
        <v>0</v>
      </c>
      <c r="I7" s="2" t="s">
        <v>25</v>
      </c>
      <c r="M7" s="68"/>
    </row>
    <row r="8" spans="1:17">
      <c r="A8" s="25" t="s">
        <v>26</v>
      </c>
      <c r="B8" s="26"/>
      <c r="C8" s="56">
        <v>0</v>
      </c>
      <c r="D8" s="62">
        <f t="shared" si="0"/>
        <v>0</v>
      </c>
      <c r="E8" s="27" t="s">
        <v>27</v>
      </c>
      <c r="F8" s="22">
        <f>+D24</f>
        <v>0</v>
      </c>
      <c r="G8" s="8" t="s">
        <v>28</v>
      </c>
      <c r="H8" s="52">
        <f>+ROUND(C25*12,0)</f>
        <v>0</v>
      </c>
      <c r="I8" s="5" t="s">
        <v>29</v>
      </c>
      <c r="M8" s="67"/>
    </row>
    <row r="9" spans="1:17">
      <c r="A9" s="28" t="s">
        <v>30</v>
      </c>
      <c r="B9" s="29"/>
      <c r="C9" s="58">
        <v>0</v>
      </c>
      <c r="D9" s="62">
        <f t="shared" si="0"/>
        <v>0</v>
      </c>
      <c r="E9" s="27" t="s">
        <v>31</v>
      </c>
      <c r="F9" s="49">
        <v>0</v>
      </c>
      <c r="G9" s="8" t="s">
        <v>32</v>
      </c>
      <c r="H9" s="51">
        <f>+D26</f>
        <v>0</v>
      </c>
      <c r="I9" s="47"/>
      <c r="M9" s="68"/>
    </row>
    <row r="10" spans="1:17">
      <c r="A10" s="28" t="s">
        <v>33</v>
      </c>
      <c r="B10" s="29"/>
      <c r="C10" s="58">
        <v>0</v>
      </c>
      <c r="D10" s="62">
        <f t="shared" si="0"/>
        <v>0</v>
      </c>
      <c r="E10" s="27" t="s">
        <v>34</v>
      </c>
      <c r="F10" s="49">
        <v>0</v>
      </c>
      <c r="G10" s="8" t="s">
        <v>35</v>
      </c>
      <c r="H10" s="51">
        <f>SUM(H11:H16)</f>
        <v>0</v>
      </c>
    </row>
    <row r="11" spans="1:17">
      <c r="A11" s="25" t="s">
        <v>36</v>
      </c>
      <c r="B11" s="29"/>
      <c r="C11" s="56">
        <v>0</v>
      </c>
      <c r="D11" s="62">
        <f t="shared" si="0"/>
        <v>0</v>
      </c>
      <c r="E11" s="27" t="s">
        <v>37</v>
      </c>
      <c r="F11" s="49">
        <v>0</v>
      </c>
      <c r="G11" s="14" t="s">
        <v>38</v>
      </c>
      <c r="H11" s="49">
        <v>0</v>
      </c>
    </row>
    <row r="12" spans="1:17">
      <c r="A12" s="25" t="s">
        <v>39</v>
      </c>
      <c r="B12" s="29"/>
      <c r="C12" s="56">
        <v>0</v>
      </c>
      <c r="D12" s="62">
        <f t="shared" si="0"/>
        <v>0</v>
      </c>
      <c r="E12" s="27" t="s">
        <v>40</v>
      </c>
      <c r="F12" s="49">
        <v>0</v>
      </c>
      <c r="G12" s="14" t="s">
        <v>41</v>
      </c>
      <c r="H12" s="49">
        <v>0</v>
      </c>
    </row>
    <row r="13" spans="1:17">
      <c r="A13" s="25" t="s">
        <v>42</v>
      </c>
      <c r="B13" s="29"/>
      <c r="C13" s="56">
        <v>0</v>
      </c>
      <c r="D13" s="62">
        <f t="shared" si="0"/>
        <v>0</v>
      </c>
      <c r="E13" s="27" t="s">
        <v>43</v>
      </c>
      <c r="F13" s="49">
        <v>0</v>
      </c>
      <c r="G13" s="14" t="s">
        <v>44</v>
      </c>
      <c r="H13" s="49">
        <v>0</v>
      </c>
    </row>
    <row r="14" spans="1:17">
      <c r="A14" s="66" t="s">
        <v>45</v>
      </c>
      <c r="B14" s="26"/>
      <c r="C14" s="56">
        <v>0</v>
      </c>
      <c r="D14" s="62">
        <f t="shared" si="0"/>
        <v>0</v>
      </c>
      <c r="E14" s="27" t="s">
        <v>46</v>
      </c>
      <c r="F14" s="49">
        <v>0</v>
      </c>
      <c r="G14" s="14" t="s">
        <v>47</v>
      </c>
      <c r="H14" s="49">
        <v>0</v>
      </c>
    </row>
    <row r="15" spans="1:17">
      <c r="A15" s="30" t="s">
        <v>48</v>
      </c>
      <c r="B15" s="31"/>
      <c r="C15" s="57"/>
      <c r="D15" s="62"/>
      <c r="E15" s="27" t="s">
        <v>49</v>
      </c>
      <c r="F15" s="49">
        <v>0</v>
      </c>
      <c r="G15" s="14" t="s">
        <v>50</v>
      </c>
      <c r="H15" s="49">
        <v>0</v>
      </c>
      <c r="K15" s="47"/>
    </row>
    <row r="16" spans="1:17">
      <c r="A16" s="25" t="s">
        <v>51</v>
      </c>
      <c r="B16" s="29"/>
      <c r="C16" s="56">
        <v>0</v>
      </c>
      <c r="D16" s="62">
        <f t="shared" ref="D16:D22" si="1">C16*MIN($D$4,12)</f>
        <v>0</v>
      </c>
      <c r="E16" s="27" t="s">
        <v>52</v>
      </c>
      <c r="F16" s="49">
        <v>0</v>
      </c>
      <c r="G16" s="14" t="s">
        <v>53</v>
      </c>
      <c r="H16" s="49">
        <v>0</v>
      </c>
      <c r="K16" s="67"/>
    </row>
    <row r="17" spans="1:17">
      <c r="A17" s="25" t="s">
        <v>54</v>
      </c>
      <c r="B17" s="29"/>
      <c r="C17" s="56">
        <v>0</v>
      </c>
      <c r="D17" s="62">
        <f t="shared" si="1"/>
        <v>0</v>
      </c>
      <c r="E17" s="27" t="s">
        <v>55</v>
      </c>
      <c r="F17" s="49">
        <v>0</v>
      </c>
      <c r="G17" s="8"/>
      <c r="H17" s="51"/>
      <c r="K17" s="47"/>
    </row>
    <row r="18" spans="1:17">
      <c r="A18" s="28" t="s">
        <v>56</v>
      </c>
      <c r="B18" s="29"/>
      <c r="C18" s="56">
        <v>0</v>
      </c>
      <c r="D18" s="62">
        <f t="shared" si="1"/>
        <v>0</v>
      </c>
      <c r="E18" s="32" t="s">
        <v>57</v>
      </c>
      <c r="F18" s="22">
        <f>MIN(150000,SUM(F8:F17))</f>
        <v>0</v>
      </c>
      <c r="G18" s="33" t="s">
        <v>58</v>
      </c>
      <c r="H18" s="53">
        <f>H9+H10</f>
        <v>0</v>
      </c>
      <c r="K18" s="67"/>
    </row>
    <row r="19" spans="1:17">
      <c r="A19" s="25" t="s">
        <v>59</v>
      </c>
      <c r="B19" s="29"/>
      <c r="C19" s="56">
        <v>0</v>
      </c>
      <c r="D19" s="62">
        <f t="shared" si="1"/>
        <v>0</v>
      </c>
      <c r="E19" s="9"/>
      <c r="F19" s="10"/>
      <c r="G19" s="9"/>
      <c r="H19" s="52"/>
      <c r="K19" s="67"/>
    </row>
    <row r="20" spans="1:17">
      <c r="A20" s="25" t="s">
        <v>60</v>
      </c>
      <c r="B20" s="29"/>
      <c r="C20" s="56">
        <v>0</v>
      </c>
      <c r="D20" s="62">
        <f t="shared" si="1"/>
        <v>0</v>
      </c>
      <c r="E20" s="34" t="s">
        <v>61</v>
      </c>
      <c r="F20" s="7" t="s">
        <v>2</v>
      </c>
      <c r="G20" s="35" t="s">
        <v>62</v>
      </c>
      <c r="H20" s="54"/>
    </row>
    <row r="21" spans="1:17">
      <c r="A21" s="25" t="s">
        <v>63</v>
      </c>
      <c r="B21" s="29"/>
      <c r="C21" s="56">
        <v>0</v>
      </c>
      <c r="D21" s="62">
        <f t="shared" si="1"/>
        <v>0</v>
      </c>
      <c r="E21" s="32" t="s">
        <v>64</v>
      </c>
      <c r="F21" s="49">
        <v>0</v>
      </c>
      <c r="G21" s="8" t="s">
        <v>65</v>
      </c>
      <c r="H21" s="51">
        <f>IF(F5&gt;0,ROUND(MIN(F5-C7*10%,C8,C7*40%)*12,0),0)</f>
        <v>0</v>
      </c>
      <c r="I21" s="2" t="s">
        <v>66</v>
      </c>
    </row>
    <row r="22" spans="1:17">
      <c r="A22" s="25" t="s">
        <v>67</v>
      </c>
      <c r="B22" s="29"/>
      <c r="C22" s="56">
        <v>0</v>
      </c>
      <c r="D22" s="62">
        <f t="shared" si="1"/>
        <v>0</v>
      </c>
      <c r="E22" s="32" t="s">
        <v>68</v>
      </c>
      <c r="F22" s="49">
        <v>0</v>
      </c>
      <c r="G22" s="8" t="s">
        <v>69</v>
      </c>
      <c r="H22" s="51">
        <f>MIN(D11,(H1*100)*12)</f>
        <v>0</v>
      </c>
      <c r="I22" s="74" t="str">
        <f>IF(H32&lt;H44,"OLD","NEW")</f>
        <v>NEW</v>
      </c>
    </row>
    <row r="23" spans="1:17">
      <c r="A23" s="36"/>
      <c r="B23" s="37"/>
      <c r="C23" s="37"/>
      <c r="D23" s="38"/>
      <c r="E23" s="32" t="s">
        <v>70</v>
      </c>
      <c r="F23" s="49">
        <v>0</v>
      </c>
      <c r="G23" s="8" t="s">
        <v>71</v>
      </c>
      <c r="H23" s="51">
        <f>MIN(D12,(H2*300)*12)</f>
        <v>0</v>
      </c>
    </row>
    <row r="24" spans="1:17">
      <c r="A24" s="25" t="s">
        <v>72</v>
      </c>
      <c r="B24" s="29"/>
      <c r="C24" s="56">
        <v>0</v>
      </c>
      <c r="D24" s="62">
        <f t="shared" ref="D24:D28" si="2">C24*MIN($D$4,12)</f>
        <v>0</v>
      </c>
      <c r="E24" s="32" t="s">
        <v>73</v>
      </c>
      <c r="F24" s="49">
        <v>0</v>
      </c>
      <c r="G24" s="8" t="s">
        <v>74</v>
      </c>
      <c r="H24" s="51">
        <v>50000</v>
      </c>
    </row>
    <row r="25" spans="1:17">
      <c r="A25" s="25" t="s">
        <v>75</v>
      </c>
      <c r="B25" s="39"/>
      <c r="C25" s="56">
        <v>0</v>
      </c>
      <c r="D25" s="62">
        <f t="shared" ref="D25" si="3">C25*MIN($D$4,12)</f>
        <v>0</v>
      </c>
      <c r="E25" s="32" t="s">
        <v>76</v>
      </c>
      <c r="F25" s="49">
        <v>0</v>
      </c>
      <c r="G25" s="8" t="s">
        <v>77</v>
      </c>
      <c r="H25" s="51">
        <f>+D28</f>
        <v>0</v>
      </c>
    </row>
    <row r="26" spans="1:17">
      <c r="A26" s="40" t="s">
        <v>78</v>
      </c>
      <c r="B26" s="41"/>
      <c r="C26" s="59">
        <f>SUM(C7:C24)</f>
        <v>0</v>
      </c>
      <c r="D26" s="59">
        <f>SUM(D7:D22)</f>
        <v>0</v>
      </c>
      <c r="E26" s="32" t="s">
        <v>79</v>
      </c>
      <c r="F26" s="49">
        <v>0</v>
      </c>
      <c r="G26" s="8" t="s">
        <v>80</v>
      </c>
      <c r="H26" s="51">
        <f>+MIN(200000,Q2)</f>
        <v>0</v>
      </c>
      <c r="J26" s="47"/>
    </row>
    <row r="27" spans="1:17">
      <c r="A27" s="42"/>
      <c r="B27" s="43"/>
      <c r="C27" s="60"/>
      <c r="D27" s="63"/>
      <c r="E27" s="32" t="s">
        <v>81</v>
      </c>
      <c r="F27" s="22">
        <f>SUM(F21:F26)</f>
        <v>0</v>
      </c>
      <c r="G27" s="9"/>
      <c r="H27" s="52"/>
      <c r="J27" s="47"/>
    </row>
    <row r="28" spans="1:17">
      <c r="A28" s="44" t="s">
        <v>82</v>
      </c>
      <c r="B28" s="45"/>
      <c r="C28" s="61">
        <v>0</v>
      </c>
      <c r="D28" s="62">
        <f t="shared" si="2"/>
        <v>0</v>
      </c>
      <c r="E28" s="9"/>
      <c r="F28" s="10"/>
      <c r="G28" s="72" t="s">
        <v>83</v>
      </c>
      <c r="H28" s="51">
        <f>H18-F18-H6-H7-F27-D21-D22-H21-H22-H23-H24-H25-H26-F30-F32</f>
        <v>-50000</v>
      </c>
      <c r="I28" s="67"/>
      <c r="J28" s="47"/>
    </row>
    <row r="29" spans="1:17">
      <c r="A29" s="9"/>
      <c r="B29" s="9"/>
      <c r="C29" s="9"/>
      <c r="D29" s="9"/>
      <c r="E29" s="14" t="s">
        <v>84</v>
      </c>
      <c r="F29" s="49">
        <v>0</v>
      </c>
      <c r="G29" s="8" t="s">
        <v>85</v>
      </c>
      <c r="H29" s="51">
        <f>+IF(H28&lt;=250000,0,IF(AND(H28&gt;250000,H28&lt;=500000),(H28-250000)*5%,IF(AND(H28&gt;500000,H28&lt;=1000000),(H28-500000)*20%+12500,IF(H28&gt;1000000,(H28-1000000)*30%+112500))))++IF(H28&lt;=250000,0,IF(AND(H28&gt;250000,H28&lt;=500000),(H28-250000)*5%,IF(AND(H28&gt;500000,H28&lt;=1000000),(H28-500000)*20%+12500,IF(H28&gt;1000000,(H28-1000000)*30%+112500))))*0.04</f>
        <v>0</v>
      </c>
      <c r="Q29" s="65">
        <f>+F29</f>
        <v>0</v>
      </c>
    </row>
    <row r="30" spans="1:17">
      <c r="A30" s="9"/>
      <c r="B30" s="9"/>
      <c r="C30" s="9"/>
      <c r="D30" s="9"/>
      <c r="E30" s="14" t="s">
        <v>86</v>
      </c>
      <c r="F30" s="50">
        <f>MIN(Q29,75000)</f>
        <v>0</v>
      </c>
      <c r="G30" s="8" t="s">
        <v>87</v>
      </c>
      <c r="H30" s="51">
        <f>+IF(H28&lt;=500000,12500,0)+IF(H28&lt;=500000,12500,0)*0.04</f>
        <v>13000</v>
      </c>
    </row>
    <row r="31" spans="1:17">
      <c r="A31" s="9"/>
      <c r="B31" s="9"/>
      <c r="C31" s="9"/>
      <c r="D31" s="9"/>
      <c r="E31" s="14" t="s">
        <v>88</v>
      </c>
      <c r="F31" s="49">
        <v>0</v>
      </c>
      <c r="G31" s="8" t="s">
        <v>89</v>
      </c>
      <c r="H31" s="51">
        <v>0</v>
      </c>
      <c r="Q31" s="65">
        <f>+F31</f>
        <v>0</v>
      </c>
    </row>
    <row r="32" spans="1:17">
      <c r="A32" s="9"/>
      <c r="B32" s="9"/>
      <c r="C32" s="9"/>
      <c r="D32" s="9"/>
      <c r="E32" s="14" t="s">
        <v>90</v>
      </c>
      <c r="F32" s="50">
        <f>MIN(Q31,40000)</f>
        <v>0</v>
      </c>
      <c r="G32" s="8" t="s">
        <v>91</v>
      </c>
      <c r="H32" s="51">
        <f>+IF((H29-H30-H31)&lt;0,0,(H29-H30-H31))</f>
        <v>0</v>
      </c>
      <c r="I32" s="67"/>
      <c r="K32" s="67"/>
      <c r="L32" s="67"/>
      <c r="M32" s="73"/>
    </row>
    <row r="33" spans="1:14">
      <c r="A33" s="9"/>
      <c r="B33" s="9"/>
      <c r="C33" s="9"/>
      <c r="D33" s="9"/>
      <c r="E33" s="9"/>
      <c r="F33" s="10"/>
      <c r="G33" s="8" t="s">
        <v>92</v>
      </c>
      <c r="H33" s="51">
        <f>+ROUND(H32/12,0)</f>
        <v>0</v>
      </c>
      <c r="J33" s="67"/>
      <c r="L33" s="67"/>
      <c r="M33" s="73"/>
      <c r="N33" s="74"/>
    </row>
    <row r="34" spans="1:14">
      <c r="L34" s="67"/>
      <c r="M34" s="73"/>
    </row>
    <row r="35" spans="1:14">
      <c r="G35" s="89" t="s">
        <v>93</v>
      </c>
      <c r="H35" s="89"/>
      <c r="J35" s="88"/>
      <c r="K35" s="88"/>
      <c r="L35" s="67"/>
      <c r="M35" s="73"/>
    </row>
    <row r="36" spans="1:14">
      <c r="G36" s="69" t="s">
        <v>32</v>
      </c>
      <c r="H36" s="70">
        <f>+H9</f>
        <v>0</v>
      </c>
      <c r="J36" s="79"/>
      <c r="K36" s="76"/>
      <c r="M36" s="73"/>
    </row>
    <row r="37" spans="1:14">
      <c r="G37" s="69" t="s">
        <v>61</v>
      </c>
      <c r="H37" s="70">
        <f>+F22+F23+F25+F24+F26</f>
        <v>0</v>
      </c>
      <c r="J37" s="75"/>
      <c r="K37" s="76"/>
    </row>
    <row r="38" spans="1:14">
      <c r="G38" s="69" t="s">
        <v>94</v>
      </c>
      <c r="H38" s="70">
        <f>+H10</f>
        <v>0</v>
      </c>
      <c r="J38" s="75"/>
      <c r="K38" s="76"/>
    </row>
    <row r="39" spans="1:14">
      <c r="G39" s="69" t="s">
        <v>74</v>
      </c>
      <c r="H39" s="70">
        <v>75000</v>
      </c>
      <c r="J39" s="75"/>
      <c r="K39" s="76"/>
    </row>
    <row r="40" spans="1:14">
      <c r="G40" s="69" t="s">
        <v>95</v>
      </c>
      <c r="H40" s="70">
        <f>+H36-H37+H38-H39</f>
        <v>-75000</v>
      </c>
      <c r="J40" s="75"/>
      <c r="K40" s="76"/>
    </row>
    <row r="41" spans="1:14">
      <c r="G41" s="69" t="s">
        <v>85</v>
      </c>
      <c r="H41" s="70">
        <f>+ROUND(IF(H40&gt;400000,IF(AND(H40&gt;400000,H40&lt;=800000),(H40-400000)*5%,IF(AND(H40&gt;800000,H40&lt;=1200000),(H40-800000)*10%+20000,IF(AND(H40&gt;1200000,H40&lt;=1600000),(H40-1200000)*15%+60000,IF(AND(H40&gt;1600000,H40&lt;=2000000),(H40-1600000)*20%+120000,IF(AND(H40&gt;2000000,H40&lt;=2400000),(H40-2000000)*25%+200000,IF(AND(H40&gt;2400000),(H40-2400000)*30%+300000))))))),0)</f>
        <v>0</v>
      </c>
      <c r="J41" s="75"/>
      <c r="K41" s="76"/>
    </row>
    <row r="42" spans="1:14">
      <c r="G42" s="69" t="s">
        <v>87</v>
      </c>
      <c r="H42" s="70">
        <f>+IF(H41&lt;60000,H41,0)</f>
        <v>0</v>
      </c>
      <c r="J42" s="75"/>
      <c r="K42" s="76"/>
    </row>
    <row r="43" spans="1:14">
      <c r="G43" s="69" t="s">
        <v>89</v>
      </c>
      <c r="H43" s="70">
        <v>0</v>
      </c>
      <c r="I43" s="77"/>
      <c r="J43" s="75"/>
      <c r="K43" s="76"/>
    </row>
    <row r="44" spans="1:14">
      <c r="G44" s="69" t="s">
        <v>91</v>
      </c>
      <c r="H44" s="70">
        <f>+H41-H42</f>
        <v>0</v>
      </c>
      <c r="I44" s="78"/>
      <c r="J44" s="75"/>
      <c r="K44" s="76"/>
    </row>
    <row r="45" spans="1:14">
      <c r="G45" s="69" t="s">
        <v>92</v>
      </c>
      <c r="H45" s="70">
        <f>+H44/12</f>
        <v>0</v>
      </c>
      <c r="J45" s="79"/>
      <c r="K45" s="76"/>
    </row>
  </sheetData>
  <sheetProtection algorithmName="SHA-512" hashValue="P8nyawqFUenUuhNVlDjkU0Ra3Vhw2tDkG/mI5A14tyuHdXDUuE7n8kXGxTm54lALvdaeI4ea2ugRaRlOc+bnzg==" saltValue="36cEjlz7VGFR+CT7GCCgNg==" spinCount="100000" sheet="1" objects="1" scenarios="1"/>
  <mergeCells count="5">
    <mergeCell ref="A1:D1"/>
    <mergeCell ref="A2:D2"/>
    <mergeCell ref="A3:D3"/>
    <mergeCell ref="J35:K35"/>
    <mergeCell ref="G35:H35"/>
  </mergeCells>
  <conditionalFormatting sqref="I22">
    <cfRule type="cellIs" dxfId="0" priority="1" operator="equal">
      <formula>"NEW"</formula>
    </cfRule>
  </conditionalFormatting>
  <dataValidations count="2">
    <dataValidation type="list" allowBlank="1" showInputMessage="1" showErrorMessage="1" sqref="I6" xr:uid="{00000000-0002-0000-0000-000000000000}">
      <formula1>"Yes, No"</formula1>
    </dataValidation>
    <dataValidation type="list" allowBlank="1" showInputMessage="1" showErrorMessage="1" sqref="H1:H2" xr:uid="{00000000-0002-0000-0000-000001000000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51307-AC98-49F3-A649-39943B5C0349}">
  <dimension ref="A1"/>
  <sheetViews>
    <sheetView workbookViewId="0"/>
  </sheetViews>
  <sheetFormatPr defaultRowHeight="13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Radixweb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hiren.thakkar</dc:creator>
  <cp:keywords/>
  <dc:description/>
  <cp:lastModifiedBy>Himanshu Bhardiya</cp:lastModifiedBy>
  <cp:revision/>
  <dcterms:created xsi:type="dcterms:W3CDTF">2008-12-04T08:17:25Z</dcterms:created>
  <dcterms:modified xsi:type="dcterms:W3CDTF">2025-03-31T09:25:46Z</dcterms:modified>
  <cp:category/>
  <cp:contentStatus/>
</cp:coreProperties>
</file>