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udy\Leon\21點\"/>
    </mc:Choice>
  </mc:AlternateContent>
  <xr:revisionPtr revIDLastSave="0" documentId="13_ncr:1_{C1CC0195-34E6-4DB0-9737-DE929F3960C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流程" sheetId="1" r:id="rId1"/>
    <sheet name="正式服API公司列表" sheetId="2" r:id="rId2"/>
    <sheet name="工作表1" sheetId="10" r:id="rId3"/>
    <sheet name="測試服API公司列表" sheetId="3" r:id="rId4"/>
    <sheet name="正式服過濾皮膚表" sheetId="4" r:id="rId5"/>
    <sheet name="公司幣別表" sheetId="5" r:id="rId6"/>
    <sheet name="幣別" sheetId="6" r:id="rId7"/>
    <sheet name="舊資訊API" sheetId="7" r:id="rId8"/>
    <sheet name="參考資訊" sheetId="8" r:id="rId9"/>
    <sheet name="舊包网" sheetId="9" r:id="rId10"/>
  </sheets>
  <definedNames>
    <definedName name="_xlnm._FilterDatabase" localSheetId="5" hidden="1">公司幣別表!$A$1:$F$999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3" i="5" l="1"/>
  <c r="D263" i="5"/>
  <c r="E262" i="5" l="1"/>
  <c r="D262" i="5"/>
  <c r="C13" i="5"/>
  <c r="D192" i="5" l="1"/>
  <c r="E258" i="5"/>
  <c r="D258" i="5"/>
  <c r="E248" i="5"/>
  <c r="D248" i="5"/>
  <c r="E247" i="5"/>
  <c r="D247" i="5"/>
  <c r="E245" i="5"/>
  <c r="D245" i="5"/>
  <c r="E1" i="5"/>
  <c r="G55" i="6"/>
  <c r="G54" i="6"/>
  <c r="G53" i="6"/>
  <c r="G52" i="6"/>
  <c r="G51" i="6"/>
  <c r="E51" i="6"/>
  <c r="D51" i="6"/>
  <c r="C51" i="6"/>
  <c r="B51" i="6"/>
  <c r="A51" i="6"/>
  <c r="G50" i="6"/>
  <c r="E50" i="6"/>
  <c r="D50" i="6"/>
  <c r="C50" i="6"/>
  <c r="B50" i="6"/>
  <c r="A50" i="6"/>
  <c r="G49" i="6"/>
  <c r="E49" i="6"/>
  <c r="D49" i="6"/>
  <c r="C49" i="6"/>
  <c r="B49" i="6"/>
  <c r="A49" i="6"/>
  <c r="G48" i="6"/>
  <c r="E48" i="6"/>
  <c r="D48" i="6"/>
  <c r="C48" i="6"/>
  <c r="B48" i="6"/>
  <c r="A48" i="6"/>
  <c r="G47" i="6"/>
  <c r="E47" i="6"/>
  <c r="D47" i="6"/>
  <c r="C47" i="6"/>
  <c r="B47" i="6"/>
  <c r="A47" i="6"/>
  <c r="G46" i="6"/>
  <c r="E46" i="6"/>
  <c r="D46" i="6"/>
  <c r="C46" i="6"/>
  <c r="B46" i="6"/>
  <c r="A46" i="6"/>
  <c r="G45" i="6"/>
  <c r="E45" i="6"/>
  <c r="D45" i="6"/>
  <c r="C45" i="6"/>
  <c r="B45" i="6"/>
  <c r="A45" i="6"/>
  <c r="G44" i="6"/>
  <c r="E44" i="6"/>
  <c r="D44" i="6"/>
  <c r="C44" i="6"/>
  <c r="B44" i="6"/>
  <c r="A44" i="6"/>
  <c r="G43" i="6"/>
  <c r="E43" i="6"/>
  <c r="D43" i="6"/>
  <c r="C43" i="6"/>
  <c r="B43" i="6"/>
  <c r="A43" i="6"/>
  <c r="G42" i="6"/>
  <c r="E42" i="6"/>
  <c r="D42" i="6"/>
  <c r="C42" i="6"/>
  <c r="B42" i="6"/>
  <c r="A42" i="6"/>
  <c r="G41" i="6"/>
  <c r="E41" i="6"/>
  <c r="D41" i="6"/>
  <c r="C41" i="6"/>
  <c r="B41" i="6"/>
  <c r="A41" i="6"/>
  <c r="G40" i="6"/>
  <c r="E40" i="6"/>
  <c r="D40" i="6"/>
  <c r="C40" i="6"/>
  <c r="B40" i="6"/>
  <c r="A40" i="6"/>
  <c r="G39" i="6"/>
  <c r="E39" i="6"/>
  <c r="D39" i="6"/>
  <c r="C39" i="6"/>
  <c r="B39" i="6"/>
  <c r="A39" i="6"/>
  <c r="G38" i="6"/>
  <c r="E38" i="6"/>
  <c r="D38" i="6"/>
  <c r="C38" i="6"/>
  <c r="B38" i="6"/>
  <c r="A38" i="6"/>
  <c r="G37" i="6"/>
  <c r="E37" i="6"/>
  <c r="D37" i="6"/>
  <c r="C37" i="6"/>
  <c r="B37" i="6"/>
  <c r="A37" i="6"/>
  <c r="G36" i="6"/>
  <c r="E36" i="6"/>
  <c r="D36" i="6"/>
  <c r="C36" i="6"/>
  <c r="B36" i="6"/>
  <c r="A36" i="6"/>
  <c r="G35" i="6"/>
  <c r="F35" i="6"/>
  <c r="E35" i="6"/>
  <c r="D35" i="6"/>
  <c r="C35" i="6"/>
  <c r="B35" i="6"/>
  <c r="A35" i="6"/>
  <c r="G34" i="6"/>
  <c r="F34" i="6"/>
  <c r="E34" i="6"/>
  <c r="D34" i="6"/>
  <c r="C34" i="6"/>
  <c r="B34" i="6"/>
  <c r="A34" i="6"/>
  <c r="G33" i="6"/>
  <c r="F33" i="6"/>
  <c r="E33" i="6"/>
  <c r="D33" i="6"/>
  <c r="C33" i="6"/>
  <c r="B33" i="6"/>
  <c r="A33" i="6"/>
  <c r="G32" i="6"/>
  <c r="F32" i="6"/>
  <c r="E32" i="6"/>
  <c r="D32" i="6"/>
  <c r="C32" i="6"/>
  <c r="B32" i="6"/>
  <c r="A32" i="6"/>
  <c r="G31" i="6"/>
  <c r="F31" i="6"/>
  <c r="E31" i="6"/>
  <c r="D31" i="6"/>
  <c r="C31" i="6"/>
  <c r="B31" i="6"/>
  <c r="A31" i="6"/>
  <c r="G30" i="6"/>
  <c r="F30" i="6"/>
  <c r="E30" i="6"/>
  <c r="D30" i="6"/>
  <c r="C30" i="6"/>
  <c r="B30" i="6"/>
  <c r="A30" i="6"/>
  <c r="G29" i="6"/>
  <c r="F29" i="6"/>
  <c r="E29" i="6"/>
  <c r="D29" i="6"/>
  <c r="C29" i="6"/>
  <c r="B29" i="6"/>
  <c r="A29" i="6"/>
  <c r="G28" i="6"/>
  <c r="F28" i="6"/>
  <c r="E28" i="6"/>
  <c r="D28" i="6"/>
  <c r="C28" i="6"/>
  <c r="B28" i="6"/>
  <c r="A28" i="6"/>
  <c r="G27" i="6"/>
  <c r="F27" i="6"/>
  <c r="E27" i="6"/>
  <c r="D27" i="6"/>
  <c r="C27" i="6"/>
  <c r="B27" i="6"/>
  <c r="A27" i="6"/>
  <c r="G26" i="6"/>
  <c r="F26" i="6"/>
  <c r="E26" i="6"/>
  <c r="D26" i="6"/>
  <c r="C26" i="6"/>
  <c r="B26" i="6"/>
  <c r="A26" i="6"/>
  <c r="G25" i="6"/>
  <c r="F25" i="6"/>
  <c r="E25" i="6"/>
  <c r="D25" i="6"/>
  <c r="C25" i="6"/>
  <c r="B25" i="6"/>
  <c r="A25" i="6"/>
  <c r="G24" i="6"/>
  <c r="F24" i="6"/>
  <c r="E24" i="6"/>
  <c r="D24" i="6"/>
  <c r="C24" i="6"/>
  <c r="B24" i="6"/>
  <c r="A24" i="6"/>
  <c r="G23" i="6"/>
  <c r="E23" i="6"/>
  <c r="D23" i="6"/>
  <c r="C23" i="6"/>
  <c r="B23" i="6"/>
  <c r="A23" i="6"/>
  <c r="G22" i="6"/>
  <c r="F22" i="6"/>
  <c r="E22" i="6"/>
  <c r="D22" i="6"/>
  <c r="C22" i="6"/>
  <c r="B22" i="6"/>
  <c r="A22" i="6"/>
  <c r="G21" i="6"/>
  <c r="E21" i="6"/>
  <c r="D21" i="6"/>
  <c r="C21" i="6"/>
  <c r="B21" i="6"/>
  <c r="A21" i="6"/>
  <c r="G20" i="6"/>
  <c r="F20" i="6"/>
  <c r="E20" i="6"/>
  <c r="D20" i="6"/>
  <c r="C20" i="6"/>
  <c r="B20" i="6"/>
  <c r="A20" i="6"/>
  <c r="G19" i="6"/>
  <c r="F19" i="6"/>
  <c r="E19" i="6"/>
  <c r="D19" i="6"/>
  <c r="C19" i="6"/>
  <c r="B19" i="6"/>
  <c r="A19" i="6"/>
  <c r="G18" i="6"/>
  <c r="F18" i="6"/>
  <c r="E18" i="6"/>
  <c r="D18" i="6"/>
  <c r="C18" i="6"/>
  <c r="B18" i="6"/>
  <c r="A18" i="6"/>
  <c r="G17" i="6"/>
  <c r="F17" i="6"/>
  <c r="E17" i="6"/>
  <c r="D17" i="6"/>
  <c r="C17" i="6"/>
  <c r="B17" i="6"/>
  <c r="A17" i="6"/>
  <c r="G16" i="6"/>
  <c r="F16" i="6"/>
  <c r="E16" i="6"/>
  <c r="D16" i="6"/>
  <c r="C16" i="6"/>
  <c r="B16" i="6"/>
  <c r="A16" i="6"/>
  <c r="G15" i="6"/>
  <c r="F15" i="6"/>
  <c r="E15" i="6"/>
  <c r="D15" i="6"/>
  <c r="C15" i="6"/>
  <c r="B15" i="6"/>
  <c r="A15" i="6"/>
  <c r="G14" i="6"/>
  <c r="F14" i="6"/>
  <c r="E14" i="6"/>
  <c r="D14" i="6"/>
  <c r="C14" i="6"/>
  <c r="B14" i="6"/>
  <c r="A14" i="6"/>
  <c r="G13" i="6"/>
  <c r="F13" i="6"/>
  <c r="E13" i="6"/>
  <c r="D13" i="6"/>
  <c r="C13" i="6"/>
  <c r="B13" i="6"/>
  <c r="A13" i="6"/>
  <c r="G12" i="6"/>
  <c r="F12" i="6"/>
  <c r="E12" i="6"/>
  <c r="D12" i="6"/>
  <c r="C12" i="6"/>
  <c r="B12" i="6"/>
  <c r="A12" i="6"/>
  <c r="G11" i="6"/>
  <c r="F11" i="6"/>
  <c r="E11" i="6"/>
  <c r="D11" i="6"/>
  <c r="C11" i="6"/>
  <c r="B11" i="6"/>
  <c r="A11" i="6"/>
  <c r="G10" i="6"/>
  <c r="F10" i="6"/>
  <c r="E10" i="6"/>
  <c r="D10" i="6"/>
  <c r="C10" i="6"/>
  <c r="B10" i="6"/>
  <c r="A10" i="6"/>
  <c r="G9" i="6"/>
  <c r="F9" i="6"/>
  <c r="E9" i="6"/>
  <c r="D9" i="6"/>
  <c r="C9" i="6"/>
  <c r="B9" i="6"/>
  <c r="A9" i="6"/>
  <c r="G8" i="6"/>
  <c r="F8" i="6"/>
  <c r="E8" i="6"/>
  <c r="D8" i="6"/>
  <c r="C8" i="6"/>
  <c r="B8" i="6"/>
  <c r="A8" i="6"/>
  <c r="G7" i="6"/>
  <c r="F7" i="6"/>
  <c r="E7" i="6"/>
  <c r="D7" i="6"/>
  <c r="C7" i="6"/>
  <c r="B7" i="6"/>
  <c r="A7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G4" i="6"/>
  <c r="F4" i="6"/>
  <c r="E4" i="6"/>
  <c r="D4" i="6"/>
  <c r="C4" i="6"/>
  <c r="B4" i="6"/>
  <c r="A4" i="6"/>
  <c r="I3" i="6"/>
  <c r="H3" i="6"/>
  <c r="G3" i="6"/>
  <c r="F3" i="6"/>
  <c r="E3" i="6"/>
  <c r="D3" i="6"/>
  <c r="C3" i="6"/>
  <c r="B3" i="6"/>
  <c r="A3" i="6"/>
  <c r="I2" i="6"/>
  <c r="H2" i="6"/>
  <c r="G2" i="6"/>
  <c r="F2" i="6"/>
  <c r="E2" i="6"/>
  <c r="C2" i="6"/>
  <c r="B2" i="6"/>
  <c r="A2" i="6"/>
  <c r="I1" i="6"/>
  <c r="H1" i="6"/>
  <c r="G1" i="6"/>
  <c r="F1" i="6"/>
  <c r="E1" i="6"/>
  <c r="D1" i="6"/>
  <c r="C1" i="6"/>
  <c r="B1" i="6"/>
  <c r="A1" i="6"/>
  <c r="C257" i="5"/>
  <c r="B257" i="5"/>
  <c r="A257" i="5"/>
  <c r="C256" i="5"/>
  <c r="B256" i="5"/>
  <c r="A256" i="5"/>
  <c r="C255" i="5"/>
  <c r="B255" i="5"/>
  <c r="A255" i="5"/>
  <c r="C254" i="5"/>
  <c r="B254" i="5"/>
  <c r="A254" i="5"/>
  <c r="C253" i="5"/>
  <c r="B253" i="5"/>
  <c r="A253" i="5"/>
  <c r="C252" i="5"/>
  <c r="B252" i="5"/>
  <c r="A252" i="5"/>
  <c r="C251" i="5"/>
  <c r="B251" i="5"/>
  <c r="A251" i="5"/>
  <c r="C250" i="5"/>
  <c r="B250" i="5"/>
  <c r="A250" i="5"/>
  <c r="C249" i="5"/>
  <c r="B249" i="5"/>
  <c r="A249" i="5"/>
  <c r="C248" i="5"/>
  <c r="B248" i="5"/>
  <c r="A248" i="5"/>
  <c r="C247" i="5"/>
  <c r="B247" i="5"/>
  <c r="A247" i="5"/>
  <c r="C246" i="5"/>
  <c r="B246" i="5"/>
  <c r="A246" i="5"/>
  <c r="C245" i="5"/>
  <c r="B245" i="5"/>
  <c r="A245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D1" i="5"/>
  <c r="C1" i="5"/>
  <c r="B1" i="5"/>
  <c r="A1" i="5"/>
  <c r="K16" i="4"/>
  <c r="J16" i="4"/>
  <c r="I16" i="4"/>
  <c r="H16" i="4"/>
  <c r="F16" i="4"/>
  <c r="E16" i="4"/>
  <c r="D16" i="4"/>
  <c r="C16" i="4"/>
  <c r="B16" i="4"/>
  <c r="A16" i="4"/>
  <c r="K15" i="4"/>
  <c r="J15" i="4"/>
  <c r="I15" i="4"/>
  <c r="H15" i="4"/>
  <c r="F15" i="4"/>
  <c r="E15" i="4"/>
  <c r="D15" i="4"/>
  <c r="C15" i="4"/>
  <c r="B15" i="4"/>
  <c r="A15" i="4"/>
  <c r="K14" i="4"/>
  <c r="J14" i="4"/>
  <c r="I14" i="4"/>
  <c r="H14" i="4"/>
  <c r="F14" i="4"/>
  <c r="E14" i="4"/>
  <c r="D14" i="4"/>
  <c r="C14" i="4"/>
  <c r="B14" i="4"/>
  <c r="A14" i="4"/>
  <c r="K13" i="4"/>
  <c r="J13" i="4"/>
  <c r="I13" i="4"/>
  <c r="H13" i="4"/>
  <c r="F13" i="4"/>
  <c r="E13" i="4"/>
  <c r="D13" i="4"/>
  <c r="C13" i="4"/>
  <c r="B13" i="4"/>
  <c r="A13" i="4"/>
  <c r="K12" i="4"/>
  <c r="J12" i="4"/>
  <c r="I12" i="4"/>
  <c r="H12" i="4"/>
  <c r="F12" i="4"/>
  <c r="E12" i="4"/>
  <c r="D12" i="4"/>
  <c r="C12" i="4"/>
  <c r="B12" i="4"/>
  <c r="A12" i="4"/>
  <c r="K11" i="4"/>
  <c r="J11" i="4"/>
  <c r="I11" i="4"/>
  <c r="H11" i="4"/>
  <c r="F11" i="4"/>
  <c r="E11" i="4"/>
  <c r="D11" i="4"/>
  <c r="C11" i="4"/>
  <c r="B11" i="4"/>
  <c r="A11" i="4"/>
  <c r="K10" i="4"/>
  <c r="J10" i="4"/>
  <c r="I10" i="4"/>
  <c r="H10" i="4"/>
  <c r="F10" i="4"/>
  <c r="E10" i="4"/>
  <c r="D10" i="4"/>
  <c r="C10" i="4"/>
  <c r="B10" i="4"/>
  <c r="A10" i="4"/>
  <c r="K9" i="4"/>
  <c r="J9" i="4"/>
  <c r="I9" i="4"/>
  <c r="H9" i="4"/>
  <c r="F9" i="4"/>
  <c r="E9" i="4"/>
  <c r="C9" i="4"/>
  <c r="B9" i="4"/>
  <c r="A9" i="4"/>
  <c r="K8" i="4"/>
  <c r="J8" i="4"/>
  <c r="I8" i="4"/>
  <c r="H8" i="4"/>
  <c r="F8" i="4"/>
  <c r="E8" i="4"/>
  <c r="D8" i="4"/>
  <c r="C8" i="4"/>
  <c r="B8" i="4"/>
  <c r="A8" i="4"/>
  <c r="K7" i="4"/>
  <c r="J7" i="4"/>
  <c r="I7" i="4"/>
  <c r="H7" i="4"/>
  <c r="F7" i="4"/>
  <c r="E7" i="4"/>
  <c r="D7" i="4"/>
  <c r="C7" i="4"/>
  <c r="B7" i="4"/>
  <c r="A7" i="4"/>
  <c r="K6" i="4"/>
  <c r="J6" i="4"/>
  <c r="I6" i="4"/>
  <c r="H6" i="4"/>
  <c r="F6" i="4"/>
  <c r="E6" i="4"/>
  <c r="D6" i="4"/>
  <c r="C6" i="4"/>
  <c r="B6" i="4"/>
  <c r="A6" i="4"/>
  <c r="K5" i="4"/>
  <c r="J5" i="4"/>
  <c r="I5" i="4"/>
  <c r="H5" i="4"/>
  <c r="F5" i="4"/>
  <c r="E5" i="4"/>
  <c r="D5" i="4"/>
  <c r="C5" i="4"/>
  <c r="B5" i="4"/>
  <c r="A5" i="4"/>
  <c r="K4" i="4"/>
  <c r="J4" i="4"/>
  <c r="I4" i="4"/>
  <c r="H4" i="4"/>
  <c r="F4" i="4"/>
  <c r="E4" i="4"/>
  <c r="D4" i="4"/>
  <c r="C4" i="4"/>
  <c r="B4" i="4"/>
  <c r="A4" i="4"/>
  <c r="K3" i="4"/>
  <c r="J3" i="4"/>
  <c r="I3" i="4"/>
  <c r="H3" i="4"/>
  <c r="F3" i="4"/>
  <c r="E3" i="4"/>
  <c r="D3" i="4"/>
  <c r="C3" i="4"/>
  <c r="B3" i="4"/>
  <c r="A3" i="4"/>
  <c r="K2" i="4"/>
  <c r="J2" i="4"/>
  <c r="I2" i="4"/>
  <c r="H2" i="4"/>
  <c r="G2" i="4"/>
  <c r="F2" i="4"/>
  <c r="E2" i="4"/>
  <c r="D2" i="4"/>
  <c r="C2" i="4"/>
  <c r="B2" i="4"/>
  <c r="A2" i="4"/>
  <c r="F61" i="5" l="1"/>
  <c r="F82" i="5"/>
  <c r="F31" i="5"/>
  <c r="F95" i="5"/>
  <c r="F3" i="5"/>
  <c r="F23" i="5"/>
  <c r="F63" i="5"/>
  <c r="F79" i="5"/>
  <c r="F60" i="5"/>
  <c r="F80" i="5"/>
  <c r="F40" i="5"/>
  <c r="F5" i="5"/>
  <c r="F25" i="5"/>
  <c r="F91" i="5"/>
  <c r="F9" i="5"/>
  <c r="F99" i="5"/>
  <c r="F127" i="5"/>
  <c r="F139" i="5"/>
  <c r="F163" i="5"/>
  <c r="F13" i="5"/>
  <c r="F53" i="5"/>
  <c r="F12" i="5"/>
  <c r="F106" i="5"/>
  <c r="F130" i="5"/>
  <c r="F71" i="5"/>
  <c r="F32" i="5"/>
  <c r="F52" i="5"/>
  <c r="F21" i="5"/>
  <c r="F2" i="5"/>
  <c r="F29" i="5"/>
  <c r="F49" i="5"/>
  <c r="J2" i="2" a="1"/>
  <c r="J205" i="2" s="1"/>
  <c r="F36" i="5"/>
  <c r="F105" i="5"/>
  <c r="F56" i="5"/>
  <c r="F6" i="5"/>
  <c r="F10" i="5"/>
  <c r="F120" i="5"/>
  <c r="F136" i="5"/>
  <c r="F22" i="5"/>
  <c r="F50" i="5"/>
  <c r="F7" i="5"/>
  <c r="F11" i="5"/>
  <c r="F109" i="5"/>
  <c r="F129" i="5"/>
  <c r="F137" i="5"/>
  <c r="F155" i="5"/>
  <c r="F81" i="5"/>
  <c r="F39" i="5"/>
  <c r="F43" i="5"/>
  <c r="F113" i="5"/>
  <c r="F70" i="5"/>
  <c r="F46" i="5"/>
  <c r="F85" i="5"/>
  <c r="F159" i="5"/>
  <c r="F92" i="5"/>
  <c r="F145" i="5"/>
  <c r="F112" i="5"/>
  <c r="F19" i="5"/>
  <c r="F123" i="5"/>
  <c r="F15" i="5"/>
  <c r="F35" i="5"/>
  <c r="F42" i="5"/>
  <c r="F116" i="5"/>
  <c r="F152" i="5"/>
  <c r="F156" i="5"/>
  <c r="F149" i="5"/>
  <c r="F16" i="5"/>
  <c r="F102" i="5"/>
  <c r="F26" i="5"/>
  <c r="F93" i="5"/>
  <c r="F72" i="5"/>
  <c r="F30" i="5"/>
  <c r="F67" i="5"/>
  <c r="F131" i="5"/>
  <c r="F143" i="5"/>
  <c r="F86" i="5"/>
  <c r="F90" i="5"/>
  <c r="F162" i="5"/>
  <c r="J2" i="3" a="1"/>
  <c r="F69" i="5"/>
  <c r="F73" i="5"/>
  <c r="F57" i="5"/>
  <c r="F141" i="5"/>
  <c r="F77" i="5"/>
  <c r="F160" i="5"/>
  <c r="F132" i="5"/>
  <c r="F110" i="5"/>
  <c r="F51" i="5"/>
  <c r="F66" i="5"/>
  <c r="F126" i="5"/>
  <c r="F33" i="5"/>
  <c r="F142" i="5"/>
  <c r="F89" i="5"/>
  <c r="F146" i="5"/>
  <c r="F119" i="5"/>
  <c r="F150" i="5"/>
  <c r="F115" i="5"/>
  <c r="F140" i="5"/>
  <c r="F59" i="5"/>
  <c r="F87" i="5"/>
  <c r="F101" i="5"/>
  <c r="F133" i="5"/>
  <c r="F151" i="5"/>
  <c r="F17" i="5"/>
  <c r="F45" i="5"/>
  <c r="F148" i="5"/>
  <c r="F158" i="5"/>
  <c r="F138" i="5"/>
  <c r="F128" i="5"/>
  <c r="F118" i="5"/>
  <c r="F108" i="5"/>
  <c r="F98" i="5"/>
  <c r="F88" i="5"/>
  <c r="F78" i="5"/>
  <c r="F68" i="5"/>
  <c r="F58" i="5"/>
  <c r="F48" i="5"/>
  <c r="F38" i="5"/>
  <c r="F28" i="5"/>
  <c r="F18" i="5"/>
  <c r="F8" i="5"/>
  <c r="F164" i="5"/>
  <c r="F154" i="5"/>
  <c r="F144" i="5"/>
  <c r="F134" i="5"/>
  <c r="F124" i="5"/>
  <c r="F114" i="5"/>
  <c r="F104" i="5"/>
  <c r="F94" i="5"/>
  <c r="F84" i="5"/>
  <c r="F74" i="5"/>
  <c r="F64" i="5"/>
  <c r="F54" i="5"/>
  <c r="F44" i="5"/>
  <c r="F34" i="5"/>
  <c r="F24" i="5"/>
  <c r="F14" i="5"/>
  <c r="F4" i="5"/>
  <c r="F117" i="5"/>
  <c r="F135" i="5"/>
  <c r="F47" i="5"/>
  <c r="F75" i="5"/>
  <c r="F96" i="5"/>
  <c r="F103" i="5"/>
  <c r="F121" i="5"/>
  <c r="F153" i="5"/>
  <c r="F107" i="5"/>
  <c r="F37" i="5"/>
  <c r="F125" i="5"/>
  <c r="F111" i="5"/>
  <c r="F161" i="5"/>
  <c r="F157" i="5"/>
  <c r="F65" i="5"/>
  <c r="F97" i="5"/>
  <c r="F100" i="5"/>
  <c r="F20" i="5"/>
  <c r="F27" i="5"/>
  <c r="F41" i="5"/>
  <c r="F55" i="5"/>
  <c r="F62" i="5"/>
  <c r="F76" i="5"/>
  <c r="F83" i="5"/>
  <c r="F122" i="5"/>
  <c r="F147" i="5"/>
  <c r="J215" i="2" l="1"/>
  <c r="J251" i="2"/>
  <c r="J261" i="2"/>
  <c r="J40" i="2"/>
  <c r="J58" i="2"/>
  <c r="J126" i="2"/>
  <c r="J147" i="2"/>
  <c r="J105" i="2"/>
  <c r="J219" i="2"/>
  <c r="J152" i="2"/>
  <c r="J155" i="2"/>
  <c r="J229" i="2"/>
  <c r="J262" i="2"/>
  <c r="J294" i="2"/>
  <c r="J284" i="2"/>
  <c r="J301" i="2"/>
  <c r="J314" i="2"/>
  <c r="J283" i="2"/>
  <c r="J51" i="2"/>
  <c r="J185" i="2"/>
  <c r="J84" i="2"/>
  <c r="J188" i="2"/>
  <c r="J178" i="2"/>
  <c r="J96" i="2"/>
  <c r="J208" i="2"/>
  <c r="J172" i="2"/>
  <c r="J233" i="2"/>
  <c r="J280" i="2"/>
  <c r="J127" i="2"/>
  <c r="J145" i="2"/>
  <c r="J253" i="2"/>
  <c r="J274" i="2"/>
  <c r="J85" i="2"/>
  <c r="J122" i="2"/>
  <c r="J123" i="2"/>
  <c r="J326" i="2"/>
  <c r="J158" i="2"/>
  <c r="J245" i="2"/>
  <c r="J176" i="2"/>
  <c r="J16" i="2"/>
  <c r="J191" i="2"/>
  <c r="J248" i="2"/>
  <c r="J163" i="2"/>
  <c r="J318" i="2"/>
  <c r="J70" i="2"/>
  <c r="J249" i="2"/>
  <c r="J269" i="2"/>
  <c r="J240" i="2"/>
  <c r="J71" i="2"/>
  <c r="J38" i="2"/>
  <c r="J297" i="2"/>
  <c r="J181" i="2"/>
  <c r="J295" i="2"/>
  <c r="J101" i="2"/>
  <c r="J20" i="2"/>
  <c r="J59" i="2"/>
  <c r="J250" i="2"/>
  <c r="J337" i="2"/>
  <c r="J119" i="2"/>
  <c r="J327" i="2"/>
  <c r="J289" i="2"/>
  <c r="J13" i="2"/>
  <c r="J74" i="2"/>
  <c r="J239" i="2"/>
  <c r="J161" i="2"/>
  <c r="J264" i="2"/>
  <c r="J117" i="2"/>
  <c r="J293" i="2"/>
  <c r="J202" i="2"/>
  <c r="J207" i="2"/>
  <c r="J252" i="2"/>
  <c r="J317" i="2"/>
  <c r="J272" i="2"/>
  <c r="J129" i="2"/>
  <c r="J136" i="2"/>
  <c r="J226" i="2"/>
  <c r="J278" i="2"/>
  <c r="J42" i="2"/>
  <c r="J164" i="2"/>
  <c r="J106" i="2"/>
  <c r="J98" i="2"/>
  <c r="J241" i="2"/>
  <c r="J4" i="2"/>
  <c r="J2" i="2"/>
  <c r="J305" i="2"/>
  <c r="J323" i="2"/>
  <c r="J165" i="2"/>
  <c r="J258" i="2"/>
  <c r="J218" i="2"/>
  <c r="J210" i="2"/>
  <c r="J83" i="2"/>
  <c r="J17" i="2"/>
  <c r="J8" i="2"/>
  <c r="J33" i="2"/>
  <c r="J23" i="2"/>
  <c r="J260" i="2"/>
  <c r="J277" i="2"/>
  <c r="J285" i="2"/>
  <c r="J244" i="2"/>
  <c r="J24" i="2"/>
  <c r="J298" i="2"/>
  <c r="J121" i="2"/>
  <c r="J65" i="2"/>
  <c r="J73" i="2"/>
  <c r="J138" i="2"/>
  <c r="J124" i="2"/>
  <c r="J95" i="2"/>
  <c r="J36" i="2"/>
  <c r="J9" i="2"/>
  <c r="J225" i="2"/>
  <c r="J140" i="2"/>
  <c r="J156" i="2"/>
  <c r="J162" i="2"/>
  <c r="J39" i="2"/>
  <c r="J90" i="2"/>
  <c r="J224" i="2"/>
  <c r="J68" i="2"/>
  <c r="J32" i="2"/>
  <c r="J93" i="2"/>
  <c r="J154" i="2"/>
  <c r="J64" i="2"/>
  <c r="J167" i="2"/>
  <c r="J192" i="2"/>
  <c r="J56" i="2"/>
  <c r="J209" i="2"/>
  <c r="J47" i="2"/>
  <c r="J63" i="2"/>
  <c r="J338" i="2"/>
  <c r="J187" i="2"/>
  <c r="J334" i="2"/>
  <c r="J235" i="2"/>
  <c r="J211" i="2"/>
  <c r="J190" i="2"/>
  <c r="J313" i="2"/>
  <c r="J130" i="2"/>
  <c r="J238" i="2"/>
  <c r="J286" i="2"/>
  <c r="J231" i="2"/>
  <c r="J169" i="2"/>
  <c r="J227" i="2"/>
  <c r="J288" i="2"/>
  <c r="J204" i="2"/>
  <c r="J57" i="2"/>
  <c r="J44" i="2"/>
  <c r="J330" i="2"/>
  <c r="J184" i="2"/>
  <c r="J221" i="2"/>
  <c r="J197" i="2"/>
  <c r="J18" i="2"/>
  <c r="J203" i="2"/>
  <c r="J206" i="2"/>
  <c r="J77" i="2"/>
  <c r="J296" i="2"/>
  <c r="J316" i="2"/>
  <c r="J222" i="2"/>
  <c r="J292" i="2"/>
  <c r="J99" i="2"/>
  <c r="J257" i="2"/>
  <c r="J175" i="2"/>
  <c r="J263" i="2"/>
  <c r="J7" i="2"/>
  <c r="J336" i="2"/>
  <c r="J279" i="2"/>
  <c r="J66" i="2"/>
  <c r="J34" i="2"/>
  <c r="J307" i="2"/>
  <c r="J62" i="2"/>
  <c r="J236" i="2"/>
  <c r="J324" i="2"/>
  <c r="J10" i="2"/>
  <c r="J37" i="2"/>
  <c r="J82" i="2"/>
  <c r="J109" i="2"/>
  <c r="J41" i="2"/>
  <c r="J171" i="2"/>
  <c r="J28" i="2"/>
  <c r="J114" i="2"/>
  <c r="J61" i="2"/>
  <c r="J86" i="2"/>
  <c r="J290" i="2"/>
  <c r="J79" i="2"/>
  <c r="J331" i="2"/>
  <c r="J137" i="2"/>
  <c r="J335" i="2"/>
  <c r="J199" i="2"/>
  <c r="J48" i="2"/>
  <c r="J12" i="2"/>
  <c r="J134" i="2"/>
  <c r="J29" i="2"/>
  <c r="J3" i="2"/>
  <c r="J200" i="2"/>
  <c r="J125" i="2"/>
  <c r="J256" i="2"/>
  <c r="J45" i="2"/>
  <c r="J80" i="2"/>
  <c r="J340" i="2"/>
  <c r="J186" i="2"/>
  <c r="J189" i="2"/>
  <c r="J87" i="2"/>
  <c r="J118" i="2"/>
  <c r="J255" i="2"/>
  <c r="J88" i="2"/>
  <c r="J52" i="2"/>
  <c r="J113" i="2"/>
  <c r="J174" i="2"/>
  <c r="J159" i="2"/>
  <c r="J115" i="2"/>
  <c r="J142" i="2"/>
  <c r="J232" i="2"/>
  <c r="J270" i="2"/>
  <c r="J6" i="2"/>
  <c r="J151" i="2"/>
  <c r="J303" i="2"/>
  <c r="J333" i="2"/>
  <c r="J308" i="2"/>
  <c r="J160" i="2"/>
  <c r="J328" i="2"/>
  <c r="J312" i="2"/>
  <c r="J139" i="2"/>
  <c r="J275" i="2"/>
  <c r="J201" i="2"/>
  <c r="J103" i="2"/>
  <c r="J78" i="2"/>
  <c r="J19" i="2"/>
  <c r="J46" i="2"/>
  <c r="J230" i="2"/>
  <c r="J217" i="2"/>
  <c r="J141" i="2"/>
  <c r="J143" i="2"/>
  <c r="J281" i="2"/>
  <c r="J108" i="2"/>
  <c r="J72" i="2"/>
  <c r="J133" i="2"/>
  <c r="J194" i="2"/>
  <c r="J282" i="2"/>
  <c r="J14" i="2"/>
  <c r="J329" i="2"/>
  <c r="J27" i="2"/>
  <c r="J321" i="2"/>
  <c r="J75" i="2"/>
  <c r="J67" i="2"/>
  <c r="J237" i="2"/>
  <c r="J5" i="2"/>
  <c r="J110" i="2"/>
  <c r="J49" i="2"/>
  <c r="J111" i="2"/>
  <c r="J265" i="2"/>
  <c r="J242" i="2"/>
  <c r="J196" i="2"/>
  <c r="J170" i="2"/>
  <c r="J310" i="2"/>
  <c r="J128" i="2"/>
  <c r="J92" i="2"/>
  <c r="J153" i="2"/>
  <c r="J214" i="2"/>
  <c r="J166" i="2"/>
  <c r="J247" i="2"/>
  <c r="J320" i="2"/>
  <c r="J276" i="2"/>
  <c r="J287" i="2"/>
  <c r="J177" i="2"/>
  <c r="J146" i="2"/>
  <c r="J302" i="2"/>
  <c r="J35" i="2"/>
  <c r="J89" i="2"/>
  <c r="J91" i="2"/>
  <c r="J54" i="2"/>
  <c r="J100" i="2"/>
  <c r="J97" i="2"/>
  <c r="J53" i="2"/>
  <c r="J22" i="2"/>
  <c r="J243" i="2"/>
  <c r="J319" i="2"/>
  <c r="J43" i="2"/>
  <c r="J149" i="2"/>
  <c r="J81" i="2"/>
  <c r="J150" i="2"/>
  <c r="J315" i="2"/>
  <c r="J271" i="2"/>
  <c r="J246" i="2"/>
  <c r="J198" i="2"/>
  <c r="J339" i="2"/>
  <c r="J148" i="2"/>
  <c r="J112" i="2"/>
  <c r="J173" i="2"/>
  <c r="J234" i="2"/>
  <c r="J180" i="2"/>
  <c r="J299" i="2"/>
  <c r="J11" i="2"/>
  <c r="J15" i="2"/>
  <c r="J306" i="2"/>
  <c r="J228" i="2"/>
  <c r="J273" i="2"/>
  <c r="J216" i="2"/>
  <c r="J157" i="2"/>
  <c r="J212" i="2"/>
  <c r="J259" i="2"/>
  <c r="J311" i="2"/>
  <c r="J116" i="2"/>
  <c r="J195" i="2"/>
  <c r="J268" i="2"/>
  <c r="J30" i="2"/>
  <c r="J131" i="2"/>
  <c r="J31" i="2"/>
  <c r="J266" i="2"/>
  <c r="J213" i="2"/>
  <c r="J267" i="2"/>
  <c r="J325" i="2"/>
  <c r="J102" i="2"/>
  <c r="J291" i="2"/>
  <c r="J332" i="2"/>
  <c r="J322" i="2"/>
  <c r="J104" i="2"/>
  <c r="J179" i="2"/>
  <c r="J50" i="2"/>
  <c r="J220" i="2"/>
  <c r="J144" i="2"/>
  <c r="J309" i="2"/>
  <c r="J94" i="2"/>
  <c r="J135" i="2"/>
  <c r="J26" i="2"/>
  <c r="J60" i="2"/>
  <c r="J55" i="2"/>
  <c r="J69" i="2"/>
  <c r="J25" i="2"/>
  <c r="J76" i="2"/>
  <c r="J182" i="2"/>
  <c r="J120" i="2"/>
  <c r="J183" i="2"/>
  <c r="J21" i="2"/>
  <c r="J300" i="2"/>
  <c r="J304" i="2"/>
  <c r="J223" i="2"/>
  <c r="J107" i="2"/>
  <c r="J168" i="2"/>
  <c r="J132" i="2"/>
  <c r="J193" i="2"/>
  <c r="J254" i="2"/>
  <c r="J14" i="3"/>
  <c r="J13" i="3"/>
  <c r="J12" i="3"/>
  <c r="J9" i="3"/>
  <c r="J28" i="3"/>
  <c r="J8" i="3"/>
  <c r="J27" i="3"/>
  <c r="J7" i="3"/>
  <c r="J2" i="3"/>
  <c r="J26" i="3"/>
  <c r="J25" i="3"/>
  <c r="J23" i="3"/>
  <c r="J24" i="3"/>
  <c r="J20" i="3"/>
  <c r="J4" i="3"/>
  <c r="J22" i="3"/>
  <c r="J19" i="3"/>
  <c r="J18" i="3"/>
  <c r="J21" i="3"/>
  <c r="J10" i="3"/>
  <c r="J3" i="3"/>
  <c r="J17" i="3"/>
  <c r="J16" i="3"/>
  <c r="J15" i="3"/>
  <c r="J11" i="3"/>
  <c r="J6" i="3"/>
  <c r="J5" i="3"/>
  <c r="K2" i="2" l="1" a="1"/>
  <c r="K2" i="3" a="1"/>
  <c r="K294" i="2" l="1"/>
  <c r="K253" i="2"/>
  <c r="K172" i="2"/>
  <c r="K109" i="2"/>
  <c r="K48" i="2"/>
  <c r="K315" i="2"/>
  <c r="K166" i="2"/>
  <c r="K138" i="2"/>
  <c r="K302" i="2"/>
  <c r="K60" i="2"/>
  <c r="K182" i="2"/>
  <c r="K183" i="2"/>
  <c r="K95" i="2"/>
  <c r="K171" i="2"/>
  <c r="K78" i="2"/>
  <c r="K323" i="2"/>
  <c r="K70" i="2"/>
  <c r="K274" i="2"/>
  <c r="K233" i="2"/>
  <c r="K152" i="2"/>
  <c r="K89" i="2"/>
  <c r="K28" i="2"/>
  <c r="K283" i="2"/>
  <c r="K140" i="2"/>
  <c r="K80" i="2"/>
  <c r="K276" i="2"/>
  <c r="K31" i="2"/>
  <c r="K142" i="2"/>
  <c r="K143" i="2"/>
  <c r="K43" i="2"/>
  <c r="K246" i="2"/>
  <c r="K325" i="2"/>
  <c r="K278" i="2"/>
  <c r="K291" i="2"/>
  <c r="K193" i="2"/>
  <c r="K225" i="2"/>
  <c r="K305" i="2"/>
  <c r="K277" i="2"/>
  <c r="K58" i="2"/>
  <c r="K40" i="2"/>
  <c r="K215" i="2"/>
  <c r="K30" i="2"/>
  <c r="K214" i="2"/>
  <c r="K173" i="2"/>
  <c r="K29" i="2"/>
  <c r="K307" i="2"/>
  <c r="K56" i="2"/>
  <c r="K186" i="2"/>
  <c r="K317" i="2"/>
  <c r="K264" i="2"/>
  <c r="K38" i="2"/>
  <c r="K243" i="2"/>
  <c r="K310" i="2"/>
  <c r="K181" i="2"/>
  <c r="K290" i="2"/>
  <c r="K35" i="2"/>
  <c r="K32" i="2"/>
  <c r="K281" i="2"/>
  <c r="K100" i="2"/>
  <c r="K241" i="2"/>
  <c r="K330" i="2"/>
  <c r="K73" i="2"/>
  <c r="K12" i="2"/>
  <c r="K83" i="2"/>
  <c r="K76" i="2"/>
  <c r="K5" i="2"/>
  <c r="K324" i="2"/>
  <c r="K53" i="2"/>
  <c r="K15" i="2"/>
  <c r="K284" i="2"/>
  <c r="K94" i="2"/>
  <c r="K33" i="2"/>
  <c r="K309" i="2"/>
  <c r="K248" i="2"/>
  <c r="K187" i="2"/>
  <c r="K165" i="2"/>
  <c r="K223" i="2"/>
  <c r="K18" i="2"/>
  <c r="K321" i="2"/>
  <c r="K262" i="2"/>
  <c r="K116" i="2"/>
  <c r="K84" i="2"/>
  <c r="K289" i="2"/>
  <c r="K318" i="2"/>
  <c r="K303" i="2"/>
  <c r="K211" i="2"/>
  <c r="K54" i="2"/>
  <c r="K269" i="2"/>
  <c r="K208" i="2"/>
  <c r="K147" i="2"/>
  <c r="K163" i="2"/>
  <c r="K110" i="2"/>
  <c r="K306" i="2"/>
  <c r="K236" i="2"/>
  <c r="K77" i="2"/>
  <c r="K20" i="2"/>
  <c r="K121" i="2"/>
  <c r="K158" i="2"/>
  <c r="K188" i="2"/>
  <c r="K297" i="2"/>
  <c r="K296" i="2"/>
  <c r="K14" i="2"/>
  <c r="K254" i="2"/>
  <c r="K213" i="2"/>
  <c r="K132" i="2"/>
  <c r="K69" i="2"/>
  <c r="K8" i="2"/>
  <c r="K257" i="2"/>
  <c r="K111" i="2"/>
  <c r="K22" i="2"/>
  <c r="K244" i="2"/>
  <c r="K322" i="2"/>
  <c r="K97" i="2"/>
  <c r="K98" i="2"/>
  <c r="K4" i="2"/>
  <c r="K263" i="2"/>
  <c r="K104" i="2"/>
  <c r="K238" i="2"/>
  <c r="K245" i="2"/>
  <c r="K234" i="2"/>
  <c r="K112" i="2"/>
  <c r="K49" i="2"/>
  <c r="K327" i="2"/>
  <c r="K82" i="2"/>
  <c r="K218" i="2"/>
  <c r="K46" i="2"/>
  <c r="K304" i="2"/>
  <c r="K190" i="2"/>
  <c r="K92" i="2"/>
  <c r="K199" i="2"/>
  <c r="K250" i="2"/>
  <c r="K237" i="2"/>
  <c r="K10" i="2"/>
  <c r="K258" i="2"/>
  <c r="K150" i="2"/>
  <c r="K141" i="2"/>
  <c r="K6" i="2"/>
  <c r="K62" i="2"/>
  <c r="K154" i="2"/>
  <c r="K308" i="2"/>
  <c r="K247" i="2"/>
  <c r="K115" i="2"/>
  <c r="K105" i="2"/>
  <c r="K102" i="2"/>
  <c r="K136" i="2"/>
  <c r="K130" i="2"/>
  <c r="K161" i="2"/>
  <c r="K16" i="2"/>
  <c r="K227" i="2"/>
  <c r="K61" i="2"/>
  <c r="K201" i="2"/>
  <c r="K114" i="2"/>
  <c r="K329" i="2"/>
  <c r="K268" i="2"/>
  <c r="K207" i="2"/>
  <c r="K197" i="2"/>
  <c r="K44" i="2"/>
  <c r="K45" i="2"/>
  <c r="K42" i="2"/>
  <c r="K156" i="2"/>
  <c r="K117" i="2"/>
  <c r="K259" i="2"/>
  <c r="K74" i="2"/>
  <c r="K279" i="2"/>
  <c r="K81" i="2"/>
  <c r="K299" i="2"/>
  <c r="K65" i="2"/>
  <c r="K332" i="2"/>
  <c r="K286" i="2"/>
  <c r="K151" i="2"/>
  <c r="K312" i="2"/>
  <c r="K196" i="2"/>
  <c r="K178" i="2"/>
  <c r="K157" i="2"/>
  <c r="K168" i="2"/>
  <c r="K194" i="2"/>
  <c r="K153" i="2"/>
  <c r="K72" i="2"/>
  <c r="K9" i="2"/>
  <c r="K287" i="2"/>
  <c r="K170" i="2"/>
  <c r="K24" i="2"/>
  <c r="K195" i="2"/>
  <c r="K160" i="2"/>
  <c r="K185" i="2"/>
  <c r="K266" i="2"/>
  <c r="K319" i="2"/>
  <c r="K219" i="2"/>
  <c r="K326" i="2"/>
  <c r="K210" i="2"/>
  <c r="K101" i="2"/>
  <c r="K204" i="2"/>
  <c r="K52" i="2"/>
  <c r="K137" i="2"/>
  <c r="K146" i="2"/>
  <c r="K179" i="2"/>
  <c r="K21" i="2"/>
  <c r="K203" i="2"/>
  <c r="K339" i="2"/>
  <c r="K239" i="2"/>
  <c r="K162" i="2"/>
  <c r="K260" i="2"/>
  <c r="K174" i="2"/>
  <c r="K113" i="2"/>
  <c r="K328" i="2"/>
  <c r="K267" i="2"/>
  <c r="K131" i="2"/>
  <c r="K122" i="2"/>
  <c r="K93" i="2"/>
  <c r="K226" i="2"/>
  <c r="K134" i="2"/>
  <c r="K288" i="2"/>
  <c r="K255" i="2"/>
  <c r="K96" i="2"/>
  <c r="K91" i="2"/>
  <c r="K85" i="2"/>
  <c r="K57" i="2"/>
  <c r="K216" i="2"/>
  <c r="K261" i="2"/>
  <c r="K25" i="2"/>
  <c r="K3" i="2"/>
  <c r="K71" i="2"/>
  <c r="K13" i="2"/>
  <c r="K228" i="2"/>
  <c r="K167" i="2"/>
  <c r="K139" i="2"/>
  <c r="K275" i="2"/>
  <c r="K298" i="2"/>
  <c r="K191" i="2"/>
  <c r="K336" i="2"/>
  <c r="K217" i="2"/>
  <c r="K34" i="2"/>
  <c r="K249" i="2"/>
  <c r="K127" i="2"/>
  <c r="K50" i="2"/>
  <c r="K55" i="2"/>
  <c r="K184" i="2"/>
  <c r="K36" i="2"/>
  <c r="K285" i="2"/>
  <c r="K103" i="2"/>
  <c r="K292" i="2"/>
  <c r="K333" i="2"/>
  <c r="K68" i="2"/>
  <c r="K51" i="2"/>
  <c r="K320" i="2"/>
  <c r="K301" i="2"/>
  <c r="K133" i="2"/>
  <c r="K107" i="2"/>
  <c r="K337" i="2"/>
  <c r="K271" i="2"/>
  <c r="K63" i="2"/>
  <c r="K313" i="2"/>
  <c r="K87" i="2"/>
  <c r="K235" i="2"/>
  <c r="K17" i="2"/>
  <c r="K293" i="2"/>
  <c r="K67" i="2"/>
  <c r="K79" i="2"/>
  <c r="K177" i="2"/>
  <c r="K47" i="2"/>
  <c r="K331" i="2"/>
  <c r="K316" i="2"/>
  <c r="K39" i="2"/>
  <c r="K272" i="2"/>
  <c r="K231" i="2"/>
  <c r="K123" i="2"/>
  <c r="K252" i="2"/>
  <c r="K220" i="2"/>
  <c r="K180" i="2"/>
  <c r="K135" i="2"/>
  <c r="K192" i="2"/>
  <c r="K242" i="2"/>
  <c r="K86" i="2"/>
  <c r="K119" i="2"/>
  <c r="K99" i="2"/>
  <c r="K125" i="2"/>
  <c r="K11" i="2"/>
  <c r="K240" i="2"/>
  <c r="K230" i="2"/>
  <c r="K64" i="2"/>
  <c r="K273" i="2"/>
  <c r="K27" i="2"/>
  <c r="K7" i="2"/>
  <c r="K206" i="2"/>
  <c r="K176" i="2"/>
  <c r="K144" i="2"/>
  <c r="K282" i="2"/>
  <c r="K90" i="2"/>
  <c r="K145" i="2"/>
  <c r="K175" i="2"/>
  <c r="K200" i="2"/>
  <c r="K164" i="2"/>
  <c r="K106" i="2"/>
  <c r="K221" i="2"/>
  <c r="K124" i="2"/>
  <c r="K209" i="2"/>
  <c r="K198" i="2"/>
  <c r="K120" i="2"/>
  <c r="K149" i="2"/>
  <c r="K280" i="2"/>
  <c r="K148" i="2"/>
  <c r="K128" i="2"/>
  <c r="K300" i="2"/>
  <c r="K314" i="2"/>
  <c r="K37" i="2"/>
  <c r="K265" i="2"/>
  <c r="K202" i="2"/>
  <c r="K340" i="2"/>
  <c r="K26" i="2"/>
  <c r="K311" i="2"/>
  <c r="K118" i="2"/>
  <c r="K256" i="2"/>
  <c r="K224" i="2"/>
  <c r="K205" i="2"/>
  <c r="K23" i="2"/>
  <c r="K251" i="2"/>
  <c r="K75" i="2"/>
  <c r="K334" i="2"/>
  <c r="K88" i="2"/>
  <c r="K232" i="2"/>
  <c r="K212" i="2"/>
  <c r="K295" i="2"/>
  <c r="K126" i="2"/>
  <c r="K229" i="2"/>
  <c r="K41" i="2"/>
  <c r="K189" i="2"/>
  <c r="K169" i="2"/>
  <c r="K338" i="2"/>
  <c r="K129" i="2"/>
  <c r="K335" i="2"/>
  <c r="K222" i="2"/>
  <c r="K159" i="2"/>
  <c r="K2" i="2"/>
  <c r="K59" i="2"/>
  <c r="K66" i="2"/>
  <c r="K270" i="2"/>
  <c r="K155" i="2"/>
  <c r="K108" i="2"/>
  <c r="K19" i="2"/>
  <c r="K26" i="3"/>
  <c r="K6" i="3"/>
  <c r="K25" i="3"/>
  <c r="K5" i="3"/>
  <c r="K24" i="3"/>
  <c r="K4" i="3"/>
  <c r="K21" i="3"/>
  <c r="K2" i="3"/>
  <c r="K20" i="3"/>
  <c r="K19" i="3"/>
  <c r="K28" i="3"/>
  <c r="K27" i="3"/>
  <c r="K18" i="3"/>
  <c r="K8" i="3"/>
  <c r="K3" i="3"/>
  <c r="K7" i="3"/>
  <c r="K22" i="3"/>
  <c r="K23" i="3"/>
  <c r="K12" i="3"/>
  <c r="K11" i="3"/>
  <c r="K17" i="3"/>
  <c r="K10" i="3"/>
  <c r="K9" i="3"/>
  <c r="K16" i="3"/>
  <c r="K15" i="3"/>
  <c r="K13" i="3"/>
  <c r="K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公司类型。0:模板，1:普通，2:测试</t>
        </r>
      </text>
    </comment>
    <comment ref="B14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彩票使用这个company_key作为总公司同步游戏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公司类型。0:模板，1:普通，2:测试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在此处键入
此状态不准确。公司实际状态以市场最新信息为准。</t>
        </r>
      </text>
    </comment>
  </commentList>
</comments>
</file>

<file path=xl/sharedStrings.xml><?xml version="1.0" encoding="utf-8"?>
<sst xmlns="http://schemas.openxmlformats.org/spreadsheetml/2006/main" count="2053" uniqueCount="952">
  <si>
    <t>項次</t>
  </si>
  <si>
    <t>步驟</t>
  </si>
  <si>
    <t>負責部門</t>
  </si>
  <si>
    <t>備註</t>
  </si>
  <si>
    <t>新增公司-客服流程</t>
  </si>
  <si>
    <t>客服</t>
  </si>
  <si>
    <t>客端版本號 先填1.0.0</t>
  </si>
  <si>
    <t>新增公司-服務端流程</t>
  </si>
  <si>
    <t>服務端</t>
  </si>
  <si>
    <t>取得必要資訊
companyId
companyKey
公司名稱
companyType
comapnyModel
皮膚
幣別中文</t>
  </si>
  <si>
    <t>填寫 1.的資訊 至新增公司的表格</t>
  </si>
  <si>
    <t>填寫 客端版本號</t>
  </si>
  <si>
    <t>客端</t>
  </si>
  <si>
    <t>填寫目前的對接狀態</t>
  </si>
  <si>
    <t>項管</t>
  </si>
  <si>
    <t>company_id</t>
  </si>
  <si>
    <t>company_key</t>
  </si>
  <si>
    <t>company_name</t>
  </si>
  <si>
    <t>company_type</t>
  </si>
  <si>
    <t>company_model</t>
  </si>
  <si>
    <t>皮膚</t>
  </si>
  <si>
    <t>客端版本號</t>
  </si>
  <si>
    <t>對接狀態</t>
  </si>
  <si>
    <t>幣別中文</t>
  </si>
  <si>
    <t>幣別代碼</t>
  </si>
  <si>
    <t>代碼</t>
  </si>
  <si>
    <t>TemplateCompany</t>
  </si>
  <si>
    <t>模板公司</t>
  </si>
  <si>
    <t>API</t>
  </si>
  <si>
    <t>未知</t>
  </si>
  <si>
    <t>人民幣</t>
  </si>
  <si>
    <t>1574846_haocai</t>
  </si>
  <si>
    <t>利鑫测试公司豪彩HC皮肤</t>
  </si>
  <si>
    <t>1574846_chessapilxzy</t>
  </si>
  <si>
    <t>利鑫测试公司利鑫租用zy皮肤</t>
  </si>
  <si>
    <t>1574846_chessapilxwf</t>
  </si>
  <si>
    <t>利鑫测试公司利鑫外放wf皮肤</t>
  </si>
  <si>
    <t>1581838_haocai</t>
  </si>
  <si>
    <t>欢乐皮肤测试公司</t>
  </si>
  <si>
    <t>1573931_chessapilixin</t>
  </si>
  <si>
    <t>豪彩</t>
  </si>
  <si>
    <t>1573945_chessapilixin</t>
  </si>
  <si>
    <t>1574372_chessapilixin</t>
  </si>
  <si>
    <t>租用 (目前使用: 全租用利鑫)</t>
  </si>
  <si>
    <t>1581878_haocai</t>
  </si>
  <si>
    <t>欢乐豪彩公司皮肤</t>
  </si>
  <si>
    <t>1581879_haocai</t>
  </si>
  <si>
    <t>欢乐租用公司皮肤 (目前使用: 全租用歡樂)</t>
  </si>
  <si>
    <t>1581880_haocai</t>
  </si>
  <si>
    <t>欢乐外放公司皮肤</t>
  </si>
  <si>
    <t>1783032_chessapilxwfgfg</t>
  </si>
  <si>
    <t>大运电子(EMC電子+彩票GFG)</t>
  </si>
  <si>
    <t>S007</t>
  </si>
  <si>
    <t>1.0.110</t>
  </si>
  <si>
    <t>已對接</t>
  </si>
  <si>
    <t>1784194_chessapilxwfgfg</t>
  </si>
  <si>
    <t>大运电子-正式环境测试公司</t>
  </si>
  <si>
    <t>1797427_chessapilxwfgfg</t>
  </si>
  <si>
    <t>韩国捕鱼-hanguo66</t>
  </si>
  <si>
    <t>1.0.111</t>
  </si>
  <si>
    <t>韓圓</t>
  </si>
  <si>
    <t>1797652_chessapilxwfgfg</t>
  </si>
  <si>
    <t>菲律宾捕鱼-Lodi777平台</t>
  </si>
  <si>
    <t>1.0.112</t>
  </si>
  <si>
    <t>菲律賓披索</t>
  </si>
  <si>
    <t>1797729_chessapilxwfgfg</t>
  </si>
  <si>
    <t>菲律宾捕鱼-Bouns365平台</t>
  </si>
  <si>
    <t>1.0.113</t>
  </si>
  <si>
    <t>1846685_chessapilixin</t>
  </si>
  <si>
    <t>大运棋牌api-ANOE8平台-正式公司S004皮肤</t>
  </si>
  <si>
    <t>S004</t>
  </si>
  <si>
    <t>馬來西亞令吉</t>
  </si>
  <si>
    <t>1847592_chessapilixin</t>
  </si>
  <si>
    <t>菲律宾捕鱼-Lodi777平台-S004</t>
  </si>
  <si>
    <t>1847665_chessapilixin</t>
  </si>
  <si>
    <t>大运棋牌api-正式环境测试公司-1847674-S004皮肤</t>
  </si>
  <si>
    <t>1847665_chessapilxwf</t>
  </si>
  <si>
    <t>大运棋牌api-正式环境测试公司-1847675-S004皮肤</t>
  </si>
  <si>
    <t>1847665_chessapilxwfgfg</t>
  </si>
  <si>
    <t>大运棋牌api-正式环境测试公司-1847676-S004皮肤</t>
  </si>
  <si>
    <t>1853680_chessapilixin</t>
  </si>
  <si>
    <t>完美api-S004</t>
  </si>
  <si>
    <t>1850836_chessapilixin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</si>
  <si>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-大运棋牌api-马来i8-正式公司S004皮肤1，1级代理ID：1853833</t>
    </r>
  </si>
  <si>
    <t>1850836_chessapilxwfgfg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</si>
  <si>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-大运棋牌api-马来i8-正式公司S004皮肤2-1级代理ID： 1854827</t>
    </r>
  </si>
  <si>
    <t>1850836_chessapilxwf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</si>
  <si>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-大运棋牌api-马来i8-正式公司S004皮肤3，1级代理ID：1854842</t>
    </r>
  </si>
  <si>
    <t>泰銖</t>
  </si>
  <si>
    <t>1850836_chessapilxzy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</si>
  <si>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-大运棋牌api-马来i8-正式公司S004皮肤4，1级代理ID：1854849</t>
    </r>
  </si>
  <si>
    <t>越南盾</t>
  </si>
  <si>
    <t>1850836_haocai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</si>
  <si>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-大运棋牌api-马来i8-正式公司S004皮肤5，1级代理ID：1854926</t>
    </r>
  </si>
  <si>
    <t>印尼盾</t>
  </si>
  <si>
    <t>1850836_chessqpw</t>
  </si>
  <si>
    <r>
      <rPr>
        <sz val="10"/>
        <color theme="1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theme="1"/>
        <rFont val="Arial"/>
        <family val="2"/>
      </rPr>
      <t>-大运棋牌api-马来i8-正式公司S004皮肤6，1级代理ID：1854935</t>
    </r>
  </si>
  <si>
    <t>新加坡元</t>
  </si>
  <si>
    <t>1850836_chess800</t>
  </si>
  <si>
    <r>
      <rPr>
        <sz val="10"/>
        <color rgb="FF000000"/>
        <rFont val="Arial"/>
        <family val="2"/>
      </rPr>
      <t>后台配置成包网了-</t>
    </r>
    <r>
      <rPr>
        <sz val="10"/>
        <color rgb="FFFF0000"/>
        <rFont val="Arial"/>
        <family val="2"/>
      </rPr>
      <t>停用</t>
    </r>
    <r>
      <rPr>
        <sz val="10"/>
        <color rgb="FF000000"/>
        <rFont val="Arial"/>
        <family val="2"/>
      </rPr>
      <t>-大运棋牌api-马来i8-正式公司S004皮肤7，1级代理ID：1854942</t>
    </r>
  </si>
  <si>
    <t>1906176_chessapilixin</t>
  </si>
  <si>
    <t>大运棋牌api-马来i8-正式公司S007-皮肤1-1级代理ID： 1906318</t>
  </si>
  <si>
    <t>1.0.114</t>
  </si>
  <si>
    <t>1906176_chessapilxwfgfg</t>
  </si>
  <si>
    <t>大运棋牌api-马来i8-正式公司S007-皮肤2-1级代理ID： 1906327</t>
  </si>
  <si>
    <t>1.0.115</t>
  </si>
  <si>
    <t>1906176_chessapilxwf</t>
  </si>
  <si>
    <t>大运棋牌api-马来i8-正式公司S007-皮肤3，1级代理ID：1906334</t>
  </si>
  <si>
    <t>1.0.116</t>
  </si>
  <si>
    <t>1906176_chessapilxzy</t>
  </si>
  <si>
    <t>大运棋牌api-马来i8-正式公司S007-皮肤4，1级代理ID：1906342</t>
  </si>
  <si>
    <t>1.0.117</t>
  </si>
  <si>
    <t>1906176_haocai</t>
  </si>
  <si>
    <t>大运棋牌api-马来i8-正式公司S007-皮肤5，1级代理ID：1906347</t>
  </si>
  <si>
    <t>1.0.118</t>
  </si>
  <si>
    <t>1906176_chessqpw</t>
  </si>
  <si>
    <t>大运棋牌api-马来i8-正式公司S007-皮肤6，1级代理ID：1906355</t>
  </si>
  <si>
    <t>1.0.119</t>
  </si>
  <si>
    <t>1906176_chess800</t>
  </si>
  <si>
    <t>大运棋牌api-马来i8-正式公司S007-皮肤7，1级代理ID：1906358</t>
  </si>
  <si>
    <t>1.0.120</t>
  </si>
  <si>
    <t>1971868_haocai</t>
  </si>
  <si>
    <t>大运棋牌api-单一钱包-测试公司S007-皮肤1-1级代理ID： 1971886</t>
  </si>
  <si>
    <t>1987201_chessapilixin</t>
  </si>
  <si>
    <t>大运棋牌api-韩国KB Gaming S007-1级代理ID： 1987211</t>
  </si>
  <si>
    <t>1.0.121</t>
  </si>
  <si>
    <t>1987676_chessapilixin</t>
  </si>
  <si>
    <t>大运棋牌api-唯一钱包-TOT-老板娘区块链-1级代理ID：1988600</t>
  </si>
  <si>
    <t>1.0.122</t>
  </si>
  <si>
    <t>對接中</t>
  </si>
  <si>
    <t>1987676_chessapilxwfgfg</t>
  </si>
  <si>
    <t>大运棋牌api-唯一钱包-TOT-老板娘区块链-1级代理ID：1988606</t>
  </si>
  <si>
    <t>1.0.123</t>
  </si>
  <si>
    <t>巴西雷亞爾</t>
  </si>
  <si>
    <t>1987676_chessapilxwf</t>
  </si>
  <si>
    <t>大运棋牌api-唯一钱包-TOT-老板娘区块链-1级代理ID：1988609</t>
  </si>
  <si>
    <t>1.0.124</t>
  </si>
  <si>
    <t>1987676_chessapilxzy</t>
  </si>
  <si>
    <t>大运棋牌api-唯一钱包-TOT-老板娘区块链-1级代理ID：1988610</t>
  </si>
  <si>
    <t>1.0.125</t>
  </si>
  <si>
    <t>1987676_haocai</t>
  </si>
  <si>
    <t>大运棋牌api-唯一钱包-TOT-老板娘区块链-1级代理ID：1988603</t>
  </si>
  <si>
    <t>1.0.126</t>
  </si>
  <si>
    <t>美元</t>
  </si>
  <si>
    <t>1987676_chessqpw</t>
  </si>
  <si>
    <t>大运棋牌api-唯一钱包-TOT-老板娘区块链-1级代理ID：1988612</t>
  </si>
  <si>
    <t>1.0.127</t>
  </si>
  <si>
    <t>日圓</t>
  </si>
  <si>
    <t>1990687_chessapilixin</t>
  </si>
  <si>
    <t>大运棋牌api-转账钱包-哈希专属测试-1级代理ID： 1990702</t>
  </si>
  <si>
    <t>1.0.128</t>
  </si>
  <si>
    <t>虛擬美金</t>
  </si>
  <si>
    <t>1990687_chessapilxwfgfg</t>
  </si>
  <si>
    <t>大运棋牌api-转账钱包-哈希专属测试-1级代理ID： 1990704</t>
  </si>
  <si>
    <t>1.0.129</t>
  </si>
  <si>
    <t>2009023_chessapilixin</t>
  </si>
  <si>
    <t>大运棋牌api-转账钱包-汛利娱乐-1级代理ID： 2009080</t>
  </si>
  <si>
    <t>1853680_chessapilxwfgfg</t>
  </si>
  <si>
    <t>大运棋牌api-转账钱包-完美包网API-1级代理ID： 2009892</t>
  </si>
  <si>
    <t>2010881_chessapilixin</t>
  </si>
  <si>
    <t>大运棋牌api-转账钱包-完美厂长-1级代理ID： 2010892</t>
  </si>
  <si>
    <t>1853680_chessapilxzy</t>
  </si>
  <si>
    <t>大运棋牌api-转账钱包-完美api-1级代理ID： 2012205</t>
  </si>
  <si>
    <t>2012241_chessapilxwf</t>
  </si>
  <si>
    <t>大运棋牌api-转账钱包-CMD368测试公司-1级代理ID： 2012483</t>
  </si>
  <si>
    <t>2012241_chessapilxzy</t>
  </si>
  <si>
    <t>大运棋牌api-转账钱包-CMD368测试公司-1级代理ID： 2012493</t>
  </si>
  <si>
    <t>2012241_chessapilixin</t>
  </si>
  <si>
    <t>大运棋牌api-转账钱包-CMD368测试公司-1级代理ID： 2012475</t>
  </si>
  <si>
    <t>2012241_chessapilxwfgfg</t>
  </si>
  <si>
    <t>大运棋牌api-转账钱包-CMD368测试公司-1级代理ID： 2012478</t>
  </si>
  <si>
    <t>2012241_gfgtest</t>
  </si>
  <si>
    <t>大运棋牌api-转账钱包-CMD368测试公司-1级代理ID： 2012488</t>
  </si>
  <si>
    <t>2012241_haocai</t>
  </si>
  <si>
    <t>大运棋牌api-转账钱包-CMD368测试公司-1级代理ID： 2012484</t>
  </si>
  <si>
    <t>2013647_chessapilixin</t>
  </si>
  <si>
    <t>大运棋牌api-转账钱包-KBS越南-1级代理ID： 2013656</t>
  </si>
  <si>
    <t>無須對接</t>
  </si>
  <si>
    <t>2025744_chessapilixin</t>
  </si>
  <si>
    <t>大运棋牌api-转账钱包-哈希-1级代理ID： 2025752</t>
  </si>
  <si>
    <t>2040590_chessapilixin</t>
  </si>
  <si>
    <t>大运棋牌api-单一钱包-河马API-1级代理ID： 2040594</t>
  </si>
  <si>
    <t>2061036_chessapilixin</t>
  </si>
  <si>
    <t>大运棋牌api-转账钱包-卡卡体育-1级代理ID： 2061061</t>
  </si>
  <si>
    <t>2104266_chessapilixin</t>
  </si>
  <si>
    <t>大运棋牌api-转账钱包-多语言租用-1级代理ID： 2104307</t>
  </si>
  <si>
    <t>2111372_chessapilixin</t>
  </si>
  <si>
    <t>大运棋牌api-转账钱包-CMD368正式-1级代理ID： 2111377</t>
  </si>
  <si>
    <t>2111372_chessapilxwfgfg</t>
  </si>
  <si>
    <t>大运棋牌api-转账钱包-CMD368正式-1级代理ID： 2111512</t>
  </si>
  <si>
    <t>2111372_chessapilxwf</t>
  </si>
  <si>
    <t>大运棋牌api-转账钱包-CMD368正式-1级代理ID： 2111527</t>
  </si>
  <si>
    <t>2111372_haocai</t>
  </si>
  <si>
    <t>大运棋牌api-转账钱包-CMD368正式-1级代理ID： 2111515</t>
  </si>
  <si>
    <t>2111372_gfgtest</t>
  </si>
  <si>
    <t>大运棋牌api-转账钱包-CMD368正式-1级代理ID： 2111532</t>
  </si>
  <si>
    <t>2111372_chessapilxzy</t>
  </si>
  <si>
    <t>大运棋牌api-转账钱包-CMD368正式-1级代理ID： 2111535</t>
  </si>
  <si>
    <t>2120037_chessapilixin</t>
  </si>
  <si>
    <t>大运棋牌api-唯一钱包-E78菲律宾-1级代理ID： 2120064</t>
  </si>
  <si>
    <t>1784194_chess800</t>
  </si>
  <si>
    <t>大运棋牌api-转账钱包-大运电子测试公司新增多皮肤-1级代理ID： 2122257</t>
  </si>
  <si>
    <t>1784194_chessapilixin</t>
  </si>
  <si>
    <t>大运棋牌api-转账钱包-大运电子测试公司新增多皮肤-1级代理ID： 2122273</t>
  </si>
  <si>
    <t>1784194_gfgtest</t>
  </si>
  <si>
    <t>大运棋牌api-转账钱包-大运电子测试公司新增多皮肤-1级代理ID： 2122286</t>
  </si>
  <si>
    <t>1784194_chessapilxzy</t>
  </si>
  <si>
    <t>大运棋牌api-转账钱包-大运电子测试公司新增多皮肤-1级代理ID： 2122275</t>
  </si>
  <si>
    <t>港幣</t>
  </si>
  <si>
    <t>1971868_gfgtest</t>
  </si>
  <si>
    <t>大运棋牌api-唯一钱包-大运电子测试公司新增多皮肤-1级代理ID： 2164741</t>
  </si>
  <si>
    <t>1971868_chessapilxwfgfg</t>
  </si>
  <si>
    <t>大运棋牌api-唯一钱包-大运电子测试公司新增多皮肤-1级代理ID： 2164739</t>
  </si>
  <si>
    <t>1971868_chessapilxwf</t>
  </si>
  <si>
    <t>大运棋牌api-唯一钱包-大运电子测试公司新增多皮肤-1级代理ID： 2164737</t>
  </si>
  <si>
    <t>印度盧比</t>
  </si>
  <si>
    <t>1971868_chessapilxzy</t>
  </si>
  <si>
    <t>大运棋牌api-唯一钱包-大运电子测试公司新增多皮肤-1级代理ID： 2164736</t>
  </si>
  <si>
    <t>1971868_chessapilixin</t>
  </si>
  <si>
    <t>大运棋牌api-唯一钱包-大运电子测试公司新增多皮肤-1级代理ID： 2164735</t>
  </si>
  <si>
    <t>2164884_chessapilixin</t>
  </si>
  <si>
    <t>大运棋牌api-转账钱包-starbo星寳-1级代理ID： 2164904</t>
  </si>
  <si>
    <t>2104266_chessapilxzy</t>
  </si>
  <si>
    <t>大运棋牌api-转账钱包-多语言租用-皮肤二-1级代理ID： 2200726</t>
  </si>
  <si>
    <t>2104266_chessapilxwf</t>
  </si>
  <si>
    <t>大运棋牌api-转账钱包-多语言租用-皮肤三-1级代理ID： 2200730</t>
  </si>
  <si>
    <t>2211635_haocai</t>
  </si>
  <si>
    <t>大运棋牌api-转账钱包-JBCF-1级代理ID： 2211639</t>
  </si>
  <si>
    <t>2211635_gfgtest</t>
  </si>
  <si>
    <t>大运棋牌api-转账钱包-JBCF-1级代理ID： 2212832</t>
  </si>
  <si>
    <t>歐元</t>
  </si>
  <si>
    <t>2211635_chessapilxwfgfg</t>
  </si>
  <si>
    <t>大运棋牌api-转账钱包-JBCF-1级代理ID： 2212834</t>
  </si>
  <si>
    <t>2211635_chessapilxwf</t>
  </si>
  <si>
    <t>大运棋牌api-转账钱包-JBCF-1级代理ID： 2212835</t>
  </si>
  <si>
    <t>2211635_chessapilxzy</t>
  </si>
  <si>
    <t>大运棋牌api-转账钱包-JBCF-1级代理ID： 2212837</t>
  </si>
  <si>
    <t>2211635_chessapilixin</t>
  </si>
  <si>
    <t>大运棋牌api-转账钱包-JBCF-1级代理ID： 2212838</t>
  </si>
  <si>
    <t>墨西哥披索</t>
  </si>
  <si>
    <t>2211635_chessapihlwf</t>
  </si>
  <si>
    <t>大运棋牌api-转账钱包-JBCF-1级代理ID： 2212840</t>
  </si>
  <si>
    <t>2211635_chessapihlzy</t>
  </si>
  <si>
    <t>大运棋牌api-转账钱包-JBCF-1级代理ID： 2212841</t>
  </si>
  <si>
    <t>尼日利亞奈拉</t>
  </si>
  <si>
    <t>2211635_chessa9yl</t>
  </si>
  <si>
    <t>大运棋牌api-转账钱包-JBCF-1级代理ID： 2212843</t>
  </si>
  <si>
    <t>1971868_cny</t>
  </si>
  <si>
    <t>大运棋牌api-单一钱包-测试公司-1级代理ID： 2220896</t>
  </si>
  <si>
    <t>1784194_thb</t>
  </si>
  <si>
    <t>大运棋牌api-转账钱包DZceshi-一级代理：2238282 - THB</t>
  </si>
  <si>
    <t>1784194_vnd</t>
  </si>
  <si>
    <t>大运棋牌api-转账钱包DZceshi-一级代理：2238285 - VND</t>
  </si>
  <si>
    <t>1784194_inr</t>
  </si>
  <si>
    <t>大运棋牌api-转账钱包DZceshi-一级代理：2238283 - INR</t>
  </si>
  <si>
    <t>1784194_myr</t>
  </si>
  <si>
    <t>大运棋牌api-转账钱包DZceshi-一级代理：2238288 - MYR</t>
  </si>
  <si>
    <t>1784194_usd</t>
  </si>
  <si>
    <t>大运棋牌api-转账钱包DZceshi-一级代理：2238289 - USD</t>
  </si>
  <si>
    <t>1784194_krw</t>
  </si>
  <si>
    <t>大运棋牌api-转账钱包DZceshi-一级代理：2238314 - KRW</t>
  </si>
  <si>
    <t>1784194_hkd</t>
  </si>
  <si>
    <t>大运棋牌api-转账钱包DZceshi-一级代理：2238316 - HKD</t>
  </si>
  <si>
    <t>1784194_ngn</t>
  </si>
  <si>
    <t>大运棋牌api-转账钱包DZceshi-一级代理：2238310 - NGN</t>
  </si>
  <si>
    <t>1784194_mxn</t>
  </si>
  <si>
    <t>大运棋牌api-转账钱包DZceshi-一级代理：2238318 - MXN</t>
  </si>
  <si>
    <t>1784194_brl</t>
  </si>
  <si>
    <t>大运棋牌api-转账钱包DZceshi-一级代理：2238320 - BRL</t>
  </si>
  <si>
    <t>1784194_eur</t>
  </si>
  <si>
    <t>大运棋牌api-转账钱包DZceshi-一级代理：2238321 - EUR</t>
  </si>
  <si>
    <t>1784194_php</t>
  </si>
  <si>
    <t>大运棋牌api-转账钱包DZceshi-一级代理：2239144 - PHP</t>
  </si>
  <si>
    <t>1784194_idr</t>
  </si>
  <si>
    <t>大运棋牌api-转账钱包DZceshi-一级代理：2239145 - IDR</t>
  </si>
  <si>
    <t>1971868_krw</t>
  </si>
  <si>
    <t>大运棋牌api-唯一钱包dydzdyce1-一级代理：2239469 - KRW</t>
  </si>
  <si>
    <t>1971868_usd</t>
  </si>
  <si>
    <t>大运棋牌api-唯一钱包dydzdyce1-一级代理：2239470 - USD</t>
  </si>
  <si>
    <t>1971868_eur</t>
  </si>
  <si>
    <t>大运棋牌api-唯一钱包dydzdyce1-一级代理：2239468 - EUR</t>
  </si>
  <si>
    <t>1987676_inr</t>
  </si>
  <si>
    <t>大运棋牌api-唯一钱包TOT-一级代理：2240926 - INR</t>
  </si>
  <si>
    <t>1987676_php</t>
  </si>
  <si>
    <t>大运棋牌api-唯一钱包TOT-一级代理：2240924 - PHP</t>
  </si>
  <si>
    <t>1987676_thb</t>
  </si>
  <si>
    <t>大运棋牌api-唯一钱包TOT-一级代理：2240930 - THB</t>
  </si>
  <si>
    <t>1987676_eur</t>
  </si>
  <si>
    <t>大运棋牌api-唯一钱包TOT-一级代理：2240927 - EUR</t>
  </si>
  <si>
    <t>1987676_idr</t>
  </si>
  <si>
    <t>大运棋牌api-唯一钱包TOT-一级代理：2240931 - IDR</t>
  </si>
  <si>
    <t>2247068_aud</t>
  </si>
  <si>
    <t>大运棋牌api-唯一钱包998-一级代理：2247112 - AUD</t>
  </si>
  <si>
    <t>澳洲元</t>
  </si>
  <si>
    <t>2247068_cny</t>
  </si>
  <si>
    <t>大运棋牌api-唯一钱包998-一级代理：2247092 - CNY</t>
  </si>
  <si>
    <t>2247068_jpy</t>
  </si>
  <si>
    <t>大运棋牌api-唯一钱包998-一级代理：2247115 - JPY</t>
  </si>
  <si>
    <t>2247068_eur</t>
  </si>
  <si>
    <t>大运棋牌api-唯一钱包998-一级代理：2247098 - EUR</t>
  </si>
  <si>
    <t>2247068_hkd</t>
  </si>
  <si>
    <t>大运棋牌api-唯一钱包998-一级代理：2247103 - HKD</t>
  </si>
  <si>
    <t>2247068_krw</t>
  </si>
  <si>
    <t>大运棋牌api-唯一钱包998-一级代理：2247105 - KRW</t>
  </si>
  <si>
    <t>2247068_mmk</t>
  </si>
  <si>
    <t>大运棋牌api-唯一钱包998-一级代理：2247113 - MMK</t>
  </si>
  <si>
    <t>緬元</t>
  </si>
  <si>
    <t>2247068_php</t>
  </si>
  <si>
    <t>大运棋牌api-唯一钱包998-一级代理：2247093 - PHP</t>
  </si>
  <si>
    <t>2247068_myr</t>
  </si>
  <si>
    <t>大运棋牌api-唯一钱包998-一级代理：2247101 - MYR</t>
  </si>
  <si>
    <t>2247068_idr</t>
  </si>
  <si>
    <t>大运棋牌api-唯一钱包998-一级代理：2247109 - IDR</t>
  </si>
  <si>
    <t>2247068_inr</t>
  </si>
  <si>
    <t>大运棋牌api-唯一钱包998-一级代理：2247096 - INR</t>
  </si>
  <si>
    <t>2247068_thb</t>
  </si>
  <si>
    <t>大运棋牌api-唯一钱包998-一级代理：2247099 - THB</t>
  </si>
  <si>
    <t>2247068_usd</t>
  </si>
  <si>
    <t>大运棋牌api-唯一钱包998-一级代理：2247108 - USD</t>
  </si>
  <si>
    <t>2247068_vnd</t>
  </si>
  <si>
    <t>大运棋牌api-唯一钱包998-一级代理：2247097 - VND</t>
  </si>
  <si>
    <t>2247068_sgd</t>
  </si>
  <si>
    <t>大运棋牌api-唯一钱包998-一级代理：2247116 - SGD</t>
  </si>
  <si>
    <t>2247068_rub</t>
  </si>
  <si>
    <t>大运棋牌api-唯一钱包998-一级代理：2247110 - RUB</t>
  </si>
  <si>
    <t>俄羅斯盧布</t>
  </si>
  <si>
    <t>2257936_cny</t>
  </si>
  <si>
    <t>大运棋牌api-转账钱包BGdayou-一级代理：2257951</t>
  </si>
  <si>
    <t>2257936_inr</t>
  </si>
  <si>
    <t>大运棋牌api-转账钱包BGdayou-一级代理：2257952</t>
  </si>
  <si>
    <t>2257936_vnd</t>
  </si>
  <si>
    <t>大运棋牌api-转账钱包BGdayou-一级代理：2257953</t>
  </si>
  <si>
    <t>2257936_thb</t>
  </si>
  <si>
    <t>大运棋牌api-转账钱包BGdayou-一级代理：2257955</t>
  </si>
  <si>
    <t>2257936_myr</t>
  </si>
  <si>
    <t>大运棋牌api-转账钱包BGdayou-一级代理：2257956</t>
  </si>
  <si>
    <t>2257936_usd</t>
  </si>
  <si>
    <t>大运棋牌api-转账钱包BGdayou-一级代理：2257957</t>
  </si>
  <si>
    <t>2257936_idr</t>
  </si>
  <si>
    <t>大运棋牌api-转账钱包BGdayou-一级代理：2257963</t>
  </si>
  <si>
    <t>2261561_cny</t>
  </si>
  <si>
    <t>大运棋牌api-转账钱包baixiaojie-一级代理：2261565 (草莓直播)</t>
  </si>
  <si>
    <t>2373060_cny</t>
  </si>
  <si>
    <t>大运棋牌api-转账钱包XY99-一级代理：2373082</t>
  </si>
  <si>
    <t>2475520_hkd</t>
  </si>
  <si>
    <t>大运棋牌api-转账钱包cash11-一级代理：2475544</t>
  </si>
  <si>
    <t>2503177_myr</t>
  </si>
  <si>
    <t>大运棋牌api-转账钱包qz01-一级代理：2503202</t>
  </si>
  <si>
    <t>2503177_aud</t>
  </si>
  <si>
    <t>大运棋牌api-转账钱包qz01-一级代理：2523612</t>
  </si>
  <si>
    <t>1797427_php</t>
  </si>
  <si>
    <t>大运棋牌api-转账钱包hanguo66-一级代理：2518552</t>
  </si>
  <si>
    <t>1797427_usdt</t>
  </si>
  <si>
    <t>大运棋牌api-转账钱包hanguo66-一级代理：2518550</t>
  </si>
  <si>
    <t>1797427_vndk</t>
  </si>
  <si>
    <t>大运棋牌api-转账钱包hanguo66-一级代理：2518555</t>
  </si>
  <si>
    <t>越南盾(1:1000)</t>
  </si>
  <si>
    <t>1971868_bdt</t>
  </si>
  <si>
    <t>大运棋牌api-唯一钱包dydzdyce1-一级代理：2514647</t>
  </si>
  <si>
    <t>孟加拉塔卡</t>
  </si>
  <si>
    <t>1971868_try</t>
  </si>
  <si>
    <t>大运棋牌api-唯一钱包dydzdyce1-一级代理：2514646</t>
  </si>
  <si>
    <t>土耳其里拉</t>
  </si>
  <si>
    <t>1971868_vndk</t>
  </si>
  <si>
    <t>大运棋牌api-唯一钱包dydzdyce1-一级代理：2517260</t>
  </si>
  <si>
    <t>1971868_idrk</t>
  </si>
  <si>
    <t>大运棋牌api-唯一钱包dydzdyce1-一级代理：2514642</t>
  </si>
  <si>
    <t>印尼盾(1:1000)</t>
  </si>
  <si>
    <t>2530149_hkd</t>
  </si>
  <si>
    <t>大运棋牌api-唯一钱包qzdy01-一级代理：2530158</t>
  </si>
  <si>
    <t>2503177_hkd</t>
  </si>
  <si>
    <t>大运棋牌api-转账钱包qz01-一级代理：2534875</t>
  </si>
  <si>
    <t>2530149_php</t>
  </si>
  <si>
    <t>大运棋牌api-唯一钱包qzdy01-一级代理：2541090</t>
  </si>
  <si>
    <t>2530149_inr</t>
  </si>
  <si>
    <t>大运棋牌api-唯一钱包qzdy01-一级代理：2541112</t>
  </si>
  <si>
    <t>2530149_thb</t>
  </si>
  <si>
    <t>大运棋牌api-唯一钱包qzdy01-一级代理：2541180</t>
  </si>
  <si>
    <t>2530149_myr</t>
  </si>
  <si>
    <t>大运棋牌api-唯一钱包qzdy01-一级代理：2541194</t>
  </si>
  <si>
    <t>2530149_usd</t>
  </si>
  <si>
    <t>大运棋牌api-唯一钱包qzdy01-一级代理：2541222</t>
  </si>
  <si>
    <t>2530149_idr</t>
  </si>
  <si>
    <t>大运棋牌api-唯一钱包qzdy01-一级代理：2541249</t>
  </si>
  <si>
    <t>2530149_aud</t>
  </si>
  <si>
    <t>大运棋牌api-唯一钱包qzdy01-一级代理：2541275</t>
  </si>
  <si>
    <t>2530149_mmk</t>
  </si>
  <si>
    <t>大运棋牌api-唯一钱包qzdy01-一级代理：2541297</t>
  </si>
  <si>
    <t>2530149_sgd</t>
  </si>
  <si>
    <t>大运棋牌api-唯一钱包qzdy01-一级代理：2541317</t>
  </si>
  <si>
    <t>2530149_bnd</t>
  </si>
  <si>
    <t>大运棋牌api-唯一钱包qzdy01-一级代理：2541342</t>
  </si>
  <si>
    <t>汶萊元</t>
  </si>
  <si>
    <t>2530149_bdt</t>
  </si>
  <si>
    <t>大运棋牌api-唯一钱包qzdy01-一级代理：2541361</t>
  </si>
  <si>
    <t>2530149_npr</t>
  </si>
  <si>
    <t>大运棋牌api-唯一钱包qzdy01-一级代理：2544324</t>
  </si>
  <si>
    <t>尼泊爾盧比</t>
  </si>
  <si>
    <t>2530149_vnd</t>
  </si>
  <si>
    <t>大运棋牌api-唯一钱包qzdy01-一级代理：2545007</t>
  </si>
  <si>
    <t>2373060_myr</t>
  </si>
  <si>
    <t>大运棋牌api-转账钱包XY99-一级代理：2578775</t>
  </si>
  <si>
    <t>2373060_hkd</t>
  </si>
  <si>
    <t>大运棋牌api-转账钱包XY99-一级代理：2578781</t>
  </si>
  <si>
    <t>1784194_cny</t>
  </si>
  <si>
    <t>大运棋牌api-转账钱包DZceshi-一级代理：2414317</t>
  </si>
  <si>
    <t>1784194_mmk</t>
  </si>
  <si>
    <t>大运棋牌api-转账钱包DZceshi-一级代理：2591540</t>
  </si>
  <si>
    <t>1784194_jpy</t>
  </si>
  <si>
    <t>大运棋牌api-转账钱包DZceshi-一级代理：2590958</t>
  </si>
  <si>
    <t>1971868_usdt</t>
  </si>
  <si>
    <t>大运棋牌api-单一钱包dydzdyce1-一级代理：2644654</t>
  </si>
  <si>
    <t>1971868_mbtc</t>
  </si>
  <si>
    <t>大运棋牌api-单一钱包dydzdyce1-一级代理：2645562</t>
  </si>
  <si>
    <t>千分之一比特幣</t>
  </si>
  <si>
    <t>1971868_ltc</t>
  </si>
  <si>
    <t>大运棋牌api-单一钱包dydzdyce1-一级代理：2645568</t>
  </si>
  <si>
    <t>萊特幣</t>
  </si>
  <si>
    <t>大运棋牌api-转账钱包qz01-一级代理：2682375</t>
  </si>
  <si>
    <t>2697738_cny</t>
  </si>
  <si>
    <t>大运棋牌api-转账钱包GS08-一级代理：2697816</t>
  </si>
  <si>
    <t>1784194_hnl</t>
  </si>
  <si>
    <t>大运棋牌api-转账钱包DZceshi-一级代理：2788419</t>
  </si>
  <si>
    <t>洪都拉斯伦皮拉</t>
  </si>
  <si>
    <t>1784194_etb</t>
  </si>
  <si>
    <t>大运棋牌api-转账钱包DZceshi-一级代理：2788621</t>
  </si>
  <si>
    <t>埃塞俄比亚比尔</t>
  </si>
  <si>
    <t>1784194_zar</t>
  </si>
  <si>
    <t>大运棋牌api-转账钱包DZceshi-一级代理：2788416</t>
  </si>
  <si>
    <t>南非蘭特</t>
  </si>
  <si>
    <t>1784194_ugx</t>
  </si>
  <si>
    <t>大运棋牌api-转账钱包DZceshi-一级代理：2788402</t>
  </si>
  <si>
    <t>乌干达先令</t>
  </si>
  <si>
    <t>1784194_tzs</t>
  </si>
  <si>
    <t>大运棋牌api-转账钱包DZceshi-一级代理：2788398</t>
  </si>
  <si>
    <t>坦桑尼亚先令</t>
  </si>
  <si>
    <t>1784194_kes</t>
  </si>
  <si>
    <t>大运棋牌api-转账钱包DZceshi-一级代理：2788385</t>
  </si>
  <si>
    <t>肯尼亚先令</t>
  </si>
  <si>
    <t>1784194_egp</t>
  </si>
  <si>
    <t>大运棋牌api-转账钱包DZceshi-一级代理：2788372</t>
  </si>
  <si>
    <t>埃及镑</t>
  </si>
  <si>
    <t>1784194_try</t>
  </si>
  <si>
    <t>大运棋牌api-转账钱包DZceshi-一级代理：2788368</t>
  </si>
  <si>
    <t>1784194_bdt</t>
  </si>
  <si>
    <t>大运棋牌api-转账钱包DZceshi-一级代理：2788360</t>
  </si>
  <si>
    <t>1784194_pen</t>
  </si>
  <si>
    <t>大运棋牌api-转账钱包DZceshi-一级代理：2788333</t>
  </si>
  <si>
    <t>秘鲁新索尔</t>
  </si>
  <si>
    <t>1784194_bob</t>
  </si>
  <si>
    <t>大运棋牌api-转账钱包DZceshi-一级代理：2788335</t>
  </si>
  <si>
    <t>玻利维亚诺</t>
  </si>
  <si>
    <t>1784194_cop</t>
  </si>
  <si>
    <t>大运棋牌api-转账钱包DZceshi-一级代理：2788337</t>
  </si>
  <si>
    <t>哥伦比亚比索</t>
  </si>
  <si>
    <t>1784194_pyg</t>
  </si>
  <si>
    <t>大运棋牌api-转账钱包DZceshi-一级代理：2788343</t>
  </si>
  <si>
    <t>巴拉圭瓜拉尼</t>
  </si>
  <si>
    <t>1784194_pkr</t>
  </si>
  <si>
    <t>大运棋牌api-转账钱包DZceshi-一级代理：2788361</t>
  </si>
  <si>
    <t>巴基斯坦卢比</t>
  </si>
  <si>
    <t>1784194_ghs</t>
  </si>
  <si>
    <t>大运棋牌api-转账钱包DZceshi-一级代理：2788374</t>
  </si>
  <si>
    <t>加纳塞地</t>
  </si>
  <si>
    <t>1784194_ars</t>
  </si>
  <si>
    <t>大运棋牌api-转账钱包DZceshi-一级代理：2788213</t>
  </si>
  <si>
    <t>阿根廷比索</t>
  </si>
  <si>
    <t>1784194_idrk</t>
  </si>
  <si>
    <t>大运棋牌api-转账钱包DZceshi-一级代理：2788075</t>
  </si>
  <si>
    <t>1784194_vndk</t>
  </si>
  <si>
    <t>大运棋牌api-转账钱包DZceshi-一级代理：2788067</t>
  </si>
  <si>
    <t>2789216_cny</t>
  </si>
  <si>
    <t>大运棋牌api-转账钱包TCG88-一级代理：2789271</t>
  </si>
  <si>
    <t>2793614_thb</t>
  </si>
  <si>
    <t>大运棋牌api-转账钱包haxi06-一级代理：2793626</t>
  </si>
  <si>
    <t>2795436_cny</t>
  </si>
  <si>
    <t>大运棋牌api-转账钱包TCG999-一级代理：2795454</t>
  </si>
  <si>
    <t>2795436_php</t>
  </si>
  <si>
    <t>大运棋牌api-转账钱包TCG999-一级代理：2797610</t>
  </si>
  <si>
    <t>2795436_thb</t>
  </si>
  <si>
    <t>大运棋牌api-转账钱包TCG999-一级代理：2797611</t>
  </si>
  <si>
    <t>2795436_inr</t>
  </si>
  <si>
    <t>大运棋牌api-转账钱包TCG999-一级代理：2797615</t>
  </si>
  <si>
    <t>2795436_myr</t>
  </si>
  <si>
    <t>大运棋牌api-转账钱包TCG999-一级代理：2797618</t>
  </si>
  <si>
    <t>2795436_mmk</t>
  </si>
  <si>
    <t>大运棋牌api-转账钱包TCG999-一级代理：2797623</t>
  </si>
  <si>
    <t>2795436_hkd</t>
  </si>
  <si>
    <t>大运棋牌api-转账钱包TCG999-一级代理：2797626</t>
  </si>
  <si>
    <t>2795436_jpy</t>
  </si>
  <si>
    <t>大运棋牌api-转账钱包TCG999-一级代理：2797628</t>
  </si>
  <si>
    <t>2795436_krw</t>
  </si>
  <si>
    <t>大运棋牌api-转账钱包TCG999-一级代理：2797630</t>
  </si>
  <si>
    <t>2795436_brl</t>
  </si>
  <si>
    <t>大运棋牌api-转账钱包TCG999-一级代理：2797634</t>
  </si>
  <si>
    <t>2795436_ars</t>
  </si>
  <si>
    <t>大运棋牌api-转账钱包TCG999-一级代理：2797636</t>
  </si>
  <si>
    <t>2795436_clp</t>
  </si>
  <si>
    <t>大运棋牌api-转账钱包TCG999-一级代理：2797639</t>
  </si>
  <si>
    <t>智利比索</t>
  </si>
  <si>
    <t>2795436_mxn</t>
  </si>
  <si>
    <t>大运棋牌api-转账钱包TCG999-一级代理：2797643</t>
  </si>
  <si>
    <t>2795436_pen</t>
  </si>
  <si>
    <t>大运棋牌api-转账钱包TCG999-一级代理：2797648</t>
  </si>
  <si>
    <t>2795436_bob</t>
  </si>
  <si>
    <t>大运棋牌api-转账钱包TCG999-一级代理：2797652</t>
  </si>
  <si>
    <t>2795436_cop</t>
  </si>
  <si>
    <t>大运棋牌api-转账钱包TCG999-一级代理：2797654</t>
  </si>
  <si>
    <t>2795436_pyg</t>
  </si>
  <si>
    <t>大运棋牌api-转账钱包TCG999-一级代理：2797658</t>
  </si>
  <si>
    <t>2795436_bdt</t>
  </si>
  <si>
    <t>大运棋牌api-转账钱包TCG999-一级代理：2797660</t>
  </si>
  <si>
    <t>2795436_pkr</t>
  </si>
  <si>
    <t>大运棋牌api-转账钱包TCG999-一级代理：2797662</t>
  </si>
  <si>
    <t>2795436_try</t>
  </si>
  <si>
    <t>大运棋牌api-转账钱包TCG999-一级代理：2797669</t>
  </si>
  <si>
    <t>2795436_egp</t>
  </si>
  <si>
    <t>大运棋牌api-转账钱包TCG999-一级代理：2797671</t>
  </si>
  <si>
    <t>2795436_etb</t>
  </si>
  <si>
    <t>大运棋牌api-转账钱包TCG999-一级代理：2797677</t>
  </si>
  <si>
    <t>2795436_ghs</t>
  </si>
  <si>
    <t>大运棋牌api-转账钱包TCG999-一级代理：2797679</t>
  </si>
  <si>
    <t>2795436_kes</t>
  </si>
  <si>
    <t>大运棋牌api-转账钱包TCG999-一级代理：2797682</t>
  </si>
  <si>
    <t>2795436_ngn</t>
  </si>
  <si>
    <t>大运棋牌api-转账钱包TCG999-一级代理：2797683</t>
  </si>
  <si>
    <t>2795436_tzs</t>
  </si>
  <si>
    <t>大运棋牌api-转账钱包TCG999-一级代理：2797685</t>
  </si>
  <si>
    <t>2795436_ugx</t>
  </si>
  <si>
    <t>大运棋牌api-转账钱包TCG999-一级代理：2797686</t>
  </si>
  <si>
    <t>2795436_zar</t>
  </si>
  <si>
    <t>大运棋牌api-转账钱包TCG999-一级代理：2797687</t>
  </si>
  <si>
    <t>2795436_usd</t>
  </si>
  <si>
    <t>大运棋牌api-转账钱包TCG999-一级代理：2797691</t>
  </si>
  <si>
    <t>2795436_hnl</t>
  </si>
  <si>
    <t>大运棋牌api-转账钱包TCG999-一级代理：2797695</t>
  </si>
  <si>
    <t>2795436_idrk</t>
  </si>
  <si>
    <t>大运棋牌api-转账钱包TCG999-一级代理：2797697</t>
  </si>
  <si>
    <t>2795436_vndk</t>
  </si>
  <si>
    <t>大运棋牌api-转账钱包TCG999-一级代理：2797699</t>
  </si>
  <si>
    <t>2802943_hkd</t>
  </si>
  <si>
    <t>大运棋牌api-唯一钱包Yandu08-一级代理：2803110</t>
  </si>
  <si>
    <t>2802943_usd</t>
  </si>
  <si>
    <t>大运棋牌api-唯一钱包Yandu08-一级代理：2806269</t>
  </si>
  <si>
    <t>2802943_mxn</t>
  </si>
  <si>
    <t>大运棋牌api-唯一钱包Yandu08-一级代理：2806301</t>
  </si>
  <si>
    <t>2802943_gbp</t>
  </si>
  <si>
    <t>大运棋牌api-唯一钱包Yandu08-一级代理：2806261</t>
  </si>
  <si>
    <t>英鎊</t>
  </si>
  <si>
    <t>2802943_cny</t>
  </si>
  <si>
    <t>大运棋牌api-唯一钱包Yandu08-一级代理：2806264</t>
  </si>
  <si>
    <t>2802943_eur</t>
  </si>
  <si>
    <t>大运棋牌api-唯一钱包Yandu08-一级代理：2806266</t>
  </si>
  <si>
    <t>2802943_inr</t>
  </si>
  <si>
    <t>大运棋牌api-唯一钱包Yandu08-一级代理：2806272</t>
  </si>
  <si>
    <t>2802943_twd</t>
  </si>
  <si>
    <t>大运棋牌api-唯一钱包Yandu08-一级代理：2806278</t>
  </si>
  <si>
    <t>新台币</t>
  </si>
  <si>
    <t>2802943_usdt</t>
  </si>
  <si>
    <t>大运棋牌api-唯一钱包Yandu08-一级代理：2806282</t>
  </si>
  <si>
    <t>2802943_brl</t>
  </si>
  <si>
    <t>大运棋牌api-唯一钱包Yandu08-一级代理：2806292</t>
  </si>
  <si>
    <t>2802943_nok</t>
  </si>
  <si>
    <t>大运棋牌api-唯一钱包Yandu08-一级代理：2806297</t>
  </si>
  <si>
    <t>挪威克朗</t>
  </si>
  <si>
    <t>2802943_idrk</t>
  </si>
  <si>
    <t>大运棋牌api-唯一钱包Yandu08-一级代理：2806308</t>
  </si>
  <si>
    <t>2802943_php</t>
  </si>
  <si>
    <t>大运棋牌api-唯一钱包Yandu08-一级代理：2806302</t>
  </si>
  <si>
    <t>2802943_ngn</t>
  </si>
  <si>
    <t>大运棋牌api-唯一钱包Yandu08-一级代理：2806304</t>
  </si>
  <si>
    <t>2802943_vndk</t>
  </si>
  <si>
    <t>大运棋牌api-唯一钱包Yandu08-一级代理：2806310</t>
  </si>
  <si>
    <t>2847444_aud</t>
  </si>
  <si>
    <t>大运棋牌api-转账钱包CT08-一级代理：2847470</t>
  </si>
  <si>
    <t>2847444_myr</t>
  </si>
  <si>
    <t>大运棋牌api-转账钱包CT08-一级代理：2849542</t>
  </si>
  <si>
    <t>2850497_myr</t>
  </si>
  <si>
    <t>大运棋牌api-转账钱包Titan88-一级代理：2850523</t>
  </si>
  <si>
    <t>2904054_cny</t>
  </si>
  <si>
    <t>大运棋牌api-转账钱包WM88-一级代理：2904060</t>
  </si>
  <si>
    <t>2904054_usd</t>
  </si>
  <si>
    <t>大运棋牌api-转账钱包WM88-一级代理：2904091</t>
  </si>
  <si>
    <t>2904103_cny</t>
  </si>
  <si>
    <t>大运棋牌api-转账钱包WM99-一级代理：2904126</t>
  </si>
  <si>
    <t>2904103_usd</t>
  </si>
  <si>
    <t>大运棋牌api-转账钱包WM99-一级代理：2904141</t>
  </si>
  <si>
    <t>2909345_myr</t>
  </si>
  <si>
    <t>大运棋牌api-转账钱包JK8-一级代理：2909351</t>
  </si>
  <si>
    <t>1971868_myr</t>
  </si>
  <si>
    <t>大运棋牌api-唯一钱包dydzdyce1-一级代理：2470843</t>
  </si>
  <si>
    <t>1971868_brl</t>
  </si>
  <si>
    <t>大运棋牌api-唯一钱包dydzdyce1-一级代理：2513662</t>
  </si>
  <si>
    <t>2921346_usd</t>
  </si>
  <si>
    <t>大运棋牌api-唯一钱包OKhash06-一级代理：2921363</t>
  </si>
  <si>
    <t>1971868_inr</t>
  </si>
  <si>
    <t>大运棋牌api-唯一钱包dydzdyce1-一级代理：2513685</t>
  </si>
  <si>
    <t>1971868_mxn</t>
  </si>
  <si>
    <t>大运棋牌api-唯一钱包dydzdyce1-一级代理：2513676</t>
  </si>
  <si>
    <t>1971868_jpy</t>
  </si>
  <si>
    <t>大运棋牌api-唯一钱包dydzdyce1-一级代理：2513673</t>
  </si>
  <si>
    <t>1971868_php</t>
  </si>
  <si>
    <t>大运棋牌api-唯一钱包dydzdyce1-一级代理：2513624</t>
  </si>
  <si>
    <t>1971868_thb</t>
  </si>
  <si>
    <t>大运棋牌api-唯一钱包dydzdyce1-一级代理：2513665</t>
  </si>
  <si>
    <t>1971868_ngn</t>
  </si>
  <si>
    <t>大运棋牌api-唯一钱包dydzdyce1-一级代理：2513634</t>
  </si>
  <si>
    <t>1971868_rub</t>
  </si>
  <si>
    <t>大运棋牌api-唯一钱包dydzdyce1-一级代理：2513641</t>
  </si>
  <si>
    <t>包网</t>
  </si>
  <si>
    <t>1073425_haocai</t>
  </si>
  <si>
    <t>test豪彩（API欢乐）</t>
  </si>
  <si>
    <t>1069347_haocai</t>
  </si>
  <si>
    <t>test天天乐（天天乐旗下S001）</t>
  </si>
  <si>
    <t>1069347_tiantianying</t>
  </si>
  <si>
    <t>test天天赢（天天乐旗下S003）</t>
  </si>
  <si>
    <t>1074052_haocai</t>
  </si>
  <si>
    <t>test转账钱包（API欢乐）</t>
  </si>
  <si>
    <t>1069347_chess800</t>
  </si>
  <si>
    <t>test800棋牌（天天乐旗下S004）</t>
  </si>
  <si>
    <t>1089957_chess909</t>
  </si>
  <si>
    <t>909棋牌（天天旗下S006）</t>
  </si>
  <si>
    <t>1069347_chesssfyl</t>
  </si>
  <si>
    <t>test顺丰娱乐</t>
  </si>
  <si>
    <t>1083881_chessdfh</t>
  </si>
  <si>
    <t>test大富豪棋牌（大富豪旗下S008）</t>
  </si>
  <si>
    <t>1094407_chessbsqp</t>
  </si>
  <si>
    <t>test百胜棋牌（百胜棋牌S009）</t>
  </si>
  <si>
    <t>1094460_rummypatti</t>
  </si>
  <si>
    <t>印度棋牌公司</t>
  </si>
  <si>
    <t>1094407_chessbsqp2</t>
  </si>
  <si>
    <t>百胜棋牌公司-新皮肤（百胜棋牌2）</t>
  </si>
  <si>
    <t>1095090_chessa9yl</t>
  </si>
  <si>
    <t>a9娱乐</t>
  </si>
  <si>
    <t>1095218_chessa8yl</t>
  </si>
  <si>
    <t>A8娱乐</t>
  </si>
  <si>
    <t>1095328_chess123</t>
  </si>
  <si>
    <t>123棋牌</t>
  </si>
  <si>
    <t>1096417_chess123xxx</t>
  </si>
  <si>
    <t>ㄓㄢ</t>
  </si>
  <si>
    <t>1096435_chess123uuu</t>
  </si>
  <si>
    <t>uu123棋牌</t>
  </si>
  <si>
    <t>1096743_chess-yinhua</t>
  </si>
  <si>
    <t>test樱花棋牌</t>
  </si>
  <si>
    <t>1074114_haocai</t>
  </si>
  <si>
    <t>test棋牌王（包网租用1）</t>
  </si>
  <si>
    <t>1069347_chess898</t>
  </si>
  <si>
    <t>test898棋牌（天天乐旗下S005）</t>
  </si>
  <si>
    <t>1080613_chessapilixin</t>
  </si>
  <si>
    <t>test豪彩（api利鑫）</t>
  </si>
  <si>
    <t>1099478_chess-168yl</t>
  </si>
  <si>
    <t>168娱乐</t>
  </si>
  <si>
    <t>1099688_chessapilxwf</t>
  </si>
  <si>
    <t>利鑫繁体api</t>
  </si>
  <si>
    <t>1069347_chess-jinzun</t>
  </si>
  <si>
    <t>金尊棋牌</t>
  </si>
  <si>
    <t>1100427_chessapilxwfgfg</t>
  </si>
  <si>
    <t>大运电子 - 测试服公司</t>
  </si>
  <si>
    <t>1100982_chess800</t>
  </si>
  <si>
    <t>大运电子 - 测试服公司 - 单一钱包</t>
  </si>
  <si>
    <t>1101282_chessapilixin</t>
  </si>
  <si>
    <t>测试环境-大运棋牌api-韩元-代理ID：1101283</t>
  </si>
  <si>
    <t>實際幣值</t>
  </si>
  <si>
    <t>注：此表格已转移到http://base.888.com/pages/viewpage.action?pageId=17040742（由tiger创建和维护） 此处后续可能不再更新维护。</t>
  </si>
  <si>
    <t>利鑫集团棋牌项目API公司与服务器结构列表</t>
  </si>
  <si>
    <t>品牌名称</t>
  </si>
  <si>
    <t>总后台地址</t>
  </si>
  <si>
    <t>分公司名称</t>
  </si>
  <si>
    <t>皮肤名称
（子公司）</t>
  </si>
  <si>
    <t>分公司后台地址</t>
  </si>
  <si>
    <t>公司状态</t>
  </si>
  <si>
    <t>对应服务端运行服务器（正式服）</t>
  </si>
  <si>
    <t>游戏服务器</t>
  </si>
  <si>
    <t>状态</t>
  </si>
  <si>
    <t>客户端</t>
  </si>
  <si>
    <t>服务端</t>
  </si>
  <si>
    <t>正式服后台</t>
  </si>
  <si>
    <t>备注</t>
  </si>
  <si>
    <t>CDN</t>
  </si>
  <si>
    <t>皮肤/appid</t>
  </si>
  <si>
    <t>companyId</t>
  </si>
  <si>
    <t>companyKey</t>
  </si>
  <si>
    <t>api地址</t>
  </si>
  <si>
    <t>欢乐棋牌API</t>
  </si>
  <si>
    <t>http://qaz2013.com/Index</t>
  </si>
  <si>
    <t>测试公司</t>
  </si>
  <si>
    <t>豪彩HC皮肤</t>
  </si>
  <si>
    <t>使用中</t>
  </si>
  <si>
    <t>API租用2</t>
  </si>
  <si>
    <t>运行中（停用）</t>
  </si>
  <si>
    <t>S001</t>
  </si>
  <si>
    <t>136728_liao1</t>
  </si>
  <si>
    <t>http://api.qaz1996.com</t>
  </si>
  <si>
    <t>欢乐api豪彩上的211测试公司。2020年11月1日：迁到利鑫的服务器上</t>
  </si>
  <si>
    <t>欢乐租用zy皮肤</t>
  </si>
  <si>
    <t>136728_haocai</t>
  </si>
  <si>
    <t>欢乐api租用1上的211测试公司，也用于外放对接测试。2020年11月1日：迁到利鑫的服务器上</t>
  </si>
  <si>
    <t>运行中</t>
  </si>
  <si>
    <t>http://apizy02.qaz18199.com:9001</t>
  </si>
  <si>
    <t>2020年11月1日：迁到利鑫的服务器上</t>
  </si>
  <si>
    <t>豪彩公司</t>
  </si>
  <si>
    <t>136972_haocai</t>
  </si>
  <si>
    <t>租用公司</t>
  </si>
  <si>
    <t>租用</t>
  </si>
  <si>
    <t>137477_suolaier</t>
  </si>
  <si>
    <t>天一棋牌</t>
  </si>
  <si>
    <t>189881_haocai</t>
  </si>
  <si>
    <t>http://tyapi.qaz15028.com</t>
  </si>
  <si>
    <t>外放公司</t>
  </si>
  <si>
    <t>外放</t>
  </si>
  <si>
    <t>242458_haocai</t>
  </si>
  <si>
    <t>用于外放。2020年11月1日：迁到利鑫的服务器上</t>
  </si>
  <si>
    <t>欢乐豪彩公司</t>
  </si>
  <si>
    <t>欢乐租用公司</t>
  </si>
  <si>
    <t>欢乐租用公司皮肤</t>
  </si>
  <si>
    <t>欢乐外放公司</t>
  </si>
  <si>
    <t>利鑫棋牌API</t>
  </si>
  <si>
    <t>http://zy02masteradmin.hrwr32.com/</t>
  </si>
  <si>
    <t>外放，就是和我们陌生的新的客户，没有裙带关系纯合作的外面的盘</t>
  </si>
  <si>
    <t>类比欢乐的租用公司，租用是对接有合作裙带关系的cp盘</t>
  </si>
  <si>
    <t>利鑫测试公司</t>
  </si>
  <si>
    <t>利鑫租用zy皮肤</t>
  </si>
  <si>
    <t>利鑫外放wf皮肤</t>
  </si>
  <si>
    <t>备注：</t>
  </si>
  <si>
    <t>1，API在2020年7月前是用正式公司的测试代理作为线上测试公司使用，此后是用线上测试公司的测试代理作为线上测试公司使用。</t>
  </si>
  <si>
    <t>2，问题描述建议格式：品牌名称+分公司名称+代理（如：测试公司、租用1、租用2）+问题（金额或帐变问题请提供玩家最后一笔帐变订单号）</t>
  </si>
  <si>
    <t>3，按最初规划，是一个服务器只需要一个测试公司（211测试公司）用于验证功能是否正常，但实际中大家习惯一个皮肤对应一个测试公司(皮肤)，所以才有211、212、213多个测试公司。</t>
  </si>
  <si>
    <t>信息记录：</t>
  </si>
  <si>
    <t>1，2020年11月1日 欢乐API的豪彩、租用服务器正式合并迁移到利鑫服务器上。</t>
  </si>
  <si>
    <t>2，2021年4月份搭建了包网租用2服，5.11号正式将除了自营、123棋牌相关公司外所有其他公司迁移到包网租用2。</t>
  </si>
  <si>
    <t>利鑫集团棋牌项目包网公司与服务器结构列表</t>
  </si>
  <si>
    <t>服务器名称</t>
  </si>
  <si>
    <t>演示服后台</t>
  </si>
  <si>
    <t>测试服后台</t>
  </si>
  <si>
    <t>欢乐棋牌包网</t>
  </si>
  <si>
    <t>包网租用0</t>
  </si>
  <si>
    <t>天天乐</t>
  </si>
  <si>
    <t>租用0</t>
  </si>
  <si>
    <t>1075776_haocai</t>
  </si>
  <si>
    <t>http://qptestapi.qazcl1881.com:9001</t>
  </si>
  <si>
    <t>无</t>
  </si>
  <si>
    <t>最初规划的通用211测试公司</t>
  </si>
  <si>
    <t>800棋牌</t>
  </si>
  <si>
    <t>1075776_chess800</t>
  </si>
  <si>
    <t>http://qptestapi-800qp.qazcl1881.com:9001</t>
  </si>
  <si>
    <t>800皮肤测试公司</t>
  </si>
  <si>
    <t>lucky rummy</t>
  </si>
  <si>
    <t>S022</t>
  </si>
  <si>
    <t>1075776_chess-lucky-rummy</t>
  </si>
  <si>
    <t>http://luckyqptestapi.xvwmz5.live:9001</t>
  </si>
  <si>
    <t>S023</t>
  </si>
  <si>
    <t>2377545_chess-168yl</t>
  </si>
  <si>
    <t>http://168ylapitest.harrisbiochem.com/</t>
  </si>
  <si>
    <t>1071855_haocai</t>
  </si>
  <si>
    <t>http://qpapi.qazcl1881.com:9001</t>
  </si>
  <si>
    <t>1089957_haocai</t>
  </si>
  <si>
    <t>http://demo-ttlapi.qaz15044.com:9001</t>
  </si>
  <si>
    <t>http://qptestapi.qaz411.com:9001</t>
  </si>
  <si>
    <t>代表天天乐公司</t>
  </si>
  <si>
    <t>租用0（即原天天乐coreserver服务器），web-server-1进程会不定期消失，一直未能定位到问题（其他同样代码服务器不会出现），所以增加了一个守护进程用于自动启动此进程。</t>
  </si>
  <si>
    <t>众众乐</t>
  </si>
  <si>
    <t>已停用</t>
  </si>
  <si>
    <t>1071855_dazhong</t>
  </si>
  <si>
    <t>http://qpapi.qazcl1871.com:9001</t>
  </si>
  <si>
    <t>每次更新时记得先关闭此守护进程，更新完再打开。</t>
  </si>
  <si>
    <t>1071855_chess800</t>
  </si>
  <si>
    <t>http://800qpapi.qazcl1881.com:9001</t>
  </si>
  <si>
    <t>1089957_chess800</t>
  </si>
  <si>
    <t>http://demo-ttl800qpapi.qaz15044.com:9001</t>
  </si>
  <si>
    <t>http://800qp-api.qaz411.com:9001</t>
  </si>
  <si>
    <t>898棋牌</t>
  </si>
  <si>
    <t>S005</t>
  </si>
  <si>
    <t>1071855_chess898</t>
  </si>
  <si>
    <t>http://898qpapi.qazcl1881.com:9001</t>
  </si>
  <si>
    <t>1089957_chess898</t>
  </si>
  <si>
    <t>http://demo898qpapi.qaz15044.com:9001</t>
  </si>
  <si>
    <t>http://898qpapi.qaz411.com:9001</t>
  </si>
  <si>
    <t>新800棋牌</t>
  </si>
  <si>
    <t>1071855_chess-new800</t>
  </si>
  <si>
    <t>http://800qpapi.7qbgen.com:9001</t>
  </si>
  <si>
    <t>2246530_chess-lucky-rummy</t>
  </si>
  <si>
    <t>http://luckyapi.2peie6.live:9001</t>
  </si>
  <si>
    <t>1101729_chess-lucky-rummy</t>
  </si>
  <si>
    <t>http://demo-800dyy-api.qaz15044.com:9001</t>
  </si>
  <si>
    <t>1075776_chess-168yl</t>
  </si>
  <si>
    <t>http://168ylapi.harrisbiochem.com/</t>
  </si>
  <si>
    <t>1103195_chess-168yl</t>
  </si>
  <si>
    <t>http://168yl-api.qaz15044.com:9001/</t>
  </si>
  <si>
    <t>http://168yl-api.qaz411.com:9001/</t>
  </si>
  <si>
    <t>使用天天乐皮肤修改</t>
  </si>
  <si>
    <t>包网租用1</t>
  </si>
  <si>
    <t>租用1</t>
  </si>
  <si>
    <t>S014</t>
  </si>
  <si>
    <t>1075776_chess123</t>
  </si>
  <si>
    <t xml:space="preserve"> http://123qp-qmtgtest.maocaibang.com</t>
  </si>
  <si>
    <t>123棋牌测试公司</t>
  </si>
  <si>
    <t>xxx123棋牌</t>
  </si>
  <si>
    <t>S015</t>
  </si>
  <si>
    <t>1075776_chess123xxx</t>
  </si>
  <si>
    <t>http://xxx123qpapitest.qazcl1881.com:9001/</t>
  </si>
  <si>
    <t>xxx123棋牌测试公司</t>
  </si>
  <si>
    <t>uuu123棋牌</t>
  </si>
  <si>
    <t>S016</t>
  </si>
  <si>
    <t>1075776_chess123uuu</t>
  </si>
  <si>
    <t>http://uuu123qpapitest.qazcl1881.com:9001/</t>
  </si>
  <si>
    <t>uuu123棋牌测试公司</t>
  </si>
  <si>
    <t>1885710_chess123</t>
  </si>
  <si>
    <t>http://123qpapi.cndmks.com</t>
  </si>
  <si>
    <t>1099618_chess123</t>
  </si>
  <si>
    <t>demo-123qp-api.qaz15044.com:9001</t>
  </si>
  <si>
    <t>http://test-123qp-api.qaz411.com:9001</t>
  </si>
  <si>
    <t>1997465_chess123xxx</t>
  </si>
  <si>
    <t>http://xxx123qpapi.anjinran.com:9001</t>
  </si>
  <si>
    <t>1100757_chess123xxx</t>
  </si>
  <si>
    <t>http://demo-xxx123qp-api.qaz15044.com:9001</t>
  </si>
  <si>
    <t>http://test-xxx123qp-api.qaz411.com:9001</t>
  </si>
  <si>
    <t>1997469_chess123uuu</t>
  </si>
  <si>
    <t>http://uuu123qpapi.changxingou.com:9001</t>
  </si>
  <si>
    <t>1100793_chess123uuu</t>
  </si>
  <si>
    <t>http://demo-uuu123qp-api.qaz15044.com:9001</t>
  </si>
  <si>
    <t>http://test-uuu123qp-api.qaz411.com:9001</t>
  </si>
  <si>
    <t>包网租用2</t>
  </si>
  <si>
    <t>909棋牌</t>
  </si>
  <si>
    <t>租用2</t>
  </si>
  <si>
    <t>1075776_chess909（909服）</t>
  </si>
  <si>
    <t>http://909testapi.qazcl1871.com:9001</t>
  </si>
  <si>
    <t>909皮肤测试公司（曾作为211使用）</t>
  </si>
  <si>
    <t>顺丰娱乐</t>
  </si>
  <si>
    <t>1075776_chesssfyl</t>
  </si>
  <si>
    <t>http://sfylapi.qazcl1881.com:9001</t>
  </si>
  <si>
    <t>顺丰娱乐皮肤测试公司，已停用</t>
  </si>
  <si>
    <t>大富豪棋牌</t>
  </si>
  <si>
    <t>S008</t>
  </si>
  <si>
    <t>1075776_chessdfh</t>
  </si>
  <si>
    <t>http://dfhtestapi.qazcl1871.com:9001</t>
  </si>
  <si>
    <t>大富豪棋牌测试公司</t>
  </si>
  <si>
    <t>百胜棋牌2（128棋牌）</t>
  </si>
  <si>
    <t>S011</t>
  </si>
  <si>
    <t>1075776_chessbsqp2</t>
  </si>
  <si>
    <t>http://128qpapitest.qazcl1881.com:9001</t>
  </si>
  <si>
    <t>百胜棋牌2（128棋牌）测试公司</t>
  </si>
  <si>
    <t>S013</t>
  </si>
  <si>
    <t>1075776_chessa9yl</t>
  </si>
  <si>
    <t>http://a9qptest.qazcl1881.com:9001</t>
  </si>
  <si>
    <t>a9娱乐测试公司</t>
  </si>
  <si>
    <t>a8娱乐</t>
  </si>
  <si>
    <t>S012</t>
  </si>
  <si>
    <t>1075776_chessa8yl</t>
  </si>
  <si>
    <t>http://a8ys-api.qaz411.com:9001</t>
  </si>
  <si>
    <t>a8娱乐测试公司</t>
  </si>
  <si>
    <t>樱花棋牌</t>
  </si>
  <si>
    <t>S017</t>
  </si>
  <si>
    <t>1075776_chess-yinhua</t>
  </si>
  <si>
    <t>http://yhqpapitest.qazcl1871.com:9001</t>
  </si>
  <si>
    <t>樱花棋牌测试公司</t>
  </si>
  <si>
    <t>富途</t>
  </si>
  <si>
    <t>S020</t>
  </si>
  <si>
    <t>1075776_chess-futu</t>
  </si>
  <si>
    <t xml:space="preserve"> http://qptestapi.qazcl1881.com:9001/</t>
  </si>
  <si>
    <t>富途棋牌测试公司</t>
  </si>
  <si>
    <t>博乐</t>
  </si>
  <si>
    <t>S021</t>
  </si>
  <si>
    <t>1075776_chess-bole</t>
  </si>
  <si>
    <t>http://ftqptestapi.qazcl1871.com:9001</t>
  </si>
  <si>
    <t>S006</t>
  </si>
  <si>
    <t>1071855_chess909</t>
  </si>
  <si>
    <t>http://909qpapi.qazcl1881.com:9001</t>
  </si>
  <si>
    <t>http://demo-909qpapi.qaz15044.com:9001</t>
  </si>
  <si>
    <t>1069347_chess909</t>
  </si>
  <si>
    <t>http://909qp-api.qaz411.com:9001</t>
  </si>
  <si>
    <t>1071855_chesssfyl</t>
  </si>
  <si>
    <t>1089957_chesssfyl</t>
  </si>
  <si>
    <t>http://sfylapi.qaz15044.com:9001</t>
  </si>
  <si>
    <t>http://sfylapi.qaz411.com:9001</t>
  </si>
  <si>
    <t>大富豪</t>
  </si>
  <si>
    <t>大富豪棋牌（新天地娱乐）</t>
  </si>
  <si>
    <t>1801384_chessdfh</t>
  </si>
  <si>
    <t>http://dfhapi.wdqp123.com</t>
  </si>
  <si>
    <t>1097498_chessdfh</t>
  </si>
  <si>
    <t>http://demo-dfhqpapi.qaz15044.com:9001</t>
  </si>
  <si>
    <t>http://dfhtestapi.qaz411.com:9001</t>
  </si>
  <si>
    <t>百胜</t>
  </si>
  <si>
    <t>百胜棋牌1</t>
  </si>
  <si>
    <t>未上线</t>
  </si>
  <si>
    <t>S009</t>
  </si>
  <si>
    <t>1098410_chessbsqp</t>
  </si>
  <si>
    <t>http://demo-bsapi.qaz15044.com:9001</t>
  </si>
  <si>
    <t>http://bsqp-api.qaz411.com:9001</t>
  </si>
  <si>
    <t>1821518_chessbsqp2</t>
  </si>
  <si>
    <t>http://128api.xykylsc.com</t>
  </si>
  <si>
    <t>1098410_chessbsqp2</t>
  </si>
  <si>
    <t>http://demo-bs2api.qaz15044.com:9001</t>
  </si>
  <si>
    <t>http://bsqp2-api.qaz411.com:9001</t>
  </si>
  <si>
    <t>印度棋牌</t>
  </si>
  <si>
    <t>S010</t>
  </si>
  <si>
    <t>http://rpqp-api.qaz411.com:9001</t>
  </si>
  <si>
    <t>1823830_chessa9yl</t>
  </si>
  <si>
    <t>http://a9qpapi.xhjt06.cn</t>
  </si>
  <si>
    <t>1099209_chessa9yl</t>
  </si>
  <si>
    <t>http://demo-a9api.qaz15044.com:9001</t>
  </si>
  <si>
    <t>http://a9qp-api.qaz411.com:9001</t>
  </si>
  <si>
    <t>1849026_chessa8yl</t>
  </si>
  <si>
    <t>http://a8qpapi.xhjt06.cn</t>
  </si>
  <si>
    <t>1099477_chessa8yl</t>
  </si>
  <si>
    <t xml:space="preserve">http://demo-a8ys-api.qaz15044.com:9001/ </t>
  </si>
  <si>
    <t>2038953_chess-yinhua</t>
  </si>
  <si>
    <t>http://yhqpapitest.gemm8.com:9001</t>
  </si>
  <si>
    <t>1101156_chess-yinhua</t>
  </si>
  <si>
    <t>http://demo-yhqp-api.qaz15044.com:9001/</t>
  </si>
  <si>
    <t>http://demo-yh888-api.qaz15044.com:9001</t>
  </si>
  <si>
    <t>迪岸棋牌</t>
  </si>
  <si>
    <t>S018</t>
  </si>
  <si>
    <t>2050836_chessdaqp</t>
  </si>
  <si>
    <t>http://dianqpapi.fastairtech.com:9001</t>
  </si>
  <si>
    <t>直接上正式服的</t>
  </si>
  <si>
    <t>天赢棋牌</t>
  </si>
  <si>
    <t>S019</t>
  </si>
  <si>
    <t>1101286_chess-tianying</t>
  </si>
  <si>
    <t>http://demo-tyqp-api.qaz15044.com:9001</t>
  </si>
  <si>
    <t>富途棋牌</t>
  </si>
  <si>
    <t>2141505_chess-futu</t>
  </si>
  <si>
    <t>http://ftapi.sgx330.com</t>
  </si>
  <si>
    <t>1101285_chess-futu</t>
  </si>
  <si>
    <t>http://demo-ftqp-api.qaz15044.com:9001</t>
  </si>
  <si>
    <t>博乐棋牌</t>
  </si>
  <si>
    <t>2141043_chess-bole</t>
  </si>
  <si>
    <t>http://blapi.sgx330.com</t>
  </si>
  <si>
    <t>1101342_chess-bole</t>
  </si>
  <si>
    <t>http://demo-blqp-api.qaz15044.com:9001</t>
  </si>
  <si>
    <r>
      <rPr>
        <sz val="10"/>
        <color theme="1"/>
        <rFont val="微軟正黑體"/>
        <family val="2"/>
        <charset val="136"/>
      </rPr>
      <t>外放</t>
    </r>
    <r>
      <rPr>
        <sz val="10"/>
        <color theme="1"/>
        <rFont val="Arial"/>
        <family val="2"/>
        <scheme val="minor"/>
      </rPr>
      <t>(EMC)</t>
    </r>
    <phoneticPr fontId="30" type="noConversion"/>
  </si>
  <si>
    <r>
      <rPr>
        <sz val="10"/>
        <color rgb="FF000000"/>
        <rFont val="微軟正黑體"/>
        <family val="2"/>
        <charset val="136"/>
      </rPr>
      <t>這邊修正下</t>
    </r>
    <r>
      <rPr>
        <sz val="10"/>
        <color rgb="FF000000"/>
        <rFont val="Arial"/>
        <family val="2"/>
        <scheme val="minor"/>
      </rPr>
      <t>21</t>
    </r>
    <r>
      <rPr>
        <sz val="10"/>
        <color rgb="FF000000"/>
        <rFont val="微軟正黑體"/>
        <family val="2"/>
        <charset val="136"/>
      </rPr>
      <t>點追蹤數據，已移除測試公司的資訊，觀察</t>
    </r>
    <r>
      <rPr>
        <sz val="10"/>
        <color rgb="FF000000"/>
        <rFont val="Arial"/>
        <family val="2"/>
        <scheme val="minor"/>
      </rPr>
      <t>RTP</t>
    </r>
    <r>
      <rPr>
        <sz val="10"/>
        <color rgb="FF000000"/>
        <rFont val="微軟正黑體"/>
        <family val="2"/>
        <charset val="136"/>
      </rPr>
      <t>微增、贏家率微降、勝場率微增</t>
    </r>
    <phoneticPr fontId="30" type="noConversion"/>
  </si>
  <si>
    <t>美金</t>
    <phoneticPr fontId="30" type="noConversion"/>
  </si>
  <si>
    <t>USD</t>
  </si>
  <si>
    <t>3013686_myr</t>
    <phoneticPr fontId="30" type="noConversion"/>
  </si>
  <si>
    <t>TPOWER</t>
    <phoneticPr fontId="30" type="noConversion"/>
  </si>
  <si>
    <t>3066630_cny</t>
    <phoneticPr fontId="30" type="noConversion"/>
  </si>
  <si>
    <t>人民幣</t>
    <phoneticPr fontId="30" type="noConversion"/>
  </si>
  <si>
    <t>CNY</t>
  </si>
  <si>
    <r>
      <t>HHK</t>
    </r>
    <r>
      <rPr>
        <sz val="10"/>
        <color theme="1"/>
        <rFont val="Microsoft JhengHei"/>
        <family val="2"/>
      </rPr>
      <t>老虎機</t>
    </r>
    <r>
      <rPr>
        <sz val="10"/>
        <color theme="1"/>
        <rFont val="Arial"/>
        <family val="2"/>
      </rPr>
      <t>(166</t>
    </r>
    <r>
      <rPr>
        <sz val="10"/>
        <color theme="1"/>
        <rFont val="Microsoft JhengHei"/>
        <family val="2"/>
      </rPr>
      <t>彩票</t>
    </r>
    <r>
      <rPr>
        <sz val="10"/>
        <color theme="1"/>
        <rFont val="Arial"/>
        <family val="2"/>
      </rPr>
      <t>)</t>
    </r>
    <phoneticPr fontId="30" type="noConversion"/>
  </si>
  <si>
    <t>3104890_hkd</t>
    <phoneticPr fontId="30" type="noConversion"/>
  </si>
  <si>
    <t>Joker8</t>
    <phoneticPr fontId="30" type="noConversion"/>
  </si>
  <si>
    <t>港幣</t>
    <phoneticPr fontId="30" type="noConversion"/>
  </si>
  <si>
    <t>HKD</t>
  </si>
  <si>
    <t>USDT</t>
  </si>
  <si>
    <t>1573945_chessapilixin</t>
    <phoneticPr fontId="30" type="noConversion"/>
  </si>
  <si>
    <t>2921346_thb</t>
    <phoneticPr fontId="30" type="noConversion"/>
  </si>
  <si>
    <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Arial"/>
        <family val="3"/>
        <charset val="136"/>
        <scheme val="minor"/>
      </rPr>
      <t>单一钱包</t>
    </r>
    <r>
      <rPr>
        <sz val="10"/>
        <color theme="1"/>
        <rFont val="Arial"/>
        <family val="2"/>
        <scheme val="minor"/>
      </rPr>
      <t>OKhash06-</t>
    </r>
    <r>
      <rPr>
        <sz val="10"/>
        <color theme="1"/>
        <rFont val="Arial"/>
        <family val="3"/>
        <charset val="136"/>
        <scheme val="minor"/>
      </rPr>
      <t>一级代理：</t>
    </r>
    <r>
      <rPr>
        <sz val="10"/>
        <color theme="1"/>
        <rFont val="Arial"/>
        <family val="2"/>
        <scheme val="minor"/>
      </rPr>
      <t>2932544</t>
    </r>
  </si>
  <si>
    <t>3770210_brl</t>
    <phoneticPr fontId="30" type="noConversion"/>
  </si>
  <si>
    <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Arial"/>
        <family val="3"/>
        <charset val="136"/>
        <scheme val="minor"/>
      </rPr>
      <t>转账钱包</t>
    </r>
    <r>
      <rPr>
        <sz val="10"/>
        <color theme="1"/>
        <rFont val="Arial"/>
        <family val="2"/>
        <scheme val="minor"/>
      </rPr>
      <t>afun8-</t>
    </r>
    <r>
      <rPr>
        <sz val="10"/>
        <color theme="1"/>
        <rFont val="Arial"/>
        <family val="3"/>
        <charset val="136"/>
        <scheme val="minor"/>
      </rPr>
      <t>一级代理：</t>
    </r>
    <r>
      <rPr>
        <sz val="10"/>
        <color theme="1"/>
        <rFont val="Arial"/>
        <family val="2"/>
        <scheme val="minor"/>
      </rPr>
      <t>3770245</t>
    </r>
  </si>
  <si>
    <r>
      <rPr>
        <sz val="10"/>
        <color theme="1"/>
        <rFont val="新細明體"/>
        <family val="2"/>
        <charset val="136"/>
      </rP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新細明體"/>
        <family val="2"/>
        <charset val="136"/>
      </rPr>
      <t>单一钱包</t>
    </r>
    <r>
      <rPr>
        <sz val="10"/>
        <color theme="1"/>
        <rFont val="Arial"/>
        <family val="2"/>
        <scheme val="minor"/>
      </rPr>
      <t>OKhash06-</t>
    </r>
    <r>
      <rPr>
        <sz val="10"/>
        <color theme="1"/>
        <rFont val="新細明體"/>
        <family val="2"/>
        <charset val="136"/>
      </rPr>
      <t>一级代理：</t>
    </r>
    <r>
      <rPr>
        <sz val="10"/>
        <color theme="1"/>
        <rFont val="Arial"/>
        <family val="2"/>
        <scheme val="minor"/>
      </rPr>
      <t>2932544</t>
    </r>
    <phoneticPr fontId="30" type="noConversion"/>
  </si>
  <si>
    <t>4403173_php</t>
    <phoneticPr fontId="30" type="noConversion"/>
  </si>
  <si>
    <r>
      <rPr>
        <sz val="10"/>
        <color theme="1"/>
        <rFont val="新細明體"/>
        <family val="2"/>
        <charset val="136"/>
      </rPr>
      <t>大运棋牌</t>
    </r>
    <r>
      <rPr>
        <sz val="10"/>
        <color theme="1"/>
        <rFont val="Arial"/>
        <family val="2"/>
        <scheme val="minor"/>
      </rPr>
      <t>api-</t>
    </r>
    <r>
      <rPr>
        <sz val="10"/>
        <color theme="1"/>
        <rFont val="新細明體"/>
        <family val="2"/>
        <charset val="136"/>
      </rPr>
      <t>唯一钱包</t>
    </r>
    <r>
      <rPr>
        <sz val="10"/>
        <color theme="1"/>
        <rFont val="Arial"/>
        <family val="2"/>
        <scheme val="minor"/>
      </rPr>
      <t>WINGMING-</t>
    </r>
    <r>
      <rPr>
        <sz val="10"/>
        <color theme="1"/>
        <rFont val="新細明體"/>
        <family val="2"/>
        <charset val="136"/>
      </rPr>
      <t>一级代理：</t>
    </r>
    <r>
      <rPr>
        <sz val="10"/>
        <color theme="1"/>
        <rFont val="Arial"/>
        <family val="2"/>
        <scheme val="minor"/>
      </rPr>
      <t>4420913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</si>
</sst>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  <font>
      <sz val="11"/>
      <color rgb="FF000000"/>
      <name val="宋体"/>
      <family val="3"/>
      <charset val="136"/>
    </font>
    <font>
      <b/>
      <sz val="11"/>
      <color rgb="FF000000"/>
      <name val="宋体"/>
      <charset val="136"/>
    </font>
    <font>
      <sz val="10"/>
      <name val="Arial"/>
      <family val="2"/>
    </font>
    <font>
      <u/>
      <sz val="11"/>
      <color rgb="FF000000"/>
      <name val="宋体"/>
      <charset val="136"/>
    </font>
    <font>
      <u/>
      <sz val="11"/>
      <color rgb="FF000000"/>
      <name val="宋体"/>
      <charset val="136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宋体"/>
      <charset val="136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1"/>
      <color rgb="FF000000"/>
      <name val="宋体"/>
      <charset val="136"/>
    </font>
    <font>
      <u/>
      <sz val="10"/>
      <color rgb="FF1155CC"/>
      <name val="Arial"/>
      <family val="2"/>
    </font>
    <font>
      <u/>
      <sz val="11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u/>
      <sz val="11"/>
      <color rgb="FF000000"/>
      <name val="宋体"/>
      <charset val="136"/>
    </font>
    <font>
      <u/>
      <sz val="11"/>
      <color rgb="FF000000"/>
      <name val="宋体"/>
      <charset val="136"/>
    </font>
    <font>
      <u/>
      <sz val="11"/>
      <color rgb="FF000000"/>
      <name val="宋体"/>
      <charset val="136"/>
    </font>
    <font>
      <u/>
      <sz val="11"/>
      <color rgb="FF000000"/>
      <name val="宋体"/>
      <charset val="136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新細明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2" fillId="5" borderId="0" xfId="0" applyFont="1" applyFill="1"/>
    <xf numFmtId="0" fontId="4" fillId="5" borderId="0" xfId="0" applyFont="1" applyFill="1"/>
    <xf numFmtId="0" fontId="1" fillId="2" borderId="0" xfId="0" applyFont="1" applyFill="1"/>
    <xf numFmtId="176" fontId="1" fillId="2" borderId="0" xfId="0" applyNumberFormat="1" applyFont="1" applyFill="1" applyAlignment="1">
      <alignment vertical="top"/>
    </xf>
    <xf numFmtId="176" fontId="2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5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7" fillId="0" borderId="6" xfId="0" applyFont="1" applyBorder="1"/>
    <xf numFmtId="0" fontId="7" fillId="0" borderId="0" xfId="0" applyFont="1"/>
    <xf numFmtId="0" fontId="11" fillId="0" borderId="0" xfId="0" applyFont="1"/>
    <xf numFmtId="0" fontId="7" fillId="0" borderId="8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12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6" borderId="0" xfId="0" applyFont="1" applyFill="1" applyAlignment="1">
      <alignment vertical="center"/>
    </xf>
    <xf numFmtId="0" fontId="7" fillId="6" borderId="0" xfId="0" applyFont="1" applyFill="1"/>
    <xf numFmtId="0" fontId="6" fillId="6" borderId="0" xfId="0" applyFont="1" applyFill="1" applyAlignment="1">
      <alignment horizontal="left"/>
    </xf>
    <xf numFmtId="0" fontId="14" fillId="6" borderId="0" xfId="0" applyFont="1" applyFill="1"/>
    <xf numFmtId="0" fontId="7" fillId="6" borderId="8" xfId="0" applyFont="1" applyFill="1" applyBorder="1"/>
    <xf numFmtId="0" fontId="2" fillId="6" borderId="0" xfId="0" applyFont="1" applyFill="1"/>
    <xf numFmtId="0" fontId="15" fillId="6" borderId="0" xfId="0" applyFont="1" applyFill="1"/>
    <xf numFmtId="0" fontId="4" fillId="6" borderId="0" xfId="0" applyFont="1" applyFill="1"/>
    <xf numFmtId="0" fontId="16" fillId="6" borderId="0" xfId="0" applyFont="1" applyFill="1"/>
    <xf numFmtId="0" fontId="17" fillId="6" borderId="0" xfId="0" applyFont="1" applyFill="1"/>
    <xf numFmtId="0" fontId="6" fillId="6" borderId="0" xfId="0" applyFont="1" applyFill="1"/>
    <xf numFmtId="0" fontId="6" fillId="6" borderId="0" xfId="0" applyFont="1" applyFill="1" applyAlignment="1">
      <alignment horizontal="right"/>
    </xf>
    <xf numFmtId="0" fontId="18" fillId="6" borderId="0" xfId="0" applyFont="1" applyFill="1"/>
    <xf numFmtId="0" fontId="19" fillId="6" borderId="0" xfId="0" applyFont="1" applyFill="1"/>
    <xf numFmtId="0" fontId="20" fillId="6" borderId="11" xfId="0" applyFont="1" applyFill="1" applyBorder="1"/>
    <xf numFmtId="0" fontId="2" fillId="7" borderId="0" xfId="0" applyFont="1" applyFill="1"/>
    <xf numFmtId="0" fontId="6" fillId="7" borderId="0" xfId="0" applyFont="1" applyFill="1" applyAlignment="1">
      <alignment horizontal="left"/>
    </xf>
    <xf numFmtId="0" fontId="7" fillId="7" borderId="0" xfId="0" applyFont="1" applyFill="1"/>
    <xf numFmtId="0" fontId="22" fillId="7" borderId="0" xfId="0" applyFont="1" applyFill="1"/>
    <xf numFmtId="0" fontId="23" fillId="7" borderId="0" xfId="0" applyFont="1" applyFill="1"/>
    <xf numFmtId="0" fontId="7" fillId="8" borderId="0" xfId="0" applyFont="1" applyFill="1"/>
    <xf numFmtId="0" fontId="6" fillId="8" borderId="0" xfId="0" applyFont="1" applyFill="1" applyAlignment="1">
      <alignment horizontal="left"/>
    </xf>
    <xf numFmtId="0" fontId="24" fillId="8" borderId="0" xfId="0" applyFont="1" applyFill="1"/>
    <xf numFmtId="0" fontId="2" fillId="8" borderId="0" xfId="0" applyFont="1" applyFill="1"/>
    <xf numFmtId="0" fontId="25" fillId="8" borderId="0" xfId="0" applyFont="1" applyFill="1"/>
    <xf numFmtId="0" fontId="26" fillId="8" borderId="0" xfId="0" applyFont="1" applyFill="1"/>
    <xf numFmtId="0" fontId="7" fillId="8" borderId="8" xfId="0" applyFont="1" applyFill="1" applyBorder="1"/>
    <xf numFmtId="0" fontId="27" fillId="8" borderId="0" xfId="0" applyFont="1" applyFill="1"/>
    <xf numFmtId="0" fontId="28" fillId="8" borderId="0" xfId="0" applyFont="1" applyFill="1" applyAlignment="1">
      <alignment horizontal="left"/>
    </xf>
    <xf numFmtId="0" fontId="32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7" xfId="0" applyFont="1" applyBorder="1"/>
    <xf numFmtId="0" fontId="8" fillId="0" borderId="2" xfId="0" applyFont="1" applyBorder="1"/>
    <xf numFmtId="0" fontId="9" fillId="0" borderId="4" xfId="0" applyFont="1" applyBorder="1"/>
    <xf numFmtId="0" fontId="9" fillId="0" borderId="5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3" xfId="0" applyFont="1" applyBorder="1"/>
    <xf numFmtId="0" fontId="13" fillId="0" borderId="1" xfId="0" applyFont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/>
    <xf numFmtId="0" fontId="21" fillId="7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2" fillId="9" borderId="0" xfId="0" applyFont="1" applyFill="1"/>
    <xf numFmtId="0" fontId="36" fillId="9" borderId="0" xfId="0" applyFont="1" applyFill="1"/>
  </cellXfs>
  <cellStyles count="1">
    <cellStyle name="一般" xfId="0" builtinId="0"/>
  </cellStyles>
  <dxfs count="5">
    <dxf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anda.com/currency-converter/zh/?from=CNY&amp;to=MYR&amp;amount=1" TargetMode="External"/><Relationship Id="rId1" Type="http://schemas.openxmlformats.org/officeDocument/2006/relationships/hyperlink" Target="https://zh.wikipedia.org/zh-tw/ISO_421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api.qaz1996.com/" TargetMode="External"/><Relationship Id="rId13" Type="http://schemas.openxmlformats.org/officeDocument/2006/relationships/hyperlink" Target="http://apizy02.qaz18199.com:9001/" TargetMode="External"/><Relationship Id="rId18" Type="http://schemas.openxmlformats.org/officeDocument/2006/relationships/hyperlink" Target="http://apizy02.qaz18199.com:9001/" TargetMode="External"/><Relationship Id="rId3" Type="http://schemas.openxmlformats.org/officeDocument/2006/relationships/hyperlink" Target="http://api.qaz1996.com/" TargetMode="External"/><Relationship Id="rId7" Type="http://schemas.openxmlformats.org/officeDocument/2006/relationships/hyperlink" Target="http://tyapi.qaz15028.com/" TargetMode="External"/><Relationship Id="rId12" Type="http://schemas.openxmlformats.org/officeDocument/2006/relationships/hyperlink" Target="http://zy02masteradmin.hrwr32.com/" TargetMode="External"/><Relationship Id="rId17" Type="http://schemas.openxmlformats.org/officeDocument/2006/relationships/hyperlink" Target="http://apizy02.qaz18199.com:9001/" TargetMode="External"/><Relationship Id="rId2" Type="http://schemas.openxmlformats.org/officeDocument/2006/relationships/hyperlink" Target="http://api.qaz1996.com/" TargetMode="External"/><Relationship Id="rId16" Type="http://schemas.openxmlformats.org/officeDocument/2006/relationships/hyperlink" Target="http://apizy02.qaz18199.com:9001/" TargetMode="External"/><Relationship Id="rId1" Type="http://schemas.openxmlformats.org/officeDocument/2006/relationships/hyperlink" Target="http://qaz2013.com/Index" TargetMode="External"/><Relationship Id="rId6" Type="http://schemas.openxmlformats.org/officeDocument/2006/relationships/hyperlink" Target="http://api.qaz1996.com/" TargetMode="External"/><Relationship Id="rId11" Type="http://schemas.openxmlformats.org/officeDocument/2006/relationships/hyperlink" Target="http://apizy02.qaz18199.com:9001/" TargetMode="External"/><Relationship Id="rId5" Type="http://schemas.openxmlformats.org/officeDocument/2006/relationships/hyperlink" Target="http://api.qaz1996.com/" TargetMode="External"/><Relationship Id="rId15" Type="http://schemas.openxmlformats.org/officeDocument/2006/relationships/hyperlink" Target="http://apizy02.qaz18199.com:9001/" TargetMode="External"/><Relationship Id="rId10" Type="http://schemas.openxmlformats.org/officeDocument/2006/relationships/hyperlink" Target="http://apizy02.qaz18199.com:9001/" TargetMode="External"/><Relationship Id="rId4" Type="http://schemas.openxmlformats.org/officeDocument/2006/relationships/hyperlink" Target="http://apizy02.qaz18199.com:9001/" TargetMode="External"/><Relationship Id="rId9" Type="http://schemas.openxmlformats.org/officeDocument/2006/relationships/hyperlink" Target="http://apizy02.qaz18199.com:9001/" TargetMode="External"/><Relationship Id="rId14" Type="http://schemas.openxmlformats.org/officeDocument/2006/relationships/hyperlink" Target="http://apizy02.qaz18199.com:9001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demo-123qp-api.qaz15044.com:9001/" TargetMode="External"/><Relationship Id="rId21" Type="http://schemas.openxmlformats.org/officeDocument/2006/relationships/hyperlink" Target="http://168yl-api.qaz411.com:9001/" TargetMode="External"/><Relationship Id="rId42" Type="http://schemas.openxmlformats.org/officeDocument/2006/relationships/hyperlink" Target="http://ftqptestapi.qazcl1871.com:9001/" TargetMode="External"/><Relationship Id="rId47" Type="http://schemas.openxmlformats.org/officeDocument/2006/relationships/hyperlink" Target="http://sfylapi.qaz15044.com:9001/" TargetMode="External"/><Relationship Id="rId63" Type="http://schemas.openxmlformats.org/officeDocument/2006/relationships/hyperlink" Target="http://a8ys-api.qaz411.com:9001/" TargetMode="External"/><Relationship Id="rId68" Type="http://schemas.openxmlformats.org/officeDocument/2006/relationships/hyperlink" Target="http://demo-tyqp-api.qaz15044.com:9001/" TargetMode="External"/><Relationship Id="rId2" Type="http://schemas.openxmlformats.org/officeDocument/2006/relationships/hyperlink" Target="http://qptestapi-800qp.qazcl1881.com:9001/" TargetMode="External"/><Relationship Id="rId16" Type="http://schemas.openxmlformats.org/officeDocument/2006/relationships/hyperlink" Target="http://luckyapi.2peie6.live:9001/" TargetMode="External"/><Relationship Id="rId29" Type="http://schemas.openxmlformats.org/officeDocument/2006/relationships/hyperlink" Target="http://demo-xxx123qp-api.qaz15044.com:9001/" TargetMode="External"/><Relationship Id="rId11" Type="http://schemas.openxmlformats.org/officeDocument/2006/relationships/hyperlink" Target="http://800qp-api.qaz411.com:9001/" TargetMode="External"/><Relationship Id="rId24" Type="http://schemas.openxmlformats.org/officeDocument/2006/relationships/hyperlink" Target="http://uuu123qpapitest.qazcl1881.com:9001/" TargetMode="External"/><Relationship Id="rId32" Type="http://schemas.openxmlformats.org/officeDocument/2006/relationships/hyperlink" Target="http://demo-uuu123qp-api.qaz15044.com:9001/" TargetMode="External"/><Relationship Id="rId37" Type="http://schemas.openxmlformats.org/officeDocument/2006/relationships/hyperlink" Target="http://128qpapitest.qazcl1881.com:9001/" TargetMode="External"/><Relationship Id="rId40" Type="http://schemas.openxmlformats.org/officeDocument/2006/relationships/hyperlink" Target="http://yhqpapitest.qazcl1871.com:9001/" TargetMode="External"/><Relationship Id="rId45" Type="http://schemas.openxmlformats.org/officeDocument/2006/relationships/hyperlink" Target="http://909qp-api.qaz411.com:9001/" TargetMode="External"/><Relationship Id="rId53" Type="http://schemas.openxmlformats.org/officeDocument/2006/relationships/hyperlink" Target="http://bsqp-api.qaz411.com:9001/" TargetMode="External"/><Relationship Id="rId58" Type="http://schemas.openxmlformats.org/officeDocument/2006/relationships/hyperlink" Target="http://a9qpapi.xhjt06.cn/" TargetMode="External"/><Relationship Id="rId66" Type="http://schemas.openxmlformats.org/officeDocument/2006/relationships/hyperlink" Target="http://demo-yh888-api.qaz15044.com:9001/" TargetMode="External"/><Relationship Id="rId74" Type="http://schemas.openxmlformats.org/officeDocument/2006/relationships/comments" Target="../comments3.xml"/><Relationship Id="rId5" Type="http://schemas.openxmlformats.org/officeDocument/2006/relationships/hyperlink" Target="http://qpapi.qazcl1881.com:9001/" TargetMode="External"/><Relationship Id="rId61" Type="http://schemas.openxmlformats.org/officeDocument/2006/relationships/hyperlink" Target="http://a8qpapi.xhjt06.cn/" TargetMode="External"/><Relationship Id="rId19" Type="http://schemas.openxmlformats.org/officeDocument/2006/relationships/hyperlink" Target="http://168ylapi.harrisbiochem.com/" TargetMode="External"/><Relationship Id="rId14" Type="http://schemas.openxmlformats.org/officeDocument/2006/relationships/hyperlink" Target="http://898qpapi.qaz411.com:9001/" TargetMode="External"/><Relationship Id="rId22" Type="http://schemas.openxmlformats.org/officeDocument/2006/relationships/hyperlink" Target="http://123qp-qmtgtest.maocaibang.com/" TargetMode="External"/><Relationship Id="rId27" Type="http://schemas.openxmlformats.org/officeDocument/2006/relationships/hyperlink" Target="http://test-123qp-api.qaz411.com:9001/" TargetMode="External"/><Relationship Id="rId30" Type="http://schemas.openxmlformats.org/officeDocument/2006/relationships/hyperlink" Target="http://test-123qp-api.qaz411.com:9001/" TargetMode="External"/><Relationship Id="rId35" Type="http://schemas.openxmlformats.org/officeDocument/2006/relationships/hyperlink" Target="http://sfylapi.qazcl1881.com:9001/" TargetMode="External"/><Relationship Id="rId43" Type="http://schemas.openxmlformats.org/officeDocument/2006/relationships/hyperlink" Target="http://909qpapi.qazcl1881.com:9001/" TargetMode="External"/><Relationship Id="rId48" Type="http://schemas.openxmlformats.org/officeDocument/2006/relationships/hyperlink" Target="http://sfylapi.qaz411.com:9001/" TargetMode="External"/><Relationship Id="rId56" Type="http://schemas.openxmlformats.org/officeDocument/2006/relationships/hyperlink" Target="http://bsqp2-api.qaz411.com:9001/" TargetMode="External"/><Relationship Id="rId64" Type="http://schemas.openxmlformats.org/officeDocument/2006/relationships/hyperlink" Target="http://yhqpapitest.gemm8.com:9001/" TargetMode="External"/><Relationship Id="rId69" Type="http://schemas.openxmlformats.org/officeDocument/2006/relationships/hyperlink" Target="http://ftapi.sgx330.com/" TargetMode="External"/><Relationship Id="rId8" Type="http://schemas.openxmlformats.org/officeDocument/2006/relationships/hyperlink" Target="http://qpapi.qazcl1871.com:9001/" TargetMode="External"/><Relationship Id="rId51" Type="http://schemas.openxmlformats.org/officeDocument/2006/relationships/hyperlink" Target="http://dfhtestapi.qaz411.com:9001/" TargetMode="External"/><Relationship Id="rId72" Type="http://schemas.openxmlformats.org/officeDocument/2006/relationships/hyperlink" Target="http://demo-blqp-api.qaz15044.com:9001/" TargetMode="External"/><Relationship Id="rId3" Type="http://schemas.openxmlformats.org/officeDocument/2006/relationships/hyperlink" Target="http://luckyqptestapi.xvwmz5.live:9001/" TargetMode="External"/><Relationship Id="rId12" Type="http://schemas.openxmlformats.org/officeDocument/2006/relationships/hyperlink" Target="http://898qpapi.qazcl1881.com:9001/" TargetMode="External"/><Relationship Id="rId17" Type="http://schemas.openxmlformats.org/officeDocument/2006/relationships/hyperlink" Target="http://luckyapi.2peie6.live:9001/" TargetMode="External"/><Relationship Id="rId25" Type="http://schemas.openxmlformats.org/officeDocument/2006/relationships/hyperlink" Target="http://123qpapi.cndmks.com/" TargetMode="External"/><Relationship Id="rId33" Type="http://schemas.openxmlformats.org/officeDocument/2006/relationships/hyperlink" Target="http://test-uuu123qp-api.qaz411.com:9001/" TargetMode="External"/><Relationship Id="rId38" Type="http://schemas.openxmlformats.org/officeDocument/2006/relationships/hyperlink" Target="http://a9qptest.qazcl1881.com:9001/" TargetMode="External"/><Relationship Id="rId46" Type="http://schemas.openxmlformats.org/officeDocument/2006/relationships/hyperlink" Target="http://sfylapi.qazcl1881.com:9001/" TargetMode="External"/><Relationship Id="rId59" Type="http://schemas.openxmlformats.org/officeDocument/2006/relationships/hyperlink" Target="http://demo-a9api.qaz15044.com:9001/" TargetMode="External"/><Relationship Id="rId67" Type="http://schemas.openxmlformats.org/officeDocument/2006/relationships/hyperlink" Target="http://dianqpapi.fastairtech.com:9001/" TargetMode="External"/><Relationship Id="rId20" Type="http://schemas.openxmlformats.org/officeDocument/2006/relationships/hyperlink" Target="http://168yl-api.qaz15044.com:9001/" TargetMode="External"/><Relationship Id="rId41" Type="http://schemas.openxmlformats.org/officeDocument/2006/relationships/hyperlink" Target="http://qptestapi.qazcl1881.com:9001/" TargetMode="External"/><Relationship Id="rId54" Type="http://schemas.openxmlformats.org/officeDocument/2006/relationships/hyperlink" Target="http://128api.xykylsc.com/" TargetMode="External"/><Relationship Id="rId62" Type="http://schemas.openxmlformats.org/officeDocument/2006/relationships/hyperlink" Target="http://demo-a8ys-api.qaz15044.com:9001/" TargetMode="External"/><Relationship Id="rId70" Type="http://schemas.openxmlformats.org/officeDocument/2006/relationships/hyperlink" Target="http://demo-ftqp-api.qaz15044.com:9001/" TargetMode="External"/><Relationship Id="rId1" Type="http://schemas.openxmlformats.org/officeDocument/2006/relationships/hyperlink" Target="http://qptestapi.qazcl1881.com:9001/" TargetMode="External"/><Relationship Id="rId6" Type="http://schemas.openxmlformats.org/officeDocument/2006/relationships/hyperlink" Target="http://demo-ttlapi.qaz15044.com:9001/" TargetMode="External"/><Relationship Id="rId15" Type="http://schemas.openxmlformats.org/officeDocument/2006/relationships/hyperlink" Target="http://800qpapi.7qbgen.com:9001/" TargetMode="External"/><Relationship Id="rId23" Type="http://schemas.openxmlformats.org/officeDocument/2006/relationships/hyperlink" Target="http://xxx123qpapitest.qazcl1881.com:9001/" TargetMode="External"/><Relationship Id="rId28" Type="http://schemas.openxmlformats.org/officeDocument/2006/relationships/hyperlink" Target="http://xxx123qpapi.anjinran.com:9001/" TargetMode="External"/><Relationship Id="rId36" Type="http://schemas.openxmlformats.org/officeDocument/2006/relationships/hyperlink" Target="http://dfhtestapi.qazcl1871.com:9001/" TargetMode="External"/><Relationship Id="rId49" Type="http://schemas.openxmlformats.org/officeDocument/2006/relationships/hyperlink" Target="http://dfhapi.wdqp123.com/" TargetMode="External"/><Relationship Id="rId57" Type="http://schemas.openxmlformats.org/officeDocument/2006/relationships/hyperlink" Target="http://rpqp-api.qaz411.com:9001/" TargetMode="External"/><Relationship Id="rId10" Type="http://schemas.openxmlformats.org/officeDocument/2006/relationships/hyperlink" Target="http://demo-ttl800qpapi.qaz15044.com:9001/" TargetMode="External"/><Relationship Id="rId31" Type="http://schemas.openxmlformats.org/officeDocument/2006/relationships/hyperlink" Target="http://uuu123qpapi.changxingou.com:9001/" TargetMode="External"/><Relationship Id="rId44" Type="http://schemas.openxmlformats.org/officeDocument/2006/relationships/hyperlink" Target="http://demo-909qpapi.qaz15044.com:9001/" TargetMode="External"/><Relationship Id="rId52" Type="http://schemas.openxmlformats.org/officeDocument/2006/relationships/hyperlink" Target="http://demo-bsapi.qaz15044.com:9001/" TargetMode="External"/><Relationship Id="rId60" Type="http://schemas.openxmlformats.org/officeDocument/2006/relationships/hyperlink" Target="http://a9qp-api.qaz411.com:9001/" TargetMode="External"/><Relationship Id="rId65" Type="http://schemas.openxmlformats.org/officeDocument/2006/relationships/hyperlink" Target="http://demo-yhqp-api.qaz15044.com:9001/" TargetMode="External"/><Relationship Id="rId73" Type="http://schemas.openxmlformats.org/officeDocument/2006/relationships/vmlDrawing" Target="../drawings/vmlDrawing3.vml"/><Relationship Id="rId4" Type="http://schemas.openxmlformats.org/officeDocument/2006/relationships/hyperlink" Target="http://168ylapitest.harrisbiochem.com/" TargetMode="External"/><Relationship Id="rId9" Type="http://schemas.openxmlformats.org/officeDocument/2006/relationships/hyperlink" Target="http://800qpapi.qazcl1881.com:9001/" TargetMode="External"/><Relationship Id="rId13" Type="http://schemas.openxmlformats.org/officeDocument/2006/relationships/hyperlink" Target="http://demo898qpapi.qaz15044.com:9001/" TargetMode="External"/><Relationship Id="rId18" Type="http://schemas.openxmlformats.org/officeDocument/2006/relationships/hyperlink" Target="http://demo-800dyy-api.qaz15044.com:9001/" TargetMode="External"/><Relationship Id="rId39" Type="http://schemas.openxmlformats.org/officeDocument/2006/relationships/hyperlink" Target="http://a8ys-api.qaz411.com:9001/" TargetMode="External"/><Relationship Id="rId34" Type="http://schemas.openxmlformats.org/officeDocument/2006/relationships/hyperlink" Target="http://909testapi.qazcl1871.com:9001/" TargetMode="External"/><Relationship Id="rId50" Type="http://schemas.openxmlformats.org/officeDocument/2006/relationships/hyperlink" Target="http://demo-dfhqpapi.qaz15044.com:9001/" TargetMode="External"/><Relationship Id="rId55" Type="http://schemas.openxmlformats.org/officeDocument/2006/relationships/hyperlink" Target="http://demo-bs2api.qaz15044.com:9001/" TargetMode="External"/><Relationship Id="rId7" Type="http://schemas.openxmlformats.org/officeDocument/2006/relationships/hyperlink" Target="http://qptestapi.qaz411.com:9001/" TargetMode="External"/><Relationship Id="rId71" Type="http://schemas.openxmlformats.org/officeDocument/2006/relationships/hyperlink" Target="http://blapi.sgx33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.42578125" customWidth="1"/>
    <col min="2" max="2" width="25" customWidth="1"/>
    <col min="3" max="3" width="7.5703125" customWidth="1"/>
    <col min="4" max="4" width="1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10</v>
      </c>
      <c r="C4" s="2" t="s">
        <v>8</v>
      </c>
      <c r="D4" s="2"/>
    </row>
    <row r="5" spans="1:4">
      <c r="A5" s="2">
        <v>4</v>
      </c>
      <c r="B5" s="2" t="s">
        <v>11</v>
      </c>
      <c r="C5" s="2" t="s">
        <v>12</v>
      </c>
      <c r="D5" s="2"/>
    </row>
    <row r="6" spans="1:4">
      <c r="A6" s="2">
        <v>5</v>
      </c>
      <c r="B6" s="2" t="s">
        <v>13</v>
      </c>
      <c r="C6" s="2" t="s">
        <v>14</v>
      </c>
      <c r="D6" s="2"/>
    </row>
  </sheetData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  <outlinePr summaryBelow="0" summaryRight="0"/>
  </sheetPr>
  <dimension ref="A1:K340"/>
  <sheetViews>
    <sheetView workbookViewId="0">
      <pane ySplit="1" topLeftCell="A232" activePane="bottomLeft" state="frozen"/>
      <selection pane="bottomLeft" activeCell="D259" sqref="D259"/>
    </sheetView>
  </sheetViews>
  <sheetFormatPr defaultColWidth="12.5703125" defaultRowHeight="15.75" customHeight="1" outlineLevelCol="1"/>
  <cols>
    <col min="1" max="1" width="10.7109375" customWidth="1"/>
    <col min="2" max="2" width="30.5703125" customWidth="1"/>
    <col min="3" max="3" width="67.85546875" customWidth="1"/>
    <col min="4" max="4" width="20.7109375" customWidth="1"/>
    <col min="5" max="5" width="18.85546875" customWidth="1"/>
    <col min="6" max="6" width="17.7109375" customWidth="1"/>
    <col min="7" max="7" width="13.42578125" customWidth="1"/>
    <col min="8" max="8" width="33.28515625" customWidth="1"/>
    <col min="9" max="9" width="37.85546875" customWidth="1"/>
    <col min="10" max="10" width="23.140625" customWidth="1"/>
    <col min="11" max="11" width="73.42578125" customWidth="1" outlineLevel="1"/>
  </cols>
  <sheetData>
    <row r="1" spans="1:11" ht="12.7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4" t="s">
        <v>24</v>
      </c>
      <c r="K1" s="3" t="s">
        <v>25</v>
      </c>
    </row>
    <row r="2" spans="1:11" ht="12.75">
      <c r="A2" s="5">
        <v>0</v>
      </c>
      <c r="B2" s="5" t="s">
        <v>26</v>
      </c>
      <c r="C2" s="5" t="s">
        <v>27</v>
      </c>
      <c r="D2" s="5">
        <v>0</v>
      </c>
      <c r="E2" s="5" t="s">
        <v>28</v>
      </c>
      <c r="F2" s="5"/>
      <c r="G2" s="5"/>
      <c r="H2" s="5" t="s">
        <v>29</v>
      </c>
      <c r="I2" s="5" t="s">
        <v>30</v>
      </c>
      <c r="J2" s="5" t="str">
        <f t="array" aca="1" ref="J2:J340" ca="1">IF($I2:$I340="","",VLOOKUP($I2:$I340,幣別!$A:$B,2,FALSE))</f>
        <v>CNY</v>
      </c>
      <c r="K2" s="5" t="str">
        <f t="array" aca="1" ref="K2:K340" ca="1">IF($A2:$A340="", "", ",("&amp;$A2:$A340&amp;", '"&amp;$J2:$J340&amp;"') -- "&amp;$C2:$C340)</f>
        <v>,(0, 'CNY') -- 模板公司</v>
      </c>
    </row>
    <row r="3" spans="1:11" ht="12.75">
      <c r="A3" s="5">
        <v>211</v>
      </c>
      <c r="B3" s="5" t="s">
        <v>31</v>
      </c>
      <c r="C3" s="5" t="s">
        <v>32</v>
      </c>
      <c r="D3" s="5">
        <v>2</v>
      </c>
      <c r="E3" s="5" t="s">
        <v>28</v>
      </c>
      <c r="F3" s="5"/>
      <c r="G3" s="5"/>
      <c r="H3" s="5" t="s">
        <v>29</v>
      </c>
      <c r="I3" s="5" t="s">
        <v>30</v>
      </c>
      <c r="J3" s="5" t="str">
        <f ca="1"/>
        <v>CNY</v>
      </c>
      <c r="K3" s="5" t="str">
        <f ca="1"/>
        <v>,(211, 'CNY') -- 利鑫测试公司豪彩HC皮肤</v>
      </c>
    </row>
    <row r="4" spans="1:11" ht="12.75">
      <c r="A4" s="5">
        <v>212</v>
      </c>
      <c r="B4" s="5" t="s">
        <v>33</v>
      </c>
      <c r="C4" s="5" t="s">
        <v>34</v>
      </c>
      <c r="D4" s="5">
        <v>2</v>
      </c>
      <c r="E4" s="5" t="s">
        <v>28</v>
      </c>
      <c r="F4" s="5"/>
      <c r="G4" s="5"/>
      <c r="H4" s="5" t="s">
        <v>29</v>
      </c>
      <c r="I4" s="5" t="s">
        <v>30</v>
      </c>
      <c r="J4" s="5" t="str">
        <f ca="1"/>
        <v>CNY</v>
      </c>
      <c r="K4" s="5" t="str">
        <f ca="1"/>
        <v>,(212, 'CNY') -- 利鑫测试公司利鑫租用zy皮肤</v>
      </c>
    </row>
    <row r="5" spans="1:11" ht="12.75">
      <c r="A5" s="5">
        <v>213</v>
      </c>
      <c r="B5" s="5" t="s">
        <v>35</v>
      </c>
      <c r="C5" s="5" t="s">
        <v>36</v>
      </c>
      <c r="D5" s="5">
        <v>2</v>
      </c>
      <c r="E5" s="5" t="s">
        <v>28</v>
      </c>
      <c r="F5" s="5"/>
      <c r="G5" s="5"/>
      <c r="H5" s="5" t="s">
        <v>29</v>
      </c>
      <c r="I5" s="5" t="s">
        <v>30</v>
      </c>
      <c r="J5" s="5" t="str">
        <f ca="1"/>
        <v>CNY</v>
      </c>
      <c r="K5" s="5" t="str">
        <f ca="1"/>
        <v>,(213, 'CNY') -- 利鑫测试公司利鑫外放wf皮肤</v>
      </c>
    </row>
    <row r="6" spans="1:11" ht="12.75">
      <c r="A6" s="5">
        <v>214</v>
      </c>
      <c r="B6" s="5" t="s">
        <v>37</v>
      </c>
      <c r="C6" s="5" t="s">
        <v>38</v>
      </c>
      <c r="D6" s="5">
        <v>2</v>
      </c>
      <c r="E6" s="5" t="s">
        <v>28</v>
      </c>
      <c r="F6" s="5"/>
      <c r="G6" s="5"/>
      <c r="H6" s="5" t="s">
        <v>29</v>
      </c>
      <c r="I6" s="5" t="s">
        <v>30</v>
      </c>
      <c r="J6" s="5" t="str">
        <f ca="1"/>
        <v>CNY</v>
      </c>
      <c r="K6" s="5" t="str">
        <f ca="1"/>
        <v>,(214, 'CNY') -- 欢乐皮肤测试公司</v>
      </c>
    </row>
    <row r="7" spans="1:11" ht="15" customHeight="1">
      <c r="A7" s="5">
        <v>5001</v>
      </c>
      <c r="B7" s="5" t="s">
        <v>39</v>
      </c>
      <c r="C7" s="5" t="s">
        <v>40</v>
      </c>
      <c r="D7" s="5">
        <v>1</v>
      </c>
      <c r="E7" s="5" t="s">
        <v>28</v>
      </c>
      <c r="F7" s="5"/>
      <c r="G7" s="5"/>
      <c r="H7" s="5" t="s">
        <v>29</v>
      </c>
      <c r="I7" s="5" t="s">
        <v>30</v>
      </c>
      <c r="J7" s="5" t="str">
        <f ca="1"/>
        <v>CNY</v>
      </c>
      <c r="K7" s="5" t="str">
        <f ca="1"/>
        <v>,(5001, 'CNY') -- 豪彩</v>
      </c>
    </row>
    <row r="8" spans="1:11" ht="13.5">
      <c r="A8" s="3">
        <v>5003</v>
      </c>
      <c r="B8" s="3" t="s">
        <v>944</v>
      </c>
      <c r="C8" s="57" t="s">
        <v>929</v>
      </c>
      <c r="D8" s="3">
        <v>1</v>
      </c>
      <c r="E8" s="3" t="s">
        <v>28</v>
      </c>
      <c r="F8" s="3"/>
      <c r="G8" s="3"/>
      <c r="H8" s="3" t="s">
        <v>29</v>
      </c>
      <c r="I8" s="3" t="s">
        <v>30</v>
      </c>
      <c r="J8" s="3" t="str">
        <f ca="1"/>
        <v>CNY</v>
      </c>
      <c r="K8" s="3" t="str">
        <f ca="1"/>
        <v>,(5003, 'CNY') -- 外放(EMC)</v>
      </c>
    </row>
    <row r="9" spans="1:11" ht="12.75">
      <c r="A9" s="3">
        <v>5004</v>
      </c>
      <c r="B9" s="3" t="s">
        <v>42</v>
      </c>
      <c r="C9" s="3" t="s">
        <v>43</v>
      </c>
      <c r="D9" s="3">
        <v>1</v>
      </c>
      <c r="E9" s="3" t="s">
        <v>28</v>
      </c>
      <c r="F9" s="3"/>
      <c r="G9" s="3"/>
      <c r="H9" s="3" t="s">
        <v>29</v>
      </c>
      <c r="I9" s="3" t="s">
        <v>30</v>
      </c>
      <c r="J9" s="3" t="str">
        <f ca="1"/>
        <v>CNY</v>
      </c>
      <c r="K9" s="3" t="str">
        <f ca="1"/>
        <v>,(5004, 'CNY') -- 租用 (目前使用: 全租用利鑫)</v>
      </c>
    </row>
    <row r="10" spans="1:11" ht="12.75">
      <c r="A10" s="3">
        <v>5008</v>
      </c>
      <c r="B10" s="3" t="s">
        <v>44</v>
      </c>
      <c r="C10" s="3" t="s">
        <v>45</v>
      </c>
      <c r="D10" s="3">
        <v>1</v>
      </c>
      <c r="E10" s="3" t="s">
        <v>28</v>
      </c>
      <c r="F10" s="3"/>
      <c r="G10" s="3"/>
      <c r="H10" s="3" t="s">
        <v>29</v>
      </c>
      <c r="I10" s="3" t="s">
        <v>30</v>
      </c>
      <c r="J10" s="3" t="str">
        <f ca="1"/>
        <v>CNY</v>
      </c>
      <c r="K10" s="3" t="str">
        <f ca="1"/>
        <v>,(5008, 'CNY') -- 欢乐豪彩公司皮肤</v>
      </c>
    </row>
    <row r="11" spans="1:11" ht="12.75">
      <c r="A11" s="3">
        <v>5009</v>
      </c>
      <c r="B11" s="3" t="s">
        <v>46</v>
      </c>
      <c r="C11" s="3" t="s">
        <v>47</v>
      </c>
      <c r="D11" s="3">
        <v>1</v>
      </c>
      <c r="E11" s="3" t="s">
        <v>28</v>
      </c>
      <c r="F11" s="3"/>
      <c r="G11" s="3"/>
      <c r="H11" s="3" t="s">
        <v>29</v>
      </c>
      <c r="I11" s="3" t="s">
        <v>30</v>
      </c>
      <c r="J11" s="3" t="str">
        <f ca="1"/>
        <v>CNY</v>
      </c>
      <c r="K11" s="3" t="str">
        <f ca="1"/>
        <v>,(5009, 'CNY') -- 欢乐租用公司皮肤 (目前使用: 全租用歡樂)</v>
      </c>
    </row>
    <row r="12" spans="1:11" ht="12.75">
      <c r="A12" s="3">
        <v>5010</v>
      </c>
      <c r="B12" s="3" t="s">
        <v>48</v>
      </c>
      <c r="C12" s="3" t="s">
        <v>49</v>
      </c>
      <c r="D12" s="3">
        <v>1</v>
      </c>
      <c r="E12" s="3" t="s">
        <v>28</v>
      </c>
      <c r="F12" s="3"/>
      <c r="G12" s="3"/>
      <c r="H12" s="3" t="s">
        <v>29</v>
      </c>
      <c r="I12" s="3" t="s">
        <v>30</v>
      </c>
      <c r="J12" s="3" t="str">
        <f ca="1"/>
        <v>CNY</v>
      </c>
      <c r="K12" s="3" t="str">
        <f ca="1"/>
        <v>,(5010, 'CNY') -- 欢乐外放公司皮肤</v>
      </c>
    </row>
    <row r="13" spans="1:11" ht="12.75">
      <c r="A13" s="3">
        <v>5029</v>
      </c>
      <c r="B13" s="3" t="s">
        <v>50</v>
      </c>
      <c r="C13" s="3" t="s">
        <v>51</v>
      </c>
      <c r="D13" s="3">
        <v>1</v>
      </c>
      <c r="E13" s="3" t="s">
        <v>28</v>
      </c>
      <c r="F13" s="3" t="s">
        <v>52</v>
      </c>
      <c r="G13" s="3" t="s">
        <v>53</v>
      </c>
      <c r="H13" s="3" t="s">
        <v>54</v>
      </c>
      <c r="I13" s="3" t="s">
        <v>30</v>
      </c>
      <c r="J13" s="3" t="str">
        <f ca="1"/>
        <v>CNY</v>
      </c>
      <c r="K13" s="3" t="str">
        <f ca="1"/>
        <v>,(5029, 'CNY') -- 大运电子(EMC電子+彩票GFG)</v>
      </c>
    </row>
    <row r="14" spans="1:11" ht="12.75">
      <c r="A14" s="3">
        <v>5030</v>
      </c>
      <c r="B14" s="3" t="s">
        <v>55</v>
      </c>
      <c r="C14" s="3" t="s">
        <v>56</v>
      </c>
      <c r="D14" s="3">
        <v>1</v>
      </c>
      <c r="E14" s="3" t="s">
        <v>28</v>
      </c>
      <c r="F14" s="3"/>
      <c r="G14" s="3" t="s">
        <v>53</v>
      </c>
      <c r="H14" s="3" t="s">
        <v>54</v>
      </c>
      <c r="I14" s="3" t="s">
        <v>30</v>
      </c>
      <c r="J14" s="3" t="str">
        <f ca="1"/>
        <v>CNY</v>
      </c>
      <c r="K14" s="3" t="str">
        <f ca="1"/>
        <v>,(5030, 'CNY') -- 大运电子-正式环境测试公司</v>
      </c>
    </row>
    <row r="15" spans="1:11" ht="12.75">
      <c r="A15" s="3">
        <v>5031</v>
      </c>
      <c r="B15" s="3" t="s">
        <v>57</v>
      </c>
      <c r="C15" s="3" t="s">
        <v>58</v>
      </c>
      <c r="D15" s="3">
        <v>1</v>
      </c>
      <c r="E15" s="3" t="s">
        <v>28</v>
      </c>
      <c r="F15" s="3" t="s">
        <v>52</v>
      </c>
      <c r="G15" s="3" t="s">
        <v>59</v>
      </c>
      <c r="H15" s="3" t="s">
        <v>54</v>
      </c>
      <c r="I15" s="3" t="s">
        <v>60</v>
      </c>
      <c r="J15" s="3" t="str">
        <f ca="1"/>
        <v>KRW</v>
      </c>
      <c r="K15" s="3" t="str">
        <f ca="1"/>
        <v>,(5031, 'KRW') -- 韩国捕鱼-hanguo66</v>
      </c>
    </row>
    <row r="16" spans="1:11" ht="12.75">
      <c r="A16" s="3">
        <v>5032</v>
      </c>
      <c r="B16" s="3" t="s">
        <v>61</v>
      </c>
      <c r="C16" s="3" t="s">
        <v>62</v>
      </c>
      <c r="D16" s="3">
        <v>1</v>
      </c>
      <c r="E16" s="3" t="s">
        <v>28</v>
      </c>
      <c r="F16" s="3" t="s">
        <v>52</v>
      </c>
      <c r="G16" s="3" t="s">
        <v>63</v>
      </c>
      <c r="H16" s="3" t="s">
        <v>54</v>
      </c>
      <c r="I16" s="3" t="s">
        <v>64</v>
      </c>
      <c r="J16" s="3" t="str">
        <f ca="1"/>
        <v>PHP</v>
      </c>
      <c r="K16" s="3" t="str">
        <f ca="1"/>
        <v>,(5032, 'PHP') -- 菲律宾捕鱼-Lodi777平台</v>
      </c>
    </row>
    <row r="17" spans="1:11" ht="12.75">
      <c r="A17" s="3">
        <v>5033</v>
      </c>
      <c r="B17" s="3" t="s">
        <v>65</v>
      </c>
      <c r="C17" s="3" t="s">
        <v>66</v>
      </c>
      <c r="D17" s="3">
        <v>1</v>
      </c>
      <c r="E17" s="3" t="s">
        <v>28</v>
      </c>
      <c r="F17" s="3" t="s">
        <v>52</v>
      </c>
      <c r="G17" s="3" t="s">
        <v>67</v>
      </c>
      <c r="H17" s="3" t="s">
        <v>54</v>
      </c>
      <c r="I17" s="3" t="s">
        <v>64</v>
      </c>
      <c r="J17" s="3" t="str">
        <f ca="1"/>
        <v>PHP</v>
      </c>
      <c r="K17" s="3" t="str">
        <f ca="1"/>
        <v>,(5033, 'PHP') -- 菲律宾捕鱼-Bouns365平台</v>
      </c>
    </row>
    <row r="18" spans="1:11" ht="12.75">
      <c r="A18" s="3">
        <v>5036</v>
      </c>
      <c r="B18" s="3" t="s">
        <v>68</v>
      </c>
      <c r="C18" s="3" t="s">
        <v>69</v>
      </c>
      <c r="D18" s="3">
        <v>1</v>
      </c>
      <c r="E18" s="3" t="s">
        <v>28</v>
      </c>
      <c r="F18" s="3" t="s">
        <v>70</v>
      </c>
      <c r="G18" s="3"/>
      <c r="H18" s="3" t="s">
        <v>29</v>
      </c>
      <c r="I18" s="3" t="s">
        <v>71</v>
      </c>
      <c r="J18" s="3" t="str">
        <f ca="1"/>
        <v>MYR</v>
      </c>
      <c r="K18" s="3" t="str">
        <f ca="1"/>
        <v>,(5036, 'MYR') -- 大运棋牌api-ANOE8平台-正式公司S004皮肤</v>
      </c>
    </row>
    <row r="19" spans="1:11" ht="12.75">
      <c r="A19" s="3">
        <v>5037</v>
      </c>
      <c r="B19" s="3" t="s">
        <v>72</v>
      </c>
      <c r="C19" s="3" t="s">
        <v>73</v>
      </c>
      <c r="D19" s="3">
        <v>1</v>
      </c>
      <c r="E19" s="3" t="s">
        <v>28</v>
      </c>
      <c r="F19" s="3" t="s">
        <v>70</v>
      </c>
      <c r="G19" s="3"/>
      <c r="H19" s="3" t="s">
        <v>29</v>
      </c>
      <c r="I19" s="3" t="s">
        <v>64</v>
      </c>
      <c r="J19" s="3" t="str">
        <f ca="1"/>
        <v>PHP</v>
      </c>
      <c r="K19" s="3" t="str">
        <f ca="1"/>
        <v>,(5037, 'PHP') -- 菲律宾捕鱼-Lodi777平台-S004</v>
      </c>
    </row>
    <row r="20" spans="1:11" ht="12.75">
      <c r="A20" s="3">
        <v>5038</v>
      </c>
      <c r="B20" s="3" t="s">
        <v>74</v>
      </c>
      <c r="C20" s="3" t="s">
        <v>75</v>
      </c>
      <c r="D20" s="3">
        <v>1</v>
      </c>
      <c r="E20" s="3" t="s">
        <v>28</v>
      </c>
      <c r="F20" s="3" t="s">
        <v>70</v>
      </c>
      <c r="G20" s="3"/>
      <c r="H20" s="3" t="s">
        <v>29</v>
      </c>
      <c r="I20" s="3" t="s">
        <v>30</v>
      </c>
      <c r="J20" s="3" t="str">
        <f ca="1"/>
        <v>CNY</v>
      </c>
      <c r="K20" s="3" t="str">
        <f ca="1"/>
        <v>,(5038, 'CNY') -- 大运棋牌api-正式环境测试公司-1847674-S004皮肤</v>
      </c>
    </row>
    <row r="21" spans="1:11" ht="12.75">
      <c r="A21" s="3">
        <v>5039</v>
      </c>
      <c r="B21" s="3" t="s">
        <v>76</v>
      </c>
      <c r="C21" s="3" t="s">
        <v>77</v>
      </c>
      <c r="D21" s="3">
        <v>1</v>
      </c>
      <c r="E21" s="3" t="s">
        <v>28</v>
      </c>
      <c r="F21" s="3" t="s">
        <v>70</v>
      </c>
      <c r="G21" s="3"/>
      <c r="H21" s="3" t="s">
        <v>29</v>
      </c>
      <c r="I21" s="3" t="s">
        <v>30</v>
      </c>
      <c r="J21" s="3" t="str">
        <f ca="1"/>
        <v>CNY</v>
      </c>
      <c r="K21" s="3" t="str">
        <f ca="1"/>
        <v>,(5039, 'CNY') -- 大运棋牌api-正式环境测试公司-1847675-S004皮肤</v>
      </c>
    </row>
    <row r="22" spans="1:11" ht="12.75">
      <c r="A22" s="3">
        <v>5040</v>
      </c>
      <c r="B22" s="3" t="s">
        <v>78</v>
      </c>
      <c r="C22" s="3" t="s">
        <v>79</v>
      </c>
      <c r="D22" s="3">
        <v>1</v>
      </c>
      <c r="E22" s="3" t="s">
        <v>28</v>
      </c>
      <c r="F22" s="3" t="s">
        <v>70</v>
      </c>
      <c r="G22" s="3"/>
      <c r="H22" s="3" t="s">
        <v>29</v>
      </c>
      <c r="I22" s="3" t="s">
        <v>30</v>
      </c>
      <c r="J22" s="3" t="str">
        <f ca="1"/>
        <v>CNY</v>
      </c>
      <c r="K22" s="3" t="str">
        <f ca="1"/>
        <v>,(5040, 'CNY') -- 大运棋牌api-正式环境测试公司-1847676-S004皮肤</v>
      </c>
    </row>
    <row r="23" spans="1:11" ht="12.75">
      <c r="A23" s="3">
        <v>5042</v>
      </c>
      <c r="B23" s="3" t="s">
        <v>80</v>
      </c>
      <c r="C23" s="3" t="s">
        <v>81</v>
      </c>
      <c r="D23" s="3">
        <v>1</v>
      </c>
      <c r="E23" s="3" t="s">
        <v>28</v>
      </c>
      <c r="F23" s="3" t="s">
        <v>70</v>
      </c>
      <c r="G23" s="3"/>
      <c r="H23" s="3" t="s">
        <v>29</v>
      </c>
      <c r="I23" s="3" t="s">
        <v>30</v>
      </c>
      <c r="J23" s="3" t="str">
        <f ca="1"/>
        <v>CNY</v>
      </c>
      <c r="K23" s="3" t="str">
        <f ca="1"/>
        <v>,(5042, 'CNY') -- 完美api-S004</v>
      </c>
    </row>
    <row r="24" spans="1:11" ht="12.75">
      <c r="A24" s="3">
        <v>5041</v>
      </c>
      <c r="B24" s="3" t="s">
        <v>82</v>
      </c>
      <c r="C24" s="3" t="s">
        <v>83</v>
      </c>
      <c r="D24" s="3"/>
      <c r="E24" s="3" t="s">
        <v>28</v>
      </c>
      <c r="F24" s="3" t="s">
        <v>70</v>
      </c>
      <c r="G24" s="3"/>
      <c r="H24" s="3" t="s">
        <v>29</v>
      </c>
      <c r="I24" s="3" t="s">
        <v>30</v>
      </c>
      <c r="J24" s="4" t="str">
        <f ca="1"/>
        <v>CNY</v>
      </c>
      <c r="K24" s="3" t="str">
        <f ca="1"/>
        <v>,(5041, 'CNY') -- 后台配置成包网了-停用-大运棋牌api-马来i8-正式公司S004皮肤1，1级代理ID：1853833</v>
      </c>
    </row>
    <row r="25" spans="1:11" ht="12.75">
      <c r="A25" s="3">
        <v>5043</v>
      </c>
      <c r="B25" s="3" t="s">
        <v>84</v>
      </c>
      <c r="C25" s="3" t="s">
        <v>85</v>
      </c>
      <c r="D25" s="3">
        <v>1</v>
      </c>
      <c r="E25" s="3" t="s">
        <v>28</v>
      </c>
      <c r="F25" s="3" t="s">
        <v>70</v>
      </c>
      <c r="G25" s="3"/>
      <c r="H25" s="3" t="s">
        <v>29</v>
      </c>
      <c r="I25" s="3" t="s">
        <v>71</v>
      </c>
      <c r="J25" s="4" t="str">
        <f ca="1"/>
        <v>MYR</v>
      </c>
      <c r="K25" s="3" t="str">
        <f ca="1"/>
        <v>,(5043, 'MYR') -- 后台配置成包网了-停用-大运棋牌api-马来i8-正式公司S004皮肤2-1级代理ID： 1854827</v>
      </c>
    </row>
    <row r="26" spans="1:11" ht="12.75">
      <c r="A26" s="3">
        <v>5044</v>
      </c>
      <c r="B26" s="3" t="s">
        <v>86</v>
      </c>
      <c r="C26" s="3" t="s">
        <v>87</v>
      </c>
      <c r="D26" s="3">
        <v>1</v>
      </c>
      <c r="E26" s="3" t="s">
        <v>28</v>
      </c>
      <c r="F26" s="3" t="s">
        <v>70</v>
      </c>
      <c r="G26" s="3"/>
      <c r="H26" s="3" t="s">
        <v>29</v>
      </c>
      <c r="I26" s="3" t="s">
        <v>88</v>
      </c>
      <c r="J26" s="4" t="str">
        <f ca="1"/>
        <v>THB</v>
      </c>
      <c r="K26" s="3" t="str">
        <f ca="1"/>
        <v>,(5044, 'THB') -- 后台配置成包网了-停用-大运棋牌api-马来i8-正式公司S004皮肤3，1级代理ID：1854842</v>
      </c>
    </row>
    <row r="27" spans="1:11" ht="12.75">
      <c r="A27" s="3">
        <v>5045</v>
      </c>
      <c r="B27" s="3" t="s">
        <v>89</v>
      </c>
      <c r="C27" s="3" t="s">
        <v>90</v>
      </c>
      <c r="D27" s="3">
        <v>1</v>
      </c>
      <c r="E27" s="3" t="s">
        <v>28</v>
      </c>
      <c r="F27" s="3" t="s">
        <v>70</v>
      </c>
      <c r="G27" s="3"/>
      <c r="H27" s="3" t="s">
        <v>29</v>
      </c>
      <c r="I27" s="3" t="s">
        <v>91</v>
      </c>
      <c r="J27" s="4" t="str">
        <f ca="1"/>
        <v>VND</v>
      </c>
      <c r="K27" s="3" t="str">
        <f ca="1"/>
        <v>,(5045, 'VND') -- 后台配置成包网了-停用-大运棋牌api-马来i8-正式公司S004皮肤4，1级代理ID：1854849</v>
      </c>
    </row>
    <row r="28" spans="1:11" ht="12.75">
      <c r="A28" s="3">
        <v>5046</v>
      </c>
      <c r="B28" s="3" t="s">
        <v>92</v>
      </c>
      <c r="C28" s="3" t="s">
        <v>93</v>
      </c>
      <c r="D28" s="3">
        <v>1</v>
      </c>
      <c r="E28" s="3" t="s">
        <v>28</v>
      </c>
      <c r="F28" s="3" t="s">
        <v>70</v>
      </c>
      <c r="G28" s="3"/>
      <c r="H28" s="3" t="s">
        <v>29</v>
      </c>
      <c r="I28" s="3" t="s">
        <v>94</v>
      </c>
      <c r="J28" s="4" t="str">
        <f ca="1"/>
        <v>IDR</v>
      </c>
      <c r="K28" s="3" t="str">
        <f ca="1"/>
        <v>,(5046, 'IDR') -- 后台配置成包网了-停用-大运棋牌api-马来i8-正式公司S004皮肤5，1级代理ID：1854926</v>
      </c>
    </row>
    <row r="29" spans="1:11" ht="12.75">
      <c r="A29" s="3">
        <v>5047</v>
      </c>
      <c r="B29" s="3" t="s">
        <v>95</v>
      </c>
      <c r="C29" s="3" t="s">
        <v>96</v>
      </c>
      <c r="D29" s="3">
        <v>1</v>
      </c>
      <c r="E29" s="3" t="s">
        <v>28</v>
      </c>
      <c r="F29" s="3" t="s">
        <v>70</v>
      </c>
      <c r="G29" s="3"/>
      <c r="H29" s="3" t="s">
        <v>29</v>
      </c>
      <c r="I29" s="3" t="s">
        <v>97</v>
      </c>
      <c r="J29" s="4" t="str">
        <f ca="1"/>
        <v>SGD</v>
      </c>
      <c r="K29" s="3" t="str">
        <f ca="1"/>
        <v>,(5047, 'SGD') -- 后台配置成包网了-停用-大运棋牌api-马来i8-正式公司S004皮肤6，1级代理ID：1854935</v>
      </c>
    </row>
    <row r="30" spans="1:11" ht="12.75">
      <c r="A30" s="6">
        <v>5048</v>
      </c>
      <c r="B30" s="6" t="s">
        <v>98</v>
      </c>
      <c r="C30" s="6" t="s">
        <v>99</v>
      </c>
      <c r="D30" s="3">
        <v>1</v>
      </c>
      <c r="E30" s="3" t="s">
        <v>28</v>
      </c>
      <c r="F30" s="3" t="s">
        <v>70</v>
      </c>
      <c r="G30" s="3"/>
      <c r="H30" s="3" t="s">
        <v>29</v>
      </c>
      <c r="I30" s="3" t="s">
        <v>64</v>
      </c>
      <c r="J30" s="4" t="str">
        <f ca="1"/>
        <v>PHP</v>
      </c>
      <c r="K30" s="3" t="str">
        <f ca="1"/>
        <v>,(5048, 'PHP') -- 后台配置成包网了-停用-大运棋牌api-马来i8-正式公司S004皮肤7，1级代理ID：1854942</v>
      </c>
    </row>
    <row r="31" spans="1:11" ht="12.75">
      <c r="A31" s="3">
        <v>5049</v>
      </c>
      <c r="B31" s="3" t="s">
        <v>100</v>
      </c>
      <c r="C31" s="3" t="s">
        <v>101</v>
      </c>
      <c r="D31" s="3">
        <v>1</v>
      </c>
      <c r="E31" s="3" t="s">
        <v>28</v>
      </c>
      <c r="F31" s="3" t="s">
        <v>52</v>
      </c>
      <c r="G31" s="3" t="s">
        <v>102</v>
      </c>
      <c r="H31" s="3" t="s">
        <v>54</v>
      </c>
      <c r="I31" s="3" t="s">
        <v>30</v>
      </c>
      <c r="J31" s="4" t="str">
        <f ca="1"/>
        <v>CNY</v>
      </c>
      <c r="K31" s="3" t="str">
        <f ca="1"/>
        <v>,(5049, 'CNY') -- 大运棋牌api-马来i8-正式公司S007-皮肤1-1级代理ID： 1906318</v>
      </c>
    </row>
    <row r="32" spans="1:11" ht="12.75">
      <c r="A32" s="3">
        <v>5050</v>
      </c>
      <c r="B32" s="3" t="s">
        <v>103</v>
      </c>
      <c r="C32" s="3" t="s">
        <v>104</v>
      </c>
      <c r="D32" s="3">
        <v>1</v>
      </c>
      <c r="E32" s="3" t="s">
        <v>28</v>
      </c>
      <c r="F32" s="3" t="s">
        <v>52</v>
      </c>
      <c r="G32" s="3" t="s">
        <v>105</v>
      </c>
      <c r="H32" s="3" t="s">
        <v>54</v>
      </c>
      <c r="I32" s="3" t="s">
        <v>71</v>
      </c>
      <c r="J32" s="4" t="str">
        <f ca="1"/>
        <v>MYR</v>
      </c>
      <c r="K32" s="3" t="str">
        <f ca="1"/>
        <v>,(5050, 'MYR') -- 大运棋牌api-马来i8-正式公司S007-皮肤2-1级代理ID： 1906327</v>
      </c>
    </row>
    <row r="33" spans="1:11" ht="12.75">
      <c r="A33" s="3">
        <v>5051</v>
      </c>
      <c r="B33" s="3" t="s">
        <v>106</v>
      </c>
      <c r="C33" s="3" t="s">
        <v>107</v>
      </c>
      <c r="D33" s="3">
        <v>1</v>
      </c>
      <c r="E33" s="3" t="s">
        <v>28</v>
      </c>
      <c r="F33" s="3" t="s">
        <v>52</v>
      </c>
      <c r="G33" s="3" t="s">
        <v>108</v>
      </c>
      <c r="H33" s="3" t="s">
        <v>54</v>
      </c>
      <c r="I33" s="3" t="s">
        <v>88</v>
      </c>
      <c r="J33" s="4" t="str">
        <f ca="1"/>
        <v>THB</v>
      </c>
      <c r="K33" s="3" t="str">
        <f ca="1"/>
        <v>,(5051, 'THB') -- 大运棋牌api-马来i8-正式公司S007-皮肤3，1级代理ID：1906334</v>
      </c>
    </row>
    <row r="34" spans="1:11" ht="12.75">
      <c r="A34" s="3">
        <v>5052</v>
      </c>
      <c r="B34" s="3" t="s">
        <v>109</v>
      </c>
      <c r="C34" s="3" t="s">
        <v>110</v>
      </c>
      <c r="D34" s="3">
        <v>1</v>
      </c>
      <c r="E34" s="3" t="s">
        <v>28</v>
      </c>
      <c r="F34" s="3" t="s">
        <v>52</v>
      </c>
      <c r="G34" s="3" t="s">
        <v>111</v>
      </c>
      <c r="H34" s="3" t="s">
        <v>54</v>
      </c>
      <c r="I34" s="3" t="s">
        <v>91</v>
      </c>
      <c r="J34" s="4" t="str">
        <f ca="1"/>
        <v>VND</v>
      </c>
      <c r="K34" s="3" t="str">
        <f ca="1"/>
        <v>,(5052, 'VND') -- 大运棋牌api-马来i8-正式公司S007-皮肤4，1级代理ID：1906342</v>
      </c>
    </row>
    <row r="35" spans="1:11" ht="12.75">
      <c r="A35" s="3">
        <v>5053</v>
      </c>
      <c r="B35" s="3" t="s">
        <v>112</v>
      </c>
      <c r="C35" s="3" t="s">
        <v>113</v>
      </c>
      <c r="D35" s="3">
        <v>1</v>
      </c>
      <c r="E35" s="3" t="s">
        <v>28</v>
      </c>
      <c r="F35" s="3" t="s">
        <v>52</v>
      </c>
      <c r="G35" s="3" t="s">
        <v>114</v>
      </c>
      <c r="H35" s="3" t="s">
        <v>54</v>
      </c>
      <c r="I35" s="3" t="s">
        <v>94</v>
      </c>
      <c r="J35" s="4" t="str">
        <f ca="1"/>
        <v>IDR</v>
      </c>
      <c r="K35" s="3" t="str">
        <f ca="1"/>
        <v>,(5053, 'IDR') -- 大运棋牌api-马来i8-正式公司S007-皮肤5，1级代理ID：1906347</v>
      </c>
    </row>
    <row r="36" spans="1:11" ht="12.75">
      <c r="A36" s="3">
        <v>5054</v>
      </c>
      <c r="B36" s="3" t="s">
        <v>115</v>
      </c>
      <c r="C36" s="3" t="s">
        <v>116</v>
      </c>
      <c r="D36" s="3">
        <v>1</v>
      </c>
      <c r="E36" s="3" t="s">
        <v>28</v>
      </c>
      <c r="F36" s="3" t="s">
        <v>52</v>
      </c>
      <c r="G36" s="3" t="s">
        <v>117</v>
      </c>
      <c r="H36" s="3" t="s">
        <v>54</v>
      </c>
      <c r="I36" s="3" t="s">
        <v>97</v>
      </c>
      <c r="J36" s="4" t="str">
        <f ca="1"/>
        <v>SGD</v>
      </c>
      <c r="K36" s="3" t="str">
        <f ca="1"/>
        <v>,(5054, 'SGD') -- 大运棋牌api-马来i8-正式公司S007-皮肤6，1级代理ID：1906355</v>
      </c>
    </row>
    <row r="37" spans="1:11" ht="12.75">
      <c r="A37" s="3">
        <v>5055</v>
      </c>
      <c r="B37" s="3" t="s">
        <v>118</v>
      </c>
      <c r="C37" s="3" t="s">
        <v>119</v>
      </c>
      <c r="D37" s="3">
        <v>1</v>
      </c>
      <c r="E37" s="3" t="s">
        <v>28</v>
      </c>
      <c r="F37" s="3" t="s">
        <v>52</v>
      </c>
      <c r="G37" s="3" t="s">
        <v>120</v>
      </c>
      <c r="H37" s="3" t="s">
        <v>54</v>
      </c>
      <c r="I37" s="3" t="s">
        <v>64</v>
      </c>
      <c r="J37" s="4" t="str">
        <f ca="1"/>
        <v>PHP</v>
      </c>
      <c r="K37" s="3" t="str">
        <f ca="1"/>
        <v>,(5055, 'PHP') -- 大运棋牌api-马来i8-正式公司S007-皮肤7，1级代理ID：1906358</v>
      </c>
    </row>
    <row r="38" spans="1:11" ht="12.75">
      <c r="A38" s="3">
        <v>5056</v>
      </c>
      <c r="B38" s="3" t="s">
        <v>121</v>
      </c>
      <c r="C38" s="3" t="s">
        <v>122</v>
      </c>
      <c r="D38" s="3">
        <v>1</v>
      </c>
      <c r="E38" s="3" t="s">
        <v>28</v>
      </c>
      <c r="F38" s="3" t="s">
        <v>52</v>
      </c>
      <c r="G38" s="3" t="s">
        <v>53</v>
      </c>
      <c r="H38" s="3" t="s">
        <v>54</v>
      </c>
      <c r="I38" s="3" t="s">
        <v>30</v>
      </c>
      <c r="J38" s="4" t="str">
        <f ca="1"/>
        <v>CNY</v>
      </c>
      <c r="K38" s="3" t="str">
        <f ca="1"/>
        <v>,(5056, 'CNY') -- 大运棋牌api-单一钱包-测试公司S007-皮肤1-1级代理ID： 1971886</v>
      </c>
    </row>
    <row r="39" spans="1:11" ht="12.75">
      <c r="A39" s="3">
        <v>5057</v>
      </c>
      <c r="B39" s="3" t="s">
        <v>123</v>
      </c>
      <c r="C39" s="3" t="s">
        <v>124</v>
      </c>
      <c r="D39" s="3">
        <v>1</v>
      </c>
      <c r="E39" s="3" t="s">
        <v>28</v>
      </c>
      <c r="F39" s="3" t="s">
        <v>52</v>
      </c>
      <c r="G39" s="3" t="s">
        <v>125</v>
      </c>
      <c r="H39" s="3" t="s">
        <v>54</v>
      </c>
      <c r="I39" s="3" t="s">
        <v>60</v>
      </c>
      <c r="J39" s="4" t="str">
        <f ca="1"/>
        <v>KRW</v>
      </c>
      <c r="K39" s="3" t="str">
        <f ca="1"/>
        <v>,(5057, 'KRW') -- 大运棋牌api-韩国KB Gaming S007-1级代理ID： 1987211</v>
      </c>
    </row>
    <row r="40" spans="1:11" ht="12.75">
      <c r="A40" s="3">
        <v>5058</v>
      </c>
      <c r="B40" s="3" t="s">
        <v>126</v>
      </c>
      <c r="C40" s="3" t="s">
        <v>127</v>
      </c>
      <c r="D40" s="3">
        <v>1</v>
      </c>
      <c r="E40" s="3" t="s">
        <v>28</v>
      </c>
      <c r="F40" s="3" t="s">
        <v>52</v>
      </c>
      <c r="G40" s="3" t="s">
        <v>128</v>
      </c>
      <c r="H40" s="3" t="s">
        <v>129</v>
      </c>
      <c r="I40" s="3" t="s">
        <v>30</v>
      </c>
      <c r="J40" s="4" t="str">
        <f ca="1"/>
        <v>CNY</v>
      </c>
      <c r="K40" s="3" t="str">
        <f ca="1"/>
        <v>,(5058, 'CNY') -- 大运棋牌api-唯一钱包-TOT-老板娘区块链-1级代理ID：1988600</v>
      </c>
    </row>
    <row r="41" spans="1:11" ht="12.75">
      <c r="A41" s="3">
        <v>5059</v>
      </c>
      <c r="B41" s="3" t="s">
        <v>130</v>
      </c>
      <c r="C41" s="3" t="s">
        <v>131</v>
      </c>
      <c r="D41" s="7">
        <v>1</v>
      </c>
      <c r="E41" s="8" t="s">
        <v>28</v>
      </c>
      <c r="F41" s="8" t="s">
        <v>52</v>
      </c>
      <c r="G41" s="8" t="s">
        <v>132</v>
      </c>
      <c r="H41" s="8" t="s">
        <v>129</v>
      </c>
      <c r="I41" s="2" t="s">
        <v>133</v>
      </c>
      <c r="J41" s="4" t="str">
        <f ca="1"/>
        <v>BRL</v>
      </c>
      <c r="K41" s="3" t="str">
        <f ca="1"/>
        <v>,(5059, 'BRL') -- 大运棋牌api-唯一钱包-TOT-老板娘区块链-1级代理ID：1988606</v>
      </c>
    </row>
    <row r="42" spans="1:11" ht="12.75">
      <c r="A42" s="3">
        <v>5060</v>
      </c>
      <c r="B42" s="3" t="s">
        <v>134</v>
      </c>
      <c r="C42" s="3" t="s">
        <v>135</v>
      </c>
      <c r="D42" s="3">
        <v>1</v>
      </c>
      <c r="E42" s="3" t="s">
        <v>28</v>
      </c>
      <c r="F42" s="3" t="s">
        <v>52</v>
      </c>
      <c r="G42" s="3" t="s">
        <v>136</v>
      </c>
      <c r="H42" s="3" t="s">
        <v>129</v>
      </c>
      <c r="I42" s="2" t="s">
        <v>91</v>
      </c>
      <c r="J42" s="4" t="str">
        <f ca="1"/>
        <v>VND</v>
      </c>
      <c r="K42" s="3" t="str">
        <f ca="1"/>
        <v>,(5060, 'VND') -- 大运棋牌api-唯一钱包-TOT-老板娘区块链-1级代理ID：1988609</v>
      </c>
    </row>
    <row r="43" spans="1:11" ht="12.75">
      <c r="A43" s="3">
        <v>5061</v>
      </c>
      <c r="B43" s="3" t="s">
        <v>137</v>
      </c>
      <c r="C43" s="3" t="s">
        <v>138</v>
      </c>
      <c r="D43" s="7">
        <v>1</v>
      </c>
      <c r="E43" s="8" t="s">
        <v>28</v>
      </c>
      <c r="F43" s="8" t="s">
        <v>52</v>
      </c>
      <c r="G43" s="8" t="s">
        <v>139</v>
      </c>
      <c r="H43" s="8" t="s">
        <v>129</v>
      </c>
      <c r="I43" s="2" t="s">
        <v>94</v>
      </c>
      <c r="J43" s="4" t="str">
        <f ca="1"/>
        <v>IDR</v>
      </c>
      <c r="K43" s="3" t="str">
        <f ca="1"/>
        <v>,(5061, 'IDR') -- 大运棋牌api-唯一钱包-TOT-老板娘区块链-1级代理ID：1988610</v>
      </c>
    </row>
    <row r="44" spans="1:11" ht="12.75">
      <c r="A44" s="3">
        <v>5062</v>
      </c>
      <c r="B44" s="3" t="s">
        <v>140</v>
      </c>
      <c r="C44" s="3" t="s">
        <v>141</v>
      </c>
      <c r="D44" s="3">
        <v>1</v>
      </c>
      <c r="E44" s="3" t="s">
        <v>28</v>
      </c>
      <c r="F44" s="3" t="s">
        <v>52</v>
      </c>
      <c r="G44" s="3" t="s">
        <v>142</v>
      </c>
      <c r="H44" s="3" t="s">
        <v>129</v>
      </c>
      <c r="I44" s="2" t="s">
        <v>143</v>
      </c>
      <c r="J44" s="4" t="str">
        <f ca="1"/>
        <v>USD</v>
      </c>
      <c r="K44" s="3" t="str">
        <f ca="1"/>
        <v>,(5062, 'USD') -- 大运棋牌api-唯一钱包-TOT-老板娘区块链-1级代理ID：1988603</v>
      </c>
    </row>
    <row r="45" spans="1:11" ht="12.75">
      <c r="A45" s="3">
        <v>5063</v>
      </c>
      <c r="B45" s="3" t="s">
        <v>144</v>
      </c>
      <c r="C45" s="3" t="s">
        <v>145</v>
      </c>
      <c r="D45" s="7">
        <v>1</v>
      </c>
      <c r="E45" s="8" t="s">
        <v>28</v>
      </c>
      <c r="F45" s="8" t="s">
        <v>52</v>
      </c>
      <c r="G45" s="8" t="s">
        <v>146</v>
      </c>
      <c r="H45" s="8" t="s">
        <v>129</v>
      </c>
      <c r="I45" s="2" t="s">
        <v>147</v>
      </c>
      <c r="J45" s="4" t="str">
        <f ca="1"/>
        <v>JPY</v>
      </c>
      <c r="K45" s="3" t="str">
        <f ca="1"/>
        <v>,(5063, 'JPY') -- 大运棋牌api-唯一钱包-TOT-老板娘区块链-1级代理ID：1988612</v>
      </c>
    </row>
    <row r="46" spans="1:11" ht="12.75">
      <c r="A46" s="3">
        <v>5065</v>
      </c>
      <c r="B46" s="3" t="s">
        <v>148</v>
      </c>
      <c r="C46" s="3" t="s">
        <v>149</v>
      </c>
      <c r="D46" s="7">
        <v>1</v>
      </c>
      <c r="E46" s="8" t="s">
        <v>28</v>
      </c>
      <c r="F46" s="8" t="s">
        <v>52</v>
      </c>
      <c r="G46" s="8" t="s">
        <v>150</v>
      </c>
      <c r="H46" s="8"/>
      <c r="I46" s="2" t="s">
        <v>151</v>
      </c>
      <c r="J46" s="4" t="str">
        <f ca="1"/>
        <v>USDT</v>
      </c>
      <c r="K46" s="3" t="str">
        <f ca="1"/>
        <v>,(5065, 'USDT') -- 大运棋牌api-转账钱包-哈希专属测试-1级代理ID： 1990702</v>
      </c>
    </row>
    <row r="47" spans="1:11" ht="12.75">
      <c r="A47" s="3">
        <v>5066</v>
      </c>
      <c r="B47" s="3" t="s">
        <v>152</v>
      </c>
      <c r="C47" s="3" t="s">
        <v>153</v>
      </c>
      <c r="D47" s="7">
        <v>1</v>
      </c>
      <c r="E47" s="8" t="s">
        <v>28</v>
      </c>
      <c r="F47" s="8" t="s">
        <v>52</v>
      </c>
      <c r="G47" s="8" t="s">
        <v>154</v>
      </c>
      <c r="H47" s="8"/>
      <c r="I47" s="2" t="s">
        <v>151</v>
      </c>
      <c r="J47" s="4" t="str">
        <f ca="1"/>
        <v>USDT</v>
      </c>
      <c r="K47" s="3" t="str">
        <f ca="1"/>
        <v>,(5066, 'USDT') -- 大运棋牌api-转账钱包-哈希专属测试-1级代理ID： 1990704</v>
      </c>
    </row>
    <row r="48" spans="1:11" ht="12.75">
      <c r="A48" s="3">
        <v>5067</v>
      </c>
      <c r="B48" s="3" t="s">
        <v>155</v>
      </c>
      <c r="C48" s="3" t="s">
        <v>156</v>
      </c>
      <c r="D48" s="7">
        <v>1</v>
      </c>
      <c r="E48" s="8" t="s">
        <v>28</v>
      </c>
      <c r="F48" s="8" t="s">
        <v>52</v>
      </c>
      <c r="G48" s="3"/>
      <c r="H48" s="3" t="s">
        <v>54</v>
      </c>
      <c r="I48" s="3" t="s">
        <v>30</v>
      </c>
      <c r="J48" s="4" t="str">
        <f ca="1"/>
        <v>CNY</v>
      </c>
      <c r="K48" s="3" t="str">
        <f ca="1"/>
        <v>,(5067, 'CNY') -- 大运棋牌api-转账钱包-汛利娱乐-1级代理ID： 2009080</v>
      </c>
    </row>
    <row r="49" spans="1:11" ht="12.75">
      <c r="A49" s="3">
        <v>5068</v>
      </c>
      <c r="B49" s="3" t="s">
        <v>157</v>
      </c>
      <c r="C49" s="3" t="s">
        <v>158</v>
      </c>
      <c r="D49" s="7">
        <v>1</v>
      </c>
      <c r="E49" s="8" t="s">
        <v>28</v>
      </c>
      <c r="F49" s="8" t="s">
        <v>52</v>
      </c>
      <c r="G49" s="8"/>
      <c r="H49" s="8" t="s">
        <v>54</v>
      </c>
      <c r="I49" s="3" t="s">
        <v>64</v>
      </c>
      <c r="J49" s="4" t="str">
        <f ca="1"/>
        <v>PHP</v>
      </c>
      <c r="K49" s="3" t="str">
        <f ca="1"/>
        <v>,(5068, 'PHP') -- 大运棋牌api-转账钱包-完美包网API-1级代理ID： 2009892</v>
      </c>
    </row>
    <row r="50" spans="1:11" ht="12.75">
      <c r="A50" s="3">
        <v>5069</v>
      </c>
      <c r="B50" s="3" t="s">
        <v>159</v>
      </c>
      <c r="C50" s="3" t="s">
        <v>160</v>
      </c>
      <c r="D50" s="7">
        <v>1</v>
      </c>
      <c r="E50" s="8" t="s">
        <v>28</v>
      </c>
      <c r="F50" s="8" t="s">
        <v>52</v>
      </c>
      <c r="G50" s="3"/>
      <c r="H50" s="3" t="s">
        <v>54</v>
      </c>
      <c r="I50" s="3" t="s">
        <v>30</v>
      </c>
      <c r="J50" s="4" t="str">
        <f ca="1"/>
        <v>CNY</v>
      </c>
      <c r="K50" s="3" t="str">
        <f ca="1"/>
        <v>,(5069, 'CNY') -- 大运棋牌api-转账钱包-完美厂长-1级代理ID： 2010892</v>
      </c>
    </row>
    <row r="51" spans="1:11" ht="12.75">
      <c r="A51" s="3">
        <v>5070</v>
      </c>
      <c r="B51" s="3" t="s">
        <v>161</v>
      </c>
      <c r="C51" s="3" t="s">
        <v>162</v>
      </c>
      <c r="D51" s="7">
        <v>1</v>
      </c>
      <c r="E51" s="8" t="s">
        <v>28</v>
      </c>
      <c r="F51" s="8" t="s">
        <v>70</v>
      </c>
      <c r="G51" s="8"/>
      <c r="H51" s="8" t="s">
        <v>54</v>
      </c>
      <c r="I51" s="2" t="s">
        <v>91</v>
      </c>
      <c r="J51" s="4" t="str">
        <f ca="1"/>
        <v>VND</v>
      </c>
      <c r="K51" s="3" t="str">
        <f ca="1"/>
        <v>,(5070, 'VND') -- 大运棋牌api-转账钱包-完美api-1级代理ID： 2012205</v>
      </c>
    </row>
    <row r="52" spans="1:11" ht="12.75">
      <c r="A52" s="3">
        <v>5071</v>
      </c>
      <c r="B52" s="3" t="s">
        <v>163</v>
      </c>
      <c r="C52" s="3" t="s">
        <v>164</v>
      </c>
      <c r="D52" s="7">
        <v>1</v>
      </c>
      <c r="E52" s="8" t="s">
        <v>28</v>
      </c>
      <c r="F52" s="8" t="s">
        <v>52</v>
      </c>
      <c r="G52" s="8"/>
      <c r="H52" s="8"/>
      <c r="I52" s="3" t="s">
        <v>71</v>
      </c>
      <c r="J52" s="4" t="str">
        <f ca="1"/>
        <v>MYR</v>
      </c>
      <c r="K52" s="3" t="str">
        <f ca="1"/>
        <v>,(5071, 'MYR') -- 大运棋牌api-转账钱包-CMD368测试公司-1级代理ID： 2012483</v>
      </c>
    </row>
    <row r="53" spans="1:11" ht="12.75">
      <c r="A53" s="3">
        <v>5072</v>
      </c>
      <c r="B53" s="3" t="s">
        <v>165</v>
      </c>
      <c r="C53" s="3" t="s">
        <v>166</v>
      </c>
      <c r="D53" s="7">
        <v>1</v>
      </c>
      <c r="E53" s="8" t="s">
        <v>28</v>
      </c>
      <c r="F53" s="8" t="s">
        <v>52</v>
      </c>
      <c r="G53" s="8"/>
      <c r="H53" s="8"/>
      <c r="I53" s="3" t="s">
        <v>97</v>
      </c>
      <c r="J53" s="4" t="str">
        <f ca="1"/>
        <v>SGD</v>
      </c>
      <c r="K53" s="3" t="str">
        <f ca="1"/>
        <v>,(5072, 'SGD') -- 大运棋牌api-转账钱包-CMD368测试公司-1级代理ID： 2012493</v>
      </c>
    </row>
    <row r="54" spans="1:11" ht="12.75">
      <c r="A54" s="3">
        <v>5073</v>
      </c>
      <c r="B54" s="3" t="s">
        <v>167</v>
      </c>
      <c r="C54" s="3" t="s">
        <v>168</v>
      </c>
      <c r="D54" s="7">
        <v>1</v>
      </c>
      <c r="E54" s="8" t="s">
        <v>28</v>
      </c>
      <c r="F54" s="8" t="s">
        <v>52</v>
      </c>
      <c r="G54" s="8"/>
      <c r="H54" s="8"/>
      <c r="I54" s="3" t="s">
        <v>30</v>
      </c>
      <c r="J54" s="4" t="str">
        <f ca="1"/>
        <v>CNY</v>
      </c>
      <c r="K54" s="3" t="str">
        <f ca="1"/>
        <v>,(5073, 'CNY') -- 大运棋牌api-转账钱包-CMD368测试公司-1级代理ID： 2012475</v>
      </c>
    </row>
    <row r="55" spans="1:11" ht="12.75">
      <c r="A55" s="3">
        <v>5074</v>
      </c>
      <c r="B55" s="3" t="s">
        <v>169</v>
      </c>
      <c r="C55" s="3" t="s">
        <v>170</v>
      </c>
      <c r="D55" s="7">
        <v>1</v>
      </c>
      <c r="E55" s="8" t="s">
        <v>28</v>
      </c>
      <c r="F55" s="8" t="s">
        <v>52</v>
      </c>
      <c r="G55" s="8"/>
      <c r="H55" s="8"/>
      <c r="I55" s="3" t="s">
        <v>94</v>
      </c>
      <c r="J55" s="4" t="str">
        <f ca="1"/>
        <v>IDR</v>
      </c>
      <c r="K55" s="3" t="str">
        <f ca="1"/>
        <v>,(5074, 'IDR') -- 大运棋牌api-转账钱包-CMD368测试公司-1级代理ID： 2012478</v>
      </c>
    </row>
    <row r="56" spans="1:11" ht="12.75">
      <c r="A56" s="3">
        <v>5075</v>
      </c>
      <c r="B56" s="3" t="s">
        <v>171</v>
      </c>
      <c r="C56" s="3" t="s">
        <v>172</v>
      </c>
      <c r="D56" s="7">
        <v>1</v>
      </c>
      <c r="E56" s="8" t="s">
        <v>28</v>
      </c>
      <c r="F56" s="8" t="s">
        <v>52</v>
      </c>
      <c r="G56" s="8"/>
      <c r="H56" s="8"/>
      <c r="I56" s="3" t="s">
        <v>91</v>
      </c>
      <c r="J56" s="4" t="str">
        <f ca="1"/>
        <v>VND</v>
      </c>
      <c r="K56" s="3" t="str">
        <f ca="1"/>
        <v>,(5075, 'VND') -- 大运棋牌api-转账钱包-CMD368测试公司-1级代理ID： 2012488</v>
      </c>
    </row>
    <row r="57" spans="1:11" ht="12.75">
      <c r="A57" s="3">
        <v>5076</v>
      </c>
      <c r="B57" s="3" t="s">
        <v>173</v>
      </c>
      <c r="C57" s="3" t="s">
        <v>174</v>
      </c>
      <c r="D57" s="7">
        <v>1</v>
      </c>
      <c r="E57" s="8" t="s">
        <v>28</v>
      </c>
      <c r="F57" s="8" t="s">
        <v>52</v>
      </c>
      <c r="G57" s="8"/>
      <c r="H57" s="8"/>
      <c r="I57" s="3" t="s">
        <v>88</v>
      </c>
      <c r="J57" s="4" t="str">
        <f ca="1"/>
        <v>THB</v>
      </c>
      <c r="K57" s="3" t="str">
        <f ca="1"/>
        <v>,(5076, 'THB') -- 大运棋牌api-转账钱包-CMD368测试公司-1级代理ID： 2012484</v>
      </c>
    </row>
    <row r="58" spans="1:11" ht="12.75">
      <c r="A58" s="3">
        <v>5077</v>
      </c>
      <c r="B58" s="3" t="s">
        <v>175</v>
      </c>
      <c r="C58" s="3" t="s">
        <v>176</v>
      </c>
      <c r="D58" s="7">
        <v>1</v>
      </c>
      <c r="E58" s="8" t="s">
        <v>28</v>
      </c>
      <c r="F58" s="8" t="s">
        <v>52</v>
      </c>
      <c r="G58" s="8"/>
      <c r="H58" s="8" t="s">
        <v>177</v>
      </c>
      <c r="I58" s="3" t="s">
        <v>91</v>
      </c>
      <c r="J58" s="4" t="str">
        <f ca="1"/>
        <v>VND</v>
      </c>
      <c r="K58" s="3" t="str">
        <f ca="1"/>
        <v>,(5077, 'VND') -- 大运棋牌api-转账钱包-KBS越南-1级代理ID： 2013656</v>
      </c>
    </row>
    <row r="59" spans="1:11" ht="12.75">
      <c r="A59" s="3">
        <v>5078</v>
      </c>
      <c r="B59" s="3" t="s">
        <v>178</v>
      </c>
      <c r="C59" s="3" t="s">
        <v>179</v>
      </c>
      <c r="D59" s="7">
        <v>1</v>
      </c>
      <c r="E59" s="8" t="s">
        <v>28</v>
      </c>
      <c r="F59" s="8" t="s">
        <v>52</v>
      </c>
      <c r="G59" s="8"/>
      <c r="H59" s="8"/>
      <c r="I59" s="2" t="s">
        <v>151</v>
      </c>
      <c r="J59" s="4" t="str">
        <f ca="1"/>
        <v>USDT</v>
      </c>
      <c r="K59" s="3" t="str">
        <f ca="1"/>
        <v>,(5078, 'USDT') -- 大运棋牌api-转账钱包-哈希-1级代理ID： 2025752</v>
      </c>
    </row>
    <row r="60" spans="1:11" ht="12.75">
      <c r="A60" s="3">
        <v>5079</v>
      </c>
      <c r="B60" s="3" t="s">
        <v>180</v>
      </c>
      <c r="C60" s="3" t="s">
        <v>181</v>
      </c>
      <c r="D60" s="7">
        <v>1</v>
      </c>
      <c r="E60" s="8" t="s">
        <v>28</v>
      </c>
      <c r="F60" s="8" t="s">
        <v>52</v>
      </c>
      <c r="G60" s="8"/>
      <c r="H60" s="8"/>
      <c r="I60" s="2" t="s">
        <v>151</v>
      </c>
      <c r="J60" s="4" t="str">
        <f ca="1"/>
        <v>USDT</v>
      </c>
      <c r="K60" s="3" t="str">
        <f ca="1"/>
        <v>,(5079, 'USDT') -- 大运棋牌api-单一钱包-河马API-1级代理ID： 2040594</v>
      </c>
    </row>
    <row r="61" spans="1:11" ht="12.75">
      <c r="A61" s="3">
        <v>5080</v>
      </c>
      <c r="B61" s="3" t="s">
        <v>182</v>
      </c>
      <c r="C61" s="3" t="s">
        <v>183</v>
      </c>
      <c r="D61" s="7">
        <v>1</v>
      </c>
      <c r="E61" s="8" t="s">
        <v>28</v>
      </c>
      <c r="F61" s="8" t="s">
        <v>52</v>
      </c>
      <c r="G61" s="8"/>
      <c r="H61" s="8"/>
      <c r="I61" s="3" t="s">
        <v>30</v>
      </c>
      <c r="J61" s="4" t="str">
        <f ca="1"/>
        <v>CNY</v>
      </c>
      <c r="K61" s="3" t="str">
        <f ca="1"/>
        <v>,(5080, 'CNY') -- 大运棋牌api-转账钱包-卡卡体育-1级代理ID： 2061061</v>
      </c>
    </row>
    <row r="62" spans="1:11" ht="12.75">
      <c r="A62" s="3">
        <v>5081</v>
      </c>
      <c r="B62" s="3" t="s">
        <v>184</v>
      </c>
      <c r="C62" s="3" t="s">
        <v>185</v>
      </c>
      <c r="D62" s="7">
        <v>1</v>
      </c>
      <c r="E62" s="8" t="s">
        <v>28</v>
      </c>
      <c r="F62" s="8" t="s">
        <v>52</v>
      </c>
      <c r="G62" s="8"/>
      <c r="H62" s="8"/>
      <c r="I62" s="3" t="s">
        <v>64</v>
      </c>
      <c r="J62" s="4" t="str">
        <f ca="1"/>
        <v>PHP</v>
      </c>
      <c r="K62" s="3" t="str">
        <f ca="1"/>
        <v>,(5081, 'PHP') -- 大运棋牌api-转账钱包-多语言租用-1级代理ID： 2104307</v>
      </c>
    </row>
    <row r="63" spans="1:11" ht="12.75">
      <c r="A63" s="3">
        <v>5082</v>
      </c>
      <c r="B63" s="3" t="s">
        <v>186</v>
      </c>
      <c r="C63" s="3" t="s">
        <v>187</v>
      </c>
      <c r="D63" s="7">
        <v>1</v>
      </c>
      <c r="E63" s="8" t="s">
        <v>28</v>
      </c>
      <c r="F63" s="8" t="s">
        <v>52</v>
      </c>
      <c r="G63" s="8"/>
      <c r="H63" s="8"/>
      <c r="I63" s="3" t="s">
        <v>30</v>
      </c>
      <c r="J63" s="4" t="str">
        <f ca="1"/>
        <v>CNY</v>
      </c>
      <c r="K63" s="3" t="str">
        <f ca="1"/>
        <v>,(5082, 'CNY') -- 大运棋牌api-转账钱包-CMD368正式-1级代理ID： 2111377</v>
      </c>
    </row>
    <row r="64" spans="1:11" ht="12.75">
      <c r="A64" s="3">
        <v>5083</v>
      </c>
      <c r="B64" s="3" t="s">
        <v>188</v>
      </c>
      <c r="C64" s="3" t="s">
        <v>189</v>
      </c>
      <c r="D64" s="3">
        <v>1</v>
      </c>
      <c r="E64" s="3" t="s">
        <v>28</v>
      </c>
      <c r="F64" s="8" t="s">
        <v>52</v>
      </c>
      <c r="G64" s="8"/>
      <c r="H64" s="8"/>
      <c r="I64" s="3" t="s">
        <v>94</v>
      </c>
      <c r="J64" s="4" t="str">
        <f ca="1"/>
        <v>IDR</v>
      </c>
      <c r="K64" s="3" t="str">
        <f ca="1"/>
        <v>,(5083, 'IDR') -- 大运棋牌api-转账钱包-CMD368正式-1级代理ID： 2111512</v>
      </c>
    </row>
    <row r="65" spans="1:11" ht="12.75">
      <c r="A65" s="3">
        <v>5084</v>
      </c>
      <c r="B65" s="3" t="s">
        <v>190</v>
      </c>
      <c r="C65" s="3" t="s">
        <v>191</v>
      </c>
      <c r="D65" s="3">
        <v>1</v>
      </c>
      <c r="E65" s="3" t="s">
        <v>28</v>
      </c>
      <c r="F65" s="8" t="s">
        <v>52</v>
      </c>
      <c r="G65" s="8"/>
      <c r="H65" s="8"/>
      <c r="I65" s="3" t="s">
        <v>71</v>
      </c>
      <c r="J65" s="4" t="str">
        <f ca="1"/>
        <v>MYR</v>
      </c>
      <c r="K65" s="3" t="str">
        <f ca="1"/>
        <v>,(5084, 'MYR') -- 大运棋牌api-转账钱包-CMD368正式-1级代理ID： 2111527</v>
      </c>
    </row>
    <row r="66" spans="1:11" ht="12.75">
      <c r="A66" s="3">
        <v>5085</v>
      </c>
      <c r="B66" s="3" t="s">
        <v>192</v>
      </c>
      <c r="C66" s="3" t="s">
        <v>193</v>
      </c>
      <c r="D66" s="3">
        <v>1</v>
      </c>
      <c r="E66" s="3" t="s">
        <v>28</v>
      </c>
      <c r="F66" s="8" t="s">
        <v>52</v>
      </c>
      <c r="G66" s="8"/>
      <c r="H66" s="8"/>
      <c r="I66" s="3" t="s">
        <v>88</v>
      </c>
      <c r="J66" s="4" t="str">
        <f ca="1"/>
        <v>THB</v>
      </c>
      <c r="K66" s="3" t="str">
        <f ca="1"/>
        <v>,(5085, 'THB') -- 大运棋牌api-转账钱包-CMD368正式-1级代理ID： 2111515</v>
      </c>
    </row>
    <row r="67" spans="1:11" ht="12.75">
      <c r="A67" s="3">
        <v>5086</v>
      </c>
      <c r="B67" s="3" t="s">
        <v>194</v>
      </c>
      <c r="C67" s="3" t="s">
        <v>195</v>
      </c>
      <c r="D67" s="3">
        <v>1</v>
      </c>
      <c r="E67" s="3" t="s">
        <v>28</v>
      </c>
      <c r="F67" s="8" t="s">
        <v>52</v>
      </c>
      <c r="G67" s="8"/>
      <c r="H67" s="8"/>
      <c r="I67" s="3" t="s">
        <v>91</v>
      </c>
      <c r="J67" s="4" t="str">
        <f ca="1"/>
        <v>VND</v>
      </c>
      <c r="K67" s="3" t="str">
        <f ca="1"/>
        <v>,(5086, 'VND') -- 大运棋牌api-转账钱包-CMD368正式-1级代理ID： 2111532</v>
      </c>
    </row>
    <row r="68" spans="1:11" ht="12.75">
      <c r="A68" s="3">
        <v>5087</v>
      </c>
      <c r="B68" s="3" t="s">
        <v>196</v>
      </c>
      <c r="C68" s="3" t="s">
        <v>197</v>
      </c>
      <c r="D68" s="3">
        <v>1</v>
      </c>
      <c r="E68" s="3" t="s">
        <v>28</v>
      </c>
      <c r="F68" s="8" t="s">
        <v>52</v>
      </c>
      <c r="G68" s="8"/>
      <c r="H68" s="8"/>
      <c r="I68" s="3" t="s">
        <v>97</v>
      </c>
      <c r="J68" s="4" t="str">
        <f ca="1"/>
        <v>SGD</v>
      </c>
      <c r="K68" s="3" t="str">
        <f ca="1"/>
        <v>,(5087, 'SGD') -- 大运棋牌api-转账钱包-CMD368正式-1级代理ID： 2111535</v>
      </c>
    </row>
    <row r="69" spans="1:11" ht="12.75">
      <c r="A69" s="3">
        <v>5088</v>
      </c>
      <c r="B69" s="3" t="s">
        <v>198</v>
      </c>
      <c r="C69" s="3" t="s">
        <v>199</v>
      </c>
      <c r="D69" s="3">
        <v>1</v>
      </c>
      <c r="E69" s="3" t="s">
        <v>28</v>
      </c>
      <c r="F69" s="8" t="s">
        <v>52</v>
      </c>
      <c r="G69" s="8"/>
      <c r="H69" s="8"/>
      <c r="I69" s="3" t="s">
        <v>64</v>
      </c>
      <c r="J69" s="4" t="str">
        <f ca="1"/>
        <v>PHP</v>
      </c>
      <c r="K69" s="3" t="str">
        <f ca="1"/>
        <v>,(5088, 'PHP') -- 大运棋牌api-唯一钱包-E78菲律宾-1级代理ID： 2120064</v>
      </c>
    </row>
    <row r="70" spans="1:11" ht="12.75">
      <c r="A70" s="3">
        <v>5089</v>
      </c>
      <c r="B70" s="3" t="s">
        <v>200</v>
      </c>
      <c r="C70" s="3" t="s">
        <v>201</v>
      </c>
      <c r="D70" s="3">
        <v>1</v>
      </c>
      <c r="E70" s="3" t="s">
        <v>28</v>
      </c>
      <c r="F70" s="8" t="s">
        <v>52</v>
      </c>
      <c r="G70" s="8"/>
      <c r="H70" s="8"/>
      <c r="I70" s="3" t="s">
        <v>88</v>
      </c>
      <c r="J70" s="4" t="str">
        <f ca="1"/>
        <v>THB</v>
      </c>
      <c r="K70" s="3" t="str">
        <f ca="1"/>
        <v>,(5089, 'THB') -- 大运棋牌api-转账钱包-大运电子测试公司新增多皮肤-1级代理ID： 2122257</v>
      </c>
    </row>
    <row r="71" spans="1:11" ht="12.75">
      <c r="A71" s="3">
        <v>5090</v>
      </c>
      <c r="B71" s="3" t="s">
        <v>202</v>
      </c>
      <c r="C71" s="3" t="s">
        <v>203</v>
      </c>
      <c r="D71" s="3">
        <v>1</v>
      </c>
      <c r="E71" s="3" t="s">
        <v>28</v>
      </c>
      <c r="F71" s="8" t="s">
        <v>52</v>
      </c>
      <c r="G71" s="8"/>
      <c r="H71" s="8"/>
      <c r="I71" s="3" t="s">
        <v>30</v>
      </c>
      <c r="J71" s="4" t="str">
        <f ca="1"/>
        <v>CNY</v>
      </c>
      <c r="K71" s="3" t="str">
        <f ca="1"/>
        <v>,(5090, 'CNY') -- 大运棋牌api-转账钱包-大运电子测试公司新增多皮肤-1级代理ID： 2122273</v>
      </c>
    </row>
    <row r="72" spans="1:11" ht="12.75">
      <c r="A72" s="3">
        <v>5091</v>
      </c>
      <c r="B72" s="3" t="s">
        <v>204</v>
      </c>
      <c r="C72" s="3" t="s">
        <v>205</v>
      </c>
      <c r="D72" s="3">
        <v>1</v>
      </c>
      <c r="E72" s="3" t="s">
        <v>28</v>
      </c>
      <c r="F72" s="8" t="s">
        <v>52</v>
      </c>
      <c r="G72" s="8"/>
      <c r="H72" s="8"/>
      <c r="I72" s="3" t="s">
        <v>143</v>
      </c>
      <c r="J72" s="4" t="str">
        <f ca="1"/>
        <v>USD</v>
      </c>
      <c r="K72" s="3" t="str">
        <f ca="1"/>
        <v>,(5091, 'USD') -- 大运棋牌api-转账钱包-大运电子测试公司新增多皮肤-1级代理ID： 2122286</v>
      </c>
    </row>
    <row r="73" spans="1:11" ht="12.75">
      <c r="A73" s="3">
        <v>5092</v>
      </c>
      <c r="B73" s="3" t="s">
        <v>206</v>
      </c>
      <c r="C73" s="3" t="s">
        <v>207</v>
      </c>
      <c r="D73" s="3">
        <v>1</v>
      </c>
      <c r="E73" s="3" t="s">
        <v>28</v>
      </c>
      <c r="F73" s="8" t="s">
        <v>52</v>
      </c>
      <c r="G73" s="8"/>
      <c r="H73" s="8"/>
      <c r="I73" s="3" t="s">
        <v>208</v>
      </c>
      <c r="J73" s="4" t="str">
        <f ca="1"/>
        <v>HKD</v>
      </c>
      <c r="K73" s="3" t="str">
        <f ca="1"/>
        <v>,(5092, 'HKD') -- 大运棋牌api-转账钱包-大运电子测试公司新增多皮肤-1级代理ID： 2122275</v>
      </c>
    </row>
    <row r="74" spans="1:11" ht="12.75">
      <c r="A74" s="3">
        <v>5093</v>
      </c>
      <c r="B74" s="3" t="s">
        <v>209</v>
      </c>
      <c r="C74" s="3" t="s">
        <v>210</v>
      </c>
      <c r="D74" s="3">
        <v>1</v>
      </c>
      <c r="E74" s="3" t="s">
        <v>28</v>
      </c>
      <c r="F74" s="8" t="s">
        <v>52</v>
      </c>
      <c r="G74" s="8"/>
      <c r="H74" s="8"/>
      <c r="I74" s="3" t="s">
        <v>91</v>
      </c>
      <c r="J74" s="4" t="str">
        <f ca="1"/>
        <v>VND</v>
      </c>
      <c r="K74" s="3" t="str">
        <f ca="1"/>
        <v>,(5093, 'VND') -- 大运棋牌api-唯一钱包-大运电子测试公司新增多皮肤-1级代理ID： 2164741</v>
      </c>
    </row>
    <row r="75" spans="1:11" ht="12.75">
      <c r="A75" s="3">
        <v>5094</v>
      </c>
      <c r="B75" s="3" t="s">
        <v>211</v>
      </c>
      <c r="C75" s="3" t="s">
        <v>212</v>
      </c>
      <c r="D75" s="3">
        <v>1</v>
      </c>
      <c r="E75" s="3" t="s">
        <v>28</v>
      </c>
      <c r="F75" s="8" t="s">
        <v>52</v>
      </c>
      <c r="G75" s="8"/>
      <c r="H75" s="8"/>
      <c r="I75" s="3" t="s">
        <v>88</v>
      </c>
      <c r="J75" s="4" t="str">
        <f ca="1"/>
        <v>THB</v>
      </c>
      <c r="K75" s="3" t="str">
        <f ca="1"/>
        <v>,(5094, 'THB') -- 大运棋牌api-唯一钱包-大运电子测试公司新增多皮肤-1级代理ID： 2164739</v>
      </c>
    </row>
    <row r="76" spans="1:11" ht="12.75">
      <c r="A76" s="3">
        <v>5095</v>
      </c>
      <c r="B76" s="3" t="s">
        <v>213</v>
      </c>
      <c r="C76" s="3" t="s">
        <v>214</v>
      </c>
      <c r="D76" s="3">
        <v>1</v>
      </c>
      <c r="E76" s="3" t="s">
        <v>28</v>
      </c>
      <c r="F76" s="8" t="s">
        <v>52</v>
      </c>
      <c r="G76" s="8"/>
      <c r="H76" s="8"/>
      <c r="I76" s="3" t="s">
        <v>215</v>
      </c>
      <c r="J76" s="4" t="str">
        <f ca="1"/>
        <v>INR</v>
      </c>
      <c r="K76" s="3" t="str">
        <f ca="1"/>
        <v>,(5095, 'INR') -- 大运棋牌api-唯一钱包-大运电子测试公司新增多皮肤-1级代理ID： 2164737</v>
      </c>
    </row>
    <row r="77" spans="1:11" ht="12.75">
      <c r="A77" s="3">
        <v>5096</v>
      </c>
      <c r="B77" s="3" t="s">
        <v>216</v>
      </c>
      <c r="C77" s="3" t="s">
        <v>217</v>
      </c>
      <c r="D77" s="3">
        <v>1</v>
      </c>
      <c r="E77" s="3" t="s">
        <v>28</v>
      </c>
      <c r="F77" s="8" t="s">
        <v>52</v>
      </c>
      <c r="G77" s="8"/>
      <c r="H77" s="8"/>
      <c r="I77" s="3" t="s">
        <v>94</v>
      </c>
      <c r="J77" s="4" t="str">
        <f ca="1"/>
        <v>IDR</v>
      </c>
      <c r="K77" s="3" t="str">
        <f ca="1"/>
        <v>,(5096, 'IDR') -- 大运棋牌api-唯一钱包-大运电子测试公司新增多皮肤-1级代理ID： 2164736</v>
      </c>
    </row>
    <row r="78" spans="1:11" ht="12.75">
      <c r="A78" s="3">
        <v>5097</v>
      </c>
      <c r="B78" s="3" t="s">
        <v>218</v>
      </c>
      <c r="C78" s="3" t="s">
        <v>219</v>
      </c>
      <c r="D78" s="3">
        <v>1</v>
      </c>
      <c r="E78" s="3" t="s">
        <v>28</v>
      </c>
      <c r="F78" s="8" t="s">
        <v>52</v>
      </c>
      <c r="G78" s="8"/>
      <c r="H78" s="8"/>
      <c r="I78" s="3" t="s">
        <v>97</v>
      </c>
      <c r="J78" s="4" t="str">
        <f ca="1"/>
        <v>SGD</v>
      </c>
      <c r="K78" s="3" t="str">
        <f ca="1"/>
        <v>,(5097, 'SGD') -- 大运棋牌api-唯一钱包-大运电子测试公司新增多皮肤-1级代理ID： 2164735</v>
      </c>
    </row>
    <row r="79" spans="1:11" ht="12.75">
      <c r="A79" s="3">
        <v>5098</v>
      </c>
      <c r="B79" s="3" t="s">
        <v>220</v>
      </c>
      <c r="C79" s="3" t="s">
        <v>221</v>
      </c>
      <c r="D79" s="3">
        <v>1</v>
      </c>
      <c r="E79" s="3" t="s">
        <v>28</v>
      </c>
      <c r="F79" s="8" t="s">
        <v>52</v>
      </c>
      <c r="G79" s="8"/>
      <c r="H79" s="8"/>
      <c r="I79" s="3" t="s">
        <v>30</v>
      </c>
      <c r="J79" s="4" t="str">
        <f ca="1"/>
        <v>CNY</v>
      </c>
      <c r="K79" s="3" t="str">
        <f ca="1"/>
        <v>,(5098, 'CNY') -- 大运棋牌api-转账钱包-starbo星寳-1级代理ID： 2164904</v>
      </c>
    </row>
    <row r="80" spans="1:11" ht="12.75">
      <c r="A80" s="3">
        <v>5099</v>
      </c>
      <c r="B80" s="3" t="s">
        <v>222</v>
      </c>
      <c r="C80" s="3" t="s">
        <v>223</v>
      </c>
      <c r="D80" s="3">
        <v>1</v>
      </c>
      <c r="E80" s="3" t="s">
        <v>28</v>
      </c>
      <c r="F80" s="8" t="s">
        <v>52</v>
      </c>
      <c r="G80" s="8"/>
      <c r="H80" s="8"/>
      <c r="I80" s="3" t="s">
        <v>30</v>
      </c>
      <c r="J80" s="4" t="str">
        <f ca="1"/>
        <v>CNY</v>
      </c>
      <c r="K80" s="3" t="str">
        <f ca="1"/>
        <v>,(5099, 'CNY') -- 大运棋牌api-转账钱包-多语言租用-皮肤二-1级代理ID： 2200726</v>
      </c>
    </row>
    <row r="81" spans="1:11" ht="12.75">
      <c r="A81" s="3">
        <v>5100</v>
      </c>
      <c r="B81" s="3" t="s">
        <v>224</v>
      </c>
      <c r="C81" s="3" t="s">
        <v>225</v>
      </c>
      <c r="D81" s="3">
        <v>1</v>
      </c>
      <c r="E81" s="3" t="s">
        <v>28</v>
      </c>
      <c r="F81" s="8" t="s">
        <v>52</v>
      </c>
      <c r="G81" s="8"/>
      <c r="H81" s="8"/>
      <c r="I81" s="3" t="s">
        <v>91</v>
      </c>
      <c r="J81" s="4" t="str">
        <f ca="1"/>
        <v>VND</v>
      </c>
      <c r="K81" s="3" t="str">
        <f ca="1"/>
        <v>,(5100, 'VND') -- 大运棋牌api-转账钱包-多语言租用-皮肤三-1级代理ID： 2200730</v>
      </c>
    </row>
    <row r="82" spans="1:11" ht="12.75">
      <c r="A82" s="3">
        <v>5101</v>
      </c>
      <c r="B82" s="3" t="s">
        <v>226</v>
      </c>
      <c r="C82" s="3" t="s">
        <v>227</v>
      </c>
      <c r="D82" s="3">
        <v>1</v>
      </c>
      <c r="E82" s="3" t="s">
        <v>28</v>
      </c>
      <c r="F82" s="8" t="s">
        <v>52</v>
      </c>
      <c r="G82" s="8"/>
      <c r="H82" s="8"/>
      <c r="I82" s="3" t="s">
        <v>30</v>
      </c>
      <c r="J82" s="4" t="str">
        <f ca="1"/>
        <v>CNY</v>
      </c>
      <c r="K82" s="3" t="str">
        <f ca="1"/>
        <v>,(5101, 'CNY') -- 大运棋牌api-转账钱包-JBCF-1级代理ID： 2211639</v>
      </c>
    </row>
    <row r="83" spans="1:11" ht="12.75">
      <c r="A83" s="3">
        <v>5102</v>
      </c>
      <c r="B83" s="3" t="s">
        <v>228</v>
      </c>
      <c r="C83" s="3" t="s">
        <v>229</v>
      </c>
      <c r="D83" s="3">
        <v>1</v>
      </c>
      <c r="E83" s="3" t="s">
        <v>28</v>
      </c>
      <c r="F83" s="8" t="s">
        <v>52</v>
      </c>
      <c r="G83" s="8"/>
      <c r="H83" s="8"/>
      <c r="I83" s="3" t="s">
        <v>230</v>
      </c>
      <c r="J83" s="4" t="str">
        <f ca="1"/>
        <v>EUR</v>
      </c>
      <c r="K83" s="3" t="str">
        <f ca="1"/>
        <v>,(5102, 'EUR') -- 大运棋牌api-转账钱包-JBCF-1级代理ID： 2212832</v>
      </c>
    </row>
    <row r="84" spans="1:11" ht="12.75">
      <c r="A84" s="3">
        <v>5103</v>
      </c>
      <c r="B84" s="3" t="s">
        <v>231</v>
      </c>
      <c r="C84" s="3" t="s">
        <v>232</v>
      </c>
      <c r="D84" s="3">
        <v>1</v>
      </c>
      <c r="E84" s="3" t="s">
        <v>28</v>
      </c>
      <c r="F84" s="8" t="s">
        <v>52</v>
      </c>
      <c r="G84" s="8"/>
      <c r="H84" s="8"/>
      <c r="I84" s="3" t="s">
        <v>91</v>
      </c>
      <c r="J84" s="4" t="str">
        <f ca="1"/>
        <v>VND</v>
      </c>
      <c r="K84" s="3" t="str">
        <f ca="1"/>
        <v>,(5103, 'VND') -- 大运棋牌api-转账钱包-JBCF-1级代理ID： 2212834</v>
      </c>
    </row>
    <row r="85" spans="1:11" ht="12.75">
      <c r="A85" s="9">
        <v>5104</v>
      </c>
      <c r="B85" s="9" t="s">
        <v>233</v>
      </c>
      <c r="C85" s="9" t="s">
        <v>234</v>
      </c>
      <c r="D85" s="9">
        <v>1</v>
      </c>
      <c r="E85" s="9" t="s">
        <v>28</v>
      </c>
      <c r="F85" s="10" t="s">
        <v>52</v>
      </c>
      <c r="G85" s="10"/>
      <c r="H85" s="10"/>
      <c r="I85" s="9" t="s">
        <v>133</v>
      </c>
      <c r="J85" s="4" t="str">
        <f ca="1"/>
        <v>BRL</v>
      </c>
      <c r="K85" s="3" t="str">
        <f ca="1"/>
        <v>,(5104, 'BRL') -- 大运棋牌api-转账钱包-JBCF-1级代理ID： 2212835</v>
      </c>
    </row>
    <row r="86" spans="1:11" ht="12.75">
      <c r="A86" s="3">
        <v>5105</v>
      </c>
      <c r="B86" s="3" t="s">
        <v>235</v>
      </c>
      <c r="C86" s="3" t="s">
        <v>236</v>
      </c>
      <c r="D86" s="3">
        <v>1</v>
      </c>
      <c r="E86" s="3" t="s">
        <v>28</v>
      </c>
      <c r="F86" s="8" t="s">
        <v>52</v>
      </c>
      <c r="G86" s="8"/>
      <c r="H86" s="8"/>
      <c r="I86" s="2" t="s">
        <v>215</v>
      </c>
      <c r="J86" s="4" t="str">
        <f ca="1"/>
        <v>INR</v>
      </c>
      <c r="K86" s="3" t="str">
        <f ca="1"/>
        <v>,(5105, 'INR') -- 大运棋牌api-转账钱包-JBCF-1级代理ID： 2212837</v>
      </c>
    </row>
    <row r="87" spans="1:11" ht="12.75">
      <c r="A87" s="3">
        <v>5106</v>
      </c>
      <c r="B87" s="3" t="s">
        <v>237</v>
      </c>
      <c r="C87" s="3" t="s">
        <v>238</v>
      </c>
      <c r="D87" s="3">
        <v>1</v>
      </c>
      <c r="E87" s="3" t="s">
        <v>28</v>
      </c>
      <c r="F87" s="8" t="s">
        <v>52</v>
      </c>
      <c r="G87" s="8"/>
      <c r="H87" s="8"/>
      <c r="I87" s="3" t="s">
        <v>239</v>
      </c>
      <c r="J87" s="4" t="str">
        <f ca="1"/>
        <v>MXN</v>
      </c>
      <c r="K87" s="3" t="str">
        <f ca="1"/>
        <v>,(5106, 'MXN') -- 大运棋牌api-转账钱包-JBCF-1级代理ID： 2212838</v>
      </c>
    </row>
    <row r="88" spans="1:11" ht="12.75">
      <c r="A88" s="9">
        <v>5107</v>
      </c>
      <c r="B88" s="9" t="s">
        <v>240</v>
      </c>
      <c r="C88" s="9" t="s">
        <v>241</v>
      </c>
      <c r="D88" s="9">
        <v>1</v>
      </c>
      <c r="E88" s="9" t="s">
        <v>28</v>
      </c>
      <c r="F88" s="10" t="s">
        <v>52</v>
      </c>
      <c r="G88" s="10"/>
      <c r="H88" s="10"/>
      <c r="I88" s="9" t="s">
        <v>151</v>
      </c>
      <c r="J88" s="4" t="str">
        <f ca="1"/>
        <v>USDT</v>
      </c>
      <c r="K88" s="3" t="str">
        <f ca="1"/>
        <v>,(5107, 'USDT') -- 大运棋牌api-转账钱包-JBCF-1级代理ID： 2212840</v>
      </c>
    </row>
    <row r="89" spans="1:11" ht="12.75">
      <c r="A89" s="3">
        <v>5108</v>
      </c>
      <c r="B89" s="3" t="s">
        <v>242</v>
      </c>
      <c r="C89" s="3" t="s">
        <v>243</v>
      </c>
      <c r="D89" s="3">
        <v>1</v>
      </c>
      <c r="E89" s="3" t="s">
        <v>28</v>
      </c>
      <c r="F89" s="8" t="s">
        <v>52</v>
      </c>
      <c r="G89" s="8"/>
      <c r="H89" s="8"/>
      <c r="I89" s="3" t="s">
        <v>244</v>
      </c>
      <c r="J89" s="4" t="str">
        <f ca="1"/>
        <v>NGN</v>
      </c>
      <c r="K89" s="3" t="str">
        <f ca="1"/>
        <v>,(5108, 'NGN') -- 大运棋牌api-转账钱包-JBCF-1级代理ID： 2212841</v>
      </c>
    </row>
    <row r="90" spans="1:11" ht="12.75">
      <c r="A90" s="3">
        <v>5109</v>
      </c>
      <c r="B90" s="3" t="s">
        <v>245</v>
      </c>
      <c r="C90" s="3" t="s">
        <v>246</v>
      </c>
      <c r="D90" s="3">
        <v>1</v>
      </c>
      <c r="E90" s="3" t="s">
        <v>28</v>
      </c>
      <c r="F90" s="8" t="s">
        <v>52</v>
      </c>
      <c r="G90" s="8"/>
      <c r="H90" s="8"/>
      <c r="I90" s="3" t="s">
        <v>64</v>
      </c>
      <c r="J90" s="4" t="str">
        <f ca="1"/>
        <v>PHP</v>
      </c>
      <c r="K90" s="3" t="str">
        <f ca="1"/>
        <v>,(5109, 'PHP') -- 大运棋牌api-转账钱包-JBCF-1级代理ID： 2212843</v>
      </c>
    </row>
    <row r="91" spans="1:11" ht="12.75">
      <c r="A91" s="3">
        <v>5110</v>
      </c>
      <c r="B91" s="3" t="s">
        <v>247</v>
      </c>
      <c r="C91" s="3" t="s">
        <v>248</v>
      </c>
      <c r="D91" s="3">
        <v>1</v>
      </c>
      <c r="E91" s="3" t="s">
        <v>28</v>
      </c>
      <c r="F91" s="8" t="s">
        <v>52</v>
      </c>
      <c r="G91" s="8"/>
      <c r="H91" s="8"/>
      <c r="I91" s="3" t="s">
        <v>30</v>
      </c>
      <c r="J91" s="4" t="str">
        <f ca="1"/>
        <v>CNY</v>
      </c>
      <c r="K91" s="3" t="str">
        <f ca="1"/>
        <v>,(5110, 'CNY') -- 大运棋牌api-单一钱包-测试公司-1级代理ID： 2220896</v>
      </c>
    </row>
    <row r="92" spans="1:11" ht="12.75">
      <c r="A92" s="3">
        <v>5111</v>
      </c>
      <c r="B92" s="3" t="s">
        <v>249</v>
      </c>
      <c r="C92" s="3" t="s">
        <v>250</v>
      </c>
      <c r="D92" s="3">
        <v>1</v>
      </c>
      <c r="E92" s="3" t="s">
        <v>28</v>
      </c>
      <c r="F92" s="8" t="s">
        <v>52</v>
      </c>
      <c r="G92" s="8"/>
      <c r="H92" s="8"/>
      <c r="I92" s="3" t="s">
        <v>88</v>
      </c>
      <c r="J92" s="4" t="str">
        <f ca="1"/>
        <v>THB</v>
      </c>
      <c r="K92" s="3" t="str">
        <f ca="1"/>
        <v>,(5111, 'THB') -- 大运棋牌api-转账钱包DZceshi-一级代理：2238282 - THB</v>
      </c>
    </row>
    <row r="93" spans="1:11" ht="12.75">
      <c r="A93" s="3">
        <v>5112</v>
      </c>
      <c r="B93" s="3" t="s">
        <v>251</v>
      </c>
      <c r="C93" s="3" t="s">
        <v>252</v>
      </c>
      <c r="D93" s="3">
        <v>1</v>
      </c>
      <c r="E93" s="3" t="s">
        <v>28</v>
      </c>
      <c r="F93" s="8" t="s">
        <v>52</v>
      </c>
      <c r="G93" s="8"/>
      <c r="H93" s="8"/>
      <c r="I93" s="3" t="s">
        <v>91</v>
      </c>
      <c r="J93" s="4" t="str">
        <f ca="1"/>
        <v>VND</v>
      </c>
      <c r="K93" s="3" t="str">
        <f ca="1"/>
        <v>,(5112, 'VND') -- 大运棋牌api-转账钱包DZceshi-一级代理：2238285 - VND</v>
      </c>
    </row>
    <row r="94" spans="1:11" ht="12.75">
      <c r="A94" s="3">
        <v>5113</v>
      </c>
      <c r="B94" s="3" t="s">
        <v>253</v>
      </c>
      <c r="C94" s="3" t="s">
        <v>254</v>
      </c>
      <c r="D94" s="3">
        <v>1</v>
      </c>
      <c r="E94" s="3" t="s">
        <v>28</v>
      </c>
      <c r="F94" s="8" t="s">
        <v>52</v>
      </c>
      <c r="G94" s="8"/>
      <c r="H94" s="8"/>
      <c r="I94" s="2" t="s">
        <v>215</v>
      </c>
      <c r="J94" s="4" t="str">
        <f ca="1"/>
        <v>INR</v>
      </c>
      <c r="K94" s="3" t="str">
        <f ca="1"/>
        <v>,(5113, 'INR') -- 大运棋牌api-转账钱包DZceshi-一级代理：2238283 - INR</v>
      </c>
    </row>
    <row r="95" spans="1:11" ht="12.75">
      <c r="A95" s="3">
        <v>5114</v>
      </c>
      <c r="B95" s="3" t="s">
        <v>255</v>
      </c>
      <c r="C95" s="3" t="s">
        <v>256</v>
      </c>
      <c r="D95" s="3">
        <v>1</v>
      </c>
      <c r="E95" s="3" t="s">
        <v>28</v>
      </c>
      <c r="F95" s="8" t="s">
        <v>52</v>
      </c>
      <c r="G95" s="8"/>
      <c r="H95" s="8"/>
      <c r="I95" s="3" t="s">
        <v>71</v>
      </c>
      <c r="J95" s="4" t="str">
        <f ca="1"/>
        <v>MYR</v>
      </c>
      <c r="K95" s="3" t="str">
        <f ca="1"/>
        <v>,(5114, 'MYR') -- 大运棋牌api-转账钱包DZceshi-一级代理：2238288 - MYR</v>
      </c>
    </row>
    <row r="96" spans="1:11" ht="12.75">
      <c r="A96" s="3">
        <v>5115</v>
      </c>
      <c r="B96" s="3" t="s">
        <v>257</v>
      </c>
      <c r="C96" s="3" t="s">
        <v>258</v>
      </c>
      <c r="D96" s="3">
        <v>1</v>
      </c>
      <c r="E96" s="3" t="s">
        <v>28</v>
      </c>
      <c r="F96" s="8" t="s">
        <v>52</v>
      </c>
      <c r="G96" s="8"/>
      <c r="H96" s="8"/>
      <c r="I96" s="3" t="s">
        <v>143</v>
      </c>
      <c r="J96" s="4" t="str">
        <f ca="1"/>
        <v>USD</v>
      </c>
      <c r="K96" s="3" t="str">
        <f ca="1"/>
        <v>,(5115, 'USD') -- 大运棋牌api-转账钱包DZceshi-一级代理：2238289 - USD</v>
      </c>
    </row>
    <row r="97" spans="1:11" ht="12.75">
      <c r="A97" s="3">
        <v>5116</v>
      </c>
      <c r="B97" s="3" t="s">
        <v>259</v>
      </c>
      <c r="C97" s="3" t="s">
        <v>260</v>
      </c>
      <c r="D97" s="3">
        <v>1</v>
      </c>
      <c r="E97" s="3" t="s">
        <v>28</v>
      </c>
      <c r="F97" s="8" t="s">
        <v>52</v>
      </c>
      <c r="G97" s="8"/>
      <c r="H97" s="8"/>
      <c r="I97" s="3" t="s">
        <v>60</v>
      </c>
      <c r="J97" s="4" t="str">
        <f ca="1"/>
        <v>KRW</v>
      </c>
      <c r="K97" s="3" t="str">
        <f ca="1"/>
        <v>,(5116, 'KRW') -- 大运棋牌api-转账钱包DZceshi-一级代理：2238314 - KRW</v>
      </c>
    </row>
    <row r="98" spans="1:11" ht="12.75">
      <c r="A98" s="3">
        <v>5117</v>
      </c>
      <c r="B98" s="3" t="s">
        <v>261</v>
      </c>
      <c r="C98" s="3" t="s">
        <v>262</v>
      </c>
      <c r="D98" s="3">
        <v>1</v>
      </c>
      <c r="E98" s="3" t="s">
        <v>28</v>
      </c>
      <c r="F98" s="8" t="s">
        <v>52</v>
      </c>
      <c r="G98" s="8"/>
      <c r="H98" s="8"/>
      <c r="I98" s="3" t="s">
        <v>208</v>
      </c>
      <c r="J98" s="4" t="str">
        <f ca="1"/>
        <v>HKD</v>
      </c>
      <c r="K98" s="3" t="str">
        <f ca="1"/>
        <v>,(5117, 'HKD') -- 大运棋牌api-转账钱包DZceshi-一级代理：2238316 - HKD</v>
      </c>
    </row>
    <row r="99" spans="1:11" ht="12.75">
      <c r="A99" s="3">
        <v>5118</v>
      </c>
      <c r="B99" s="3" t="s">
        <v>263</v>
      </c>
      <c r="C99" s="3" t="s">
        <v>264</v>
      </c>
      <c r="D99" s="3">
        <v>1</v>
      </c>
      <c r="E99" s="3" t="s">
        <v>28</v>
      </c>
      <c r="F99" s="8" t="s">
        <v>52</v>
      </c>
      <c r="G99" s="8"/>
      <c r="H99" s="8"/>
      <c r="I99" s="3" t="s">
        <v>244</v>
      </c>
      <c r="J99" s="4" t="str">
        <f ca="1"/>
        <v>NGN</v>
      </c>
      <c r="K99" s="3" t="str">
        <f ca="1"/>
        <v>,(5118, 'NGN') -- 大运棋牌api-转账钱包DZceshi-一级代理：2238310 - NGN</v>
      </c>
    </row>
    <row r="100" spans="1:11" ht="12.75">
      <c r="A100" s="3">
        <v>5119</v>
      </c>
      <c r="B100" s="3" t="s">
        <v>265</v>
      </c>
      <c r="C100" s="3" t="s">
        <v>266</v>
      </c>
      <c r="D100" s="3">
        <v>1</v>
      </c>
      <c r="E100" s="3" t="s">
        <v>28</v>
      </c>
      <c r="F100" s="8" t="s">
        <v>52</v>
      </c>
      <c r="G100" s="8"/>
      <c r="H100" s="8"/>
      <c r="I100" s="3" t="s">
        <v>239</v>
      </c>
      <c r="J100" s="4" t="str">
        <f ca="1"/>
        <v>MXN</v>
      </c>
      <c r="K100" s="3" t="str">
        <f ca="1"/>
        <v>,(5119, 'MXN') -- 大运棋牌api-转账钱包DZceshi-一级代理：2238318 - MXN</v>
      </c>
    </row>
    <row r="101" spans="1:11" ht="12.75">
      <c r="A101" s="3">
        <v>5120</v>
      </c>
      <c r="B101" s="3" t="s">
        <v>267</v>
      </c>
      <c r="C101" s="3" t="s">
        <v>268</v>
      </c>
      <c r="D101" s="3">
        <v>1</v>
      </c>
      <c r="E101" s="3" t="s">
        <v>28</v>
      </c>
      <c r="F101" s="8" t="s">
        <v>52</v>
      </c>
      <c r="G101" s="8"/>
      <c r="H101" s="8"/>
      <c r="I101" s="3" t="s">
        <v>133</v>
      </c>
      <c r="J101" s="4" t="str">
        <f ca="1"/>
        <v>BRL</v>
      </c>
      <c r="K101" s="3" t="str">
        <f ca="1"/>
        <v>,(5120, 'BRL') -- 大运棋牌api-转账钱包DZceshi-一级代理：2238320 - BRL</v>
      </c>
    </row>
    <row r="102" spans="1:11" ht="12.75">
      <c r="A102" s="3">
        <v>5121</v>
      </c>
      <c r="B102" s="3" t="s">
        <v>269</v>
      </c>
      <c r="C102" s="3" t="s">
        <v>270</v>
      </c>
      <c r="D102" s="3">
        <v>1</v>
      </c>
      <c r="E102" s="3" t="s">
        <v>28</v>
      </c>
      <c r="F102" s="8" t="s">
        <v>52</v>
      </c>
      <c r="G102" s="8"/>
      <c r="H102" s="8"/>
      <c r="I102" s="3" t="s">
        <v>230</v>
      </c>
      <c r="J102" s="4" t="str">
        <f ca="1"/>
        <v>EUR</v>
      </c>
      <c r="K102" s="3" t="str">
        <f ca="1"/>
        <v>,(5121, 'EUR') -- 大运棋牌api-转账钱包DZceshi-一级代理：2238321 - EUR</v>
      </c>
    </row>
    <row r="103" spans="1:11" ht="12.75">
      <c r="A103" s="3">
        <v>5122</v>
      </c>
      <c r="B103" s="3" t="s">
        <v>271</v>
      </c>
      <c r="C103" s="3" t="s">
        <v>272</v>
      </c>
      <c r="D103" s="3">
        <v>1</v>
      </c>
      <c r="E103" s="3" t="s">
        <v>28</v>
      </c>
      <c r="F103" s="8" t="s">
        <v>52</v>
      </c>
      <c r="G103" s="8"/>
      <c r="H103" s="8"/>
      <c r="I103" s="3" t="s">
        <v>64</v>
      </c>
      <c r="J103" s="4" t="str">
        <f ca="1"/>
        <v>PHP</v>
      </c>
      <c r="K103" s="3" t="str">
        <f ca="1"/>
        <v>,(5122, 'PHP') -- 大运棋牌api-转账钱包DZceshi-一级代理：2239144 - PHP</v>
      </c>
    </row>
    <row r="104" spans="1:11" ht="12.75">
      <c r="A104" s="3">
        <v>5123</v>
      </c>
      <c r="B104" s="3" t="s">
        <v>273</v>
      </c>
      <c r="C104" s="3" t="s">
        <v>274</v>
      </c>
      <c r="D104" s="3">
        <v>1</v>
      </c>
      <c r="E104" s="3" t="s">
        <v>28</v>
      </c>
      <c r="F104" s="8" t="s">
        <v>52</v>
      </c>
      <c r="G104" s="8"/>
      <c r="H104" s="8"/>
      <c r="I104" s="3" t="s">
        <v>94</v>
      </c>
      <c r="J104" s="4" t="str">
        <f ca="1"/>
        <v>IDR</v>
      </c>
      <c r="K104" s="3" t="str">
        <f ca="1"/>
        <v>,(5123, 'IDR') -- 大运棋牌api-转账钱包DZceshi-一级代理：2239145 - IDR</v>
      </c>
    </row>
    <row r="105" spans="1:11" ht="12.75">
      <c r="A105" s="3">
        <v>5124</v>
      </c>
      <c r="B105" s="3" t="s">
        <v>275</v>
      </c>
      <c r="C105" s="3" t="s">
        <v>276</v>
      </c>
      <c r="D105" s="3">
        <v>1</v>
      </c>
      <c r="E105" s="3" t="s">
        <v>28</v>
      </c>
      <c r="F105" s="8" t="s">
        <v>52</v>
      </c>
      <c r="G105" s="8"/>
      <c r="H105" s="8"/>
      <c r="I105" s="3" t="s">
        <v>60</v>
      </c>
      <c r="J105" s="4" t="str">
        <f ca="1"/>
        <v>KRW</v>
      </c>
      <c r="K105" s="3" t="str">
        <f ca="1"/>
        <v>,(5124, 'KRW') -- 大运棋牌api-唯一钱包dydzdyce1-一级代理：2239469 - KRW</v>
      </c>
    </row>
    <row r="106" spans="1:11" ht="12.75">
      <c r="A106" s="3">
        <v>5125</v>
      </c>
      <c r="B106" s="3" t="s">
        <v>277</v>
      </c>
      <c r="C106" s="3" t="s">
        <v>278</v>
      </c>
      <c r="D106" s="3">
        <v>1</v>
      </c>
      <c r="E106" s="3" t="s">
        <v>28</v>
      </c>
      <c r="F106" s="8" t="s">
        <v>52</v>
      </c>
      <c r="G106" s="8"/>
      <c r="H106" s="8"/>
      <c r="I106" s="3" t="s">
        <v>143</v>
      </c>
      <c r="J106" s="4" t="str">
        <f ca="1"/>
        <v>USD</v>
      </c>
      <c r="K106" s="3" t="str">
        <f ca="1"/>
        <v>,(5125, 'USD') -- 大运棋牌api-唯一钱包dydzdyce1-一级代理：2239470 - USD</v>
      </c>
    </row>
    <row r="107" spans="1:11" ht="12.75">
      <c r="A107" s="3">
        <v>5126</v>
      </c>
      <c r="B107" s="3" t="s">
        <v>279</v>
      </c>
      <c r="C107" s="3" t="s">
        <v>280</v>
      </c>
      <c r="D107" s="3">
        <v>1</v>
      </c>
      <c r="E107" s="3" t="s">
        <v>28</v>
      </c>
      <c r="F107" s="8" t="s">
        <v>52</v>
      </c>
      <c r="G107" s="8"/>
      <c r="H107" s="8"/>
      <c r="I107" s="3" t="s">
        <v>230</v>
      </c>
      <c r="J107" s="4" t="str">
        <f ca="1"/>
        <v>EUR</v>
      </c>
      <c r="K107" s="3" t="str">
        <f ca="1"/>
        <v>,(5126, 'EUR') -- 大运棋牌api-唯一钱包dydzdyce1-一级代理：2239468 - EUR</v>
      </c>
    </row>
    <row r="108" spans="1:11" ht="12.75">
      <c r="A108" s="3">
        <v>5127</v>
      </c>
      <c r="B108" s="3" t="s">
        <v>281</v>
      </c>
      <c r="C108" s="3" t="s">
        <v>282</v>
      </c>
      <c r="D108" s="3">
        <v>1</v>
      </c>
      <c r="E108" s="3" t="s">
        <v>28</v>
      </c>
      <c r="F108" s="8" t="s">
        <v>52</v>
      </c>
      <c r="G108" s="8"/>
      <c r="H108" s="8"/>
      <c r="I108" s="3" t="s">
        <v>215</v>
      </c>
      <c r="J108" s="4" t="str">
        <f ca="1"/>
        <v>INR</v>
      </c>
      <c r="K108" s="3" t="str">
        <f ca="1"/>
        <v>,(5127, 'INR') -- 大运棋牌api-唯一钱包TOT-一级代理：2240926 - INR</v>
      </c>
    </row>
    <row r="109" spans="1:11" ht="12.75">
      <c r="A109" s="3">
        <v>5128</v>
      </c>
      <c r="B109" s="3" t="s">
        <v>283</v>
      </c>
      <c r="C109" s="3" t="s">
        <v>284</v>
      </c>
      <c r="D109" s="3">
        <v>1</v>
      </c>
      <c r="E109" s="3" t="s">
        <v>28</v>
      </c>
      <c r="F109" s="8" t="s">
        <v>52</v>
      </c>
      <c r="G109" s="8"/>
      <c r="H109" s="8"/>
      <c r="I109" s="3" t="s">
        <v>64</v>
      </c>
      <c r="J109" s="4" t="str">
        <f ca="1"/>
        <v>PHP</v>
      </c>
      <c r="K109" s="3" t="str">
        <f ca="1"/>
        <v>,(5128, 'PHP') -- 大运棋牌api-唯一钱包TOT-一级代理：2240924 - PHP</v>
      </c>
    </row>
    <row r="110" spans="1:11" ht="12.75">
      <c r="A110" s="3">
        <v>5129</v>
      </c>
      <c r="B110" s="3" t="s">
        <v>285</v>
      </c>
      <c r="C110" s="3" t="s">
        <v>286</v>
      </c>
      <c r="D110" s="3">
        <v>1</v>
      </c>
      <c r="E110" s="3" t="s">
        <v>28</v>
      </c>
      <c r="F110" s="8" t="s">
        <v>52</v>
      </c>
      <c r="G110" s="8"/>
      <c r="H110" s="8"/>
      <c r="I110" s="3" t="s">
        <v>88</v>
      </c>
      <c r="J110" s="4" t="str">
        <f ca="1"/>
        <v>THB</v>
      </c>
      <c r="K110" s="3" t="str">
        <f ca="1"/>
        <v>,(5129, 'THB') -- 大运棋牌api-唯一钱包TOT-一级代理：2240930 - THB</v>
      </c>
    </row>
    <row r="111" spans="1:11" ht="12.75">
      <c r="A111" s="3">
        <v>5130</v>
      </c>
      <c r="B111" s="3" t="s">
        <v>287</v>
      </c>
      <c r="C111" s="3" t="s">
        <v>288</v>
      </c>
      <c r="D111" s="3">
        <v>1</v>
      </c>
      <c r="E111" s="3" t="s">
        <v>28</v>
      </c>
      <c r="F111" s="8" t="s">
        <v>52</v>
      </c>
      <c r="G111" s="8"/>
      <c r="H111" s="8"/>
      <c r="I111" s="3" t="s">
        <v>230</v>
      </c>
      <c r="J111" s="4" t="str">
        <f ca="1"/>
        <v>EUR</v>
      </c>
      <c r="K111" s="3" t="str">
        <f ca="1"/>
        <v>,(5130, 'EUR') -- 大运棋牌api-唯一钱包TOT-一级代理：2240927 - EUR</v>
      </c>
    </row>
    <row r="112" spans="1:11" ht="12.75">
      <c r="A112" s="3">
        <v>5131</v>
      </c>
      <c r="B112" s="3" t="s">
        <v>289</v>
      </c>
      <c r="C112" s="3" t="s">
        <v>290</v>
      </c>
      <c r="D112" s="3">
        <v>1</v>
      </c>
      <c r="E112" s="3" t="s">
        <v>28</v>
      </c>
      <c r="F112" s="8" t="s">
        <v>52</v>
      </c>
      <c r="G112" s="8"/>
      <c r="H112" s="8"/>
      <c r="I112" s="3" t="s">
        <v>94</v>
      </c>
      <c r="J112" s="4" t="str">
        <f ca="1"/>
        <v>IDR</v>
      </c>
      <c r="K112" s="3" t="str">
        <f ca="1"/>
        <v>,(5131, 'IDR') -- 大运棋牌api-唯一钱包TOT-一级代理：2240931 - IDR</v>
      </c>
    </row>
    <row r="113" spans="1:11" ht="12.75">
      <c r="A113" s="3">
        <v>5132</v>
      </c>
      <c r="B113" s="3" t="s">
        <v>291</v>
      </c>
      <c r="C113" s="3" t="s">
        <v>292</v>
      </c>
      <c r="D113" s="3">
        <v>1</v>
      </c>
      <c r="E113" s="3" t="s">
        <v>28</v>
      </c>
      <c r="F113" s="8" t="s">
        <v>52</v>
      </c>
      <c r="G113" s="8"/>
      <c r="H113" s="8"/>
      <c r="I113" s="3" t="s">
        <v>293</v>
      </c>
      <c r="J113" s="4" t="str">
        <f ca="1"/>
        <v>AUD</v>
      </c>
      <c r="K113" s="3" t="str">
        <f ca="1"/>
        <v>,(5132, 'AUD') -- 大运棋牌api-唯一钱包998-一级代理：2247112 - AUD</v>
      </c>
    </row>
    <row r="114" spans="1:11" ht="12.75">
      <c r="A114" s="3">
        <v>5133</v>
      </c>
      <c r="B114" s="3" t="s">
        <v>294</v>
      </c>
      <c r="C114" s="3" t="s">
        <v>295</v>
      </c>
      <c r="D114" s="3">
        <v>1</v>
      </c>
      <c r="E114" s="3" t="s">
        <v>28</v>
      </c>
      <c r="F114" s="8" t="s">
        <v>52</v>
      </c>
      <c r="G114" s="8"/>
      <c r="H114" s="8"/>
      <c r="I114" s="3" t="s">
        <v>30</v>
      </c>
      <c r="J114" s="4" t="str">
        <f ca="1"/>
        <v>CNY</v>
      </c>
      <c r="K114" s="3" t="str">
        <f ca="1"/>
        <v>,(5133, 'CNY') -- 大运棋牌api-唯一钱包998-一级代理：2247092 - CNY</v>
      </c>
    </row>
    <row r="115" spans="1:11" ht="12.75">
      <c r="A115" s="3">
        <v>5134</v>
      </c>
      <c r="B115" s="3" t="s">
        <v>296</v>
      </c>
      <c r="C115" s="3" t="s">
        <v>297</v>
      </c>
      <c r="D115" s="3">
        <v>1</v>
      </c>
      <c r="E115" s="3" t="s">
        <v>28</v>
      </c>
      <c r="F115" s="8" t="s">
        <v>52</v>
      </c>
      <c r="G115" s="8"/>
      <c r="H115" s="8"/>
      <c r="I115" s="3" t="s">
        <v>147</v>
      </c>
      <c r="J115" s="4" t="str">
        <f ca="1"/>
        <v>JPY</v>
      </c>
      <c r="K115" s="3" t="str">
        <f ca="1"/>
        <v>,(5134, 'JPY') -- 大运棋牌api-唯一钱包998-一级代理：2247115 - JPY</v>
      </c>
    </row>
    <row r="116" spans="1:11" ht="12.75">
      <c r="A116" s="3">
        <v>5135</v>
      </c>
      <c r="B116" s="3" t="s">
        <v>298</v>
      </c>
      <c r="C116" s="3" t="s">
        <v>299</v>
      </c>
      <c r="D116" s="3">
        <v>1</v>
      </c>
      <c r="E116" s="3" t="s">
        <v>28</v>
      </c>
      <c r="F116" s="8" t="s">
        <v>52</v>
      </c>
      <c r="G116" s="8"/>
      <c r="H116" s="8"/>
      <c r="I116" s="3" t="s">
        <v>230</v>
      </c>
      <c r="J116" s="4" t="str">
        <f ca="1"/>
        <v>EUR</v>
      </c>
      <c r="K116" s="3" t="str">
        <f ca="1"/>
        <v>,(5135, 'EUR') -- 大运棋牌api-唯一钱包998-一级代理：2247098 - EUR</v>
      </c>
    </row>
    <row r="117" spans="1:11" ht="12.75">
      <c r="A117" s="3">
        <v>5136</v>
      </c>
      <c r="B117" s="3" t="s">
        <v>300</v>
      </c>
      <c r="C117" s="3" t="s">
        <v>301</v>
      </c>
      <c r="D117" s="3">
        <v>1</v>
      </c>
      <c r="E117" s="3" t="s">
        <v>28</v>
      </c>
      <c r="F117" s="8" t="s">
        <v>52</v>
      </c>
      <c r="G117" s="8"/>
      <c r="H117" s="8"/>
      <c r="I117" s="3" t="s">
        <v>208</v>
      </c>
      <c r="J117" s="4" t="str">
        <f ca="1"/>
        <v>HKD</v>
      </c>
      <c r="K117" s="3" t="str">
        <f ca="1"/>
        <v>,(5136, 'HKD') -- 大运棋牌api-唯一钱包998-一级代理：2247103 - HKD</v>
      </c>
    </row>
    <row r="118" spans="1:11" ht="12.75">
      <c r="A118" s="3">
        <v>5137</v>
      </c>
      <c r="B118" s="3" t="s">
        <v>302</v>
      </c>
      <c r="C118" s="3" t="s">
        <v>303</v>
      </c>
      <c r="D118" s="3">
        <v>1</v>
      </c>
      <c r="E118" s="3" t="s">
        <v>28</v>
      </c>
      <c r="F118" s="8" t="s">
        <v>52</v>
      </c>
      <c r="G118" s="8"/>
      <c r="H118" s="8"/>
      <c r="I118" s="3" t="s">
        <v>60</v>
      </c>
      <c r="J118" s="4" t="str">
        <f ca="1"/>
        <v>KRW</v>
      </c>
      <c r="K118" s="3" t="str">
        <f ca="1"/>
        <v>,(5137, 'KRW') -- 大运棋牌api-唯一钱包998-一级代理：2247105 - KRW</v>
      </c>
    </row>
    <row r="119" spans="1:11" ht="12.75">
      <c r="A119" s="3">
        <v>5138</v>
      </c>
      <c r="B119" s="3" t="s">
        <v>304</v>
      </c>
      <c r="C119" s="3" t="s">
        <v>305</v>
      </c>
      <c r="D119" s="3">
        <v>1</v>
      </c>
      <c r="E119" s="3" t="s">
        <v>28</v>
      </c>
      <c r="F119" s="8" t="s">
        <v>52</v>
      </c>
      <c r="G119" s="8"/>
      <c r="H119" s="8"/>
      <c r="I119" s="3" t="s">
        <v>306</v>
      </c>
      <c r="J119" s="4" t="str">
        <f ca="1"/>
        <v>MMK</v>
      </c>
      <c r="K119" s="3" t="str">
        <f ca="1"/>
        <v>,(5138, 'MMK') -- 大运棋牌api-唯一钱包998-一级代理：2247113 - MMK</v>
      </c>
    </row>
    <row r="120" spans="1:11" ht="12.75">
      <c r="A120" s="3">
        <v>5139</v>
      </c>
      <c r="B120" s="3" t="s">
        <v>307</v>
      </c>
      <c r="C120" s="3" t="s">
        <v>308</v>
      </c>
      <c r="D120" s="3">
        <v>1</v>
      </c>
      <c r="E120" s="3" t="s">
        <v>28</v>
      </c>
      <c r="F120" s="8" t="s">
        <v>52</v>
      </c>
      <c r="G120" s="8"/>
      <c r="H120" s="8"/>
      <c r="I120" s="3" t="s">
        <v>64</v>
      </c>
      <c r="J120" s="4" t="str">
        <f ca="1"/>
        <v>PHP</v>
      </c>
      <c r="K120" s="3" t="str">
        <f ca="1"/>
        <v>,(5139, 'PHP') -- 大运棋牌api-唯一钱包998-一级代理：2247093 - PHP</v>
      </c>
    </row>
    <row r="121" spans="1:11" ht="12.75">
      <c r="A121" s="3">
        <v>5140</v>
      </c>
      <c r="B121" s="3" t="s">
        <v>309</v>
      </c>
      <c r="C121" s="3" t="s">
        <v>310</v>
      </c>
      <c r="D121" s="3">
        <v>1</v>
      </c>
      <c r="E121" s="3" t="s">
        <v>28</v>
      </c>
      <c r="F121" s="8" t="s">
        <v>52</v>
      </c>
      <c r="G121" s="8"/>
      <c r="H121" s="8"/>
      <c r="I121" s="3" t="s">
        <v>71</v>
      </c>
      <c r="J121" s="4" t="str">
        <f ca="1"/>
        <v>MYR</v>
      </c>
      <c r="K121" s="3" t="str">
        <f ca="1"/>
        <v>,(5140, 'MYR') -- 大运棋牌api-唯一钱包998-一级代理：2247101 - MYR</v>
      </c>
    </row>
    <row r="122" spans="1:11" ht="12.75">
      <c r="A122" s="3">
        <v>5141</v>
      </c>
      <c r="B122" s="3" t="s">
        <v>311</v>
      </c>
      <c r="C122" s="3" t="s">
        <v>312</v>
      </c>
      <c r="D122" s="3">
        <v>1</v>
      </c>
      <c r="E122" s="3" t="s">
        <v>28</v>
      </c>
      <c r="F122" s="8" t="s">
        <v>52</v>
      </c>
      <c r="G122" s="8"/>
      <c r="H122" s="8"/>
      <c r="I122" s="3" t="s">
        <v>94</v>
      </c>
      <c r="J122" s="4" t="str">
        <f ca="1"/>
        <v>IDR</v>
      </c>
      <c r="K122" s="3" t="str">
        <f ca="1"/>
        <v>,(5141, 'IDR') -- 大运棋牌api-唯一钱包998-一级代理：2247109 - IDR</v>
      </c>
    </row>
    <row r="123" spans="1:11" ht="12.75">
      <c r="A123" s="3">
        <v>5142</v>
      </c>
      <c r="B123" s="3" t="s">
        <v>313</v>
      </c>
      <c r="C123" s="3" t="s">
        <v>314</v>
      </c>
      <c r="D123" s="3">
        <v>1</v>
      </c>
      <c r="E123" s="3" t="s">
        <v>28</v>
      </c>
      <c r="F123" s="8" t="s">
        <v>52</v>
      </c>
      <c r="G123" s="8"/>
      <c r="H123" s="8"/>
      <c r="I123" s="3" t="s">
        <v>215</v>
      </c>
      <c r="J123" s="4" t="str">
        <f ca="1"/>
        <v>INR</v>
      </c>
      <c r="K123" s="3" t="str">
        <f ca="1"/>
        <v>,(5142, 'INR') -- 大运棋牌api-唯一钱包998-一级代理：2247096 - INR</v>
      </c>
    </row>
    <row r="124" spans="1:11" ht="12.75">
      <c r="A124" s="3">
        <v>5143</v>
      </c>
      <c r="B124" s="3" t="s">
        <v>315</v>
      </c>
      <c r="C124" s="3" t="s">
        <v>316</v>
      </c>
      <c r="D124" s="3">
        <v>1</v>
      </c>
      <c r="E124" s="3" t="s">
        <v>28</v>
      </c>
      <c r="F124" s="8" t="s">
        <v>52</v>
      </c>
      <c r="G124" s="8"/>
      <c r="H124" s="8"/>
      <c r="I124" s="3" t="s">
        <v>88</v>
      </c>
      <c r="J124" s="4" t="str">
        <f ca="1"/>
        <v>THB</v>
      </c>
      <c r="K124" s="3" t="str">
        <f ca="1"/>
        <v>,(5143, 'THB') -- 大运棋牌api-唯一钱包998-一级代理：2247099 - THB</v>
      </c>
    </row>
    <row r="125" spans="1:11" ht="12.75">
      <c r="A125" s="3">
        <v>5144</v>
      </c>
      <c r="B125" s="3" t="s">
        <v>317</v>
      </c>
      <c r="C125" s="3" t="s">
        <v>318</v>
      </c>
      <c r="D125" s="3">
        <v>1</v>
      </c>
      <c r="E125" s="3" t="s">
        <v>28</v>
      </c>
      <c r="F125" s="8" t="s">
        <v>52</v>
      </c>
      <c r="G125" s="8"/>
      <c r="H125" s="8"/>
      <c r="I125" s="3" t="s">
        <v>143</v>
      </c>
      <c r="J125" s="4" t="str">
        <f ca="1"/>
        <v>USD</v>
      </c>
      <c r="K125" s="3" t="str">
        <f ca="1"/>
        <v>,(5144, 'USD') -- 大运棋牌api-唯一钱包998-一级代理：2247108 - USD</v>
      </c>
    </row>
    <row r="126" spans="1:11" ht="12.75">
      <c r="A126" s="3">
        <v>5145</v>
      </c>
      <c r="B126" s="3" t="s">
        <v>319</v>
      </c>
      <c r="C126" s="3" t="s">
        <v>320</v>
      </c>
      <c r="D126" s="3">
        <v>1</v>
      </c>
      <c r="E126" s="3" t="s">
        <v>28</v>
      </c>
      <c r="F126" s="8" t="s">
        <v>52</v>
      </c>
      <c r="G126" s="8"/>
      <c r="H126" s="8"/>
      <c r="I126" s="3" t="s">
        <v>91</v>
      </c>
      <c r="J126" s="4" t="str">
        <f ca="1"/>
        <v>VND</v>
      </c>
      <c r="K126" s="3" t="str">
        <f ca="1"/>
        <v>,(5145, 'VND') -- 大运棋牌api-唯一钱包998-一级代理：2247097 - VND</v>
      </c>
    </row>
    <row r="127" spans="1:11" ht="12.75">
      <c r="A127" s="3">
        <v>5146</v>
      </c>
      <c r="B127" s="3" t="s">
        <v>321</v>
      </c>
      <c r="C127" s="3" t="s">
        <v>322</v>
      </c>
      <c r="D127" s="3">
        <v>1</v>
      </c>
      <c r="E127" s="3" t="s">
        <v>28</v>
      </c>
      <c r="F127" s="8" t="s">
        <v>52</v>
      </c>
      <c r="G127" s="8"/>
      <c r="H127" s="8"/>
      <c r="I127" s="3" t="s">
        <v>97</v>
      </c>
      <c r="J127" s="4" t="str">
        <f ca="1"/>
        <v>SGD</v>
      </c>
      <c r="K127" s="3" t="str">
        <f ca="1"/>
        <v>,(5146, 'SGD') -- 大运棋牌api-唯一钱包998-一级代理：2247116 - SGD</v>
      </c>
    </row>
    <row r="128" spans="1:11" ht="12.75">
      <c r="A128" s="3">
        <v>5147</v>
      </c>
      <c r="B128" s="3" t="s">
        <v>323</v>
      </c>
      <c r="C128" s="3" t="s">
        <v>324</v>
      </c>
      <c r="D128" s="3">
        <v>1</v>
      </c>
      <c r="E128" s="3" t="s">
        <v>28</v>
      </c>
      <c r="F128" s="8" t="s">
        <v>52</v>
      </c>
      <c r="G128" s="8"/>
      <c r="H128" s="8"/>
      <c r="I128" s="3" t="s">
        <v>325</v>
      </c>
      <c r="J128" s="4" t="str">
        <f ca="1"/>
        <v>RUB</v>
      </c>
      <c r="K128" s="3" t="str">
        <f ca="1"/>
        <v>,(5147, 'RUB') -- 大运棋牌api-唯一钱包998-一级代理：2247110 - RUB</v>
      </c>
    </row>
    <row r="129" spans="1:11" ht="12.75">
      <c r="A129" s="3">
        <v>5149</v>
      </c>
      <c r="B129" s="3" t="s">
        <v>326</v>
      </c>
      <c r="C129" s="3" t="s">
        <v>327</v>
      </c>
      <c r="D129" s="3">
        <v>1</v>
      </c>
      <c r="E129" s="3" t="s">
        <v>28</v>
      </c>
      <c r="F129" s="8" t="s">
        <v>52</v>
      </c>
      <c r="G129" s="8"/>
      <c r="H129" s="8"/>
      <c r="I129" s="3" t="s">
        <v>30</v>
      </c>
      <c r="J129" s="4" t="str">
        <f ca="1"/>
        <v>CNY</v>
      </c>
      <c r="K129" s="3" t="str">
        <f ca="1"/>
        <v>,(5149, 'CNY') -- 大运棋牌api-转账钱包BGdayou-一级代理：2257951</v>
      </c>
    </row>
    <row r="130" spans="1:11" ht="12.75">
      <c r="A130" s="3">
        <v>5150</v>
      </c>
      <c r="B130" s="3" t="s">
        <v>328</v>
      </c>
      <c r="C130" s="3" t="s">
        <v>329</v>
      </c>
      <c r="D130" s="3">
        <v>1</v>
      </c>
      <c r="E130" s="3" t="s">
        <v>28</v>
      </c>
      <c r="F130" s="8" t="s">
        <v>52</v>
      </c>
      <c r="G130" s="8"/>
      <c r="H130" s="8"/>
      <c r="I130" s="3" t="s">
        <v>215</v>
      </c>
      <c r="J130" s="4" t="str">
        <f ca="1"/>
        <v>INR</v>
      </c>
      <c r="K130" s="3" t="str">
        <f ca="1"/>
        <v>,(5150, 'INR') -- 大运棋牌api-转账钱包BGdayou-一级代理：2257952</v>
      </c>
    </row>
    <row r="131" spans="1:11" ht="12.75">
      <c r="A131" s="3">
        <v>5151</v>
      </c>
      <c r="B131" s="3" t="s">
        <v>330</v>
      </c>
      <c r="C131" s="3" t="s">
        <v>331</v>
      </c>
      <c r="D131" s="3">
        <v>1</v>
      </c>
      <c r="E131" s="3" t="s">
        <v>28</v>
      </c>
      <c r="F131" s="8" t="s">
        <v>52</v>
      </c>
      <c r="G131" s="8"/>
      <c r="H131" s="8"/>
      <c r="I131" s="3" t="s">
        <v>91</v>
      </c>
      <c r="J131" s="4" t="str">
        <f ca="1"/>
        <v>VND</v>
      </c>
      <c r="K131" s="3" t="str">
        <f ca="1"/>
        <v>,(5151, 'VND') -- 大运棋牌api-转账钱包BGdayou-一级代理：2257953</v>
      </c>
    </row>
    <row r="132" spans="1:11" ht="12.75">
      <c r="A132" s="3">
        <v>5152</v>
      </c>
      <c r="B132" s="3" t="s">
        <v>332</v>
      </c>
      <c r="C132" s="3" t="s">
        <v>333</v>
      </c>
      <c r="D132" s="3">
        <v>1</v>
      </c>
      <c r="E132" s="3" t="s">
        <v>28</v>
      </c>
      <c r="F132" s="8" t="s">
        <v>52</v>
      </c>
      <c r="G132" s="8"/>
      <c r="H132" s="8"/>
      <c r="I132" s="3" t="s">
        <v>88</v>
      </c>
      <c r="J132" s="4" t="str">
        <f ca="1"/>
        <v>THB</v>
      </c>
      <c r="K132" s="3" t="str">
        <f ca="1"/>
        <v>,(5152, 'THB') -- 大运棋牌api-转账钱包BGdayou-一级代理：2257955</v>
      </c>
    </row>
    <row r="133" spans="1:11" ht="12.75">
      <c r="A133" s="3">
        <v>5153</v>
      </c>
      <c r="B133" s="3" t="s">
        <v>334</v>
      </c>
      <c r="C133" s="3" t="s">
        <v>335</v>
      </c>
      <c r="D133" s="3">
        <v>1</v>
      </c>
      <c r="E133" s="3" t="s">
        <v>28</v>
      </c>
      <c r="F133" s="8" t="s">
        <v>52</v>
      </c>
      <c r="G133" s="8"/>
      <c r="H133" s="8"/>
      <c r="I133" s="3" t="s">
        <v>71</v>
      </c>
      <c r="J133" s="4" t="str">
        <f ca="1"/>
        <v>MYR</v>
      </c>
      <c r="K133" s="3" t="str">
        <f ca="1"/>
        <v>,(5153, 'MYR') -- 大运棋牌api-转账钱包BGdayou-一级代理：2257956</v>
      </c>
    </row>
    <row r="134" spans="1:11" ht="12.75">
      <c r="A134" s="3">
        <v>5154</v>
      </c>
      <c r="B134" s="3" t="s">
        <v>336</v>
      </c>
      <c r="C134" s="3" t="s">
        <v>337</v>
      </c>
      <c r="D134" s="3">
        <v>1</v>
      </c>
      <c r="E134" s="3" t="s">
        <v>28</v>
      </c>
      <c r="F134" s="8" t="s">
        <v>52</v>
      </c>
      <c r="G134" s="8"/>
      <c r="H134" s="8"/>
      <c r="I134" s="3" t="s">
        <v>143</v>
      </c>
      <c r="J134" s="4" t="str">
        <f ca="1"/>
        <v>USD</v>
      </c>
      <c r="K134" s="3" t="str">
        <f ca="1"/>
        <v>,(5154, 'USD') -- 大运棋牌api-转账钱包BGdayou-一级代理：2257957</v>
      </c>
    </row>
    <row r="135" spans="1:11" ht="12.75">
      <c r="A135" s="3">
        <v>5155</v>
      </c>
      <c r="B135" s="3" t="s">
        <v>338</v>
      </c>
      <c r="C135" s="3" t="s">
        <v>339</v>
      </c>
      <c r="D135" s="3">
        <v>1</v>
      </c>
      <c r="E135" s="3" t="s">
        <v>28</v>
      </c>
      <c r="F135" s="8" t="s">
        <v>52</v>
      </c>
      <c r="G135" s="8"/>
      <c r="H135" s="8"/>
      <c r="I135" s="3" t="s">
        <v>94</v>
      </c>
      <c r="J135" s="4" t="str">
        <f ca="1"/>
        <v>IDR</v>
      </c>
      <c r="K135" s="3" t="str">
        <f ca="1"/>
        <v>,(5155, 'IDR') -- 大运棋牌api-转账钱包BGdayou-一级代理：2257963</v>
      </c>
    </row>
    <row r="136" spans="1:11" ht="12.75">
      <c r="A136" s="3">
        <v>5156</v>
      </c>
      <c r="B136" s="3" t="s">
        <v>340</v>
      </c>
      <c r="C136" s="3" t="s">
        <v>341</v>
      </c>
      <c r="D136" s="3">
        <v>1</v>
      </c>
      <c r="E136" s="3" t="s">
        <v>28</v>
      </c>
      <c r="F136" s="8" t="s">
        <v>52</v>
      </c>
      <c r="G136" s="8"/>
      <c r="H136" s="8"/>
      <c r="I136" s="3" t="s">
        <v>30</v>
      </c>
      <c r="J136" s="4" t="str">
        <f ca="1"/>
        <v>CNY</v>
      </c>
      <c r="K136" s="3" t="str">
        <f ca="1"/>
        <v>,(5156, 'CNY') -- 大运棋牌api-转账钱包baixiaojie-一级代理：2261565 (草莓直播)</v>
      </c>
    </row>
    <row r="137" spans="1:11" ht="12.75">
      <c r="A137" s="3">
        <v>5157</v>
      </c>
      <c r="B137" s="3" t="s">
        <v>342</v>
      </c>
      <c r="C137" s="3" t="s">
        <v>343</v>
      </c>
      <c r="D137" s="3">
        <v>1</v>
      </c>
      <c r="E137" s="3" t="s">
        <v>28</v>
      </c>
      <c r="F137" s="8" t="s">
        <v>52</v>
      </c>
      <c r="G137" s="8"/>
      <c r="H137" s="8"/>
      <c r="I137" s="3" t="s">
        <v>30</v>
      </c>
      <c r="J137" s="4" t="str">
        <f ca="1"/>
        <v>CNY</v>
      </c>
      <c r="K137" s="3" t="str">
        <f ca="1"/>
        <v>,(5157, 'CNY') -- 大运棋牌api-转账钱包XY99-一级代理：2373082</v>
      </c>
    </row>
    <row r="138" spans="1:11" ht="12.75">
      <c r="A138" s="3">
        <v>5158</v>
      </c>
      <c r="B138" s="3" t="s">
        <v>344</v>
      </c>
      <c r="C138" s="3" t="s">
        <v>345</v>
      </c>
      <c r="D138" s="3">
        <v>1</v>
      </c>
      <c r="E138" s="3" t="s">
        <v>28</v>
      </c>
      <c r="F138" s="8"/>
      <c r="G138" s="8"/>
      <c r="H138" s="8"/>
      <c r="I138" s="3" t="s">
        <v>208</v>
      </c>
      <c r="J138" s="4" t="str">
        <f ca="1"/>
        <v>HKD</v>
      </c>
      <c r="K138" s="3" t="str">
        <f ca="1"/>
        <v>,(5158, 'HKD') -- 大运棋牌api-转账钱包cash11-一级代理：2475544</v>
      </c>
    </row>
    <row r="139" spans="1:11" ht="12.75">
      <c r="A139" s="3">
        <v>5159</v>
      </c>
      <c r="B139" s="3" t="s">
        <v>346</v>
      </c>
      <c r="C139" s="3" t="s">
        <v>347</v>
      </c>
      <c r="D139" s="3">
        <v>1</v>
      </c>
      <c r="E139" s="3" t="s">
        <v>28</v>
      </c>
      <c r="F139" s="8"/>
      <c r="G139" s="8"/>
      <c r="H139" s="8"/>
      <c r="I139" s="3" t="s">
        <v>71</v>
      </c>
      <c r="J139" s="4" t="str">
        <f ca="1"/>
        <v>MYR</v>
      </c>
      <c r="K139" s="3" t="str">
        <f ca="1"/>
        <v>,(5159, 'MYR') -- 大运棋牌api-转账钱包qz01-一级代理：2503202</v>
      </c>
    </row>
    <row r="140" spans="1:11" ht="12.75">
      <c r="A140" s="3">
        <v>40001</v>
      </c>
      <c r="B140" s="3" t="s">
        <v>348</v>
      </c>
      <c r="C140" s="3" t="s">
        <v>349</v>
      </c>
      <c r="D140" s="3">
        <v>1</v>
      </c>
      <c r="E140" s="3" t="s">
        <v>28</v>
      </c>
      <c r="F140" s="8"/>
      <c r="G140" s="8"/>
      <c r="H140" s="8"/>
      <c r="I140" s="3" t="s">
        <v>293</v>
      </c>
      <c r="J140" s="4" t="str">
        <f ca="1"/>
        <v>AUD</v>
      </c>
      <c r="K140" s="3" t="str">
        <f ca="1"/>
        <v>,(40001, 'AUD') -- 大运棋牌api-转账钱包qz01-一级代理：2523612</v>
      </c>
    </row>
    <row r="141" spans="1:11" ht="12.75">
      <c r="A141" s="3">
        <v>40002</v>
      </c>
      <c r="B141" s="3" t="s">
        <v>350</v>
      </c>
      <c r="C141" s="3" t="s">
        <v>351</v>
      </c>
      <c r="D141" s="3">
        <v>1</v>
      </c>
      <c r="E141" s="3" t="s">
        <v>28</v>
      </c>
      <c r="F141" s="8"/>
      <c r="G141" s="8"/>
      <c r="H141" s="8"/>
      <c r="I141" s="3" t="s">
        <v>64</v>
      </c>
      <c r="J141" s="4" t="str">
        <f ca="1"/>
        <v>PHP</v>
      </c>
      <c r="K141" s="3" t="str">
        <f ca="1"/>
        <v>,(40002, 'PHP') -- 大运棋牌api-转账钱包hanguo66-一级代理：2518552</v>
      </c>
    </row>
    <row r="142" spans="1:11" ht="12.75">
      <c r="A142" s="3">
        <v>40003</v>
      </c>
      <c r="B142" s="3" t="s">
        <v>352</v>
      </c>
      <c r="C142" s="3" t="s">
        <v>353</v>
      </c>
      <c r="D142" s="3">
        <v>1</v>
      </c>
      <c r="E142" s="3" t="s">
        <v>28</v>
      </c>
      <c r="F142" s="8"/>
      <c r="G142" s="8"/>
      <c r="H142" s="8"/>
      <c r="I142" s="3" t="s">
        <v>151</v>
      </c>
      <c r="J142" s="4" t="str">
        <f ca="1"/>
        <v>USDT</v>
      </c>
      <c r="K142" s="3" t="str">
        <f ca="1"/>
        <v>,(40003, 'USDT') -- 大运棋牌api-转账钱包hanguo66-一级代理：2518550</v>
      </c>
    </row>
    <row r="143" spans="1:11" ht="12.75">
      <c r="A143" s="3">
        <v>40004</v>
      </c>
      <c r="B143" s="3" t="s">
        <v>354</v>
      </c>
      <c r="C143" s="3" t="s">
        <v>355</v>
      </c>
      <c r="D143" s="3">
        <v>1</v>
      </c>
      <c r="E143" s="3" t="s">
        <v>28</v>
      </c>
      <c r="F143" s="8"/>
      <c r="G143" s="8"/>
      <c r="H143" s="8"/>
      <c r="I143" s="3" t="s">
        <v>356</v>
      </c>
      <c r="J143" s="4" t="str">
        <f ca="1"/>
        <v>VNDK</v>
      </c>
      <c r="K143" s="3" t="str">
        <f ca="1"/>
        <v>,(40004, 'VNDK') -- 大运棋牌api-转账钱包hanguo66-一级代理：2518555</v>
      </c>
    </row>
    <row r="144" spans="1:11" ht="12.75">
      <c r="A144" s="3">
        <v>40005</v>
      </c>
      <c r="B144" s="3" t="s">
        <v>357</v>
      </c>
      <c r="C144" s="3" t="s">
        <v>358</v>
      </c>
      <c r="D144" s="3">
        <v>1</v>
      </c>
      <c r="E144" s="3" t="s">
        <v>28</v>
      </c>
      <c r="F144" s="8"/>
      <c r="G144" s="8"/>
      <c r="H144" s="8"/>
      <c r="I144" s="3" t="s">
        <v>359</v>
      </c>
      <c r="J144" s="4" t="str">
        <f ca="1"/>
        <v>BDT</v>
      </c>
      <c r="K144" s="3" t="str">
        <f ca="1"/>
        <v>,(40005, 'BDT') -- 大运棋牌api-唯一钱包dydzdyce1-一级代理：2514647</v>
      </c>
    </row>
    <row r="145" spans="1:11" ht="12.75">
      <c r="A145" s="3">
        <v>40006</v>
      </c>
      <c r="B145" s="3" t="s">
        <v>360</v>
      </c>
      <c r="C145" s="3" t="s">
        <v>361</v>
      </c>
      <c r="D145" s="3">
        <v>1</v>
      </c>
      <c r="E145" s="3" t="s">
        <v>28</v>
      </c>
      <c r="F145" s="8"/>
      <c r="G145" s="8"/>
      <c r="H145" s="8"/>
      <c r="I145" s="3" t="s">
        <v>362</v>
      </c>
      <c r="J145" s="4" t="str">
        <f ca="1"/>
        <v>TRY</v>
      </c>
      <c r="K145" s="3" t="str">
        <f ca="1"/>
        <v>,(40006, 'TRY') -- 大运棋牌api-唯一钱包dydzdyce1-一级代理：2514646</v>
      </c>
    </row>
    <row r="146" spans="1:11" ht="12.75">
      <c r="A146" s="3">
        <v>40007</v>
      </c>
      <c r="B146" s="3" t="s">
        <v>363</v>
      </c>
      <c r="C146" s="3" t="s">
        <v>364</v>
      </c>
      <c r="D146" s="3">
        <v>1</v>
      </c>
      <c r="E146" s="3" t="s">
        <v>28</v>
      </c>
      <c r="F146" s="8"/>
      <c r="G146" s="8"/>
      <c r="H146" s="8"/>
      <c r="I146" s="3" t="s">
        <v>356</v>
      </c>
      <c r="J146" s="4" t="str">
        <f ca="1"/>
        <v>VNDK</v>
      </c>
      <c r="K146" s="3" t="str">
        <f ca="1"/>
        <v>,(40007, 'VNDK') -- 大运棋牌api-唯一钱包dydzdyce1-一级代理：2517260</v>
      </c>
    </row>
    <row r="147" spans="1:11" ht="12.75">
      <c r="A147" s="3">
        <v>40008</v>
      </c>
      <c r="B147" s="3" t="s">
        <v>365</v>
      </c>
      <c r="C147" s="3" t="s">
        <v>366</v>
      </c>
      <c r="D147" s="3">
        <v>1</v>
      </c>
      <c r="E147" s="3" t="s">
        <v>28</v>
      </c>
      <c r="F147" s="8"/>
      <c r="G147" s="8"/>
      <c r="H147" s="8"/>
      <c r="I147" s="3" t="s">
        <v>367</v>
      </c>
      <c r="J147" s="4" t="str">
        <f ca="1"/>
        <v>IDRK</v>
      </c>
      <c r="K147" s="3" t="str">
        <f ca="1"/>
        <v>,(40008, 'IDRK') -- 大运棋牌api-唯一钱包dydzdyce1-一级代理：2514642</v>
      </c>
    </row>
    <row r="148" spans="1:11" ht="12.75">
      <c r="A148" s="3">
        <v>40010</v>
      </c>
      <c r="B148" s="3" t="s">
        <v>368</v>
      </c>
      <c r="C148" s="3" t="s">
        <v>369</v>
      </c>
      <c r="D148" s="3">
        <v>1</v>
      </c>
      <c r="E148" s="3" t="s">
        <v>28</v>
      </c>
      <c r="F148" s="8"/>
      <c r="G148" s="8"/>
      <c r="H148" s="8"/>
      <c r="I148" s="3" t="s">
        <v>208</v>
      </c>
      <c r="J148" s="4" t="str">
        <f ca="1"/>
        <v>HKD</v>
      </c>
      <c r="K148" s="3" t="str">
        <f ca="1"/>
        <v>,(40010, 'HKD') -- 大运棋牌api-唯一钱包qzdy01-一级代理：2530158</v>
      </c>
    </row>
    <row r="149" spans="1:11" ht="12.75">
      <c r="A149" s="3">
        <v>40011</v>
      </c>
      <c r="B149" s="3" t="s">
        <v>370</v>
      </c>
      <c r="C149" s="3" t="s">
        <v>371</v>
      </c>
      <c r="D149" s="3">
        <v>1</v>
      </c>
      <c r="E149" s="3" t="s">
        <v>28</v>
      </c>
      <c r="F149" s="8"/>
      <c r="G149" s="8"/>
      <c r="H149" s="8"/>
      <c r="I149" s="3" t="s">
        <v>208</v>
      </c>
      <c r="J149" s="4" t="str">
        <f ca="1"/>
        <v>HKD</v>
      </c>
      <c r="K149" s="3" t="str">
        <f ca="1"/>
        <v>,(40011, 'HKD') -- 大运棋牌api-转账钱包qz01-一级代理：2534875</v>
      </c>
    </row>
    <row r="150" spans="1:11" ht="12.75">
      <c r="A150" s="3">
        <v>40012</v>
      </c>
      <c r="B150" s="3" t="s">
        <v>372</v>
      </c>
      <c r="C150" s="3" t="s">
        <v>373</v>
      </c>
      <c r="D150" s="3">
        <v>1</v>
      </c>
      <c r="E150" s="3" t="s">
        <v>28</v>
      </c>
      <c r="F150" s="8"/>
      <c r="G150" s="8"/>
      <c r="H150" s="8"/>
      <c r="I150" s="3" t="s">
        <v>64</v>
      </c>
      <c r="J150" s="4" t="str">
        <f ca="1"/>
        <v>PHP</v>
      </c>
      <c r="K150" s="3" t="str">
        <f ca="1"/>
        <v>,(40012, 'PHP') -- 大运棋牌api-唯一钱包qzdy01-一级代理：2541090</v>
      </c>
    </row>
    <row r="151" spans="1:11" ht="12.75">
      <c r="A151" s="3">
        <v>40013</v>
      </c>
      <c r="B151" s="3" t="s">
        <v>374</v>
      </c>
      <c r="C151" s="3" t="s">
        <v>375</v>
      </c>
      <c r="D151" s="3">
        <v>1</v>
      </c>
      <c r="E151" s="3" t="s">
        <v>28</v>
      </c>
      <c r="F151" s="8"/>
      <c r="G151" s="8"/>
      <c r="H151" s="8"/>
      <c r="I151" s="3" t="s">
        <v>215</v>
      </c>
      <c r="J151" s="4" t="str">
        <f ca="1"/>
        <v>INR</v>
      </c>
      <c r="K151" s="3" t="str">
        <f ca="1"/>
        <v>,(40013, 'INR') -- 大运棋牌api-唯一钱包qzdy01-一级代理：2541112</v>
      </c>
    </row>
    <row r="152" spans="1:11" ht="12.75">
      <c r="A152" s="3">
        <v>40014</v>
      </c>
      <c r="B152" s="3" t="s">
        <v>376</v>
      </c>
      <c r="C152" s="3" t="s">
        <v>377</v>
      </c>
      <c r="D152" s="3">
        <v>1</v>
      </c>
      <c r="E152" s="3" t="s">
        <v>28</v>
      </c>
      <c r="F152" s="8"/>
      <c r="G152" s="8"/>
      <c r="H152" s="8"/>
      <c r="I152" s="3" t="s">
        <v>88</v>
      </c>
      <c r="J152" s="4" t="str">
        <f ca="1"/>
        <v>THB</v>
      </c>
      <c r="K152" s="3" t="str">
        <f ca="1"/>
        <v>,(40014, 'THB') -- 大运棋牌api-唯一钱包qzdy01-一级代理：2541180</v>
      </c>
    </row>
    <row r="153" spans="1:11" ht="12.75">
      <c r="A153" s="3">
        <v>40015</v>
      </c>
      <c r="B153" s="3" t="s">
        <v>378</v>
      </c>
      <c r="C153" s="3" t="s">
        <v>379</v>
      </c>
      <c r="D153" s="3">
        <v>1</v>
      </c>
      <c r="E153" s="3" t="s">
        <v>28</v>
      </c>
      <c r="F153" s="8"/>
      <c r="G153" s="8"/>
      <c r="H153" s="8"/>
      <c r="I153" s="3" t="s">
        <v>71</v>
      </c>
      <c r="J153" s="4" t="str">
        <f ca="1"/>
        <v>MYR</v>
      </c>
      <c r="K153" s="3" t="str">
        <f ca="1"/>
        <v>,(40015, 'MYR') -- 大运棋牌api-唯一钱包qzdy01-一级代理：2541194</v>
      </c>
    </row>
    <row r="154" spans="1:11" ht="12.75">
      <c r="A154" s="3">
        <v>40016</v>
      </c>
      <c r="B154" s="3" t="s">
        <v>380</v>
      </c>
      <c r="C154" s="3" t="s">
        <v>381</v>
      </c>
      <c r="D154" s="3">
        <v>1</v>
      </c>
      <c r="E154" s="3" t="s">
        <v>28</v>
      </c>
      <c r="F154" s="8"/>
      <c r="G154" s="8"/>
      <c r="H154" s="8"/>
      <c r="I154" s="3" t="s">
        <v>143</v>
      </c>
      <c r="J154" s="4" t="str">
        <f ca="1"/>
        <v>USD</v>
      </c>
      <c r="K154" s="3" t="str">
        <f ca="1"/>
        <v>,(40016, 'USD') -- 大运棋牌api-唯一钱包qzdy01-一级代理：2541222</v>
      </c>
    </row>
    <row r="155" spans="1:11" ht="12.75">
      <c r="A155" s="3">
        <v>40017</v>
      </c>
      <c r="B155" s="3" t="s">
        <v>382</v>
      </c>
      <c r="C155" s="3" t="s">
        <v>383</v>
      </c>
      <c r="D155" s="3">
        <v>1</v>
      </c>
      <c r="E155" s="3" t="s">
        <v>28</v>
      </c>
      <c r="F155" s="8"/>
      <c r="G155" s="8"/>
      <c r="H155" s="8"/>
      <c r="I155" s="3" t="s">
        <v>94</v>
      </c>
      <c r="J155" s="4" t="str">
        <f ca="1"/>
        <v>IDR</v>
      </c>
      <c r="K155" s="3" t="str">
        <f ca="1"/>
        <v>,(40017, 'IDR') -- 大运棋牌api-唯一钱包qzdy01-一级代理：2541249</v>
      </c>
    </row>
    <row r="156" spans="1:11" ht="12.75">
      <c r="A156" s="3">
        <v>40018</v>
      </c>
      <c r="B156" s="3" t="s">
        <v>384</v>
      </c>
      <c r="C156" s="3" t="s">
        <v>385</v>
      </c>
      <c r="D156" s="3">
        <v>1</v>
      </c>
      <c r="E156" s="3" t="s">
        <v>28</v>
      </c>
      <c r="F156" s="8"/>
      <c r="G156" s="8"/>
      <c r="H156" s="8"/>
      <c r="I156" s="3" t="s">
        <v>293</v>
      </c>
      <c r="J156" s="4" t="str">
        <f ca="1"/>
        <v>AUD</v>
      </c>
      <c r="K156" s="3" t="str">
        <f ca="1"/>
        <v>,(40018, 'AUD') -- 大运棋牌api-唯一钱包qzdy01-一级代理：2541275</v>
      </c>
    </row>
    <row r="157" spans="1:11" ht="12.75">
      <c r="A157" s="3">
        <v>40019</v>
      </c>
      <c r="B157" s="3" t="s">
        <v>386</v>
      </c>
      <c r="C157" s="3" t="s">
        <v>387</v>
      </c>
      <c r="D157" s="3">
        <v>1</v>
      </c>
      <c r="E157" s="3" t="s">
        <v>28</v>
      </c>
      <c r="F157" s="8"/>
      <c r="G157" s="8"/>
      <c r="H157" s="8"/>
      <c r="I157" s="3" t="s">
        <v>306</v>
      </c>
      <c r="J157" s="4" t="str">
        <f ca="1"/>
        <v>MMK</v>
      </c>
      <c r="K157" s="3" t="str">
        <f ca="1"/>
        <v>,(40019, 'MMK') -- 大运棋牌api-唯一钱包qzdy01-一级代理：2541297</v>
      </c>
    </row>
    <row r="158" spans="1:11" ht="12.75">
      <c r="A158" s="3">
        <v>40020</v>
      </c>
      <c r="B158" s="3" t="s">
        <v>388</v>
      </c>
      <c r="C158" s="3" t="s">
        <v>389</v>
      </c>
      <c r="D158" s="3">
        <v>1</v>
      </c>
      <c r="E158" s="3" t="s">
        <v>28</v>
      </c>
      <c r="F158" s="8"/>
      <c r="G158" s="8"/>
      <c r="H158" s="8"/>
      <c r="I158" s="3" t="s">
        <v>97</v>
      </c>
      <c r="J158" s="4" t="str">
        <f ca="1"/>
        <v>SGD</v>
      </c>
      <c r="K158" s="3" t="str">
        <f ca="1"/>
        <v>,(40020, 'SGD') -- 大运棋牌api-唯一钱包qzdy01-一级代理：2541317</v>
      </c>
    </row>
    <row r="159" spans="1:11" ht="12.75">
      <c r="A159" s="3">
        <v>40021</v>
      </c>
      <c r="B159" s="3" t="s">
        <v>390</v>
      </c>
      <c r="C159" s="3" t="s">
        <v>391</v>
      </c>
      <c r="D159" s="3">
        <v>1</v>
      </c>
      <c r="E159" s="3" t="s">
        <v>28</v>
      </c>
      <c r="F159" s="8"/>
      <c r="G159" s="8"/>
      <c r="H159" s="8"/>
      <c r="I159" s="3" t="s">
        <v>392</v>
      </c>
      <c r="J159" s="4" t="str">
        <f ca="1"/>
        <v>BND</v>
      </c>
      <c r="K159" s="3" t="str">
        <f ca="1"/>
        <v>,(40021, 'BND') -- 大运棋牌api-唯一钱包qzdy01-一级代理：2541342</v>
      </c>
    </row>
    <row r="160" spans="1:11" ht="12.75">
      <c r="A160" s="3">
        <v>40022</v>
      </c>
      <c r="B160" s="3" t="s">
        <v>393</v>
      </c>
      <c r="C160" s="3" t="s">
        <v>394</v>
      </c>
      <c r="D160" s="3">
        <v>1</v>
      </c>
      <c r="E160" s="3" t="s">
        <v>28</v>
      </c>
      <c r="F160" s="8"/>
      <c r="G160" s="8"/>
      <c r="H160" s="8"/>
      <c r="I160" s="3" t="s">
        <v>359</v>
      </c>
      <c r="J160" s="4" t="str">
        <f ca="1"/>
        <v>BDT</v>
      </c>
      <c r="K160" s="3" t="str">
        <f ca="1"/>
        <v>,(40022, 'BDT') -- 大运棋牌api-唯一钱包qzdy01-一级代理：2541361</v>
      </c>
    </row>
    <row r="161" spans="1:11" ht="12.75">
      <c r="A161" s="3">
        <v>40023</v>
      </c>
      <c r="B161" s="3" t="s">
        <v>395</v>
      </c>
      <c r="C161" s="3" t="s">
        <v>396</v>
      </c>
      <c r="D161" s="3">
        <v>1</v>
      </c>
      <c r="E161" s="3" t="s">
        <v>28</v>
      </c>
      <c r="F161" s="8"/>
      <c r="G161" s="8"/>
      <c r="H161" s="8"/>
      <c r="I161" s="3" t="s">
        <v>397</v>
      </c>
      <c r="J161" s="4" t="str">
        <f ca="1"/>
        <v>NPR</v>
      </c>
      <c r="K161" s="3" t="str">
        <f ca="1"/>
        <v>,(40023, 'NPR') -- 大运棋牌api-唯一钱包qzdy01-一级代理：2544324</v>
      </c>
    </row>
    <row r="162" spans="1:11" ht="12.75">
      <c r="A162" s="3">
        <v>40024</v>
      </c>
      <c r="B162" s="3" t="s">
        <v>398</v>
      </c>
      <c r="C162" s="3" t="s">
        <v>399</v>
      </c>
      <c r="D162" s="3">
        <v>1</v>
      </c>
      <c r="E162" s="3" t="s">
        <v>28</v>
      </c>
      <c r="F162" s="8"/>
      <c r="G162" s="8"/>
      <c r="H162" s="8"/>
      <c r="I162" s="3" t="s">
        <v>91</v>
      </c>
      <c r="J162" s="4" t="str">
        <f ca="1"/>
        <v>VND</v>
      </c>
      <c r="K162" s="3" t="str">
        <f ca="1"/>
        <v>,(40024, 'VND') -- 大运棋牌api-唯一钱包qzdy01-一级代理：2545007</v>
      </c>
    </row>
    <row r="163" spans="1:11" ht="12.75">
      <c r="A163" s="3">
        <v>40025</v>
      </c>
      <c r="B163" s="3" t="s">
        <v>400</v>
      </c>
      <c r="C163" s="3" t="s">
        <v>401</v>
      </c>
      <c r="D163" s="3">
        <v>1</v>
      </c>
      <c r="E163" s="3" t="s">
        <v>28</v>
      </c>
      <c r="F163" s="8"/>
      <c r="G163" s="8"/>
      <c r="H163" s="8"/>
      <c r="I163" s="3" t="s">
        <v>71</v>
      </c>
      <c r="J163" s="4" t="str">
        <f ca="1"/>
        <v>MYR</v>
      </c>
      <c r="K163" s="3" t="str">
        <f ca="1"/>
        <v>,(40025, 'MYR') -- 大运棋牌api-转账钱包XY99-一级代理：2578775</v>
      </c>
    </row>
    <row r="164" spans="1:11" ht="12.75">
      <c r="A164" s="3">
        <v>40026</v>
      </c>
      <c r="B164" s="3" t="s">
        <v>402</v>
      </c>
      <c r="C164" s="3" t="s">
        <v>403</v>
      </c>
      <c r="D164" s="3">
        <v>1</v>
      </c>
      <c r="E164" s="3" t="s">
        <v>28</v>
      </c>
      <c r="F164" s="8"/>
      <c r="G164" s="8"/>
      <c r="H164" s="8"/>
      <c r="I164" s="3" t="s">
        <v>208</v>
      </c>
      <c r="J164" s="4" t="str">
        <f ca="1"/>
        <v>HKD</v>
      </c>
      <c r="K164" s="3" t="str">
        <f ca="1"/>
        <v>,(40026, 'HKD') -- 大运棋牌api-转账钱包XY99-一级代理：2578781</v>
      </c>
    </row>
    <row r="165" spans="1:11" ht="12.75">
      <c r="A165" s="3">
        <v>40027</v>
      </c>
      <c r="B165" s="3" t="s">
        <v>404</v>
      </c>
      <c r="C165" s="3" t="s">
        <v>405</v>
      </c>
      <c r="D165" s="3">
        <v>1</v>
      </c>
      <c r="E165" s="3" t="s">
        <v>28</v>
      </c>
      <c r="F165" s="8"/>
      <c r="G165" s="8"/>
      <c r="H165" s="8"/>
      <c r="I165" s="3" t="s">
        <v>30</v>
      </c>
      <c r="J165" s="4" t="str">
        <f ca="1"/>
        <v>CNY</v>
      </c>
      <c r="K165" s="3" t="str">
        <f ca="1"/>
        <v>,(40027, 'CNY') -- 大运棋牌api-转账钱包DZceshi-一级代理：2414317</v>
      </c>
    </row>
    <row r="166" spans="1:11" ht="12.75">
      <c r="A166" s="3">
        <v>40028</v>
      </c>
      <c r="B166" s="3" t="s">
        <v>406</v>
      </c>
      <c r="C166" s="3" t="s">
        <v>407</v>
      </c>
      <c r="D166" s="3">
        <v>1</v>
      </c>
      <c r="E166" s="3" t="s">
        <v>28</v>
      </c>
      <c r="F166" s="8"/>
      <c r="G166" s="8"/>
      <c r="H166" s="8"/>
      <c r="I166" s="3" t="s">
        <v>306</v>
      </c>
      <c r="J166" s="4" t="str">
        <f ca="1"/>
        <v>MMK</v>
      </c>
      <c r="K166" s="3" t="str">
        <f ca="1"/>
        <v>,(40028, 'MMK') -- 大运棋牌api-转账钱包DZceshi-一级代理：2591540</v>
      </c>
    </row>
    <row r="167" spans="1:11" ht="12.75">
      <c r="A167" s="3">
        <v>40029</v>
      </c>
      <c r="B167" s="3" t="s">
        <v>408</v>
      </c>
      <c r="C167" s="3" t="s">
        <v>409</v>
      </c>
      <c r="D167" s="3">
        <v>1</v>
      </c>
      <c r="E167" s="3" t="s">
        <v>28</v>
      </c>
      <c r="F167" s="8"/>
      <c r="G167" s="8"/>
      <c r="H167" s="8"/>
      <c r="I167" s="3" t="s">
        <v>147</v>
      </c>
      <c r="J167" s="4" t="str">
        <f ca="1"/>
        <v>JPY</v>
      </c>
      <c r="K167" s="3" t="str">
        <f ca="1"/>
        <v>,(40029, 'JPY') -- 大运棋牌api-转账钱包DZceshi-一级代理：2590958</v>
      </c>
    </row>
    <row r="168" spans="1:11" ht="12.75">
      <c r="A168" s="3">
        <v>40030</v>
      </c>
      <c r="B168" s="3" t="s">
        <v>410</v>
      </c>
      <c r="C168" s="3" t="s">
        <v>411</v>
      </c>
      <c r="D168" s="3">
        <v>1</v>
      </c>
      <c r="E168" s="3" t="s">
        <v>28</v>
      </c>
      <c r="F168" s="8"/>
      <c r="G168" s="8"/>
      <c r="H168" s="8"/>
      <c r="I168" s="3" t="s">
        <v>151</v>
      </c>
      <c r="J168" s="4" t="str">
        <f ca="1"/>
        <v>USDT</v>
      </c>
      <c r="K168" s="3" t="str">
        <f ca="1"/>
        <v>,(40030, 'USDT') -- 大运棋牌api-单一钱包dydzdyce1-一级代理：2644654</v>
      </c>
    </row>
    <row r="169" spans="1:11" ht="12.75">
      <c r="A169" s="3">
        <v>40031</v>
      </c>
      <c r="B169" s="3" t="s">
        <v>412</v>
      </c>
      <c r="C169" s="3" t="s">
        <v>413</v>
      </c>
      <c r="D169" s="3">
        <v>1</v>
      </c>
      <c r="E169" s="3" t="s">
        <v>28</v>
      </c>
      <c r="F169" s="8"/>
      <c r="G169" s="8"/>
      <c r="H169" s="8"/>
      <c r="I169" s="3" t="s">
        <v>414</v>
      </c>
      <c r="J169" s="4" t="str">
        <f ca="1"/>
        <v>MBTC</v>
      </c>
      <c r="K169" s="3" t="str">
        <f ca="1"/>
        <v>,(40031, 'MBTC') -- 大运棋牌api-单一钱包dydzdyce1-一级代理：2645562</v>
      </c>
    </row>
    <row r="170" spans="1:11" ht="12.75">
      <c r="A170" s="3">
        <v>40032</v>
      </c>
      <c r="B170" s="3" t="s">
        <v>415</v>
      </c>
      <c r="C170" s="3" t="s">
        <v>416</v>
      </c>
      <c r="D170" s="3">
        <v>1</v>
      </c>
      <c r="E170" s="3" t="s">
        <v>28</v>
      </c>
      <c r="F170" s="8"/>
      <c r="G170" s="8"/>
      <c r="H170" s="8"/>
      <c r="I170" s="3" t="s">
        <v>417</v>
      </c>
      <c r="J170" s="4" t="str">
        <f ca="1"/>
        <v>LTC</v>
      </c>
      <c r="K170" s="3" t="str">
        <f ca="1"/>
        <v>,(40032, 'LTC') -- 大运棋牌api-单一钱包dydzdyce1-一级代理：2645568</v>
      </c>
    </row>
    <row r="171" spans="1:11" ht="12.75">
      <c r="A171" s="3">
        <v>40033</v>
      </c>
      <c r="B171" s="3" t="s">
        <v>370</v>
      </c>
      <c r="C171" s="3" t="s">
        <v>418</v>
      </c>
      <c r="D171" s="3">
        <v>1</v>
      </c>
      <c r="E171" s="3" t="s">
        <v>28</v>
      </c>
      <c r="F171" s="8" t="s">
        <v>52</v>
      </c>
      <c r="G171" s="8"/>
      <c r="H171" s="8"/>
      <c r="I171" s="3" t="s">
        <v>208</v>
      </c>
      <c r="J171" s="4" t="str">
        <f ca="1"/>
        <v>HKD</v>
      </c>
      <c r="K171" s="3" t="str">
        <f ca="1"/>
        <v>,(40033, 'HKD') -- 大运棋牌api-转账钱包qz01-一级代理：2682375</v>
      </c>
    </row>
    <row r="172" spans="1:11" ht="12.75">
      <c r="A172" s="3">
        <v>40034</v>
      </c>
      <c r="B172" s="3" t="s">
        <v>419</v>
      </c>
      <c r="C172" s="3" t="s">
        <v>420</v>
      </c>
      <c r="D172" s="3">
        <v>1</v>
      </c>
      <c r="E172" s="3" t="s">
        <v>28</v>
      </c>
      <c r="F172" s="8" t="s">
        <v>52</v>
      </c>
      <c r="G172" s="8"/>
      <c r="H172" s="8"/>
      <c r="I172" s="3" t="s">
        <v>30</v>
      </c>
      <c r="J172" s="4" t="str">
        <f ca="1"/>
        <v>CNY</v>
      </c>
      <c r="K172" s="3" t="str">
        <f ca="1"/>
        <v>,(40034, 'CNY') -- 大运棋牌api-转账钱包GS08-一级代理：2697816</v>
      </c>
    </row>
    <row r="173" spans="1:11" ht="12.75">
      <c r="A173" s="3">
        <v>40035</v>
      </c>
      <c r="B173" s="3" t="s">
        <v>421</v>
      </c>
      <c r="C173" s="3" t="s">
        <v>422</v>
      </c>
      <c r="D173" s="3">
        <v>1</v>
      </c>
      <c r="E173" s="3" t="s">
        <v>28</v>
      </c>
      <c r="F173" s="8"/>
      <c r="G173" s="8"/>
      <c r="H173" s="8"/>
      <c r="I173" s="3" t="s">
        <v>423</v>
      </c>
      <c r="J173" s="4" t="str">
        <f ca="1"/>
        <v>HNL</v>
      </c>
      <c r="K173" s="3" t="str">
        <f ca="1"/>
        <v>,(40035, 'HNL') -- 大运棋牌api-转账钱包DZceshi-一级代理：2788419</v>
      </c>
    </row>
    <row r="174" spans="1:11" ht="12.75">
      <c r="A174" s="3">
        <v>40036</v>
      </c>
      <c r="B174" s="3" t="s">
        <v>424</v>
      </c>
      <c r="C174" s="3" t="s">
        <v>425</v>
      </c>
      <c r="D174" s="3">
        <v>1</v>
      </c>
      <c r="E174" s="3" t="s">
        <v>28</v>
      </c>
      <c r="F174" s="8"/>
      <c r="G174" s="8"/>
      <c r="H174" s="8"/>
      <c r="I174" s="3" t="s">
        <v>426</v>
      </c>
      <c r="J174" s="4" t="str">
        <f ca="1"/>
        <v>ETB</v>
      </c>
      <c r="K174" s="3" t="str">
        <f ca="1"/>
        <v>,(40036, 'ETB') -- 大运棋牌api-转账钱包DZceshi-一级代理：2788621</v>
      </c>
    </row>
    <row r="175" spans="1:11" ht="12.75">
      <c r="A175" s="3">
        <v>40037</v>
      </c>
      <c r="B175" s="3" t="s">
        <v>427</v>
      </c>
      <c r="C175" s="3" t="s">
        <v>428</v>
      </c>
      <c r="D175" s="3">
        <v>1</v>
      </c>
      <c r="E175" s="3" t="s">
        <v>28</v>
      </c>
      <c r="F175" s="8"/>
      <c r="G175" s="8"/>
      <c r="H175" s="8"/>
      <c r="I175" s="3" t="s">
        <v>429</v>
      </c>
      <c r="J175" s="4" t="str">
        <f ca="1"/>
        <v>ZAR</v>
      </c>
      <c r="K175" s="3" t="str">
        <f ca="1"/>
        <v>,(40037, 'ZAR') -- 大运棋牌api-转账钱包DZceshi-一级代理：2788416</v>
      </c>
    </row>
    <row r="176" spans="1:11" ht="12.75">
      <c r="A176" s="3">
        <v>40038</v>
      </c>
      <c r="B176" s="3" t="s">
        <v>430</v>
      </c>
      <c r="C176" s="3" t="s">
        <v>431</v>
      </c>
      <c r="D176" s="3">
        <v>1</v>
      </c>
      <c r="E176" s="3" t="s">
        <v>28</v>
      </c>
      <c r="F176" s="8"/>
      <c r="G176" s="8"/>
      <c r="H176" s="8"/>
      <c r="I176" s="3" t="s">
        <v>432</v>
      </c>
      <c r="J176" s="4" t="str">
        <f ca="1"/>
        <v>UGX</v>
      </c>
      <c r="K176" s="3" t="str">
        <f ca="1"/>
        <v>,(40038, 'UGX') -- 大运棋牌api-转账钱包DZceshi-一级代理：2788402</v>
      </c>
    </row>
    <row r="177" spans="1:11" ht="12.75">
      <c r="A177" s="3">
        <v>40039</v>
      </c>
      <c r="B177" s="3" t="s">
        <v>433</v>
      </c>
      <c r="C177" s="3" t="s">
        <v>434</v>
      </c>
      <c r="D177" s="3">
        <v>1</v>
      </c>
      <c r="E177" s="3" t="s">
        <v>28</v>
      </c>
      <c r="F177" s="8"/>
      <c r="G177" s="8"/>
      <c r="H177" s="8"/>
      <c r="I177" s="3" t="s">
        <v>435</v>
      </c>
      <c r="J177" s="4" t="str">
        <f ca="1"/>
        <v>TZS</v>
      </c>
      <c r="K177" s="3" t="str">
        <f ca="1"/>
        <v>,(40039, 'TZS') -- 大运棋牌api-转账钱包DZceshi-一级代理：2788398</v>
      </c>
    </row>
    <row r="178" spans="1:11" ht="12.75">
      <c r="A178" s="3">
        <v>40040</v>
      </c>
      <c r="B178" s="3" t="s">
        <v>436</v>
      </c>
      <c r="C178" s="3" t="s">
        <v>437</v>
      </c>
      <c r="D178" s="3">
        <v>1</v>
      </c>
      <c r="E178" s="3" t="s">
        <v>28</v>
      </c>
      <c r="F178" s="8"/>
      <c r="G178" s="8"/>
      <c r="H178" s="8"/>
      <c r="I178" s="3" t="s">
        <v>438</v>
      </c>
      <c r="J178" s="4" t="str">
        <f ca="1"/>
        <v>KES</v>
      </c>
      <c r="K178" s="3" t="str">
        <f ca="1"/>
        <v>,(40040, 'KES') -- 大运棋牌api-转账钱包DZceshi-一级代理：2788385</v>
      </c>
    </row>
    <row r="179" spans="1:11" ht="12.75">
      <c r="A179" s="3">
        <v>40041</v>
      </c>
      <c r="B179" s="3" t="s">
        <v>439</v>
      </c>
      <c r="C179" s="3" t="s">
        <v>440</v>
      </c>
      <c r="D179" s="3">
        <v>1</v>
      </c>
      <c r="E179" s="3" t="s">
        <v>28</v>
      </c>
      <c r="F179" s="8"/>
      <c r="G179" s="8"/>
      <c r="H179" s="8"/>
      <c r="I179" s="3" t="s">
        <v>441</v>
      </c>
      <c r="J179" s="4" t="str">
        <f ca="1"/>
        <v>EGP</v>
      </c>
      <c r="K179" s="3" t="str">
        <f ca="1"/>
        <v>,(40041, 'EGP') -- 大运棋牌api-转账钱包DZceshi-一级代理：2788372</v>
      </c>
    </row>
    <row r="180" spans="1:11" ht="12.75">
      <c r="A180" s="3">
        <v>40042</v>
      </c>
      <c r="B180" s="3" t="s">
        <v>442</v>
      </c>
      <c r="C180" s="3" t="s">
        <v>443</v>
      </c>
      <c r="D180" s="3">
        <v>1</v>
      </c>
      <c r="E180" s="3" t="s">
        <v>28</v>
      </c>
      <c r="F180" s="8"/>
      <c r="G180" s="8"/>
      <c r="H180" s="8"/>
      <c r="I180" s="3" t="s">
        <v>362</v>
      </c>
      <c r="J180" s="4" t="str">
        <f ca="1"/>
        <v>TRY</v>
      </c>
      <c r="K180" s="3" t="str">
        <f ca="1"/>
        <v>,(40042, 'TRY') -- 大运棋牌api-转账钱包DZceshi-一级代理：2788368</v>
      </c>
    </row>
    <row r="181" spans="1:11" ht="12.75">
      <c r="A181" s="3">
        <v>40043</v>
      </c>
      <c r="B181" s="3" t="s">
        <v>444</v>
      </c>
      <c r="C181" s="3" t="s">
        <v>445</v>
      </c>
      <c r="D181" s="3">
        <v>1</v>
      </c>
      <c r="E181" s="3" t="s">
        <v>28</v>
      </c>
      <c r="F181" s="8"/>
      <c r="G181" s="8"/>
      <c r="H181" s="8"/>
      <c r="I181" s="3" t="s">
        <v>359</v>
      </c>
      <c r="J181" s="4" t="str">
        <f ca="1"/>
        <v>BDT</v>
      </c>
      <c r="K181" s="3" t="str">
        <f ca="1"/>
        <v>,(40043, 'BDT') -- 大运棋牌api-转账钱包DZceshi-一级代理：2788360</v>
      </c>
    </row>
    <row r="182" spans="1:11" ht="14.25" customHeight="1">
      <c r="A182" s="3">
        <v>40044</v>
      </c>
      <c r="B182" s="3" t="s">
        <v>446</v>
      </c>
      <c r="C182" s="3" t="s">
        <v>447</v>
      </c>
      <c r="D182" s="3">
        <v>1</v>
      </c>
      <c r="E182" s="3" t="s">
        <v>28</v>
      </c>
      <c r="F182" s="8"/>
      <c r="G182" s="8"/>
      <c r="H182" s="8"/>
      <c r="I182" s="3" t="s">
        <v>448</v>
      </c>
      <c r="J182" s="4" t="str">
        <f ca="1"/>
        <v>PEN</v>
      </c>
      <c r="K182" s="3" t="str">
        <f ca="1"/>
        <v>,(40044, 'PEN') -- 大运棋牌api-转账钱包DZceshi-一级代理：2788333</v>
      </c>
    </row>
    <row r="183" spans="1:11" ht="12.75">
      <c r="A183" s="3">
        <v>40045</v>
      </c>
      <c r="B183" s="3" t="s">
        <v>449</v>
      </c>
      <c r="C183" s="3" t="s">
        <v>450</v>
      </c>
      <c r="D183" s="3">
        <v>1</v>
      </c>
      <c r="E183" s="3" t="s">
        <v>28</v>
      </c>
      <c r="F183" s="8"/>
      <c r="G183" s="8"/>
      <c r="H183" s="8"/>
      <c r="I183" s="3" t="s">
        <v>451</v>
      </c>
      <c r="J183" s="4" t="str">
        <f ca="1"/>
        <v>BOB</v>
      </c>
      <c r="K183" s="3" t="str">
        <f ca="1"/>
        <v>,(40045, 'BOB') -- 大运棋牌api-转账钱包DZceshi-一级代理：2788335</v>
      </c>
    </row>
    <row r="184" spans="1:11" ht="12.75">
      <c r="A184" s="3">
        <v>40046</v>
      </c>
      <c r="B184" s="3" t="s">
        <v>452</v>
      </c>
      <c r="C184" s="3" t="s">
        <v>453</v>
      </c>
      <c r="D184" s="3">
        <v>1</v>
      </c>
      <c r="E184" s="3" t="s">
        <v>28</v>
      </c>
      <c r="F184" s="8"/>
      <c r="G184" s="8"/>
      <c r="H184" s="8"/>
      <c r="I184" s="3" t="s">
        <v>454</v>
      </c>
      <c r="J184" s="4" t="str">
        <f ca="1"/>
        <v>COP</v>
      </c>
      <c r="K184" s="3" t="str">
        <f ca="1"/>
        <v>,(40046, 'COP') -- 大运棋牌api-转账钱包DZceshi-一级代理：2788337</v>
      </c>
    </row>
    <row r="185" spans="1:11" ht="12.75">
      <c r="A185" s="3">
        <v>40047</v>
      </c>
      <c r="B185" s="3" t="s">
        <v>455</v>
      </c>
      <c r="C185" s="3" t="s">
        <v>456</v>
      </c>
      <c r="D185" s="3">
        <v>1</v>
      </c>
      <c r="E185" s="3" t="s">
        <v>28</v>
      </c>
      <c r="F185" s="8"/>
      <c r="G185" s="8"/>
      <c r="H185" s="8"/>
      <c r="I185" s="3" t="s">
        <v>457</v>
      </c>
      <c r="J185" s="4" t="str">
        <f ca="1"/>
        <v>PYG</v>
      </c>
      <c r="K185" s="3" t="str">
        <f ca="1"/>
        <v>,(40047, 'PYG') -- 大运棋牌api-转账钱包DZceshi-一级代理：2788343</v>
      </c>
    </row>
    <row r="186" spans="1:11" ht="12.75">
      <c r="A186" s="3">
        <v>40048</v>
      </c>
      <c r="B186" s="3" t="s">
        <v>458</v>
      </c>
      <c r="C186" s="3" t="s">
        <v>459</v>
      </c>
      <c r="D186" s="3">
        <v>1</v>
      </c>
      <c r="E186" s="3" t="s">
        <v>28</v>
      </c>
      <c r="F186" s="8"/>
      <c r="G186" s="8"/>
      <c r="H186" s="8"/>
      <c r="I186" s="3" t="s">
        <v>460</v>
      </c>
      <c r="J186" s="4" t="str">
        <f ca="1"/>
        <v>PKR</v>
      </c>
      <c r="K186" s="3" t="str">
        <f ca="1"/>
        <v>,(40048, 'PKR') -- 大运棋牌api-转账钱包DZceshi-一级代理：2788361</v>
      </c>
    </row>
    <row r="187" spans="1:11" ht="12.75">
      <c r="A187" s="3">
        <v>40049</v>
      </c>
      <c r="B187" s="3" t="s">
        <v>461</v>
      </c>
      <c r="C187" s="3" t="s">
        <v>462</v>
      </c>
      <c r="D187" s="3">
        <v>1</v>
      </c>
      <c r="E187" s="3" t="s">
        <v>28</v>
      </c>
      <c r="F187" s="8"/>
      <c r="G187" s="8"/>
      <c r="H187" s="8"/>
      <c r="I187" s="3" t="s">
        <v>463</v>
      </c>
      <c r="J187" s="4" t="str">
        <f ca="1"/>
        <v>GHS</v>
      </c>
      <c r="K187" s="3" t="str">
        <f ca="1"/>
        <v>,(40049, 'GHS') -- 大运棋牌api-转账钱包DZceshi-一级代理：2788374</v>
      </c>
    </row>
    <row r="188" spans="1:11" ht="12.75">
      <c r="A188" s="3">
        <v>40050</v>
      </c>
      <c r="B188" s="3" t="s">
        <v>464</v>
      </c>
      <c r="C188" s="3" t="s">
        <v>465</v>
      </c>
      <c r="D188" s="3">
        <v>1</v>
      </c>
      <c r="E188" s="3" t="s">
        <v>28</v>
      </c>
      <c r="F188" s="8"/>
      <c r="G188" s="8"/>
      <c r="H188" s="8"/>
      <c r="I188" s="3" t="s">
        <v>466</v>
      </c>
      <c r="J188" s="4" t="str">
        <f ca="1"/>
        <v>ARS</v>
      </c>
      <c r="K188" s="3" t="str">
        <f ca="1"/>
        <v>,(40050, 'ARS') -- 大运棋牌api-转账钱包DZceshi-一级代理：2788213</v>
      </c>
    </row>
    <row r="189" spans="1:11" ht="12.75">
      <c r="A189" s="3">
        <v>40051</v>
      </c>
      <c r="B189" s="3" t="s">
        <v>467</v>
      </c>
      <c r="C189" s="3" t="s">
        <v>468</v>
      </c>
      <c r="D189" s="3">
        <v>1</v>
      </c>
      <c r="E189" s="3" t="s">
        <v>28</v>
      </c>
      <c r="F189" s="8"/>
      <c r="G189" s="8"/>
      <c r="H189" s="8"/>
      <c r="I189" s="3" t="s">
        <v>367</v>
      </c>
      <c r="J189" s="4" t="str">
        <f ca="1"/>
        <v>IDRK</v>
      </c>
      <c r="K189" s="3" t="str">
        <f ca="1"/>
        <v>,(40051, 'IDRK') -- 大运棋牌api-转账钱包DZceshi-一级代理：2788075</v>
      </c>
    </row>
    <row r="190" spans="1:11" ht="12.75">
      <c r="A190" s="3">
        <v>40052</v>
      </c>
      <c r="B190" s="3" t="s">
        <v>469</v>
      </c>
      <c r="C190" s="3" t="s">
        <v>470</v>
      </c>
      <c r="D190" s="3">
        <v>1</v>
      </c>
      <c r="E190" s="3" t="s">
        <v>28</v>
      </c>
      <c r="F190" s="8"/>
      <c r="G190" s="8"/>
      <c r="H190" s="8"/>
      <c r="I190" s="3" t="s">
        <v>356</v>
      </c>
      <c r="J190" s="4" t="str">
        <f ca="1"/>
        <v>VNDK</v>
      </c>
      <c r="K190" s="3" t="str">
        <f ca="1"/>
        <v>,(40052, 'VNDK') -- 大运棋牌api-转账钱包DZceshi-一级代理：2788067</v>
      </c>
    </row>
    <row r="191" spans="1:11" ht="12.75">
      <c r="A191" s="3">
        <v>40053</v>
      </c>
      <c r="B191" s="3" t="s">
        <v>471</v>
      </c>
      <c r="C191" s="3" t="s">
        <v>472</v>
      </c>
      <c r="D191" s="3">
        <v>1</v>
      </c>
      <c r="E191" s="3" t="s">
        <v>28</v>
      </c>
      <c r="F191" s="8"/>
      <c r="G191" s="8"/>
      <c r="H191" s="8"/>
      <c r="I191" s="3" t="s">
        <v>30</v>
      </c>
      <c r="J191" s="4" t="str">
        <f ca="1"/>
        <v>CNY</v>
      </c>
      <c r="K191" s="3" t="str">
        <f ca="1"/>
        <v>,(40053, 'CNY') -- 大运棋牌api-转账钱包TCG88-一级代理：2789271</v>
      </c>
    </row>
    <row r="192" spans="1:11" ht="12.75">
      <c r="A192" s="3">
        <v>40054</v>
      </c>
      <c r="B192" s="3" t="s">
        <v>473</v>
      </c>
      <c r="C192" s="3" t="s">
        <v>474</v>
      </c>
      <c r="D192" s="3">
        <v>1</v>
      </c>
      <c r="E192" s="3" t="s">
        <v>28</v>
      </c>
      <c r="F192" s="8"/>
      <c r="G192" s="8"/>
      <c r="H192" s="8"/>
      <c r="I192" s="3" t="s">
        <v>88</v>
      </c>
      <c r="J192" s="4" t="str">
        <f ca="1"/>
        <v>THB</v>
      </c>
      <c r="K192" s="3" t="str">
        <f ca="1"/>
        <v>,(40054, 'THB') -- 大运棋牌api-转账钱包haxi06-一级代理：2793626</v>
      </c>
    </row>
    <row r="193" spans="1:11" ht="12.75">
      <c r="A193" s="3">
        <v>40055</v>
      </c>
      <c r="B193" s="3" t="s">
        <v>475</v>
      </c>
      <c r="C193" s="3" t="s">
        <v>476</v>
      </c>
      <c r="D193" s="3">
        <v>1</v>
      </c>
      <c r="E193" s="3" t="s">
        <v>28</v>
      </c>
      <c r="F193" s="8"/>
      <c r="G193" s="8"/>
      <c r="H193" s="8"/>
      <c r="I193" s="3" t="s">
        <v>30</v>
      </c>
      <c r="J193" s="4" t="str">
        <f ca="1"/>
        <v>CNY</v>
      </c>
      <c r="K193" s="3" t="str">
        <f ca="1"/>
        <v>,(40055, 'CNY') -- 大运棋牌api-转账钱包TCG999-一级代理：2795454</v>
      </c>
    </row>
    <row r="194" spans="1:11" ht="12.75">
      <c r="A194" s="3">
        <v>40056</v>
      </c>
      <c r="B194" s="3" t="s">
        <v>477</v>
      </c>
      <c r="C194" s="3" t="s">
        <v>478</v>
      </c>
      <c r="D194" s="3">
        <v>1</v>
      </c>
      <c r="E194" s="3" t="s">
        <v>28</v>
      </c>
      <c r="F194" s="8"/>
      <c r="G194" s="8"/>
      <c r="H194" s="8"/>
      <c r="I194" s="3" t="s">
        <v>64</v>
      </c>
      <c r="J194" s="4" t="str">
        <f ca="1"/>
        <v>PHP</v>
      </c>
      <c r="K194" s="3" t="str">
        <f ca="1"/>
        <v>,(40056, 'PHP') -- 大运棋牌api-转账钱包TCG999-一级代理：2797610</v>
      </c>
    </row>
    <row r="195" spans="1:11" ht="12.75">
      <c r="A195" s="3">
        <v>40057</v>
      </c>
      <c r="B195" s="3" t="s">
        <v>479</v>
      </c>
      <c r="C195" s="3" t="s">
        <v>480</v>
      </c>
      <c r="D195" s="3">
        <v>1</v>
      </c>
      <c r="E195" s="3" t="s">
        <v>28</v>
      </c>
      <c r="F195" s="8"/>
      <c r="G195" s="8"/>
      <c r="H195" s="8"/>
      <c r="I195" s="3" t="s">
        <v>88</v>
      </c>
      <c r="J195" s="4" t="str">
        <f ca="1"/>
        <v>THB</v>
      </c>
      <c r="K195" s="3" t="str">
        <f ca="1"/>
        <v>,(40057, 'THB') -- 大运棋牌api-转账钱包TCG999-一级代理：2797611</v>
      </c>
    </row>
    <row r="196" spans="1:11" ht="12.75">
      <c r="A196" s="3">
        <v>40058</v>
      </c>
      <c r="B196" s="3" t="s">
        <v>481</v>
      </c>
      <c r="C196" s="3" t="s">
        <v>482</v>
      </c>
      <c r="D196" s="3">
        <v>1</v>
      </c>
      <c r="E196" s="3" t="s">
        <v>28</v>
      </c>
      <c r="F196" s="8"/>
      <c r="G196" s="8"/>
      <c r="H196" s="8"/>
      <c r="I196" s="3" t="s">
        <v>215</v>
      </c>
      <c r="J196" s="4" t="str">
        <f ca="1"/>
        <v>INR</v>
      </c>
      <c r="K196" s="3" t="str">
        <f ca="1"/>
        <v>,(40058, 'INR') -- 大运棋牌api-转账钱包TCG999-一级代理：2797615</v>
      </c>
    </row>
    <row r="197" spans="1:11" ht="12.75">
      <c r="A197" s="3">
        <v>40059</v>
      </c>
      <c r="B197" s="3" t="s">
        <v>483</v>
      </c>
      <c r="C197" s="3" t="s">
        <v>484</v>
      </c>
      <c r="D197" s="3">
        <v>1</v>
      </c>
      <c r="E197" s="3" t="s">
        <v>28</v>
      </c>
      <c r="F197" s="8"/>
      <c r="G197" s="8"/>
      <c r="H197" s="8"/>
      <c r="I197" s="3" t="s">
        <v>71</v>
      </c>
      <c r="J197" s="4" t="str">
        <f ca="1"/>
        <v>MYR</v>
      </c>
      <c r="K197" s="3" t="str">
        <f ca="1"/>
        <v>,(40059, 'MYR') -- 大运棋牌api-转账钱包TCG999-一级代理：2797618</v>
      </c>
    </row>
    <row r="198" spans="1:11" ht="12.75">
      <c r="A198" s="3">
        <v>40060</v>
      </c>
      <c r="B198" s="3" t="s">
        <v>485</v>
      </c>
      <c r="C198" s="3" t="s">
        <v>486</v>
      </c>
      <c r="D198" s="3">
        <v>1</v>
      </c>
      <c r="E198" s="3" t="s">
        <v>28</v>
      </c>
      <c r="F198" s="8"/>
      <c r="G198" s="8"/>
      <c r="H198" s="8"/>
      <c r="I198" s="3" t="s">
        <v>306</v>
      </c>
      <c r="J198" s="4" t="str">
        <f ca="1"/>
        <v>MMK</v>
      </c>
      <c r="K198" s="3" t="str">
        <f ca="1"/>
        <v>,(40060, 'MMK') -- 大运棋牌api-转账钱包TCG999-一级代理：2797623</v>
      </c>
    </row>
    <row r="199" spans="1:11" ht="12.75">
      <c r="A199" s="3">
        <v>40061</v>
      </c>
      <c r="B199" s="3" t="s">
        <v>487</v>
      </c>
      <c r="C199" s="3" t="s">
        <v>488</v>
      </c>
      <c r="D199" s="3">
        <v>1</v>
      </c>
      <c r="E199" s="3" t="s">
        <v>28</v>
      </c>
      <c r="F199" s="8"/>
      <c r="G199" s="8"/>
      <c r="H199" s="8"/>
      <c r="I199" s="3" t="s">
        <v>208</v>
      </c>
      <c r="J199" s="4" t="str">
        <f ca="1"/>
        <v>HKD</v>
      </c>
      <c r="K199" s="3" t="str">
        <f ca="1"/>
        <v>,(40061, 'HKD') -- 大运棋牌api-转账钱包TCG999-一级代理：2797626</v>
      </c>
    </row>
    <row r="200" spans="1:11" ht="12.75">
      <c r="A200" s="3">
        <v>40062</v>
      </c>
      <c r="B200" s="3" t="s">
        <v>489</v>
      </c>
      <c r="C200" s="3" t="s">
        <v>490</v>
      </c>
      <c r="D200" s="3">
        <v>1</v>
      </c>
      <c r="E200" s="3" t="s">
        <v>28</v>
      </c>
      <c r="F200" s="8"/>
      <c r="G200" s="8"/>
      <c r="H200" s="8"/>
      <c r="I200" s="3" t="s">
        <v>147</v>
      </c>
      <c r="J200" s="4" t="str">
        <f ca="1"/>
        <v>JPY</v>
      </c>
      <c r="K200" s="3" t="str">
        <f ca="1"/>
        <v>,(40062, 'JPY') -- 大运棋牌api-转账钱包TCG999-一级代理：2797628</v>
      </c>
    </row>
    <row r="201" spans="1:11" ht="12.75">
      <c r="A201" s="3">
        <v>40063</v>
      </c>
      <c r="B201" s="3" t="s">
        <v>491</v>
      </c>
      <c r="C201" s="3" t="s">
        <v>492</v>
      </c>
      <c r="D201" s="3">
        <v>1</v>
      </c>
      <c r="E201" s="3" t="s">
        <v>28</v>
      </c>
      <c r="F201" s="8"/>
      <c r="G201" s="8"/>
      <c r="H201" s="8"/>
      <c r="I201" s="3" t="s">
        <v>60</v>
      </c>
      <c r="J201" s="4" t="str">
        <f ca="1"/>
        <v>KRW</v>
      </c>
      <c r="K201" s="3" t="str">
        <f ca="1"/>
        <v>,(40063, 'KRW') -- 大运棋牌api-转账钱包TCG999-一级代理：2797630</v>
      </c>
    </row>
    <row r="202" spans="1:11" ht="12.75">
      <c r="A202" s="3">
        <v>40064</v>
      </c>
      <c r="B202" s="3" t="s">
        <v>493</v>
      </c>
      <c r="C202" s="3" t="s">
        <v>494</v>
      </c>
      <c r="D202" s="3">
        <v>1</v>
      </c>
      <c r="E202" s="3" t="s">
        <v>28</v>
      </c>
      <c r="F202" s="8"/>
      <c r="G202" s="8"/>
      <c r="H202" s="8"/>
      <c r="I202" s="3" t="s">
        <v>133</v>
      </c>
      <c r="J202" s="4" t="str">
        <f ca="1"/>
        <v>BRL</v>
      </c>
      <c r="K202" s="3" t="str">
        <f ca="1"/>
        <v>,(40064, 'BRL') -- 大运棋牌api-转账钱包TCG999-一级代理：2797634</v>
      </c>
    </row>
    <row r="203" spans="1:11" ht="12.75">
      <c r="A203" s="3">
        <v>40065</v>
      </c>
      <c r="B203" s="3" t="s">
        <v>495</v>
      </c>
      <c r="C203" s="3" t="s">
        <v>496</v>
      </c>
      <c r="D203" s="3">
        <v>1</v>
      </c>
      <c r="E203" s="3" t="s">
        <v>28</v>
      </c>
      <c r="F203" s="8"/>
      <c r="G203" s="8"/>
      <c r="H203" s="8"/>
      <c r="I203" s="3" t="s">
        <v>466</v>
      </c>
      <c r="J203" s="4" t="str">
        <f ca="1"/>
        <v>ARS</v>
      </c>
      <c r="K203" s="3" t="str">
        <f ca="1"/>
        <v>,(40065, 'ARS') -- 大运棋牌api-转账钱包TCG999-一级代理：2797636</v>
      </c>
    </row>
    <row r="204" spans="1:11" ht="12.75">
      <c r="A204" s="3">
        <v>40066</v>
      </c>
      <c r="B204" s="3" t="s">
        <v>497</v>
      </c>
      <c r="C204" s="3" t="s">
        <v>498</v>
      </c>
      <c r="D204" s="3">
        <v>1</v>
      </c>
      <c r="E204" s="3" t="s">
        <v>28</v>
      </c>
      <c r="F204" s="8"/>
      <c r="G204" s="8"/>
      <c r="H204" s="8"/>
      <c r="I204" s="3" t="s">
        <v>499</v>
      </c>
      <c r="J204" s="4" t="str">
        <f ca="1"/>
        <v>CLP</v>
      </c>
      <c r="K204" s="3" t="str">
        <f ca="1"/>
        <v>,(40066, 'CLP') -- 大运棋牌api-转账钱包TCG999-一级代理：2797639</v>
      </c>
    </row>
    <row r="205" spans="1:11" ht="12.75">
      <c r="A205" s="3">
        <v>40067</v>
      </c>
      <c r="B205" s="3" t="s">
        <v>500</v>
      </c>
      <c r="C205" s="3" t="s">
        <v>501</v>
      </c>
      <c r="D205" s="3">
        <v>1</v>
      </c>
      <c r="E205" s="3" t="s">
        <v>28</v>
      </c>
      <c r="F205" s="8"/>
      <c r="G205" s="8"/>
      <c r="H205" s="8"/>
      <c r="I205" s="3" t="s">
        <v>239</v>
      </c>
      <c r="J205" s="4" t="str">
        <f ca="1"/>
        <v>MXN</v>
      </c>
      <c r="K205" s="3" t="str">
        <f ca="1"/>
        <v>,(40067, 'MXN') -- 大运棋牌api-转账钱包TCG999-一级代理：2797643</v>
      </c>
    </row>
    <row r="206" spans="1:11" ht="12.75">
      <c r="A206" s="3">
        <v>40068</v>
      </c>
      <c r="B206" s="3" t="s">
        <v>502</v>
      </c>
      <c r="C206" s="3" t="s">
        <v>503</v>
      </c>
      <c r="D206" s="3">
        <v>1</v>
      </c>
      <c r="E206" s="3" t="s">
        <v>28</v>
      </c>
      <c r="F206" s="8"/>
      <c r="G206" s="8"/>
      <c r="H206" s="8"/>
      <c r="I206" s="3" t="s">
        <v>448</v>
      </c>
      <c r="J206" s="4" t="str">
        <f ca="1"/>
        <v>PEN</v>
      </c>
      <c r="K206" s="3" t="str">
        <f ca="1"/>
        <v>,(40068, 'PEN') -- 大运棋牌api-转账钱包TCG999-一级代理：2797648</v>
      </c>
    </row>
    <row r="207" spans="1:11" ht="12.75">
      <c r="A207" s="3">
        <v>40069</v>
      </c>
      <c r="B207" s="3" t="s">
        <v>504</v>
      </c>
      <c r="C207" s="3" t="s">
        <v>505</v>
      </c>
      <c r="D207" s="3">
        <v>1</v>
      </c>
      <c r="E207" s="3" t="s">
        <v>28</v>
      </c>
      <c r="F207" s="8"/>
      <c r="G207" s="8"/>
      <c r="H207" s="8"/>
      <c r="I207" s="3" t="s">
        <v>451</v>
      </c>
      <c r="J207" s="4" t="str">
        <f ca="1"/>
        <v>BOB</v>
      </c>
      <c r="K207" s="3" t="str">
        <f ca="1"/>
        <v>,(40069, 'BOB') -- 大运棋牌api-转账钱包TCG999-一级代理：2797652</v>
      </c>
    </row>
    <row r="208" spans="1:11" ht="12.75">
      <c r="A208" s="3">
        <v>40070</v>
      </c>
      <c r="B208" s="3" t="s">
        <v>506</v>
      </c>
      <c r="C208" s="3" t="s">
        <v>507</v>
      </c>
      <c r="D208" s="3">
        <v>1</v>
      </c>
      <c r="E208" s="3" t="s">
        <v>28</v>
      </c>
      <c r="F208" s="8"/>
      <c r="G208" s="8"/>
      <c r="H208" s="8"/>
      <c r="I208" s="3" t="s">
        <v>454</v>
      </c>
      <c r="J208" s="4" t="str">
        <f ca="1"/>
        <v>COP</v>
      </c>
      <c r="K208" s="3" t="str">
        <f ca="1"/>
        <v>,(40070, 'COP') -- 大运棋牌api-转账钱包TCG999-一级代理：2797654</v>
      </c>
    </row>
    <row r="209" spans="1:11" ht="12.75">
      <c r="A209" s="3">
        <v>40071</v>
      </c>
      <c r="B209" s="3" t="s">
        <v>508</v>
      </c>
      <c r="C209" s="3" t="s">
        <v>509</v>
      </c>
      <c r="D209" s="3">
        <v>1</v>
      </c>
      <c r="E209" s="3" t="s">
        <v>28</v>
      </c>
      <c r="F209" s="8"/>
      <c r="G209" s="8"/>
      <c r="H209" s="8"/>
      <c r="I209" s="3" t="s">
        <v>457</v>
      </c>
      <c r="J209" s="4" t="str">
        <f ca="1"/>
        <v>PYG</v>
      </c>
      <c r="K209" s="3" t="str">
        <f ca="1"/>
        <v>,(40071, 'PYG') -- 大运棋牌api-转账钱包TCG999-一级代理：2797658</v>
      </c>
    </row>
    <row r="210" spans="1:11" ht="12.75">
      <c r="A210" s="3">
        <v>40072</v>
      </c>
      <c r="B210" s="3" t="s">
        <v>510</v>
      </c>
      <c r="C210" s="3" t="s">
        <v>511</v>
      </c>
      <c r="D210" s="3">
        <v>1</v>
      </c>
      <c r="E210" s="3" t="s">
        <v>28</v>
      </c>
      <c r="F210" s="8"/>
      <c r="G210" s="8"/>
      <c r="H210" s="8"/>
      <c r="I210" s="3" t="s">
        <v>359</v>
      </c>
      <c r="J210" s="4" t="str">
        <f ca="1"/>
        <v>BDT</v>
      </c>
      <c r="K210" s="3" t="str">
        <f ca="1"/>
        <v>,(40072, 'BDT') -- 大运棋牌api-转账钱包TCG999-一级代理：2797660</v>
      </c>
    </row>
    <row r="211" spans="1:11" ht="12.75">
      <c r="A211" s="3">
        <v>40073</v>
      </c>
      <c r="B211" s="3" t="s">
        <v>512</v>
      </c>
      <c r="C211" s="3" t="s">
        <v>513</v>
      </c>
      <c r="D211" s="3">
        <v>1</v>
      </c>
      <c r="E211" s="3" t="s">
        <v>28</v>
      </c>
      <c r="F211" s="8"/>
      <c r="G211" s="8"/>
      <c r="H211" s="8"/>
      <c r="I211" s="3" t="s">
        <v>460</v>
      </c>
      <c r="J211" s="4" t="str">
        <f ca="1"/>
        <v>PKR</v>
      </c>
      <c r="K211" s="3" t="str">
        <f ca="1"/>
        <v>,(40073, 'PKR') -- 大运棋牌api-转账钱包TCG999-一级代理：2797662</v>
      </c>
    </row>
    <row r="212" spans="1:11" ht="12.75">
      <c r="A212" s="3">
        <v>40074</v>
      </c>
      <c r="B212" s="3" t="s">
        <v>514</v>
      </c>
      <c r="C212" s="3" t="s">
        <v>515</v>
      </c>
      <c r="D212" s="3">
        <v>1</v>
      </c>
      <c r="E212" s="3" t="s">
        <v>28</v>
      </c>
      <c r="F212" s="8"/>
      <c r="G212" s="8"/>
      <c r="H212" s="8"/>
      <c r="I212" s="3" t="s">
        <v>362</v>
      </c>
      <c r="J212" s="4" t="str">
        <f ca="1"/>
        <v>TRY</v>
      </c>
      <c r="K212" s="3" t="str">
        <f ca="1"/>
        <v>,(40074, 'TRY') -- 大运棋牌api-转账钱包TCG999-一级代理：2797669</v>
      </c>
    </row>
    <row r="213" spans="1:11" ht="12.75">
      <c r="A213" s="3">
        <v>40075</v>
      </c>
      <c r="B213" s="3" t="s">
        <v>516</v>
      </c>
      <c r="C213" s="3" t="s">
        <v>517</v>
      </c>
      <c r="D213" s="3">
        <v>1</v>
      </c>
      <c r="E213" s="3" t="s">
        <v>28</v>
      </c>
      <c r="F213" s="8"/>
      <c r="G213" s="8"/>
      <c r="H213" s="8"/>
      <c r="I213" s="3" t="s">
        <v>441</v>
      </c>
      <c r="J213" s="4" t="str">
        <f ca="1"/>
        <v>EGP</v>
      </c>
      <c r="K213" s="3" t="str">
        <f ca="1"/>
        <v>,(40075, 'EGP') -- 大运棋牌api-转账钱包TCG999-一级代理：2797671</v>
      </c>
    </row>
    <row r="214" spans="1:11" ht="12.75">
      <c r="A214" s="3">
        <v>40076</v>
      </c>
      <c r="B214" s="3" t="s">
        <v>518</v>
      </c>
      <c r="C214" s="3" t="s">
        <v>519</v>
      </c>
      <c r="D214" s="3">
        <v>1</v>
      </c>
      <c r="E214" s="3" t="s">
        <v>28</v>
      </c>
      <c r="F214" s="8"/>
      <c r="G214" s="8"/>
      <c r="H214" s="8"/>
      <c r="I214" s="3" t="s">
        <v>426</v>
      </c>
      <c r="J214" s="4" t="str">
        <f ca="1"/>
        <v>ETB</v>
      </c>
      <c r="K214" s="3" t="str">
        <f ca="1"/>
        <v>,(40076, 'ETB') -- 大运棋牌api-转账钱包TCG999-一级代理：2797677</v>
      </c>
    </row>
    <row r="215" spans="1:11" ht="12.75">
      <c r="A215" s="3">
        <v>40077</v>
      </c>
      <c r="B215" s="3" t="s">
        <v>520</v>
      </c>
      <c r="C215" s="3" t="s">
        <v>521</v>
      </c>
      <c r="D215" s="3">
        <v>1</v>
      </c>
      <c r="E215" s="3" t="s">
        <v>28</v>
      </c>
      <c r="F215" s="8"/>
      <c r="G215" s="8"/>
      <c r="H215" s="8"/>
      <c r="I215" s="3" t="s">
        <v>463</v>
      </c>
      <c r="J215" s="4" t="str">
        <f ca="1"/>
        <v>GHS</v>
      </c>
      <c r="K215" s="3" t="str">
        <f ca="1"/>
        <v>,(40077, 'GHS') -- 大运棋牌api-转账钱包TCG999-一级代理：2797679</v>
      </c>
    </row>
    <row r="216" spans="1:11" ht="12.75">
      <c r="A216" s="3">
        <v>40078</v>
      </c>
      <c r="B216" s="3" t="s">
        <v>522</v>
      </c>
      <c r="C216" s="3" t="s">
        <v>523</v>
      </c>
      <c r="D216" s="3">
        <v>1</v>
      </c>
      <c r="E216" s="3" t="s">
        <v>28</v>
      </c>
      <c r="F216" s="8"/>
      <c r="G216" s="8"/>
      <c r="H216" s="8"/>
      <c r="I216" s="3" t="s">
        <v>438</v>
      </c>
      <c r="J216" s="4" t="str">
        <f ca="1"/>
        <v>KES</v>
      </c>
      <c r="K216" s="3" t="str">
        <f ca="1"/>
        <v>,(40078, 'KES') -- 大运棋牌api-转账钱包TCG999-一级代理：2797682</v>
      </c>
    </row>
    <row r="217" spans="1:11" ht="12.75">
      <c r="A217" s="3">
        <v>40079</v>
      </c>
      <c r="B217" s="3" t="s">
        <v>524</v>
      </c>
      <c r="C217" s="3" t="s">
        <v>525</v>
      </c>
      <c r="D217" s="3">
        <v>1</v>
      </c>
      <c r="E217" s="3" t="s">
        <v>28</v>
      </c>
      <c r="F217" s="8"/>
      <c r="G217" s="8"/>
      <c r="H217" s="8"/>
      <c r="I217" s="3" t="s">
        <v>244</v>
      </c>
      <c r="J217" s="4" t="str">
        <f ca="1"/>
        <v>NGN</v>
      </c>
      <c r="K217" s="3" t="str">
        <f ca="1"/>
        <v>,(40079, 'NGN') -- 大运棋牌api-转账钱包TCG999-一级代理：2797683</v>
      </c>
    </row>
    <row r="218" spans="1:11" ht="12.75">
      <c r="A218" s="3">
        <v>40080</v>
      </c>
      <c r="B218" s="3" t="s">
        <v>526</v>
      </c>
      <c r="C218" s="3" t="s">
        <v>527</v>
      </c>
      <c r="D218" s="3">
        <v>1</v>
      </c>
      <c r="E218" s="3" t="s">
        <v>28</v>
      </c>
      <c r="F218" s="8"/>
      <c r="G218" s="8"/>
      <c r="H218" s="8"/>
      <c r="I218" s="3" t="s">
        <v>435</v>
      </c>
      <c r="J218" s="4" t="str">
        <f ca="1"/>
        <v>TZS</v>
      </c>
      <c r="K218" s="3" t="str">
        <f ca="1"/>
        <v>,(40080, 'TZS') -- 大运棋牌api-转账钱包TCG999-一级代理：2797685</v>
      </c>
    </row>
    <row r="219" spans="1:11" ht="12.75">
      <c r="A219" s="3">
        <v>40081</v>
      </c>
      <c r="B219" s="3" t="s">
        <v>528</v>
      </c>
      <c r="C219" s="3" t="s">
        <v>529</v>
      </c>
      <c r="D219" s="3">
        <v>1</v>
      </c>
      <c r="E219" s="3" t="s">
        <v>28</v>
      </c>
      <c r="F219" s="8"/>
      <c r="G219" s="8"/>
      <c r="H219" s="8"/>
      <c r="I219" s="3" t="s">
        <v>432</v>
      </c>
      <c r="J219" s="4" t="str">
        <f ca="1"/>
        <v>UGX</v>
      </c>
      <c r="K219" s="3" t="str">
        <f ca="1"/>
        <v>,(40081, 'UGX') -- 大运棋牌api-转账钱包TCG999-一级代理：2797686</v>
      </c>
    </row>
    <row r="220" spans="1:11" ht="12.75">
      <c r="A220" s="3">
        <v>40082</v>
      </c>
      <c r="B220" s="3" t="s">
        <v>530</v>
      </c>
      <c r="C220" s="3" t="s">
        <v>531</v>
      </c>
      <c r="D220" s="3">
        <v>1</v>
      </c>
      <c r="E220" s="3" t="s">
        <v>28</v>
      </c>
      <c r="F220" s="8"/>
      <c r="G220" s="8"/>
      <c r="H220" s="8"/>
      <c r="I220" s="3" t="s">
        <v>429</v>
      </c>
      <c r="J220" s="4" t="str">
        <f ca="1"/>
        <v>ZAR</v>
      </c>
      <c r="K220" s="3" t="str">
        <f ca="1"/>
        <v>,(40082, 'ZAR') -- 大运棋牌api-转账钱包TCG999-一级代理：2797687</v>
      </c>
    </row>
    <row r="221" spans="1:11" ht="12.75">
      <c r="A221" s="3">
        <v>40083</v>
      </c>
      <c r="B221" s="3" t="s">
        <v>532</v>
      </c>
      <c r="C221" s="3" t="s">
        <v>533</v>
      </c>
      <c r="D221" s="3">
        <v>1</v>
      </c>
      <c r="E221" s="3" t="s">
        <v>28</v>
      </c>
      <c r="F221" s="8"/>
      <c r="G221" s="8"/>
      <c r="H221" s="8"/>
      <c r="I221" s="3" t="s">
        <v>143</v>
      </c>
      <c r="J221" s="4" t="str">
        <f ca="1"/>
        <v>USD</v>
      </c>
      <c r="K221" s="3" t="str">
        <f ca="1"/>
        <v>,(40083, 'USD') -- 大运棋牌api-转账钱包TCG999-一级代理：2797691</v>
      </c>
    </row>
    <row r="222" spans="1:11" ht="12.75">
      <c r="A222" s="3">
        <v>40084</v>
      </c>
      <c r="B222" s="3" t="s">
        <v>534</v>
      </c>
      <c r="C222" s="3" t="s">
        <v>535</v>
      </c>
      <c r="D222" s="3">
        <v>1</v>
      </c>
      <c r="E222" s="3" t="s">
        <v>28</v>
      </c>
      <c r="F222" s="8"/>
      <c r="G222" s="8"/>
      <c r="H222" s="8"/>
      <c r="I222" s="3" t="s">
        <v>423</v>
      </c>
      <c r="J222" s="4" t="str">
        <f ca="1"/>
        <v>HNL</v>
      </c>
      <c r="K222" s="3" t="str">
        <f ca="1"/>
        <v>,(40084, 'HNL') -- 大运棋牌api-转账钱包TCG999-一级代理：2797695</v>
      </c>
    </row>
    <row r="223" spans="1:11" ht="12.75">
      <c r="A223" s="3">
        <v>40085</v>
      </c>
      <c r="B223" s="3" t="s">
        <v>536</v>
      </c>
      <c r="C223" s="3" t="s">
        <v>537</v>
      </c>
      <c r="D223" s="3">
        <v>1</v>
      </c>
      <c r="E223" s="3" t="s">
        <v>28</v>
      </c>
      <c r="F223" s="8"/>
      <c r="G223" s="8"/>
      <c r="H223" s="8"/>
      <c r="I223" s="3" t="s">
        <v>367</v>
      </c>
      <c r="J223" s="4" t="str">
        <f ca="1"/>
        <v>IDRK</v>
      </c>
      <c r="K223" s="3" t="str">
        <f ca="1"/>
        <v>,(40085, 'IDRK') -- 大运棋牌api-转账钱包TCG999-一级代理：2797697</v>
      </c>
    </row>
    <row r="224" spans="1:11" ht="12.75">
      <c r="A224" s="3">
        <v>40086</v>
      </c>
      <c r="B224" s="3" t="s">
        <v>538</v>
      </c>
      <c r="C224" s="3" t="s">
        <v>539</v>
      </c>
      <c r="D224" s="3">
        <v>1</v>
      </c>
      <c r="E224" s="3" t="s">
        <v>28</v>
      </c>
      <c r="F224" s="8"/>
      <c r="G224" s="8"/>
      <c r="H224" s="8"/>
      <c r="I224" s="3" t="s">
        <v>356</v>
      </c>
      <c r="J224" s="4" t="str">
        <f ca="1"/>
        <v>VNDK</v>
      </c>
      <c r="K224" s="3" t="str">
        <f ca="1"/>
        <v>,(40086, 'VNDK') -- 大运棋牌api-转账钱包TCG999-一级代理：2797699</v>
      </c>
    </row>
    <row r="225" spans="1:11" ht="12.75">
      <c r="A225" s="3">
        <v>40087</v>
      </c>
      <c r="B225" s="3" t="s">
        <v>540</v>
      </c>
      <c r="C225" s="3" t="s">
        <v>541</v>
      </c>
      <c r="D225" s="3">
        <v>1</v>
      </c>
      <c r="E225" s="3" t="s">
        <v>28</v>
      </c>
      <c r="F225" s="8"/>
      <c r="G225" s="8"/>
      <c r="H225" s="8"/>
      <c r="I225" s="3" t="s">
        <v>208</v>
      </c>
      <c r="J225" s="4" t="str">
        <f ca="1"/>
        <v>HKD</v>
      </c>
      <c r="K225" s="3" t="str">
        <f ca="1"/>
        <v>,(40087, 'HKD') -- 大运棋牌api-唯一钱包Yandu08-一级代理：2803110</v>
      </c>
    </row>
    <row r="226" spans="1:11" ht="12.75">
      <c r="A226" s="3"/>
      <c r="B226" s="3"/>
      <c r="C226" s="3"/>
      <c r="D226" s="3"/>
      <c r="E226" s="3"/>
      <c r="F226" s="8"/>
      <c r="G226" s="8"/>
      <c r="H226" s="8"/>
      <c r="I226" s="3"/>
      <c r="J226" s="4" t="str">
        <f ca="1"/>
        <v/>
      </c>
      <c r="K226" s="3" t="str">
        <f ca="1"/>
        <v/>
      </c>
    </row>
    <row r="227" spans="1:11" ht="12.75">
      <c r="A227" s="3">
        <v>40088</v>
      </c>
      <c r="B227" s="3" t="s">
        <v>542</v>
      </c>
      <c r="C227" s="3" t="s">
        <v>543</v>
      </c>
      <c r="D227" s="3">
        <v>1</v>
      </c>
      <c r="E227" s="3" t="s">
        <v>28</v>
      </c>
      <c r="F227" s="8"/>
      <c r="G227" s="8"/>
      <c r="H227" s="8"/>
      <c r="I227" s="3" t="s">
        <v>143</v>
      </c>
      <c r="J227" s="4" t="str">
        <f ca="1"/>
        <v>USD</v>
      </c>
      <c r="K227" s="3" t="str">
        <f ca="1"/>
        <v>,(40088, 'USD') -- 大运棋牌api-唯一钱包Yandu08-一级代理：2806269</v>
      </c>
    </row>
    <row r="228" spans="1:11" ht="12.75">
      <c r="A228" s="3">
        <v>40089</v>
      </c>
      <c r="B228" s="3" t="s">
        <v>544</v>
      </c>
      <c r="C228" s="3" t="s">
        <v>545</v>
      </c>
      <c r="D228" s="3">
        <v>1</v>
      </c>
      <c r="E228" s="3" t="s">
        <v>28</v>
      </c>
      <c r="F228" s="8"/>
      <c r="G228" s="8"/>
      <c r="H228" s="8"/>
      <c r="I228" s="3" t="s">
        <v>239</v>
      </c>
      <c r="J228" s="4" t="str">
        <f ca="1"/>
        <v>MXN</v>
      </c>
      <c r="K228" s="3" t="str">
        <f ca="1"/>
        <v>,(40089, 'MXN') -- 大运棋牌api-唯一钱包Yandu08-一级代理：2806301</v>
      </c>
    </row>
    <row r="229" spans="1:11" ht="12.75">
      <c r="A229" s="3">
        <v>40090</v>
      </c>
      <c r="B229" s="3" t="s">
        <v>546</v>
      </c>
      <c r="C229" s="3" t="s">
        <v>547</v>
      </c>
      <c r="D229" s="3">
        <v>1</v>
      </c>
      <c r="E229" s="3" t="s">
        <v>28</v>
      </c>
      <c r="F229" s="8"/>
      <c r="G229" s="8"/>
      <c r="H229" s="8"/>
      <c r="I229" s="3" t="s">
        <v>548</v>
      </c>
      <c r="J229" s="4" t="str">
        <f ca="1"/>
        <v>GBP</v>
      </c>
      <c r="K229" s="3" t="str">
        <f ca="1"/>
        <v>,(40090, 'GBP') -- 大运棋牌api-唯一钱包Yandu08-一级代理：2806261</v>
      </c>
    </row>
    <row r="230" spans="1:11" ht="12.75">
      <c r="A230" s="3">
        <v>40091</v>
      </c>
      <c r="B230" s="3" t="s">
        <v>549</v>
      </c>
      <c r="C230" s="3" t="s">
        <v>550</v>
      </c>
      <c r="D230" s="3">
        <v>1</v>
      </c>
      <c r="E230" s="3" t="s">
        <v>28</v>
      </c>
      <c r="F230" s="8"/>
      <c r="G230" s="8"/>
      <c r="H230" s="8"/>
      <c r="I230" s="3" t="s">
        <v>30</v>
      </c>
      <c r="J230" s="4" t="str">
        <f ca="1"/>
        <v>CNY</v>
      </c>
      <c r="K230" s="3" t="str">
        <f ca="1"/>
        <v>,(40091, 'CNY') -- 大运棋牌api-唯一钱包Yandu08-一级代理：2806264</v>
      </c>
    </row>
    <row r="231" spans="1:11" ht="12.75">
      <c r="A231" s="3">
        <v>40092</v>
      </c>
      <c r="B231" s="3" t="s">
        <v>551</v>
      </c>
      <c r="C231" s="3" t="s">
        <v>552</v>
      </c>
      <c r="D231" s="3">
        <v>1</v>
      </c>
      <c r="E231" s="3" t="s">
        <v>28</v>
      </c>
      <c r="F231" s="8"/>
      <c r="G231" s="8"/>
      <c r="H231" s="8"/>
      <c r="I231" s="3" t="s">
        <v>230</v>
      </c>
      <c r="J231" s="4" t="str">
        <f ca="1"/>
        <v>EUR</v>
      </c>
      <c r="K231" s="3" t="str">
        <f ca="1"/>
        <v>,(40092, 'EUR') -- 大运棋牌api-唯一钱包Yandu08-一级代理：2806266</v>
      </c>
    </row>
    <row r="232" spans="1:11" ht="12.75">
      <c r="A232" s="3">
        <v>40093</v>
      </c>
      <c r="B232" s="3" t="s">
        <v>553</v>
      </c>
      <c r="C232" s="3" t="s">
        <v>554</v>
      </c>
      <c r="D232" s="3">
        <v>1</v>
      </c>
      <c r="E232" s="3" t="s">
        <v>28</v>
      </c>
      <c r="F232" s="8"/>
      <c r="G232" s="8"/>
      <c r="H232" s="8"/>
      <c r="I232" s="3" t="s">
        <v>215</v>
      </c>
      <c r="J232" s="4" t="str">
        <f ca="1"/>
        <v>INR</v>
      </c>
      <c r="K232" s="3" t="str">
        <f ca="1"/>
        <v>,(40093, 'INR') -- 大运棋牌api-唯一钱包Yandu08-一级代理：2806272</v>
      </c>
    </row>
    <row r="233" spans="1:11" ht="12.75">
      <c r="A233" s="3">
        <v>40094</v>
      </c>
      <c r="B233" s="3" t="s">
        <v>555</v>
      </c>
      <c r="C233" s="3" t="s">
        <v>556</v>
      </c>
      <c r="D233" s="3">
        <v>1</v>
      </c>
      <c r="E233" s="3" t="s">
        <v>28</v>
      </c>
      <c r="F233" s="8"/>
      <c r="G233" s="8"/>
      <c r="H233" s="8"/>
      <c r="I233" s="3" t="s">
        <v>557</v>
      </c>
      <c r="J233" s="4" t="str">
        <f ca="1"/>
        <v>TWD</v>
      </c>
      <c r="K233" s="3" t="str">
        <f ca="1"/>
        <v>,(40094, 'TWD') -- 大运棋牌api-唯一钱包Yandu08-一级代理：2806278</v>
      </c>
    </row>
    <row r="234" spans="1:11" ht="12.75">
      <c r="A234" s="3">
        <v>40095</v>
      </c>
      <c r="B234" s="3" t="s">
        <v>558</v>
      </c>
      <c r="C234" s="3" t="s">
        <v>559</v>
      </c>
      <c r="D234" s="3">
        <v>1</v>
      </c>
      <c r="E234" s="3" t="s">
        <v>28</v>
      </c>
      <c r="F234" s="8"/>
      <c r="G234" s="8"/>
      <c r="H234" s="8"/>
      <c r="I234" s="3" t="s">
        <v>151</v>
      </c>
      <c r="J234" s="4" t="str">
        <f ca="1"/>
        <v>USDT</v>
      </c>
      <c r="K234" s="3" t="str">
        <f ca="1"/>
        <v>,(40095, 'USDT') -- 大运棋牌api-唯一钱包Yandu08-一级代理：2806282</v>
      </c>
    </row>
    <row r="235" spans="1:11" ht="12.75">
      <c r="A235" s="3">
        <v>40096</v>
      </c>
      <c r="B235" s="3" t="s">
        <v>560</v>
      </c>
      <c r="C235" s="3" t="s">
        <v>561</v>
      </c>
      <c r="D235" s="3">
        <v>1</v>
      </c>
      <c r="E235" s="3" t="s">
        <v>28</v>
      </c>
      <c r="F235" s="8"/>
      <c r="G235" s="8"/>
      <c r="H235" s="8"/>
      <c r="I235" s="3" t="s">
        <v>133</v>
      </c>
      <c r="J235" s="4" t="str">
        <f ca="1"/>
        <v>BRL</v>
      </c>
      <c r="K235" s="3" t="str">
        <f ca="1"/>
        <v>,(40096, 'BRL') -- 大运棋牌api-唯一钱包Yandu08-一级代理：2806292</v>
      </c>
    </row>
    <row r="236" spans="1:11" ht="12.75">
      <c r="A236" s="3">
        <v>40097</v>
      </c>
      <c r="B236" s="3" t="s">
        <v>562</v>
      </c>
      <c r="C236" s="3" t="s">
        <v>563</v>
      </c>
      <c r="D236" s="3">
        <v>1</v>
      </c>
      <c r="E236" s="3" t="s">
        <v>28</v>
      </c>
      <c r="F236" s="8"/>
      <c r="G236" s="8"/>
      <c r="H236" s="8"/>
      <c r="I236" s="3" t="s">
        <v>564</v>
      </c>
      <c r="J236" s="4" t="str">
        <f ca="1"/>
        <v>NOK</v>
      </c>
      <c r="K236" s="3" t="str">
        <f ca="1"/>
        <v>,(40097, 'NOK') -- 大运棋牌api-唯一钱包Yandu08-一级代理：2806297</v>
      </c>
    </row>
    <row r="237" spans="1:11" ht="12.75">
      <c r="A237" s="3">
        <v>40098</v>
      </c>
      <c r="B237" s="3" t="s">
        <v>565</v>
      </c>
      <c r="C237" s="3" t="s">
        <v>566</v>
      </c>
      <c r="D237" s="3">
        <v>1</v>
      </c>
      <c r="E237" s="3" t="s">
        <v>28</v>
      </c>
      <c r="F237" s="8"/>
      <c r="G237" s="8"/>
      <c r="H237" s="8"/>
      <c r="I237" s="3" t="s">
        <v>367</v>
      </c>
      <c r="J237" s="4" t="str">
        <f ca="1"/>
        <v>IDRK</v>
      </c>
      <c r="K237" s="3" t="str">
        <f ca="1"/>
        <v>,(40098, 'IDRK') -- 大运棋牌api-唯一钱包Yandu08-一级代理：2806308</v>
      </c>
    </row>
    <row r="238" spans="1:11" ht="12.75">
      <c r="A238" s="3">
        <v>40099</v>
      </c>
      <c r="B238" s="3" t="s">
        <v>567</v>
      </c>
      <c r="C238" s="3" t="s">
        <v>568</v>
      </c>
      <c r="D238" s="3">
        <v>1</v>
      </c>
      <c r="E238" s="3" t="s">
        <v>28</v>
      </c>
      <c r="F238" s="8"/>
      <c r="G238" s="8"/>
      <c r="H238" s="8"/>
      <c r="I238" s="3" t="s">
        <v>64</v>
      </c>
      <c r="J238" s="4" t="str">
        <f ca="1"/>
        <v>PHP</v>
      </c>
      <c r="K238" s="3" t="str">
        <f ca="1"/>
        <v>,(40099, 'PHP') -- 大运棋牌api-唯一钱包Yandu08-一级代理：2806302</v>
      </c>
    </row>
    <row r="239" spans="1:11" ht="12.75">
      <c r="A239" s="3">
        <v>40100</v>
      </c>
      <c r="B239" s="3" t="s">
        <v>569</v>
      </c>
      <c r="C239" s="3" t="s">
        <v>570</v>
      </c>
      <c r="D239" s="3">
        <v>1</v>
      </c>
      <c r="E239" s="3" t="s">
        <v>28</v>
      </c>
      <c r="F239" s="8"/>
      <c r="G239" s="8"/>
      <c r="H239" s="8"/>
      <c r="I239" s="3" t="s">
        <v>244</v>
      </c>
      <c r="J239" s="4" t="str">
        <f ca="1"/>
        <v>NGN</v>
      </c>
      <c r="K239" s="3" t="str">
        <f ca="1"/>
        <v>,(40100, 'NGN') -- 大运棋牌api-唯一钱包Yandu08-一级代理：2806304</v>
      </c>
    </row>
    <row r="240" spans="1:11" ht="12.75">
      <c r="A240" s="3">
        <v>40101</v>
      </c>
      <c r="B240" s="3" t="s">
        <v>571</v>
      </c>
      <c r="C240" s="3" t="s">
        <v>572</v>
      </c>
      <c r="D240" s="3">
        <v>1</v>
      </c>
      <c r="E240" s="3" t="s">
        <v>28</v>
      </c>
      <c r="F240" s="8"/>
      <c r="G240" s="8"/>
      <c r="H240" s="8"/>
      <c r="I240" s="3" t="s">
        <v>356</v>
      </c>
      <c r="J240" s="4" t="str">
        <f ca="1"/>
        <v>VNDK</v>
      </c>
      <c r="K240" s="3" t="str">
        <f ca="1"/>
        <v>,(40101, 'VNDK') -- 大运棋牌api-唯一钱包Yandu08-一级代理：2806310</v>
      </c>
    </row>
    <row r="241" spans="1:11" ht="12.75">
      <c r="A241" s="3">
        <v>40103</v>
      </c>
      <c r="B241" s="3" t="s">
        <v>573</v>
      </c>
      <c r="C241" s="3" t="s">
        <v>574</v>
      </c>
      <c r="D241" s="3">
        <v>1</v>
      </c>
      <c r="E241" s="3" t="s">
        <v>28</v>
      </c>
      <c r="F241" s="8"/>
      <c r="G241" s="8"/>
      <c r="H241" s="8"/>
      <c r="I241" s="3" t="s">
        <v>293</v>
      </c>
      <c r="J241" s="4" t="str">
        <f ca="1"/>
        <v>AUD</v>
      </c>
      <c r="K241" s="3" t="str">
        <f ca="1"/>
        <v>,(40103, 'AUD') -- 大运棋牌api-转账钱包CT08-一级代理：2847470</v>
      </c>
    </row>
    <row r="242" spans="1:11" ht="12" customHeight="1">
      <c r="A242" s="3">
        <v>40104</v>
      </c>
      <c r="B242" s="3" t="s">
        <v>575</v>
      </c>
      <c r="C242" s="3" t="s">
        <v>576</v>
      </c>
      <c r="D242" s="3">
        <v>1</v>
      </c>
      <c r="E242" s="3" t="s">
        <v>28</v>
      </c>
      <c r="F242" s="8" t="s">
        <v>52</v>
      </c>
      <c r="G242" s="8"/>
      <c r="H242" s="8"/>
      <c r="I242" s="3" t="s">
        <v>71</v>
      </c>
      <c r="J242" s="4" t="str">
        <f ca="1"/>
        <v>MYR</v>
      </c>
      <c r="K242" s="3" t="str">
        <f ca="1"/>
        <v>,(40104, 'MYR') -- 大运棋牌api-转账钱包CT08-一级代理：2849542</v>
      </c>
    </row>
    <row r="243" spans="1:11" ht="12.75">
      <c r="A243" s="3">
        <v>40105</v>
      </c>
      <c r="B243" s="3" t="s">
        <v>577</v>
      </c>
      <c r="C243" s="3" t="s">
        <v>578</v>
      </c>
      <c r="D243" s="3">
        <v>1</v>
      </c>
      <c r="E243" s="3" t="s">
        <v>28</v>
      </c>
      <c r="F243" s="8" t="s">
        <v>52</v>
      </c>
      <c r="G243" s="8"/>
      <c r="H243" s="8"/>
      <c r="I243" s="3" t="s">
        <v>71</v>
      </c>
      <c r="J243" s="4" t="str">
        <f ca="1"/>
        <v>MYR</v>
      </c>
      <c r="K243" s="3" t="str">
        <f ca="1"/>
        <v>,(40105, 'MYR') -- 大运棋牌api-转账钱包Titan88-一级代理：2850523</v>
      </c>
    </row>
    <row r="244" spans="1:11" ht="12.75">
      <c r="A244" s="3">
        <v>40106</v>
      </c>
      <c r="B244" s="3" t="s">
        <v>579</v>
      </c>
      <c r="C244" s="3" t="s">
        <v>580</v>
      </c>
      <c r="D244" s="3">
        <v>1</v>
      </c>
      <c r="E244" s="3" t="s">
        <v>28</v>
      </c>
      <c r="F244" s="8" t="s">
        <v>52</v>
      </c>
      <c r="G244" s="8"/>
      <c r="H244" s="8"/>
      <c r="I244" s="3" t="s">
        <v>88</v>
      </c>
      <c r="J244" s="4" t="str">
        <f ca="1"/>
        <v>THB</v>
      </c>
      <c r="K244" s="3" t="str">
        <f ca="1"/>
        <v>,(40106, 'THB') -- 大运棋牌api-转账钱包WM88-一级代理：2904060</v>
      </c>
    </row>
    <row r="245" spans="1:11" ht="12.75">
      <c r="A245" s="3">
        <v>40107</v>
      </c>
      <c r="B245" s="3" t="s">
        <v>581</v>
      </c>
      <c r="C245" s="3" t="s">
        <v>582</v>
      </c>
      <c r="D245" s="3">
        <v>1</v>
      </c>
      <c r="E245" s="3" t="s">
        <v>28</v>
      </c>
      <c r="F245" s="8" t="s">
        <v>52</v>
      </c>
      <c r="G245" s="8"/>
      <c r="H245" s="8"/>
      <c r="I245" s="3"/>
      <c r="J245" s="4" t="str">
        <f ca="1"/>
        <v/>
      </c>
      <c r="K245" s="3" t="str">
        <f ca="1"/>
        <v>,(40107, '') -- 大运棋牌api-转账钱包WM88-一级代理：2904091</v>
      </c>
    </row>
    <row r="246" spans="1:11" ht="12.75">
      <c r="A246" s="3">
        <v>40108</v>
      </c>
      <c r="B246" s="3" t="s">
        <v>583</v>
      </c>
      <c r="C246" s="3" t="s">
        <v>584</v>
      </c>
      <c r="D246" s="3">
        <v>1</v>
      </c>
      <c r="E246" s="3" t="s">
        <v>28</v>
      </c>
      <c r="F246" s="8" t="s">
        <v>52</v>
      </c>
      <c r="G246" s="8"/>
      <c r="H246" s="8"/>
      <c r="I246" s="3"/>
      <c r="J246" s="4" t="str">
        <f ca="1"/>
        <v/>
      </c>
      <c r="K246" s="3" t="str">
        <f ca="1"/>
        <v>,(40108, '') -- 大运棋牌api-转账钱包WM99-一级代理：2904126</v>
      </c>
    </row>
    <row r="247" spans="1:11" ht="12.75">
      <c r="A247" s="3">
        <v>40109</v>
      </c>
      <c r="B247" s="3" t="s">
        <v>585</v>
      </c>
      <c r="C247" s="3" t="s">
        <v>586</v>
      </c>
      <c r="D247" s="3">
        <v>1</v>
      </c>
      <c r="E247" s="3" t="s">
        <v>28</v>
      </c>
      <c r="F247" s="8" t="s">
        <v>52</v>
      </c>
      <c r="G247" s="8"/>
      <c r="H247" s="8"/>
      <c r="I247" s="3"/>
      <c r="J247" s="4" t="str">
        <f ca="1"/>
        <v/>
      </c>
      <c r="K247" s="3" t="str">
        <f ca="1"/>
        <v>,(40109, '') -- 大运棋牌api-转账钱包WM99-一级代理：2904141</v>
      </c>
    </row>
    <row r="248" spans="1:11" ht="12.75">
      <c r="A248" s="3">
        <v>40110</v>
      </c>
      <c r="B248" s="3" t="s">
        <v>587</v>
      </c>
      <c r="C248" s="3" t="s">
        <v>588</v>
      </c>
      <c r="D248" s="3">
        <v>1</v>
      </c>
      <c r="E248" s="3" t="s">
        <v>28</v>
      </c>
      <c r="F248" s="8" t="s">
        <v>52</v>
      </c>
      <c r="G248" s="8"/>
      <c r="H248" s="8"/>
      <c r="I248" s="3"/>
      <c r="J248" s="4" t="str">
        <f ca="1"/>
        <v/>
      </c>
      <c r="K248" s="3" t="str">
        <f ca="1"/>
        <v>,(40110, '') -- 大运棋牌api-转账钱包JK8-一级代理：2909351</v>
      </c>
    </row>
    <row r="249" spans="1:11" ht="12.75">
      <c r="A249" s="3">
        <v>40111</v>
      </c>
      <c r="B249" s="3" t="s">
        <v>589</v>
      </c>
      <c r="C249" s="3" t="s">
        <v>590</v>
      </c>
      <c r="D249" s="3">
        <v>1</v>
      </c>
      <c r="E249" s="3" t="s">
        <v>28</v>
      </c>
      <c r="F249" s="8" t="s">
        <v>52</v>
      </c>
      <c r="G249" s="8"/>
      <c r="H249" s="8"/>
      <c r="I249" s="3"/>
      <c r="J249" s="4" t="str">
        <f ca="1"/>
        <v/>
      </c>
      <c r="K249" s="3" t="str">
        <f ca="1"/>
        <v>,(40111, '') -- 大运棋牌api-唯一钱包dydzdyce1-一级代理：2470843</v>
      </c>
    </row>
    <row r="250" spans="1:11" ht="12.75">
      <c r="A250" s="3">
        <v>40112</v>
      </c>
      <c r="B250" s="3" t="s">
        <v>591</v>
      </c>
      <c r="C250" s="3" t="s">
        <v>592</v>
      </c>
      <c r="D250" s="3">
        <v>1</v>
      </c>
      <c r="E250" s="3" t="s">
        <v>28</v>
      </c>
      <c r="F250" s="8" t="s">
        <v>52</v>
      </c>
      <c r="G250" s="8"/>
      <c r="H250" s="8"/>
      <c r="I250" s="3"/>
      <c r="J250" s="4" t="str">
        <f ca="1"/>
        <v/>
      </c>
      <c r="K250" s="3" t="str">
        <f ca="1"/>
        <v>,(40112, '') -- 大运棋牌api-唯一钱包dydzdyce1-一级代理：2513662</v>
      </c>
    </row>
    <row r="251" spans="1:11" ht="12.75">
      <c r="A251" s="82">
        <v>40113</v>
      </c>
      <c r="B251" s="82" t="s">
        <v>593</v>
      </c>
      <c r="C251" s="82" t="s">
        <v>594</v>
      </c>
      <c r="D251" s="3">
        <v>1</v>
      </c>
      <c r="E251" s="3" t="s">
        <v>28</v>
      </c>
      <c r="F251" s="8" t="s">
        <v>52</v>
      </c>
      <c r="G251" s="8"/>
      <c r="H251" s="8"/>
      <c r="I251" s="3"/>
      <c r="J251" s="4" t="str">
        <f ca="1"/>
        <v/>
      </c>
      <c r="K251" s="3" t="str">
        <f ca="1"/>
        <v>,(40113, '') -- 大运棋牌api-唯一钱包OKhash06-一级代理：2921363</v>
      </c>
    </row>
    <row r="252" spans="1:11" ht="12.75">
      <c r="A252" s="3">
        <v>40114</v>
      </c>
      <c r="B252" s="3" t="s">
        <v>595</v>
      </c>
      <c r="C252" s="3" t="s">
        <v>596</v>
      </c>
      <c r="D252" s="3">
        <v>1</v>
      </c>
      <c r="E252" s="3" t="s">
        <v>28</v>
      </c>
      <c r="F252" s="8" t="s">
        <v>52</v>
      </c>
      <c r="G252" s="8"/>
      <c r="H252" s="8"/>
      <c r="I252" s="3"/>
      <c r="J252" s="4" t="str">
        <f ca="1"/>
        <v/>
      </c>
      <c r="K252" s="3" t="str">
        <f ca="1"/>
        <v>,(40114, '') -- 大运棋牌api-唯一钱包dydzdyce1-一级代理：2513685</v>
      </c>
    </row>
    <row r="253" spans="1:11" ht="12.75">
      <c r="A253" s="3">
        <v>40115</v>
      </c>
      <c r="B253" s="3" t="s">
        <v>597</v>
      </c>
      <c r="C253" s="3" t="s">
        <v>598</v>
      </c>
      <c r="D253" s="3">
        <v>1</v>
      </c>
      <c r="E253" s="3" t="s">
        <v>28</v>
      </c>
      <c r="F253" s="8" t="s">
        <v>52</v>
      </c>
      <c r="G253" s="8"/>
      <c r="H253" s="8"/>
      <c r="I253" s="3"/>
      <c r="J253" s="4" t="str">
        <f ca="1"/>
        <v/>
      </c>
      <c r="K253" s="3" t="str">
        <f ca="1"/>
        <v>,(40115, '') -- 大运棋牌api-唯一钱包dydzdyce1-一级代理：2513676</v>
      </c>
    </row>
    <row r="254" spans="1:11" ht="12.75">
      <c r="A254" s="3">
        <v>40116</v>
      </c>
      <c r="B254" s="3" t="s">
        <v>599</v>
      </c>
      <c r="C254" s="3" t="s">
        <v>600</v>
      </c>
      <c r="D254" s="3">
        <v>1</v>
      </c>
      <c r="E254" s="3" t="s">
        <v>28</v>
      </c>
      <c r="F254" s="8" t="s">
        <v>52</v>
      </c>
      <c r="G254" s="8"/>
      <c r="H254" s="8"/>
      <c r="I254" s="3"/>
      <c r="J254" s="4" t="str">
        <f ca="1"/>
        <v/>
      </c>
      <c r="K254" s="3" t="str">
        <f ca="1"/>
        <v>,(40116, '') -- 大运棋牌api-唯一钱包dydzdyce1-一级代理：2513673</v>
      </c>
    </row>
    <row r="255" spans="1:11" ht="12.75">
      <c r="A255" s="3">
        <v>40117</v>
      </c>
      <c r="B255" s="3" t="s">
        <v>601</v>
      </c>
      <c r="C255" s="3" t="s">
        <v>602</v>
      </c>
      <c r="D255" s="3">
        <v>1</v>
      </c>
      <c r="E255" s="3" t="s">
        <v>28</v>
      </c>
      <c r="F255" s="8" t="s">
        <v>52</v>
      </c>
      <c r="G255" s="8"/>
      <c r="H255" s="8"/>
      <c r="I255" s="3"/>
      <c r="J255" s="4" t="str">
        <f ca="1"/>
        <v/>
      </c>
      <c r="K255" s="3" t="str">
        <f ca="1"/>
        <v>,(40117, '') -- 大运棋牌api-唯一钱包dydzdyce1-一级代理：2513624</v>
      </c>
    </row>
    <row r="256" spans="1:11" ht="12.75">
      <c r="A256" s="3">
        <v>40118</v>
      </c>
      <c r="B256" s="3" t="s">
        <v>603</v>
      </c>
      <c r="C256" s="3" t="s">
        <v>604</v>
      </c>
      <c r="D256" s="3">
        <v>1</v>
      </c>
      <c r="E256" s="3" t="s">
        <v>28</v>
      </c>
      <c r="F256" s="8" t="s">
        <v>52</v>
      </c>
      <c r="G256" s="8"/>
      <c r="H256" s="8"/>
      <c r="I256" s="3"/>
      <c r="J256" s="4" t="str">
        <f ca="1"/>
        <v/>
      </c>
      <c r="K256" s="3" t="str">
        <f ca="1"/>
        <v>,(40118, '') -- 大运棋牌api-唯一钱包dydzdyce1-一级代理：2513665</v>
      </c>
    </row>
    <row r="257" spans="1:11" ht="12.75">
      <c r="A257" s="3">
        <v>40119</v>
      </c>
      <c r="B257" s="3" t="s">
        <v>605</v>
      </c>
      <c r="C257" s="3" t="s">
        <v>606</v>
      </c>
      <c r="D257" s="3">
        <v>1</v>
      </c>
      <c r="E257" s="3" t="s">
        <v>28</v>
      </c>
      <c r="F257" s="8" t="s">
        <v>52</v>
      </c>
      <c r="G257" s="8"/>
      <c r="H257" s="8"/>
      <c r="I257" s="3"/>
      <c r="J257" s="4" t="str">
        <f ca="1"/>
        <v/>
      </c>
      <c r="K257" s="3" t="str">
        <f ca="1"/>
        <v>,(40119, '') -- 大运棋牌api-唯一钱包dydzdyce1-一级代理：2513634</v>
      </c>
    </row>
    <row r="258" spans="1:11" ht="12.75">
      <c r="A258" s="3">
        <v>40120</v>
      </c>
      <c r="B258" s="3" t="s">
        <v>607</v>
      </c>
      <c r="C258" s="3" t="s">
        <v>608</v>
      </c>
      <c r="D258" s="3">
        <v>1</v>
      </c>
      <c r="E258" s="3" t="s">
        <v>28</v>
      </c>
      <c r="F258" s="8" t="s">
        <v>52</v>
      </c>
      <c r="G258" s="8"/>
      <c r="H258" s="8"/>
      <c r="I258" s="3"/>
      <c r="J258" s="4" t="str">
        <f ca="1"/>
        <v/>
      </c>
      <c r="K258" s="3" t="str">
        <f ca="1"/>
        <v>,(40120, '') -- 大运棋牌api-唯一钱包dydzdyce1-一级代理：2513641</v>
      </c>
    </row>
    <row r="259" spans="1:11" ht="12.75">
      <c r="A259" s="82">
        <v>40121</v>
      </c>
      <c r="B259" s="82" t="s">
        <v>945</v>
      </c>
      <c r="C259" s="83" t="s">
        <v>946</v>
      </c>
      <c r="D259" s="3"/>
      <c r="E259" s="3"/>
      <c r="F259" s="8"/>
      <c r="G259" s="8"/>
      <c r="H259" s="8"/>
      <c r="I259" s="3"/>
      <c r="J259" s="4" t="str">
        <f ca="1"/>
        <v/>
      </c>
      <c r="K259" s="3" t="str">
        <f ca="1"/>
        <v>,(40121, '') -- 大运棋牌api-单一钱包OKhash06-一级代理：2932544</v>
      </c>
    </row>
    <row r="260" spans="1:11" ht="14.25">
      <c r="A260" s="3">
        <v>40230</v>
      </c>
      <c r="B260" s="3" t="s">
        <v>950</v>
      </c>
      <c r="C260" s="57" t="s">
        <v>951</v>
      </c>
      <c r="D260" s="3"/>
      <c r="E260" s="3"/>
      <c r="F260" s="8"/>
      <c r="G260" s="8"/>
      <c r="H260" s="8"/>
      <c r="I260" s="3"/>
      <c r="J260" s="4" t="str">
        <f ca="1"/>
        <v/>
      </c>
      <c r="K260" s="3" t="str">
        <f ca="1"/>
        <v>,(40230, '') -- 大运棋牌api-唯一钱包WINGMING-一级代理：4420913</v>
      </c>
    </row>
    <row r="261" spans="1:11" ht="12.75">
      <c r="A261" s="3"/>
      <c r="B261" s="3"/>
      <c r="C261" s="3"/>
      <c r="D261" s="3"/>
      <c r="E261" s="3"/>
      <c r="F261" s="8"/>
      <c r="G261" s="8"/>
      <c r="H261" s="8"/>
      <c r="I261" s="3"/>
      <c r="J261" s="4" t="str">
        <f ca="1"/>
        <v/>
      </c>
      <c r="K261" s="3" t="str">
        <f ca="1"/>
        <v/>
      </c>
    </row>
    <row r="262" spans="1:11" ht="12.75">
      <c r="A262" s="3"/>
      <c r="B262" s="3"/>
      <c r="C262" s="3"/>
      <c r="D262" s="3"/>
      <c r="E262" s="3"/>
      <c r="F262" s="8"/>
      <c r="G262" s="8"/>
      <c r="H262" s="8"/>
      <c r="I262" s="3"/>
      <c r="J262" s="4" t="str">
        <f ca="1"/>
        <v/>
      </c>
      <c r="K262" s="3" t="str">
        <f ca="1"/>
        <v/>
      </c>
    </row>
    <row r="263" spans="1:11" ht="12.75">
      <c r="A263" s="3"/>
      <c r="B263" s="3"/>
      <c r="C263" s="3"/>
      <c r="D263" s="3"/>
      <c r="E263" s="3"/>
      <c r="F263" s="8"/>
      <c r="G263" s="8"/>
      <c r="H263" s="8"/>
      <c r="I263" s="3"/>
      <c r="J263" s="4" t="str">
        <f ca="1"/>
        <v/>
      </c>
      <c r="K263" s="3" t="str">
        <f ca="1"/>
        <v/>
      </c>
    </row>
    <row r="264" spans="1:11" ht="12.75">
      <c r="A264" s="3"/>
      <c r="B264" s="3"/>
      <c r="C264" s="3"/>
      <c r="D264" s="3"/>
      <c r="E264" s="3"/>
      <c r="F264" s="8"/>
      <c r="G264" s="8"/>
      <c r="H264" s="8"/>
      <c r="I264" s="3"/>
      <c r="J264" s="4" t="str">
        <f ca="1"/>
        <v/>
      </c>
      <c r="K264" s="3" t="str">
        <f ca="1"/>
        <v/>
      </c>
    </row>
    <row r="265" spans="1:11" ht="12.75">
      <c r="A265" s="3"/>
      <c r="B265" s="3"/>
      <c r="C265" s="3"/>
      <c r="D265" s="3"/>
      <c r="E265" s="3"/>
      <c r="F265" s="8"/>
      <c r="G265" s="8"/>
      <c r="H265" s="8"/>
      <c r="I265" s="3"/>
      <c r="J265" s="4" t="str">
        <f ca="1"/>
        <v/>
      </c>
      <c r="K265" s="3" t="str">
        <f ca="1"/>
        <v/>
      </c>
    </row>
    <row r="266" spans="1:11" ht="12.75">
      <c r="A266" s="3"/>
      <c r="B266" s="3"/>
      <c r="C266" s="3"/>
      <c r="D266" s="3"/>
      <c r="E266" s="3"/>
      <c r="F266" s="8"/>
      <c r="G266" s="8"/>
      <c r="H266" s="8"/>
      <c r="I266" s="3"/>
      <c r="J266" s="4" t="str">
        <f ca="1"/>
        <v/>
      </c>
      <c r="K266" s="3" t="str">
        <f ca="1"/>
        <v/>
      </c>
    </row>
    <row r="267" spans="1:11" ht="12.75">
      <c r="A267" s="3"/>
      <c r="B267" s="3"/>
      <c r="C267" s="3"/>
      <c r="D267" s="3"/>
      <c r="E267" s="3"/>
      <c r="F267" s="8"/>
      <c r="G267" s="8"/>
      <c r="H267" s="8"/>
      <c r="I267" s="3"/>
      <c r="J267" s="4" t="str">
        <f ca="1"/>
        <v/>
      </c>
      <c r="K267" s="3" t="str">
        <f ca="1"/>
        <v/>
      </c>
    </row>
    <row r="268" spans="1:11" ht="12.75">
      <c r="A268" s="3"/>
      <c r="B268" s="3"/>
      <c r="C268" s="3"/>
      <c r="D268" s="3"/>
      <c r="E268" s="3"/>
      <c r="F268" s="8"/>
      <c r="G268" s="8"/>
      <c r="H268" s="8"/>
      <c r="I268" s="3"/>
      <c r="J268" s="4" t="str">
        <f ca="1"/>
        <v/>
      </c>
      <c r="K268" s="3" t="str">
        <f ca="1"/>
        <v/>
      </c>
    </row>
    <row r="269" spans="1:11" ht="12.75">
      <c r="A269" s="3"/>
      <c r="B269" s="3"/>
      <c r="C269" s="3"/>
      <c r="D269" s="3"/>
      <c r="E269" s="3"/>
      <c r="F269" s="8"/>
      <c r="G269" s="8"/>
      <c r="H269" s="8"/>
      <c r="I269" s="3"/>
      <c r="J269" s="4" t="str">
        <f ca="1"/>
        <v/>
      </c>
      <c r="K269" s="3" t="str">
        <f ca="1"/>
        <v/>
      </c>
    </row>
    <row r="270" spans="1:11" ht="12.75">
      <c r="A270" s="3"/>
      <c r="B270" s="3"/>
      <c r="C270" s="3"/>
      <c r="D270" s="3"/>
      <c r="E270" s="3"/>
      <c r="F270" s="8"/>
      <c r="G270" s="8"/>
      <c r="H270" s="8"/>
      <c r="I270" s="3"/>
      <c r="J270" s="4" t="str">
        <f ca="1"/>
        <v/>
      </c>
      <c r="K270" s="3" t="str">
        <f ca="1"/>
        <v/>
      </c>
    </row>
    <row r="271" spans="1:11" ht="12.75">
      <c r="A271" s="3"/>
      <c r="B271" s="3"/>
      <c r="C271" s="3"/>
      <c r="D271" s="3"/>
      <c r="E271" s="3"/>
      <c r="F271" s="8"/>
      <c r="G271" s="8"/>
      <c r="H271" s="8"/>
      <c r="I271" s="3"/>
      <c r="J271" s="4" t="str">
        <f ca="1"/>
        <v/>
      </c>
      <c r="K271" s="3" t="str">
        <f ca="1"/>
        <v/>
      </c>
    </row>
    <row r="272" spans="1:11" ht="12.75">
      <c r="A272" s="3"/>
      <c r="B272" s="3"/>
      <c r="C272" s="3"/>
      <c r="D272" s="3"/>
      <c r="E272" s="3"/>
      <c r="F272" s="8"/>
      <c r="G272" s="8"/>
      <c r="H272" s="8"/>
      <c r="I272" s="3"/>
      <c r="J272" s="4" t="str">
        <f ca="1"/>
        <v/>
      </c>
      <c r="K272" s="3" t="str">
        <f ca="1"/>
        <v/>
      </c>
    </row>
    <row r="273" spans="1:11" ht="12.75">
      <c r="A273" s="3"/>
      <c r="B273" s="3"/>
      <c r="C273" s="3"/>
      <c r="D273" s="3"/>
      <c r="E273" s="3"/>
      <c r="F273" s="8"/>
      <c r="G273" s="8"/>
      <c r="H273" s="8"/>
      <c r="I273" s="3"/>
      <c r="J273" s="4" t="str">
        <f ca="1"/>
        <v/>
      </c>
      <c r="K273" s="3" t="str">
        <f ca="1"/>
        <v/>
      </c>
    </row>
    <row r="274" spans="1:11" ht="12.75">
      <c r="A274" s="3"/>
      <c r="B274" s="3"/>
      <c r="C274" s="3"/>
      <c r="D274" s="3"/>
      <c r="E274" s="3"/>
      <c r="F274" s="8"/>
      <c r="G274" s="8"/>
      <c r="H274" s="8"/>
      <c r="I274" s="3"/>
      <c r="J274" s="4" t="str">
        <f ca="1"/>
        <v/>
      </c>
      <c r="K274" s="3" t="str">
        <f ca="1"/>
        <v/>
      </c>
    </row>
    <row r="275" spans="1:11" ht="12.75">
      <c r="A275" s="3"/>
      <c r="B275" s="3"/>
      <c r="C275" s="3"/>
      <c r="D275" s="3"/>
      <c r="E275" s="3"/>
      <c r="F275" s="8"/>
      <c r="G275" s="8"/>
      <c r="H275" s="8"/>
      <c r="I275" s="3"/>
      <c r="J275" s="4" t="str">
        <f ca="1"/>
        <v/>
      </c>
      <c r="K275" s="3" t="str">
        <f ca="1"/>
        <v/>
      </c>
    </row>
    <row r="276" spans="1:11" ht="12.75">
      <c r="A276" s="3"/>
      <c r="B276" s="3"/>
      <c r="C276" s="3"/>
      <c r="D276" s="3"/>
      <c r="E276" s="3"/>
      <c r="F276" s="8"/>
      <c r="G276" s="8"/>
      <c r="H276" s="8"/>
      <c r="I276" s="3"/>
      <c r="J276" s="4" t="str">
        <f ca="1"/>
        <v/>
      </c>
      <c r="K276" s="3" t="str">
        <f ca="1"/>
        <v/>
      </c>
    </row>
    <row r="277" spans="1:11" ht="12.75">
      <c r="A277" s="3"/>
      <c r="B277" s="3"/>
      <c r="C277" s="3"/>
      <c r="D277" s="3"/>
      <c r="E277" s="3"/>
      <c r="F277" s="8"/>
      <c r="G277" s="8"/>
      <c r="H277" s="8"/>
      <c r="I277" s="3"/>
      <c r="J277" s="4" t="str">
        <f ca="1"/>
        <v/>
      </c>
      <c r="K277" s="3" t="str">
        <f ca="1"/>
        <v/>
      </c>
    </row>
    <row r="278" spans="1:11" ht="12.75">
      <c r="A278" s="3"/>
      <c r="B278" s="3"/>
      <c r="C278" s="3"/>
      <c r="D278" s="3"/>
      <c r="E278" s="3"/>
      <c r="F278" s="8"/>
      <c r="G278" s="8"/>
      <c r="H278" s="8"/>
      <c r="I278" s="3"/>
      <c r="J278" s="4" t="str">
        <f ca="1"/>
        <v/>
      </c>
      <c r="K278" s="3" t="str">
        <f ca="1"/>
        <v/>
      </c>
    </row>
    <row r="279" spans="1:11" ht="12.75">
      <c r="A279" s="3"/>
      <c r="B279" s="3"/>
      <c r="C279" s="3"/>
      <c r="D279" s="3"/>
      <c r="E279" s="3"/>
      <c r="F279" s="8"/>
      <c r="G279" s="8"/>
      <c r="H279" s="8"/>
      <c r="I279" s="3"/>
      <c r="J279" s="4" t="str">
        <f ca="1"/>
        <v/>
      </c>
      <c r="K279" s="3" t="str">
        <f ca="1"/>
        <v/>
      </c>
    </row>
    <row r="280" spans="1:11" ht="12.75">
      <c r="A280" s="3"/>
      <c r="B280" s="3"/>
      <c r="C280" s="3"/>
      <c r="D280" s="3"/>
      <c r="E280" s="3"/>
      <c r="F280" s="8"/>
      <c r="G280" s="8"/>
      <c r="H280" s="8"/>
      <c r="I280" s="3"/>
      <c r="J280" s="4" t="str">
        <f ca="1"/>
        <v/>
      </c>
      <c r="K280" s="3" t="str">
        <f ca="1"/>
        <v/>
      </c>
    </row>
    <row r="281" spans="1:11" ht="12.75">
      <c r="A281" s="3"/>
      <c r="B281" s="3"/>
      <c r="C281" s="3"/>
      <c r="D281" s="3"/>
      <c r="E281" s="3"/>
      <c r="F281" s="8"/>
      <c r="G281" s="8"/>
      <c r="H281" s="8"/>
      <c r="I281" s="3"/>
      <c r="J281" s="4" t="str">
        <f ca="1"/>
        <v/>
      </c>
      <c r="K281" s="3" t="str">
        <f ca="1"/>
        <v/>
      </c>
    </row>
    <row r="282" spans="1:11" ht="12.75">
      <c r="A282" s="3"/>
      <c r="B282" s="3"/>
      <c r="C282" s="3"/>
      <c r="D282" s="3"/>
      <c r="E282" s="3"/>
      <c r="F282" s="8"/>
      <c r="G282" s="8"/>
      <c r="H282" s="8"/>
      <c r="I282" s="3"/>
      <c r="J282" s="4" t="str">
        <f ca="1"/>
        <v/>
      </c>
      <c r="K282" s="3" t="str">
        <f ca="1"/>
        <v/>
      </c>
    </row>
    <row r="283" spans="1:11" ht="12.75">
      <c r="A283" s="3"/>
      <c r="B283" s="3"/>
      <c r="C283" s="3"/>
      <c r="D283" s="3"/>
      <c r="E283" s="3"/>
      <c r="F283" s="8"/>
      <c r="G283" s="8"/>
      <c r="H283" s="8"/>
      <c r="I283" s="3"/>
      <c r="J283" s="4" t="str">
        <f ca="1"/>
        <v/>
      </c>
      <c r="K283" s="3" t="str">
        <f ca="1"/>
        <v/>
      </c>
    </row>
    <row r="284" spans="1:11" ht="12.75">
      <c r="A284" s="3"/>
      <c r="B284" s="3"/>
      <c r="C284" s="3"/>
      <c r="D284" s="3"/>
      <c r="E284" s="3"/>
      <c r="F284" s="8"/>
      <c r="G284" s="8"/>
      <c r="H284" s="8"/>
      <c r="I284" s="3"/>
      <c r="J284" s="4" t="str">
        <f ca="1"/>
        <v/>
      </c>
      <c r="K284" s="3" t="str">
        <f ca="1"/>
        <v/>
      </c>
    </row>
    <row r="285" spans="1:11" ht="12.75">
      <c r="A285" s="3"/>
      <c r="B285" s="3"/>
      <c r="C285" s="3"/>
      <c r="D285" s="3"/>
      <c r="E285" s="3"/>
      <c r="F285" s="8"/>
      <c r="G285" s="8"/>
      <c r="H285" s="8"/>
      <c r="I285" s="3"/>
      <c r="J285" s="4" t="str">
        <f ca="1"/>
        <v/>
      </c>
      <c r="K285" s="3" t="str">
        <f ca="1"/>
        <v/>
      </c>
    </row>
    <row r="286" spans="1:11" ht="12.75">
      <c r="A286" s="3"/>
      <c r="B286" s="3"/>
      <c r="C286" s="3"/>
      <c r="D286" s="3"/>
      <c r="E286" s="3"/>
      <c r="F286" s="8"/>
      <c r="G286" s="8"/>
      <c r="H286" s="8"/>
      <c r="I286" s="3"/>
      <c r="J286" s="4" t="str">
        <f ca="1"/>
        <v/>
      </c>
      <c r="K286" s="3" t="str">
        <f ca="1"/>
        <v/>
      </c>
    </row>
    <row r="287" spans="1:11" ht="12.75">
      <c r="A287" s="3"/>
      <c r="B287" s="3"/>
      <c r="C287" s="3"/>
      <c r="D287" s="3"/>
      <c r="E287" s="3"/>
      <c r="F287" s="8"/>
      <c r="G287" s="8"/>
      <c r="H287" s="8"/>
      <c r="I287" s="3"/>
      <c r="J287" s="4" t="str">
        <f ca="1"/>
        <v/>
      </c>
      <c r="K287" s="3" t="str">
        <f ca="1"/>
        <v/>
      </c>
    </row>
    <row r="288" spans="1:11" ht="12.75">
      <c r="A288" s="3"/>
      <c r="B288" s="3"/>
      <c r="C288" s="3"/>
      <c r="D288" s="3"/>
      <c r="E288" s="3"/>
      <c r="F288" s="8"/>
      <c r="G288" s="8"/>
      <c r="H288" s="8"/>
      <c r="I288" s="3"/>
      <c r="J288" s="4" t="str">
        <f ca="1"/>
        <v/>
      </c>
      <c r="K288" s="3" t="str">
        <f ca="1"/>
        <v/>
      </c>
    </row>
    <row r="289" spans="1:11" ht="12.75">
      <c r="A289" s="3"/>
      <c r="B289" s="3"/>
      <c r="C289" s="3"/>
      <c r="D289" s="3"/>
      <c r="E289" s="3"/>
      <c r="F289" s="8"/>
      <c r="G289" s="8"/>
      <c r="H289" s="8"/>
      <c r="I289" s="3"/>
      <c r="J289" s="4" t="str">
        <f ca="1"/>
        <v/>
      </c>
      <c r="K289" s="3" t="str">
        <f ca="1"/>
        <v/>
      </c>
    </row>
    <row r="290" spans="1:11" ht="12.75">
      <c r="A290" s="3"/>
      <c r="B290" s="3"/>
      <c r="C290" s="3"/>
      <c r="D290" s="3"/>
      <c r="E290" s="3"/>
      <c r="F290" s="8"/>
      <c r="G290" s="8"/>
      <c r="H290" s="8"/>
      <c r="I290" s="3"/>
      <c r="J290" s="4" t="str">
        <f ca="1"/>
        <v/>
      </c>
      <c r="K290" s="3" t="str">
        <f ca="1"/>
        <v/>
      </c>
    </row>
    <row r="291" spans="1:11" ht="12.75">
      <c r="A291" s="3"/>
      <c r="B291" s="3"/>
      <c r="C291" s="3"/>
      <c r="D291" s="3"/>
      <c r="E291" s="3"/>
      <c r="F291" s="8"/>
      <c r="G291" s="8"/>
      <c r="H291" s="8"/>
      <c r="I291" s="3"/>
      <c r="J291" s="4" t="str">
        <f ca="1"/>
        <v/>
      </c>
      <c r="K291" s="3" t="str">
        <f ca="1"/>
        <v/>
      </c>
    </row>
    <row r="292" spans="1:11" ht="12.75">
      <c r="A292" s="3"/>
      <c r="B292" s="3"/>
      <c r="C292" s="3"/>
      <c r="D292" s="3"/>
      <c r="E292" s="3"/>
      <c r="F292" s="8"/>
      <c r="G292" s="8"/>
      <c r="H292" s="8"/>
      <c r="I292" s="3"/>
      <c r="J292" s="4" t="str">
        <f ca="1"/>
        <v/>
      </c>
      <c r="K292" s="3" t="str">
        <f ca="1"/>
        <v/>
      </c>
    </row>
    <row r="293" spans="1:11" ht="12.75">
      <c r="A293" s="3"/>
      <c r="B293" s="3"/>
      <c r="C293" s="3"/>
      <c r="D293" s="3"/>
      <c r="E293" s="3"/>
      <c r="F293" s="8"/>
      <c r="G293" s="8"/>
      <c r="H293" s="8"/>
      <c r="I293" s="3"/>
      <c r="J293" s="4" t="str">
        <f ca="1"/>
        <v/>
      </c>
      <c r="K293" s="3" t="str">
        <f ca="1"/>
        <v/>
      </c>
    </row>
    <row r="294" spans="1:11" ht="12.75">
      <c r="A294" s="3"/>
      <c r="B294" s="3"/>
      <c r="C294" s="3"/>
      <c r="D294" s="3"/>
      <c r="E294" s="3"/>
      <c r="F294" s="8"/>
      <c r="G294" s="8"/>
      <c r="H294" s="8"/>
      <c r="I294" s="3"/>
      <c r="J294" s="4" t="str">
        <f ca="1"/>
        <v/>
      </c>
      <c r="K294" s="3" t="str">
        <f ca="1"/>
        <v/>
      </c>
    </row>
    <row r="295" spans="1:11" ht="12.75">
      <c r="A295" s="3"/>
      <c r="B295" s="3"/>
      <c r="C295" s="3"/>
      <c r="D295" s="3"/>
      <c r="E295" s="3"/>
      <c r="F295" s="8"/>
      <c r="G295" s="8"/>
      <c r="H295" s="8"/>
      <c r="I295" s="3"/>
      <c r="J295" s="4" t="str">
        <f ca="1"/>
        <v/>
      </c>
      <c r="K295" s="3" t="str">
        <f ca="1"/>
        <v/>
      </c>
    </row>
    <row r="296" spans="1:11" ht="12.75">
      <c r="A296" s="3"/>
      <c r="B296" s="3"/>
      <c r="C296" s="3"/>
      <c r="D296" s="3"/>
      <c r="E296" s="3"/>
      <c r="F296" s="8"/>
      <c r="G296" s="8"/>
      <c r="H296" s="8"/>
      <c r="I296" s="3"/>
      <c r="J296" s="4" t="str">
        <f ca="1"/>
        <v/>
      </c>
      <c r="K296" s="3" t="str">
        <f ca="1"/>
        <v/>
      </c>
    </row>
    <row r="297" spans="1:11" ht="12.75">
      <c r="A297" s="3"/>
      <c r="B297" s="3"/>
      <c r="C297" s="3"/>
      <c r="D297" s="3"/>
      <c r="E297" s="3"/>
      <c r="F297" s="8"/>
      <c r="G297" s="8"/>
      <c r="H297" s="8"/>
      <c r="I297" s="3"/>
      <c r="J297" s="4" t="str">
        <f ca="1"/>
        <v/>
      </c>
      <c r="K297" s="3" t="str">
        <f ca="1"/>
        <v/>
      </c>
    </row>
    <row r="298" spans="1:11" ht="12.75">
      <c r="A298" s="3"/>
      <c r="B298" s="3"/>
      <c r="C298" s="3"/>
      <c r="D298" s="3"/>
      <c r="E298" s="3"/>
      <c r="F298" s="8"/>
      <c r="G298" s="8"/>
      <c r="H298" s="8"/>
      <c r="I298" s="3"/>
      <c r="J298" s="4" t="str">
        <f ca="1"/>
        <v/>
      </c>
      <c r="K298" s="3" t="str">
        <f ca="1"/>
        <v/>
      </c>
    </row>
    <row r="299" spans="1:11" ht="12.75">
      <c r="A299" s="3"/>
      <c r="B299" s="3"/>
      <c r="C299" s="3"/>
      <c r="D299" s="3"/>
      <c r="E299" s="3"/>
      <c r="F299" s="8"/>
      <c r="G299" s="8"/>
      <c r="H299" s="8"/>
      <c r="I299" s="3"/>
      <c r="J299" s="4" t="str">
        <f ca="1"/>
        <v/>
      </c>
      <c r="K299" s="3" t="str">
        <f ca="1"/>
        <v/>
      </c>
    </row>
    <row r="300" spans="1:11" ht="12.75">
      <c r="A300" s="3"/>
      <c r="B300" s="3"/>
      <c r="C300" s="3"/>
      <c r="D300" s="3"/>
      <c r="E300" s="3"/>
      <c r="F300" s="8"/>
      <c r="G300" s="8"/>
      <c r="H300" s="8"/>
      <c r="I300" s="3"/>
      <c r="J300" s="4" t="str">
        <f ca="1"/>
        <v/>
      </c>
      <c r="K300" s="3" t="str">
        <f ca="1"/>
        <v/>
      </c>
    </row>
    <row r="301" spans="1:11" ht="12.75">
      <c r="A301" s="3"/>
      <c r="B301" s="3"/>
      <c r="C301" s="3"/>
      <c r="D301" s="3"/>
      <c r="E301" s="3"/>
      <c r="F301" s="8"/>
      <c r="G301" s="8"/>
      <c r="H301" s="8"/>
      <c r="I301" s="3"/>
      <c r="J301" s="4" t="str">
        <f ca="1"/>
        <v/>
      </c>
      <c r="K301" s="3" t="str">
        <f ca="1"/>
        <v/>
      </c>
    </row>
    <row r="302" spans="1:11" ht="12.75">
      <c r="A302" s="3"/>
      <c r="B302" s="3"/>
      <c r="C302" s="3"/>
      <c r="D302" s="3"/>
      <c r="E302" s="3"/>
      <c r="F302" s="8"/>
      <c r="G302" s="8"/>
      <c r="H302" s="8"/>
      <c r="I302" s="3"/>
      <c r="J302" s="4" t="str">
        <f ca="1"/>
        <v/>
      </c>
      <c r="K302" s="3" t="str">
        <f ca="1"/>
        <v/>
      </c>
    </row>
    <row r="303" spans="1:11" ht="12.75">
      <c r="A303" s="3"/>
      <c r="B303" s="3"/>
      <c r="C303" s="3"/>
      <c r="D303" s="3"/>
      <c r="E303" s="3"/>
      <c r="F303" s="8"/>
      <c r="G303" s="8"/>
      <c r="H303" s="8"/>
      <c r="I303" s="3"/>
      <c r="J303" s="4" t="str">
        <f ca="1"/>
        <v/>
      </c>
      <c r="K303" s="3" t="str">
        <f ca="1"/>
        <v/>
      </c>
    </row>
    <row r="304" spans="1:11" ht="12.75">
      <c r="A304" s="3"/>
      <c r="B304" s="3"/>
      <c r="C304" s="3"/>
      <c r="D304" s="3"/>
      <c r="E304" s="3"/>
      <c r="F304" s="8"/>
      <c r="G304" s="8"/>
      <c r="H304" s="8"/>
      <c r="I304" s="3"/>
      <c r="J304" s="4" t="str">
        <f ca="1"/>
        <v/>
      </c>
      <c r="K304" s="3" t="str">
        <f ca="1"/>
        <v/>
      </c>
    </row>
    <row r="305" spans="1:11" ht="12.75">
      <c r="A305" s="3"/>
      <c r="B305" s="3"/>
      <c r="C305" s="3"/>
      <c r="D305" s="3"/>
      <c r="E305" s="3"/>
      <c r="F305" s="8"/>
      <c r="G305" s="8"/>
      <c r="H305" s="8"/>
      <c r="I305" s="3"/>
      <c r="J305" s="4" t="str">
        <f ca="1"/>
        <v/>
      </c>
      <c r="K305" s="3" t="str">
        <f ca="1"/>
        <v/>
      </c>
    </row>
    <row r="306" spans="1:11" ht="12.75">
      <c r="A306" s="3"/>
      <c r="B306" s="3"/>
      <c r="C306" s="3"/>
      <c r="D306" s="3"/>
      <c r="E306" s="3"/>
      <c r="F306" s="8"/>
      <c r="G306" s="8"/>
      <c r="H306" s="8"/>
      <c r="I306" s="3"/>
      <c r="J306" s="4" t="str">
        <f ca="1"/>
        <v/>
      </c>
      <c r="K306" s="3" t="str">
        <f ca="1"/>
        <v/>
      </c>
    </row>
    <row r="307" spans="1:11" ht="12.75">
      <c r="A307" s="3"/>
      <c r="B307" s="3"/>
      <c r="C307" s="3"/>
      <c r="D307" s="3"/>
      <c r="E307" s="3"/>
      <c r="F307" s="8"/>
      <c r="G307" s="8"/>
      <c r="H307" s="8"/>
      <c r="I307" s="3"/>
      <c r="J307" s="4" t="str">
        <f ca="1"/>
        <v/>
      </c>
      <c r="K307" s="3" t="str">
        <f ca="1"/>
        <v/>
      </c>
    </row>
    <row r="308" spans="1:11" ht="12.75">
      <c r="A308" s="3"/>
      <c r="B308" s="3"/>
      <c r="C308" s="3"/>
      <c r="D308" s="3"/>
      <c r="E308" s="3"/>
      <c r="F308" s="8"/>
      <c r="G308" s="8"/>
      <c r="H308" s="8"/>
      <c r="I308" s="3"/>
      <c r="J308" s="4" t="str">
        <f ca="1"/>
        <v/>
      </c>
      <c r="K308" s="3" t="str">
        <f ca="1"/>
        <v/>
      </c>
    </row>
    <row r="309" spans="1:11" ht="12.75">
      <c r="A309" s="3"/>
      <c r="B309" s="3"/>
      <c r="C309" s="3"/>
      <c r="D309" s="3"/>
      <c r="E309" s="3"/>
      <c r="F309" s="8"/>
      <c r="G309" s="8"/>
      <c r="H309" s="8"/>
      <c r="I309" s="3"/>
      <c r="J309" s="4" t="str">
        <f ca="1"/>
        <v/>
      </c>
      <c r="K309" s="3" t="str">
        <f ca="1"/>
        <v/>
      </c>
    </row>
    <row r="310" spans="1:11" ht="12.75">
      <c r="A310" s="3"/>
      <c r="B310" s="3"/>
      <c r="C310" s="3"/>
      <c r="D310" s="3"/>
      <c r="E310" s="3"/>
      <c r="F310" s="8"/>
      <c r="G310" s="8"/>
      <c r="H310" s="8"/>
      <c r="I310" s="3"/>
      <c r="J310" s="4" t="str">
        <f ca="1"/>
        <v/>
      </c>
      <c r="K310" s="3" t="str">
        <f ca="1"/>
        <v/>
      </c>
    </row>
    <row r="311" spans="1:11" ht="12.75">
      <c r="A311" s="3"/>
      <c r="B311" s="3"/>
      <c r="C311" s="3"/>
      <c r="D311" s="3"/>
      <c r="E311" s="3"/>
      <c r="F311" s="8"/>
      <c r="G311" s="8"/>
      <c r="H311" s="8"/>
      <c r="I311" s="3"/>
      <c r="J311" s="4" t="str">
        <f ca="1"/>
        <v/>
      </c>
      <c r="K311" s="3" t="str">
        <f ca="1"/>
        <v/>
      </c>
    </row>
    <row r="312" spans="1:11" ht="12.75">
      <c r="A312" s="3"/>
      <c r="B312" s="3"/>
      <c r="C312" s="3"/>
      <c r="D312" s="3"/>
      <c r="E312" s="3"/>
      <c r="F312" s="8"/>
      <c r="G312" s="8"/>
      <c r="H312" s="8"/>
      <c r="I312" s="3"/>
      <c r="J312" s="4" t="str">
        <f ca="1"/>
        <v/>
      </c>
      <c r="K312" s="3" t="str">
        <f ca="1"/>
        <v/>
      </c>
    </row>
    <row r="313" spans="1:11" ht="12.75">
      <c r="A313" s="3"/>
      <c r="B313" s="3"/>
      <c r="C313" s="3"/>
      <c r="D313" s="3"/>
      <c r="E313" s="3"/>
      <c r="F313" s="8"/>
      <c r="G313" s="8"/>
      <c r="H313" s="8"/>
      <c r="I313" s="3"/>
      <c r="J313" s="4" t="str">
        <f ca="1"/>
        <v/>
      </c>
      <c r="K313" s="3" t="str">
        <f ca="1"/>
        <v/>
      </c>
    </row>
    <row r="314" spans="1:11" ht="12.75">
      <c r="A314" s="3"/>
      <c r="B314" s="3"/>
      <c r="C314" s="3"/>
      <c r="D314" s="3"/>
      <c r="E314" s="3"/>
      <c r="F314" s="8"/>
      <c r="G314" s="8"/>
      <c r="H314" s="8"/>
      <c r="I314" s="3"/>
      <c r="J314" s="4" t="str">
        <f ca="1"/>
        <v/>
      </c>
      <c r="K314" s="3" t="str">
        <f ca="1"/>
        <v/>
      </c>
    </row>
    <row r="315" spans="1:11" ht="12.75">
      <c r="A315" s="3"/>
      <c r="B315" s="3"/>
      <c r="C315" s="3"/>
      <c r="D315" s="3"/>
      <c r="E315" s="3"/>
      <c r="F315" s="8"/>
      <c r="G315" s="8"/>
      <c r="H315" s="8"/>
      <c r="I315" s="3"/>
      <c r="J315" s="4" t="str">
        <f ca="1"/>
        <v/>
      </c>
      <c r="K315" s="3" t="str">
        <f ca="1"/>
        <v/>
      </c>
    </row>
    <row r="316" spans="1:11" ht="12.75">
      <c r="A316" s="3"/>
      <c r="B316" s="3"/>
      <c r="C316" s="3"/>
      <c r="D316" s="3"/>
      <c r="E316" s="3"/>
      <c r="F316" s="8"/>
      <c r="G316" s="8"/>
      <c r="H316" s="8"/>
      <c r="I316" s="3"/>
      <c r="J316" s="4" t="str">
        <f ca="1"/>
        <v/>
      </c>
      <c r="K316" s="3" t="str">
        <f ca="1"/>
        <v/>
      </c>
    </row>
    <row r="317" spans="1:11" ht="12.75">
      <c r="A317" s="3"/>
      <c r="B317" s="3"/>
      <c r="C317" s="3"/>
      <c r="D317" s="3"/>
      <c r="E317" s="3"/>
      <c r="F317" s="8"/>
      <c r="G317" s="8"/>
      <c r="H317" s="8"/>
      <c r="I317" s="3"/>
      <c r="J317" s="4" t="str">
        <f ca="1"/>
        <v/>
      </c>
      <c r="K317" s="3" t="str">
        <f ca="1"/>
        <v/>
      </c>
    </row>
    <row r="318" spans="1:11" ht="12.75">
      <c r="A318" s="3"/>
      <c r="B318" s="3"/>
      <c r="C318" s="3"/>
      <c r="D318" s="3"/>
      <c r="E318" s="3"/>
      <c r="F318" s="8"/>
      <c r="G318" s="8"/>
      <c r="H318" s="8"/>
      <c r="I318" s="3"/>
      <c r="J318" s="4" t="str">
        <f ca="1"/>
        <v/>
      </c>
      <c r="K318" s="3" t="str">
        <f ca="1"/>
        <v/>
      </c>
    </row>
    <row r="319" spans="1:11" ht="12.75">
      <c r="A319" s="3"/>
      <c r="B319" s="3"/>
      <c r="C319" s="3"/>
      <c r="D319" s="3"/>
      <c r="E319" s="3"/>
      <c r="F319" s="8"/>
      <c r="G319" s="8"/>
      <c r="H319" s="8"/>
      <c r="I319" s="3"/>
      <c r="J319" s="4" t="str">
        <f ca="1"/>
        <v/>
      </c>
      <c r="K319" s="3" t="str">
        <f ca="1"/>
        <v/>
      </c>
    </row>
    <row r="320" spans="1:11" ht="12.75">
      <c r="A320" s="3"/>
      <c r="B320" s="3"/>
      <c r="C320" s="3"/>
      <c r="D320" s="3"/>
      <c r="E320" s="3"/>
      <c r="F320" s="8"/>
      <c r="G320" s="8"/>
      <c r="H320" s="8"/>
      <c r="I320" s="3"/>
      <c r="J320" s="4" t="str">
        <f ca="1"/>
        <v/>
      </c>
      <c r="K320" s="3" t="str">
        <f ca="1"/>
        <v/>
      </c>
    </row>
    <row r="321" spans="1:11" ht="12.75">
      <c r="A321" s="3"/>
      <c r="B321" s="3"/>
      <c r="C321" s="3"/>
      <c r="D321" s="3"/>
      <c r="E321" s="3"/>
      <c r="F321" s="8"/>
      <c r="G321" s="8"/>
      <c r="H321" s="8"/>
      <c r="I321" s="3"/>
      <c r="J321" s="4" t="str">
        <f ca="1"/>
        <v/>
      </c>
      <c r="K321" s="3" t="str">
        <f ca="1"/>
        <v/>
      </c>
    </row>
    <row r="322" spans="1:11" ht="12.75">
      <c r="A322" s="3"/>
      <c r="B322" s="3"/>
      <c r="C322" s="3"/>
      <c r="D322" s="3"/>
      <c r="E322" s="3"/>
      <c r="F322" s="8"/>
      <c r="G322" s="8"/>
      <c r="H322" s="8"/>
      <c r="I322" s="3"/>
      <c r="J322" s="4" t="str">
        <f ca="1"/>
        <v/>
      </c>
      <c r="K322" s="3" t="str">
        <f ca="1"/>
        <v/>
      </c>
    </row>
    <row r="323" spans="1:11" ht="12.75">
      <c r="A323" s="3"/>
      <c r="B323" s="3"/>
      <c r="C323" s="3"/>
      <c r="D323" s="3"/>
      <c r="E323" s="3"/>
      <c r="F323" s="8"/>
      <c r="G323" s="8"/>
      <c r="H323" s="8"/>
      <c r="I323" s="3"/>
      <c r="J323" s="4" t="str">
        <f ca="1"/>
        <v/>
      </c>
      <c r="K323" s="3" t="str">
        <f ca="1"/>
        <v/>
      </c>
    </row>
    <row r="324" spans="1:11" ht="12.75">
      <c r="A324" s="3"/>
      <c r="B324" s="3"/>
      <c r="C324" s="3"/>
      <c r="D324" s="3"/>
      <c r="E324" s="3"/>
      <c r="F324" s="8"/>
      <c r="G324" s="8"/>
      <c r="H324" s="8"/>
      <c r="I324" s="3"/>
      <c r="J324" s="4" t="str">
        <f ca="1"/>
        <v/>
      </c>
      <c r="K324" s="3" t="str">
        <f ca="1"/>
        <v/>
      </c>
    </row>
    <row r="325" spans="1:11" ht="12.75">
      <c r="A325" s="3"/>
      <c r="B325" s="3"/>
      <c r="C325" s="3"/>
      <c r="D325" s="3"/>
      <c r="E325" s="3"/>
      <c r="F325" s="8"/>
      <c r="G325" s="8"/>
      <c r="H325" s="8"/>
      <c r="I325" s="3"/>
      <c r="J325" s="4" t="str">
        <f ca="1"/>
        <v/>
      </c>
      <c r="K325" s="3" t="str">
        <f ca="1"/>
        <v/>
      </c>
    </row>
    <row r="326" spans="1:11" ht="12.75">
      <c r="A326" s="3"/>
      <c r="B326" s="3"/>
      <c r="C326" s="3"/>
      <c r="D326" s="3"/>
      <c r="E326" s="3"/>
      <c r="F326" s="8"/>
      <c r="G326" s="8"/>
      <c r="H326" s="8"/>
      <c r="I326" s="3"/>
      <c r="J326" s="4" t="str">
        <f ca="1"/>
        <v/>
      </c>
      <c r="K326" s="3" t="str">
        <f ca="1"/>
        <v/>
      </c>
    </row>
    <row r="327" spans="1:11" ht="12.75">
      <c r="A327" s="3"/>
      <c r="B327" s="3"/>
      <c r="C327" s="3"/>
      <c r="D327" s="3"/>
      <c r="E327" s="3"/>
      <c r="F327" s="8"/>
      <c r="G327" s="8"/>
      <c r="H327" s="8"/>
      <c r="I327" s="3"/>
      <c r="J327" s="4" t="str">
        <f ca="1"/>
        <v/>
      </c>
      <c r="K327" s="3" t="str">
        <f ca="1"/>
        <v/>
      </c>
    </row>
    <row r="328" spans="1:11" ht="12.75">
      <c r="A328" s="3"/>
      <c r="B328" s="3"/>
      <c r="C328" s="3"/>
      <c r="D328" s="3"/>
      <c r="E328" s="3"/>
      <c r="F328" s="8"/>
      <c r="G328" s="8"/>
      <c r="H328" s="8"/>
      <c r="I328" s="3"/>
      <c r="J328" s="4" t="str">
        <f ca="1"/>
        <v/>
      </c>
      <c r="K328" s="3" t="str">
        <f ca="1"/>
        <v/>
      </c>
    </row>
    <row r="329" spans="1:11" ht="12.75">
      <c r="A329" s="3"/>
      <c r="B329" s="3"/>
      <c r="C329" s="3"/>
      <c r="D329" s="3"/>
      <c r="E329" s="3"/>
      <c r="F329" s="8"/>
      <c r="G329" s="8"/>
      <c r="H329" s="8"/>
      <c r="I329" s="3"/>
      <c r="J329" s="4" t="str">
        <f ca="1"/>
        <v/>
      </c>
      <c r="K329" s="3" t="str">
        <f ca="1"/>
        <v/>
      </c>
    </row>
    <row r="330" spans="1:11" ht="12.75">
      <c r="A330" s="3"/>
      <c r="B330" s="3"/>
      <c r="C330" s="3"/>
      <c r="D330" s="3"/>
      <c r="E330" s="3"/>
      <c r="F330" s="8"/>
      <c r="G330" s="8"/>
      <c r="H330" s="8"/>
      <c r="I330" s="3"/>
      <c r="J330" s="4" t="str">
        <f ca="1"/>
        <v/>
      </c>
      <c r="K330" s="3" t="str">
        <f ca="1"/>
        <v/>
      </c>
    </row>
    <row r="331" spans="1:11" ht="12.75">
      <c r="A331" s="3"/>
      <c r="B331" s="3"/>
      <c r="C331" s="3"/>
      <c r="D331" s="3"/>
      <c r="E331" s="3"/>
      <c r="F331" s="8"/>
      <c r="G331" s="8"/>
      <c r="H331" s="8"/>
      <c r="I331" s="3"/>
      <c r="J331" s="4" t="str">
        <f ca="1"/>
        <v/>
      </c>
      <c r="K331" s="3" t="str">
        <f ca="1"/>
        <v/>
      </c>
    </row>
    <row r="332" spans="1:11" ht="12.75">
      <c r="A332" s="3"/>
      <c r="B332" s="3"/>
      <c r="C332" s="3"/>
      <c r="D332" s="3"/>
      <c r="E332" s="3"/>
      <c r="F332" s="8"/>
      <c r="G332" s="8"/>
      <c r="H332" s="8"/>
      <c r="I332" s="3"/>
      <c r="J332" s="4" t="str">
        <f ca="1"/>
        <v/>
      </c>
      <c r="K332" s="3" t="str">
        <f ca="1"/>
        <v/>
      </c>
    </row>
    <row r="333" spans="1:11" ht="12.75">
      <c r="A333" s="3"/>
      <c r="B333" s="3"/>
      <c r="C333" s="3"/>
      <c r="D333" s="3"/>
      <c r="E333" s="3"/>
      <c r="F333" s="8"/>
      <c r="G333" s="8"/>
      <c r="H333" s="8"/>
      <c r="I333" s="3"/>
      <c r="J333" s="4" t="str">
        <f ca="1"/>
        <v/>
      </c>
      <c r="K333" s="3" t="str">
        <f ca="1"/>
        <v/>
      </c>
    </row>
    <row r="334" spans="1:11" ht="12.75">
      <c r="A334" s="3"/>
      <c r="B334" s="3"/>
      <c r="C334" s="3"/>
      <c r="D334" s="3"/>
      <c r="E334" s="3"/>
      <c r="F334" s="8"/>
      <c r="G334" s="8"/>
      <c r="H334" s="8"/>
      <c r="I334" s="3"/>
      <c r="J334" s="4" t="str">
        <f ca="1"/>
        <v/>
      </c>
      <c r="K334" s="3" t="str">
        <f ca="1"/>
        <v/>
      </c>
    </row>
    <row r="335" spans="1:11" ht="12.75">
      <c r="A335" s="3"/>
      <c r="B335" s="3"/>
      <c r="C335" s="3"/>
      <c r="D335" s="3"/>
      <c r="E335" s="3"/>
      <c r="F335" s="8"/>
      <c r="G335" s="8"/>
      <c r="H335" s="8"/>
      <c r="I335" s="3"/>
      <c r="J335" s="4" t="str">
        <f ca="1"/>
        <v/>
      </c>
      <c r="K335" s="3" t="str">
        <f ca="1"/>
        <v/>
      </c>
    </row>
    <row r="336" spans="1:11" ht="12.75">
      <c r="A336" s="3"/>
      <c r="B336" s="3"/>
      <c r="C336" s="3"/>
      <c r="D336" s="3"/>
      <c r="E336" s="3"/>
      <c r="F336" s="8"/>
      <c r="G336" s="8"/>
      <c r="H336" s="8"/>
      <c r="I336" s="3"/>
      <c r="J336" s="4" t="str">
        <f ca="1"/>
        <v/>
      </c>
      <c r="K336" s="3" t="str">
        <f ca="1"/>
        <v/>
      </c>
    </row>
    <row r="337" spans="1:11" ht="12.75">
      <c r="A337" s="3"/>
      <c r="B337" s="3"/>
      <c r="C337" s="3"/>
      <c r="D337" s="3"/>
      <c r="E337" s="3"/>
      <c r="F337" s="8"/>
      <c r="G337" s="8"/>
      <c r="H337" s="8"/>
      <c r="I337" s="3"/>
      <c r="J337" s="4" t="str">
        <f ca="1"/>
        <v/>
      </c>
      <c r="K337" s="3" t="str">
        <f ca="1"/>
        <v/>
      </c>
    </row>
    <row r="338" spans="1:11" ht="12.75">
      <c r="A338" s="3"/>
      <c r="B338" s="3"/>
      <c r="C338" s="3"/>
      <c r="D338" s="3"/>
      <c r="E338" s="3"/>
      <c r="F338" s="8"/>
      <c r="G338" s="8"/>
      <c r="H338" s="8"/>
      <c r="I338" s="3"/>
      <c r="J338" s="4" t="str">
        <f ca="1"/>
        <v/>
      </c>
      <c r="K338" s="3" t="str">
        <f ca="1"/>
        <v/>
      </c>
    </row>
    <row r="339" spans="1:11" ht="12.75">
      <c r="A339" s="3"/>
      <c r="B339" s="3"/>
      <c r="C339" s="3"/>
      <c r="D339" s="3"/>
      <c r="E339" s="3"/>
      <c r="F339" s="8"/>
      <c r="G339" s="8"/>
      <c r="H339" s="8"/>
      <c r="I339" s="3"/>
      <c r="J339" s="4" t="str">
        <f ca="1"/>
        <v/>
      </c>
      <c r="K339" s="3" t="str">
        <f ca="1"/>
        <v/>
      </c>
    </row>
    <row r="340" spans="1:11" ht="12.75">
      <c r="A340" s="3"/>
      <c r="B340" s="3"/>
      <c r="C340" s="3"/>
      <c r="D340" s="3"/>
      <c r="E340" s="3"/>
      <c r="F340" s="8"/>
      <c r="G340" s="8"/>
      <c r="H340" s="8"/>
      <c r="I340" s="3"/>
      <c r="J340" s="4" t="str">
        <f ca="1"/>
        <v/>
      </c>
      <c r="K340" s="3" t="str">
        <f ca="1"/>
        <v/>
      </c>
    </row>
  </sheetData>
  <phoneticPr fontId="30" type="noConversion"/>
  <conditionalFormatting sqref="A1:K1">
    <cfRule type="notContainsBlanks" dxfId="4" priority="1">
      <formula>LEN(TRIM(A1))&gt;0</formula>
    </cfRule>
  </conditionalFormatting>
  <conditionalFormatting sqref="I1:I45 F1:H340 I48:I58 I61:I93 I95:I340">
    <cfRule type="expression" dxfId="3" priority="2">
      <formula>IF(AND(INDIRECT("R"&amp;ROW()&amp;"C1",FALSE)&lt;&gt;"",INDIRECT("R"&amp;ROW()&amp;"C"&amp;COLUMN(),FALSE)=""),TRUE,FALSE)</formula>
    </cfRule>
  </conditionalFormatting>
  <conditionalFormatting sqref="J1:J340">
    <cfRule type="expression" dxfId="2" priority="3">
      <formula>IF(AND(INDIRECT("R"&amp;ROW()&amp;"C1",FALSE)&lt;&gt;"",INDIRECT("R"&amp;ROW()&amp;"C"&amp;COLUMN(),FALSE)=""),TRUE,FALSE)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1000000}">
          <x14:formula1>
            <xm:f>幣別!$A:$A</xm:f>
          </x14:formula1>
          <xm:sqref>I61:I93 I95:I340 I2:I45 I48:I58</xm:sqref>
        </x14:dataValidation>
        <x14:dataValidation type="list" allowBlank="1" showErrorMessage="1" xr:uid="{00000000-0002-0000-0100-000000000000}">
          <x14:formula1>
            <xm:f>參考資訊!$A$2:$A340</xm:f>
          </x14:formula1>
          <xm:sqref>H2:H340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85A5-81C3-43B9-9858-4AB1A3241ACB}">
  <sheetPr>
    <tabColor rgb="FF9900FF"/>
  </sheetPr>
  <dimension ref="L29"/>
  <sheetViews>
    <sheetView workbookViewId="0">
      <selection activeCell="L33" sqref="L33"/>
    </sheetView>
  </sheetViews>
  <sheetFormatPr defaultRowHeight="12.75"/>
  <sheetData>
    <row r="29" spans="12:12" ht="13.5">
      <c r="L29" s="58" t="s">
        <v>930</v>
      </c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K28"/>
  <sheetViews>
    <sheetView workbookViewId="0">
      <selection activeCell="C17" sqref="C17"/>
    </sheetView>
  </sheetViews>
  <sheetFormatPr defaultColWidth="12.5703125" defaultRowHeight="15.75" customHeight="1" outlineLevelCol="1"/>
  <cols>
    <col min="1" max="1" width="10.7109375" customWidth="1"/>
    <col min="2" max="2" width="20" customWidth="1"/>
    <col min="3" max="3" width="27.5703125" customWidth="1"/>
    <col min="4" max="4" width="12.5703125" customWidth="1"/>
    <col min="5" max="5" width="14.140625" customWidth="1"/>
    <col min="6" max="6" width="4.42578125" customWidth="1"/>
    <col min="7" max="7" width="9.42578125" customWidth="1"/>
    <col min="8" max="8" width="7.5703125" customWidth="1"/>
    <col min="9" max="9" width="10.140625" customWidth="1"/>
    <col min="10" max="10" width="7.5703125" customWidth="1" collapsed="1"/>
    <col min="11" max="11" width="46.5703125" hidden="1" customWidth="1" outlineLevel="1"/>
  </cols>
  <sheetData>
    <row r="1" spans="1:1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4" t="s">
        <v>24</v>
      </c>
      <c r="K1" s="3" t="s">
        <v>25</v>
      </c>
    </row>
    <row r="2" spans="1:11">
      <c r="A2" s="3">
        <v>0</v>
      </c>
      <c r="B2" s="3" t="s">
        <v>26</v>
      </c>
      <c r="C2" s="3" t="s">
        <v>27</v>
      </c>
      <c r="D2" s="3">
        <v>1</v>
      </c>
      <c r="E2" s="3" t="s">
        <v>609</v>
      </c>
      <c r="F2" s="3"/>
      <c r="G2" s="3"/>
      <c r="H2" s="3"/>
      <c r="I2" s="3" t="s">
        <v>30</v>
      </c>
      <c r="J2" s="4" t="str">
        <f t="array" aca="1" ref="J2:J28" ca="1">IF($I2:$I28="","",VLOOKUP($I2:$I28,幣別!$A:$B,2,FALSE))</f>
        <v>CNY</v>
      </c>
      <c r="K2" s="3" t="str">
        <f t="array" aca="1" ref="K2:K28" ca="1">IF($A2:$A28="", "", ",("&amp;$A2:$A28&amp;", '"&amp;$J2:$J28&amp;"') -- "&amp;$C2:$C28)</f>
        <v>,(0, 'CNY') -- 模板公司</v>
      </c>
    </row>
    <row r="3" spans="1:11">
      <c r="A3" s="3">
        <v>1001</v>
      </c>
      <c r="B3" s="3" t="s">
        <v>610</v>
      </c>
      <c r="C3" s="3" t="s">
        <v>611</v>
      </c>
      <c r="D3" s="3">
        <v>1</v>
      </c>
      <c r="E3" s="3" t="s">
        <v>28</v>
      </c>
      <c r="F3" s="3"/>
      <c r="G3" s="3"/>
      <c r="H3" s="3"/>
      <c r="I3" s="3" t="s">
        <v>30</v>
      </c>
      <c r="J3" s="4" t="str">
        <f ca="1"/>
        <v>CNY</v>
      </c>
      <c r="K3" s="3" t="str">
        <f ca="1"/>
        <v>,(1001, 'CNY') -- test豪彩（API欢乐）</v>
      </c>
    </row>
    <row r="4" spans="1:11">
      <c r="A4" s="3">
        <v>1002</v>
      </c>
      <c r="B4" s="3" t="s">
        <v>612</v>
      </c>
      <c r="C4" s="3" t="s">
        <v>613</v>
      </c>
      <c r="D4" s="3">
        <v>1</v>
      </c>
      <c r="E4" s="3" t="s">
        <v>609</v>
      </c>
      <c r="F4" s="3"/>
      <c r="G4" s="3"/>
      <c r="H4" s="3"/>
      <c r="I4" s="3" t="s">
        <v>30</v>
      </c>
      <c r="J4" s="4" t="str">
        <f ca="1"/>
        <v>CNY</v>
      </c>
      <c r="K4" s="3" t="str">
        <f ca="1"/>
        <v>,(1002, 'CNY') -- test天天乐（天天乐旗下S001）</v>
      </c>
    </row>
    <row r="5" spans="1:11">
      <c r="A5" s="3">
        <v>1003</v>
      </c>
      <c r="B5" s="3" t="s">
        <v>614</v>
      </c>
      <c r="C5" s="3" t="s">
        <v>615</v>
      </c>
      <c r="D5" s="3">
        <v>1</v>
      </c>
      <c r="E5" s="3" t="s">
        <v>609</v>
      </c>
      <c r="F5" s="3"/>
      <c r="G5" s="3"/>
      <c r="H5" s="3"/>
      <c r="I5" s="3" t="s">
        <v>30</v>
      </c>
      <c r="J5" s="4" t="str">
        <f ca="1"/>
        <v>CNY</v>
      </c>
      <c r="K5" s="3" t="str">
        <f ca="1"/>
        <v>,(1003, 'CNY') -- test天天赢（天天乐旗下S003）</v>
      </c>
    </row>
    <row r="6" spans="1:11">
      <c r="A6" s="3">
        <v>1004</v>
      </c>
      <c r="B6" s="3" t="s">
        <v>616</v>
      </c>
      <c r="C6" s="3" t="s">
        <v>617</v>
      </c>
      <c r="D6" s="3">
        <v>1</v>
      </c>
      <c r="E6" s="3" t="s">
        <v>28</v>
      </c>
      <c r="F6" s="3"/>
      <c r="G6" s="3"/>
      <c r="H6" s="3"/>
      <c r="I6" s="3" t="s">
        <v>30</v>
      </c>
      <c r="J6" s="4" t="str">
        <f ca="1"/>
        <v>CNY</v>
      </c>
      <c r="K6" s="3" t="str">
        <f ca="1"/>
        <v>,(1004, 'CNY') -- test转账钱包（API欢乐）</v>
      </c>
    </row>
    <row r="7" spans="1:11">
      <c r="A7" s="3">
        <v>1005</v>
      </c>
      <c r="B7" s="3" t="s">
        <v>618</v>
      </c>
      <c r="C7" s="3" t="s">
        <v>619</v>
      </c>
      <c r="D7" s="3">
        <v>1</v>
      </c>
      <c r="E7" s="3" t="s">
        <v>609</v>
      </c>
      <c r="F7" s="3"/>
      <c r="G7" s="3"/>
      <c r="H7" s="3"/>
      <c r="I7" s="3" t="s">
        <v>30</v>
      </c>
      <c r="J7" s="4" t="str">
        <f ca="1"/>
        <v>CNY</v>
      </c>
      <c r="K7" s="3" t="str">
        <f ca="1"/>
        <v>,(1005, 'CNY') -- test800棋牌（天天乐旗下S004）</v>
      </c>
    </row>
    <row r="8" spans="1:11">
      <c r="A8" s="3">
        <v>1009</v>
      </c>
      <c r="B8" s="3" t="s">
        <v>620</v>
      </c>
      <c r="C8" s="3" t="s">
        <v>621</v>
      </c>
      <c r="D8" s="3">
        <v>1</v>
      </c>
      <c r="E8" s="3" t="s">
        <v>609</v>
      </c>
      <c r="F8" s="3"/>
      <c r="G8" s="3"/>
      <c r="H8" s="3"/>
      <c r="I8" s="3" t="s">
        <v>30</v>
      </c>
      <c r="J8" s="4" t="str">
        <f ca="1"/>
        <v>CNY</v>
      </c>
      <c r="K8" s="3" t="str">
        <f ca="1"/>
        <v>,(1009, 'CNY') -- 909棋牌（天天旗下S006）</v>
      </c>
    </row>
    <row r="9" spans="1:11">
      <c r="A9" s="3">
        <v>1010</v>
      </c>
      <c r="B9" s="3" t="s">
        <v>622</v>
      </c>
      <c r="C9" s="3" t="s">
        <v>623</v>
      </c>
      <c r="D9" s="3">
        <v>1</v>
      </c>
      <c r="E9" s="3" t="s">
        <v>609</v>
      </c>
      <c r="F9" s="3"/>
      <c r="G9" s="3"/>
      <c r="H9" s="3"/>
      <c r="I9" s="3" t="s">
        <v>30</v>
      </c>
      <c r="J9" s="4" t="str">
        <f ca="1"/>
        <v>CNY</v>
      </c>
      <c r="K9" s="3" t="str">
        <f ca="1"/>
        <v>,(1010, 'CNY') -- test顺丰娱乐</v>
      </c>
    </row>
    <row r="10" spans="1:11">
      <c r="A10" s="3">
        <v>1011</v>
      </c>
      <c r="B10" s="3" t="s">
        <v>624</v>
      </c>
      <c r="C10" s="3" t="s">
        <v>625</v>
      </c>
      <c r="D10" s="3">
        <v>1</v>
      </c>
      <c r="E10" s="3" t="s">
        <v>609</v>
      </c>
      <c r="F10" s="3"/>
      <c r="G10" s="3"/>
      <c r="H10" s="3"/>
      <c r="I10" s="3" t="s">
        <v>30</v>
      </c>
      <c r="J10" s="4" t="str">
        <f ca="1"/>
        <v>CNY</v>
      </c>
      <c r="K10" s="3" t="str">
        <f ca="1"/>
        <v>,(1011, 'CNY') -- test大富豪棋牌（大富豪旗下S008）</v>
      </c>
    </row>
    <row r="11" spans="1:11">
      <c r="A11" s="3">
        <v>1012</v>
      </c>
      <c r="B11" s="3" t="s">
        <v>626</v>
      </c>
      <c r="C11" s="3" t="s">
        <v>627</v>
      </c>
      <c r="D11" s="3">
        <v>1</v>
      </c>
      <c r="E11" s="3" t="s">
        <v>609</v>
      </c>
      <c r="F11" s="3"/>
      <c r="G11" s="3"/>
      <c r="H11" s="3"/>
      <c r="I11" s="3" t="s">
        <v>30</v>
      </c>
      <c r="J11" s="4" t="str">
        <f ca="1"/>
        <v>CNY</v>
      </c>
      <c r="K11" s="3" t="str">
        <f ca="1"/>
        <v>,(1012, 'CNY') -- test百胜棋牌（百胜棋牌S009）</v>
      </c>
    </row>
    <row r="12" spans="1:11">
      <c r="A12" s="3">
        <v>1013</v>
      </c>
      <c r="B12" s="3" t="s">
        <v>628</v>
      </c>
      <c r="C12" s="3" t="s">
        <v>629</v>
      </c>
      <c r="D12" s="3">
        <v>1</v>
      </c>
      <c r="E12" s="3" t="s">
        <v>609</v>
      </c>
      <c r="F12" s="3"/>
      <c r="G12" s="3"/>
      <c r="H12" s="3"/>
      <c r="I12" s="3" t="s">
        <v>30</v>
      </c>
      <c r="J12" s="4" t="str">
        <f ca="1"/>
        <v>CNY</v>
      </c>
      <c r="K12" s="3" t="str">
        <f ca="1"/>
        <v>,(1013, 'CNY') -- 印度棋牌公司</v>
      </c>
    </row>
    <row r="13" spans="1:11">
      <c r="A13" s="3">
        <v>1014</v>
      </c>
      <c r="B13" s="3" t="s">
        <v>630</v>
      </c>
      <c r="C13" s="3" t="s">
        <v>631</v>
      </c>
      <c r="D13" s="3">
        <v>1</v>
      </c>
      <c r="E13" s="3" t="s">
        <v>609</v>
      </c>
      <c r="F13" s="3"/>
      <c r="G13" s="3"/>
      <c r="H13" s="3"/>
      <c r="I13" s="3" t="s">
        <v>30</v>
      </c>
      <c r="J13" s="4" t="str">
        <f ca="1"/>
        <v>CNY</v>
      </c>
      <c r="K13" s="3" t="str">
        <f ca="1"/>
        <v>,(1014, 'CNY') -- 百胜棋牌公司-新皮肤（百胜棋牌2）</v>
      </c>
    </row>
    <row r="14" spans="1:11">
      <c r="A14" s="3">
        <v>1016</v>
      </c>
      <c r="B14" s="3" t="s">
        <v>632</v>
      </c>
      <c r="C14" s="3" t="s">
        <v>633</v>
      </c>
      <c r="D14" s="3">
        <v>1</v>
      </c>
      <c r="E14" s="3" t="s">
        <v>609</v>
      </c>
      <c r="F14" s="3"/>
      <c r="G14" s="3"/>
      <c r="H14" s="3"/>
      <c r="I14" s="3" t="s">
        <v>30</v>
      </c>
      <c r="J14" s="4" t="str">
        <f ca="1"/>
        <v>CNY</v>
      </c>
      <c r="K14" s="3" t="str">
        <f ca="1"/>
        <v>,(1016, 'CNY') -- a9娱乐</v>
      </c>
    </row>
    <row r="15" spans="1:11">
      <c r="A15" s="3">
        <v>1017</v>
      </c>
      <c r="B15" s="3" t="s">
        <v>634</v>
      </c>
      <c r="C15" s="3" t="s">
        <v>635</v>
      </c>
      <c r="D15" s="3">
        <v>1</v>
      </c>
      <c r="E15" s="3" t="s">
        <v>609</v>
      </c>
      <c r="F15" s="3"/>
      <c r="G15" s="3"/>
      <c r="H15" s="3"/>
      <c r="I15" s="3" t="s">
        <v>30</v>
      </c>
      <c r="J15" s="4" t="str">
        <f ca="1"/>
        <v>CNY</v>
      </c>
      <c r="K15" s="3" t="str">
        <f ca="1"/>
        <v>,(1017, 'CNY') -- A8娱乐</v>
      </c>
    </row>
    <row r="16" spans="1:11">
      <c r="A16" s="3">
        <v>1018</v>
      </c>
      <c r="B16" s="3" t="s">
        <v>636</v>
      </c>
      <c r="C16" s="3" t="s">
        <v>637</v>
      </c>
      <c r="D16" s="3">
        <v>1</v>
      </c>
      <c r="E16" s="3" t="s">
        <v>609</v>
      </c>
      <c r="F16" s="3"/>
      <c r="G16" s="3"/>
      <c r="H16" s="3"/>
      <c r="I16" s="3" t="s">
        <v>30</v>
      </c>
      <c r="J16" s="4" t="str">
        <f ca="1"/>
        <v>CNY</v>
      </c>
      <c r="K16" s="3" t="str">
        <f ca="1"/>
        <v>,(1018, 'CNY') -- 123棋牌</v>
      </c>
    </row>
    <row r="17" spans="1:11">
      <c r="A17" s="3">
        <v>1019</v>
      </c>
      <c r="B17" s="3" t="s">
        <v>638</v>
      </c>
      <c r="C17" s="3" t="s">
        <v>639</v>
      </c>
      <c r="D17" s="3">
        <v>1</v>
      </c>
      <c r="E17" s="3" t="s">
        <v>609</v>
      </c>
      <c r="F17" s="3"/>
      <c r="G17" s="3"/>
      <c r="H17" s="3"/>
      <c r="I17" s="3" t="s">
        <v>30</v>
      </c>
      <c r="J17" s="4" t="str">
        <f ca="1"/>
        <v>CNY</v>
      </c>
      <c r="K17" s="3" t="str">
        <f ca="1"/>
        <v>,(1019, 'CNY') -- ㄓㄢ</v>
      </c>
    </row>
    <row r="18" spans="1:11">
      <c r="A18" s="3">
        <v>1020</v>
      </c>
      <c r="B18" s="3" t="s">
        <v>640</v>
      </c>
      <c r="C18" s="3" t="s">
        <v>641</v>
      </c>
      <c r="D18" s="3">
        <v>1</v>
      </c>
      <c r="E18" s="3" t="s">
        <v>609</v>
      </c>
      <c r="F18" s="3"/>
      <c r="G18" s="3"/>
      <c r="H18" s="3"/>
      <c r="I18" s="3" t="s">
        <v>30</v>
      </c>
      <c r="J18" s="4" t="str">
        <f ca="1"/>
        <v>CNY</v>
      </c>
      <c r="K18" s="3" t="str">
        <f ca="1"/>
        <v>,(1020, 'CNY') -- uu123棋牌</v>
      </c>
    </row>
    <row r="19" spans="1:11">
      <c r="A19" s="3">
        <v>1021</v>
      </c>
      <c r="B19" s="3" t="s">
        <v>642</v>
      </c>
      <c r="C19" s="3" t="s">
        <v>643</v>
      </c>
      <c r="D19" s="3">
        <v>1</v>
      </c>
      <c r="E19" s="3" t="s">
        <v>609</v>
      </c>
      <c r="F19" s="3"/>
      <c r="G19" s="3"/>
      <c r="H19" s="3"/>
      <c r="I19" s="3" t="s">
        <v>30</v>
      </c>
      <c r="J19" s="4" t="str">
        <f ca="1"/>
        <v>CNY</v>
      </c>
      <c r="K19" s="3" t="str">
        <f ca="1"/>
        <v>,(1021, 'CNY') -- test樱花棋牌</v>
      </c>
    </row>
    <row r="20" spans="1:11">
      <c r="A20" s="3">
        <v>2003</v>
      </c>
      <c r="B20" s="3" t="s">
        <v>644</v>
      </c>
      <c r="C20" s="3" t="s">
        <v>645</v>
      </c>
      <c r="D20" s="3">
        <v>1</v>
      </c>
      <c r="E20" s="3" t="s">
        <v>609</v>
      </c>
      <c r="F20" s="3"/>
      <c r="G20" s="3"/>
      <c r="H20" s="3"/>
      <c r="I20" s="3" t="s">
        <v>30</v>
      </c>
      <c r="J20" s="4" t="str">
        <f ca="1"/>
        <v>CNY</v>
      </c>
      <c r="K20" s="3" t="str">
        <f ca="1"/>
        <v>,(2003, 'CNY') -- test棋牌王（包网租用1）</v>
      </c>
    </row>
    <row r="21" spans="1:11">
      <c r="A21" s="3">
        <v>2004</v>
      </c>
      <c r="B21" s="3" t="s">
        <v>646</v>
      </c>
      <c r="C21" s="3" t="s">
        <v>647</v>
      </c>
      <c r="D21" s="3">
        <v>1</v>
      </c>
      <c r="E21" s="3" t="s">
        <v>609</v>
      </c>
      <c r="F21" s="3"/>
      <c r="G21" s="3"/>
      <c r="H21" s="3"/>
      <c r="I21" s="3" t="s">
        <v>30</v>
      </c>
      <c r="J21" s="4" t="str">
        <f ca="1"/>
        <v>CNY</v>
      </c>
      <c r="K21" s="3" t="str">
        <f ca="1"/>
        <v>,(2004, 'CNY') -- test898棋牌（天天乐旗下S005）</v>
      </c>
    </row>
    <row r="22" spans="1:11">
      <c r="A22" s="3">
        <v>5001</v>
      </c>
      <c r="B22" s="3" t="s">
        <v>648</v>
      </c>
      <c r="C22" s="3" t="s">
        <v>649</v>
      </c>
      <c r="D22" s="3">
        <v>1</v>
      </c>
      <c r="E22" s="3" t="s">
        <v>28</v>
      </c>
      <c r="F22" s="3"/>
      <c r="G22" s="3"/>
      <c r="H22" s="3"/>
      <c r="I22" s="3" t="s">
        <v>30</v>
      </c>
      <c r="J22" s="4" t="str">
        <f ca="1"/>
        <v>CNY</v>
      </c>
      <c r="K22" s="3" t="str">
        <f ca="1"/>
        <v>,(5001, 'CNY') -- test豪彩（api利鑫）</v>
      </c>
    </row>
    <row r="23" spans="1:11">
      <c r="A23" s="3">
        <v>5020</v>
      </c>
      <c r="B23" s="3" t="s">
        <v>650</v>
      </c>
      <c r="C23" s="3" t="s">
        <v>651</v>
      </c>
      <c r="D23" s="3">
        <v>1</v>
      </c>
      <c r="E23" s="3" t="s">
        <v>609</v>
      </c>
      <c r="F23" s="3"/>
      <c r="G23" s="3"/>
      <c r="H23" s="3"/>
      <c r="I23" s="3" t="s">
        <v>30</v>
      </c>
      <c r="J23" s="4" t="str">
        <f ca="1"/>
        <v>CNY</v>
      </c>
      <c r="K23" s="3" t="str">
        <f ca="1"/>
        <v>,(5020, 'CNY') -- 168娱乐</v>
      </c>
    </row>
    <row r="24" spans="1:11">
      <c r="A24" s="3">
        <v>5024</v>
      </c>
      <c r="B24" s="3" t="s">
        <v>652</v>
      </c>
      <c r="C24" s="3" t="s">
        <v>653</v>
      </c>
      <c r="D24" s="3">
        <v>1</v>
      </c>
      <c r="E24" s="3" t="s">
        <v>28</v>
      </c>
      <c r="F24" s="3"/>
      <c r="G24" s="3"/>
      <c r="H24" s="3"/>
      <c r="I24" s="3" t="s">
        <v>30</v>
      </c>
      <c r="J24" s="4" t="str">
        <f ca="1"/>
        <v>CNY</v>
      </c>
      <c r="K24" s="3" t="str">
        <f ca="1"/>
        <v>,(5024, 'CNY') -- 利鑫繁体api</v>
      </c>
    </row>
    <row r="25" spans="1:11">
      <c r="A25" s="3">
        <v>5026</v>
      </c>
      <c r="B25" s="3" t="s">
        <v>654</v>
      </c>
      <c r="C25" s="3" t="s">
        <v>655</v>
      </c>
      <c r="D25" s="3">
        <v>1</v>
      </c>
      <c r="E25" s="3" t="s">
        <v>609</v>
      </c>
      <c r="F25" s="3"/>
      <c r="G25" s="3"/>
      <c r="H25" s="3"/>
      <c r="I25" s="3" t="s">
        <v>30</v>
      </c>
      <c r="J25" s="4" t="str">
        <f ca="1"/>
        <v>CNY</v>
      </c>
      <c r="K25" s="3" t="str">
        <f ca="1"/>
        <v>,(5026, 'CNY') -- 金尊棋牌</v>
      </c>
    </row>
    <row r="26" spans="1:11">
      <c r="A26" s="3">
        <v>5029</v>
      </c>
      <c r="B26" s="3" t="s">
        <v>656</v>
      </c>
      <c r="C26" s="3" t="s">
        <v>657</v>
      </c>
      <c r="D26" s="3">
        <v>1</v>
      </c>
      <c r="E26" s="3" t="s">
        <v>28</v>
      </c>
      <c r="F26" s="3"/>
      <c r="G26" s="3"/>
      <c r="H26" s="3"/>
      <c r="I26" s="3" t="s">
        <v>30</v>
      </c>
      <c r="J26" s="4" t="str">
        <f ca="1"/>
        <v>CNY</v>
      </c>
      <c r="K26" s="3" t="str">
        <f ca="1"/>
        <v>,(5029, 'CNY') -- 大运电子 - 测试服公司</v>
      </c>
    </row>
    <row r="27" spans="1:11">
      <c r="A27" s="3">
        <v>5035</v>
      </c>
      <c r="B27" s="3" t="s">
        <v>658</v>
      </c>
      <c r="C27" s="3" t="s">
        <v>659</v>
      </c>
      <c r="D27" s="3">
        <v>1</v>
      </c>
      <c r="E27" s="3" t="s">
        <v>28</v>
      </c>
      <c r="F27" s="3"/>
      <c r="G27" s="3"/>
      <c r="H27" s="3"/>
      <c r="I27" s="3" t="s">
        <v>30</v>
      </c>
      <c r="J27" s="4" t="str">
        <f ca="1"/>
        <v>CNY</v>
      </c>
      <c r="K27" s="3" t="str">
        <f ca="1"/>
        <v>,(5035, 'CNY') -- 大运电子 - 测试服公司 - 单一钱包</v>
      </c>
    </row>
    <row r="28" spans="1:11">
      <c r="A28" s="3">
        <v>5064</v>
      </c>
      <c r="B28" s="3" t="s">
        <v>660</v>
      </c>
      <c r="C28" s="3" t="s">
        <v>661</v>
      </c>
      <c r="D28" s="3">
        <v>1</v>
      </c>
      <c r="E28" s="3" t="s">
        <v>28</v>
      </c>
      <c r="F28" s="3"/>
      <c r="G28" s="3"/>
      <c r="H28" s="3"/>
      <c r="I28" s="3" t="s">
        <v>60</v>
      </c>
      <c r="J28" s="4" t="str">
        <f ca="1"/>
        <v>KRW</v>
      </c>
      <c r="K28" s="3" t="str">
        <f ca="1"/>
        <v>,(5064, 'KRW') -- 测试环境-大运棋牌api-韩元-代理ID：1101283</v>
      </c>
    </row>
  </sheetData>
  <phoneticPr fontId="30" type="noConversion"/>
  <conditionalFormatting sqref="A1:K1">
    <cfRule type="notContainsBlanks" dxfId="1" priority="1">
      <formula>LEN(TRIM(A1))&gt;0</formula>
    </cfRule>
  </conditionalFormatting>
  <conditionalFormatting sqref="F1:I28">
    <cfRule type="containsBlanks" dxfId="0" priority="2">
      <formula>LEN(TRIM(F1))=0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幣別!$A:$A</xm:f>
          </x14:formula1>
          <xm:sqref>I1:I28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V114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1" max="1" width="10.7109375" customWidth="1"/>
    <col min="2" max="2" width="20.140625" customWidth="1"/>
    <col min="3" max="3" width="65.5703125" customWidth="1"/>
    <col min="4" max="4" width="12.5703125" customWidth="1"/>
    <col min="5" max="5" width="14.140625" customWidth="1"/>
    <col min="6" max="6" width="4.85546875" customWidth="1"/>
    <col min="7" max="7" width="9.42578125" customWidth="1"/>
    <col min="8" max="8" width="12.42578125" customWidth="1"/>
    <col min="9" max="9" width="11" customWidth="1"/>
    <col min="10" max="10" width="7.5703125" customWidth="1"/>
    <col min="11" max="22" width="78.140625" customWidth="1"/>
  </cols>
  <sheetData>
    <row r="1" spans="1:22">
      <c r="A1" s="11" t="s">
        <v>20</v>
      </c>
      <c r="B1" s="11" t="s">
        <v>70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1" t="str">
        <f ca="1">IFERROR(__xludf.DUMMYFUNCTION("QUERY('正式服API公司列表'!A:Z,""SELECT * WHERE F='""&amp; $B$1 &amp;""'"",1)"),"company_id")</f>
        <v>company_id</v>
      </c>
      <c r="B2" s="11" t="str">
        <f ca="1">IFERROR(__xludf.DUMMYFUNCTION("""COMPUTED_VALUE"""),"company_key")</f>
        <v>company_key</v>
      </c>
      <c r="C2" s="11" t="str">
        <f ca="1">IFERROR(__xludf.DUMMYFUNCTION("""COMPUTED_VALUE"""),"company_name")</f>
        <v>company_name</v>
      </c>
      <c r="D2" s="11" t="str">
        <f ca="1">IFERROR(__xludf.DUMMYFUNCTION("""COMPUTED_VALUE"""),"company_type")</f>
        <v>company_type</v>
      </c>
      <c r="E2" s="11" t="str">
        <f ca="1">IFERROR(__xludf.DUMMYFUNCTION("""COMPUTED_VALUE"""),"company_model")</f>
        <v>company_model</v>
      </c>
      <c r="F2" s="11" t="str">
        <f ca="1">IFERROR(__xludf.DUMMYFUNCTION("""COMPUTED_VALUE"""),"皮膚")</f>
        <v>皮膚</v>
      </c>
      <c r="G2" s="11" t="str">
        <f ca="1">IFERROR(__xludf.DUMMYFUNCTION("""COMPUTED_VALUE"""),"客端版本號")</f>
        <v>客端版本號</v>
      </c>
      <c r="H2" s="11" t="str">
        <f ca="1">IFERROR(__xludf.DUMMYFUNCTION("""COMPUTED_VALUE"""),"對接狀態")</f>
        <v>對接狀態</v>
      </c>
      <c r="I2" s="11" t="str">
        <f ca="1">IFERROR(__xludf.DUMMYFUNCTION("""COMPUTED_VALUE"""),"幣別中文")</f>
        <v>幣別中文</v>
      </c>
      <c r="J2" s="11" t="str">
        <f ca="1">IFERROR(__xludf.DUMMYFUNCTION("""COMPUTED_VALUE"""),"幣別代碼")</f>
        <v>幣別代碼</v>
      </c>
      <c r="K2" s="11" t="str">
        <f ca="1">IFERROR(__xludf.DUMMYFUNCTION("""COMPUTED_VALUE"""),"代碼")</f>
        <v>代碼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s="3">
        <f ca="1">IFERROR(__xludf.DUMMYFUNCTION("""COMPUTED_VALUE"""),5036)</f>
        <v>5036</v>
      </c>
      <c r="B3" s="3" t="str">
        <f ca="1">IFERROR(__xludf.DUMMYFUNCTION("""COMPUTED_VALUE"""),"1846685_chessapilixin")</f>
        <v>1846685_chessapilixin</v>
      </c>
      <c r="C3" s="3" t="str">
        <f ca="1">IFERROR(__xludf.DUMMYFUNCTION("""COMPUTED_VALUE"""),"大运棋牌api-ANOE8平台-正式公司S004皮肤")</f>
        <v>大运棋牌api-ANOE8平台-正式公司S004皮肤</v>
      </c>
      <c r="D3" s="3">
        <f ca="1">IFERROR(__xludf.DUMMYFUNCTION("""COMPUTED_VALUE"""),1)</f>
        <v>1</v>
      </c>
      <c r="E3" s="3" t="str">
        <f ca="1">IFERROR(__xludf.DUMMYFUNCTION("""COMPUTED_VALUE"""),"API")</f>
        <v>API</v>
      </c>
      <c r="F3" s="3" t="str">
        <f ca="1">IFERROR(__xludf.DUMMYFUNCTION("""COMPUTED_VALUE"""),"S004")</f>
        <v>S004</v>
      </c>
      <c r="G3" s="3"/>
      <c r="H3" s="3" t="str">
        <f ca="1">IFERROR(__xludf.DUMMYFUNCTION("""COMPUTED_VALUE"""),"未知")</f>
        <v>未知</v>
      </c>
      <c r="I3" s="3" t="str">
        <f ca="1">IFERROR(__xludf.DUMMYFUNCTION("""COMPUTED_VALUE"""),"馬來西亞令吉")</f>
        <v>馬來西亞令吉</v>
      </c>
      <c r="J3" s="3" t="str">
        <f ca="1">IFERROR(__xludf.DUMMYFUNCTION("""COMPUTED_VALUE"""),"MYR")</f>
        <v>MYR</v>
      </c>
      <c r="K3" s="3" t="str">
        <f ca="1">IFERROR(__xludf.DUMMYFUNCTION("""COMPUTED_VALUE"""),",(5036, 'MYR') -- 大运棋牌api-ANOE8平台-正式公司S004皮肤")</f>
        <v>,(5036, 'MYR') -- 大运棋牌api-ANOE8平台-正式公司S004皮肤</v>
      </c>
    </row>
    <row r="4" spans="1:22">
      <c r="A4" s="3">
        <f ca="1">IFERROR(__xludf.DUMMYFUNCTION("""COMPUTED_VALUE"""),5037)</f>
        <v>5037</v>
      </c>
      <c r="B4" s="3" t="str">
        <f ca="1">IFERROR(__xludf.DUMMYFUNCTION("""COMPUTED_VALUE"""),"1847592_chessapilixin")</f>
        <v>1847592_chessapilixin</v>
      </c>
      <c r="C4" s="3" t="str">
        <f ca="1">IFERROR(__xludf.DUMMYFUNCTION("""COMPUTED_VALUE"""),"菲律宾捕鱼-Lodi777平台-S004")</f>
        <v>菲律宾捕鱼-Lodi777平台-S004</v>
      </c>
      <c r="D4" s="3">
        <f ca="1">IFERROR(__xludf.DUMMYFUNCTION("""COMPUTED_VALUE"""),1)</f>
        <v>1</v>
      </c>
      <c r="E4" s="3" t="str">
        <f ca="1">IFERROR(__xludf.DUMMYFUNCTION("""COMPUTED_VALUE"""),"API")</f>
        <v>API</v>
      </c>
      <c r="F4" s="3" t="str">
        <f ca="1">IFERROR(__xludf.DUMMYFUNCTION("""COMPUTED_VALUE"""),"S004")</f>
        <v>S004</v>
      </c>
      <c r="G4" s="3"/>
      <c r="H4" s="3" t="str">
        <f ca="1">IFERROR(__xludf.DUMMYFUNCTION("""COMPUTED_VALUE"""),"未知")</f>
        <v>未知</v>
      </c>
      <c r="I4" s="3" t="str">
        <f ca="1">IFERROR(__xludf.DUMMYFUNCTION("""COMPUTED_VALUE"""),"菲律賓披索")</f>
        <v>菲律賓披索</v>
      </c>
      <c r="J4" s="3" t="str">
        <f ca="1">IFERROR(__xludf.DUMMYFUNCTION("""COMPUTED_VALUE"""),"PHP")</f>
        <v>PHP</v>
      </c>
      <c r="K4" s="3" t="str">
        <f ca="1">IFERROR(__xludf.DUMMYFUNCTION("""COMPUTED_VALUE"""),",(5037, 'PHP') -- 菲律宾捕鱼-Lodi777平台-S004")</f>
        <v>,(5037, 'PHP') -- 菲律宾捕鱼-Lodi777平台-S004</v>
      </c>
    </row>
    <row r="5" spans="1:22">
      <c r="A5" s="3">
        <f ca="1">IFERROR(__xludf.DUMMYFUNCTION("""COMPUTED_VALUE"""),5038)</f>
        <v>5038</v>
      </c>
      <c r="B5" s="3" t="str">
        <f ca="1">IFERROR(__xludf.DUMMYFUNCTION("""COMPUTED_VALUE"""),"1847665_chessapilixin")</f>
        <v>1847665_chessapilixin</v>
      </c>
      <c r="C5" s="3" t="str">
        <f ca="1">IFERROR(__xludf.DUMMYFUNCTION("""COMPUTED_VALUE"""),"大运棋牌api-正式环境测试公司-1847674-S004皮肤")</f>
        <v>大运棋牌api-正式环境测试公司-1847674-S004皮肤</v>
      </c>
      <c r="D5" s="3">
        <f ca="1">IFERROR(__xludf.DUMMYFUNCTION("""COMPUTED_VALUE"""),1)</f>
        <v>1</v>
      </c>
      <c r="E5" s="3" t="str">
        <f ca="1">IFERROR(__xludf.DUMMYFUNCTION("""COMPUTED_VALUE"""),"API")</f>
        <v>API</v>
      </c>
      <c r="F5" s="3" t="str">
        <f ca="1">IFERROR(__xludf.DUMMYFUNCTION("""COMPUTED_VALUE"""),"S004")</f>
        <v>S004</v>
      </c>
      <c r="G5" s="3"/>
      <c r="H5" s="3" t="str">
        <f ca="1">IFERROR(__xludf.DUMMYFUNCTION("""COMPUTED_VALUE"""),"未知")</f>
        <v>未知</v>
      </c>
      <c r="I5" s="3" t="str">
        <f ca="1">IFERROR(__xludf.DUMMYFUNCTION("""COMPUTED_VALUE"""),"人民幣")</f>
        <v>人民幣</v>
      </c>
      <c r="J5" s="3" t="str">
        <f ca="1">IFERROR(__xludf.DUMMYFUNCTION("""COMPUTED_VALUE"""),"CNY")</f>
        <v>CNY</v>
      </c>
      <c r="K5" s="3" t="str">
        <f ca="1">IFERROR(__xludf.DUMMYFUNCTION("""COMPUTED_VALUE"""),",(5038, 'CNY') -- 大运棋牌api-正式环境测试公司-1847674-S004皮肤")</f>
        <v>,(5038, 'CNY') -- 大运棋牌api-正式环境测试公司-1847674-S004皮肤</v>
      </c>
    </row>
    <row r="6" spans="1:22">
      <c r="A6" s="3">
        <f ca="1">IFERROR(__xludf.DUMMYFUNCTION("""COMPUTED_VALUE"""),5039)</f>
        <v>5039</v>
      </c>
      <c r="B6" s="3" t="str">
        <f ca="1">IFERROR(__xludf.DUMMYFUNCTION("""COMPUTED_VALUE"""),"1847665_chessapilxwf")</f>
        <v>1847665_chessapilxwf</v>
      </c>
      <c r="C6" s="3" t="str">
        <f ca="1">IFERROR(__xludf.DUMMYFUNCTION("""COMPUTED_VALUE"""),"大运棋牌api-正式环境测试公司-1847675-S004皮肤")</f>
        <v>大运棋牌api-正式环境测试公司-1847675-S004皮肤</v>
      </c>
      <c r="D6" s="3">
        <f ca="1">IFERROR(__xludf.DUMMYFUNCTION("""COMPUTED_VALUE"""),1)</f>
        <v>1</v>
      </c>
      <c r="E6" s="3" t="str">
        <f ca="1">IFERROR(__xludf.DUMMYFUNCTION("""COMPUTED_VALUE"""),"API")</f>
        <v>API</v>
      </c>
      <c r="F6" s="3" t="str">
        <f ca="1">IFERROR(__xludf.DUMMYFUNCTION("""COMPUTED_VALUE"""),"S004")</f>
        <v>S004</v>
      </c>
      <c r="G6" s="3"/>
      <c r="H6" s="3" t="str">
        <f ca="1">IFERROR(__xludf.DUMMYFUNCTION("""COMPUTED_VALUE"""),"未知")</f>
        <v>未知</v>
      </c>
      <c r="I6" s="3" t="str">
        <f ca="1">IFERROR(__xludf.DUMMYFUNCTION("""COMPUTED_VALUE"""),"人民幣")</f>
        <v>人民幣</v>
      </c>
      <c r="J6" s="3" t="str">
        <f ca="1">IFERROR(__xludf.DUMMYFUNCTION("""COMPUTED_VALUE"""),"CNY")</f>
        <v>CNY</v>
      </c>
      <c r="K6" s="3" t="str">
        <f ca="1">IFERROR(__xludf.DUMMYFUNCTION("""COMPUTED_VALUE"""),",(5039, 'CNY') -- 大运棋牌api-正式环境测试公司-1847675-S004皮肤")</f>
        <v>,(5039, 'CNY') -- 大运棋牌api-正式环境测试公司-1847675-S004皮肤</v>
      </c>
    </row>
    <row r="7" spans="1:22">
      <c r="A7" s="3">
        <f ca="1">IFERROR(__xludf.DUMMYFUNCTION("""COMPUTED_VALUE"""),5040)</f>
        <v>5040</v>
      </c>
      <c r="B7" s="3" t="str">
        <f ca="1">IFERROR(__xludf.DUMMYFUNCTION("""COMPUTED_VALUE"""),"1847665_chessapilxwfgfg")</f>
        <v>1847665_chessapilxwfgfg</v>
      </c>
      <c r="C7" s="3" t="str">
        <f ca="1">IFERROR(__xludf.DUMMYFUNCTION("""COMPUTED_VALUE"""),"大运棋牌api-正式环境测试公司-1847676-S004皮肤")</f>
        <v>大运棋牌api-正式环境测试公司-1847676-S004皮肤</v>
      </c>
      <c r="D7" s="3">
        <f ca="1">IFERROR(__xludf.DUMMYFUNCTION("""COMPUTED_VALUE"""),1)</f>
        <v>1</v>
      </c>
      <c r="E7" s="3" t="str">
        <f ca="1">IFERROR(__xludf.DUMMYFUNCTION("""COMPUTED_VALUE"""),"API")</f>
        <v>API</v>
      </c>
      <c r="F7" s="3" t="str">
        <f ca="1">IFERROR(__xludf.DUMMYFUNCTION("""COMPUTED_VALUE"""),"S004")</f>
        <v>S004</v>
      </c>
      <c r="G7" s="3"/>
      <c r="H7" s="3" t="str">
        <f ca="1">IFERROR(__xludf.DUMMYFUNCTION("""COMPUTED_VALUE"""),"未知")</f>
        <v>未知</v>
      </c>
      <c r="I7" s="3" t="str">
        <f ca="1">IFERROR(__xludf.DUMMYFUNCTION("""COMPUTED_VALUE"""),"人民幣")</f>
        <v>人民幣</v>
      </c>
      <c r="J7" s="3" t="str">
        <f ca="1">IFERROR(__xludf.DUMMYFUNCTION("""COMPUTED_VALUE"""),"CNY")</f>
        <v>CNY</v>
      </c>
      <c r="K7" s="3" t="str">
        <f ca="1">IFERROR(__xludf.DUMMYFUNCTION("""COMPUTED_VALUE"""),",(5040, 'CNY') -- 大运棋牌api-正式环境测试公司-1847676-S004皮肤")</f>
        <v>,(5040, 'CNY') -- 大运棋牌api-正式环境测试公司-1847676-S004皮肤</v>
      </c>
    </row>
    <row r="8" spans="1:22">
      <c r="A8" s="3">
        <f ca="1">IFERROR(__xludf.DUMMYFUNCTION("""COMPUTED_VALUE"""),5042)</f>
        <v>5042</v>
      </c>
      <c r="B8" s="3" t="str">
        <f ca="1">IFERROR(__xludf.DUMMYFUNCTION("""COMPUTED_VALUE"""),"1853680_chessapilixin")</f>
        <v>1853680_chessapilixin</v>
      </c>
      <c r="C8" s="3" t="str">
        <f ca="1">IFERROR(__xludf.DUMMYFUNCTION("""COMPUTED_VALUE"""),"完美api-S004")</f>
        <v>完美api-S004</v>
      </c>
      <c r="D8" s="3">
        <f ca="1">IFERROR(__xludf.DUMMYFUNCTION("""COMPUTED_VALUE"""),1)</f>
        <v>1</v>
      </c>
      <c r="E8" s="3" t="str">
        <f ca="1">IFERROR(__xludf.DUMMYFUNCTION("""COMPUTED_VALUE"""),"API")</f>
        <v>API</v>
      </c>
      <c r="F8" s="3" t="str">
        <f ca="1">IFERROR(__xludf.DUMMYFUNCTION("""COMPUTED_VALUE"""),"S004")</f>
        <v>S004</v>
      </c>
      <c r="G8" s="3"/>
      <c r="H8" s="3" t="str">
        <f ca="1">IFERROR(__xludf.DUMMYFUNCTION("""COMPUTED_VALUE"""),"未知")</f>
        <v>未知</v>
      </c>
      <c r="I8" s="3" t="str">
        <f ca="1">IFERROR(__xludf.DUMMYFUNCTION("""COMPUTED_VALUE"""),"人民幣")</f>
        <v>人民幣</v>
      </c>
      <c r="J8" s="3" t="str">
        <f ca="1">IFERROR(__xludf.DUMMYFUNCTION("""COMPUTED_VALUE"""),"CNY")</f>
        <v>CNY</v>
      </c>
      <c r="K8" s="3" t="str">
        <f ca="1">IFERROR(__xludf.DUMMYFUNCTION("""COMPUTED_VALUE"""),",(5042, 'CNY') -- 完美api-S004")</f>
        <v>,(5042, 'CNY') -- 完美api-S004</v>
      </c>
    </row>
    <row r="9" spans="1:22">
      <c r="A9" s="3">
        <f ca="1">IFERROR(__xludf.DUMMYFUNCTION("""COMPUTED_VALUE"""),5041)</f>
        <v>5041</v>
      </c>
      <c r="B9" s="3" t="str">
        <f ca="1">IFERROR(__xludf.DUMMYFUNCTION("""COMPUTED_VALUE"""),"1850836_chessapilixin")</f>
        <v>1850836_chessapilixin</v>
      </c>
      <c r="C9" s="3" t="str">
        <f ca="1">IFERROR(__xludf.DUMMYFUNCTION("""COMPUTED_VALUE"""),"后台配置成包网了-停用-大运棋牌api-马来i8-正式公司S004皮肤1，1级代理ID：1853833")</f>
        <v>后台配置成包网了-停用-大运棋牌api-马来i8-正式公司S004皮肤1，1级代理ID：1853833</v>
      </c>
      <c r="D9" s="3"/>
      <c r="E9" s="3" t="str">
        <f ca="1">IFERROR(__xludf.DUMMYFUNCTION("""COMPUTED_VALUE"""),"API")</f>
        <v>API</v>
      </c>
      <c r="F9" s="3" t="str">
        <f ca="1">IFERROR(__xludf.DUMMYFUNCTION("""COMPUTED_VALUE"""),"S004")</f>
        <v>S004</v>
      </c>
      <c r="G9" s="3"/>
      <c r="H9" s="3" t="str">
        <f ca="1">IFERROR(__xludf.DUMMYFUNCTION("""COMPUTED_VALUE"""),"未知")</f>
        <v>未知</v>
      </c>
      <c r="I9" s="3" t="str">
        <f ca="1">IFERROR(__xludf.DUMMYFUNCTION("""COMPUTED_VALUE"""),"人民幣")</f>
        <v>人民幣</v>
      </c>
      <c r="J9" s="3" t="str">
        <f ca="1">IFERROR(__xludf.DUMMYFUNCTION("""COMPUTED_VALUE"""),"CNY")</f>
        <v>CNY</v>
      </c>
      <c r="K9" s="3" t="str">
        <f ca="1">IFERROR(__xludf.DUMMYFUNCTION("""COMPUTED_VALUE"""),",(5041, 'CNY') -- 后台配置成包网了-停用-大运棋牌api-马来i8-正式公司S004皮肤1，1级代理ID：1853833")</f>
        <v>,(5041, 'CNY') -- 后台配置成包网了-停用-大运棋牌api-马来i8-正式公司S004皮肤1，1级代理ID：1853833</v>
      </c>
    </row>
    <row r="10" spans="1:22">
      <c r="A10" s="3">
        <f ca="1">IFERROR(__xludf.DUMMYFUNCTION("""COMPUTED_VALUE"""),5043)</f>
        <v>5043</v>
      </c>
      <c r="B10" s="3" t="str">
        <f ca="1">IFERROR(__xludf.DUMMYFUNCTION("""COMPUTED_VALUE"""),"1850836_chessapilxwfgfg")</f>
        <v>1850836_chessapilxwfgfg</v>
      </c>
      <c r="C10" s="3" t="str">
        <f ca="1">IFERROR(__xludf.DUMMYFUNCTION("""COMPUTED_VALUE"""),"后台配置成包网了-停用-大运棋牌api-马来i8-正式公司S004皮肤2-1级代理ID： 1854827")</f>
        <v>后台配置成包网了-停用-大运棋牌api-马来i8-正式公司S004皮肤2-1级代理ID： 1854827</v>
      </c>
      <c r="D10" s="3">
        <f ca="1">IFERROR(__xludf.DUMMYFUNCTION("""COMPUTED_VALUE"""),1)</f>
        <v>1</v>
      </c>
      <c r="E10" s="3" t="str">
        <f ca="1">IFERROR(__xludf.DUMMYFUNCTION("""COMPUTED_VALUE"""),"API")</f>
        <v>API</v>
      </c>
      <c r="F10" s="3" t="str">
        <f ca="1">IFERROR(__xludf.DUMMYFUNCTION("""COMPUTED_VALUE"""),"S004")</f>
        <v>S004</v>
      </c>
      <c r="G10" s="3"/>
      <c r="H10" s="3" t="str">
        <f ca="1">IFERROR(__xludf.DUMMYFUNCTION("""COMPUTED_VALUE"""),"未知")</f>
        <v>未知</v>
      </c>
      <c r="I10" s="3" t="str">
        <f ca="1">IFERROR(__xludf.DUMMYFUNCTION("""COMPUTED_VALUE"""),"馬來西亞令吉")</f>
        <v>馬來西亞令吉</v>
      </c>
      <c r="J10" s="3" t="str">
        <f ca="1">IFERROR(__xludf.DUMMYFUNCTION("""COMPUTED_VALUE"""),"MYR")</f>
        <v>MYR</v>
      </c>
      <c r="K10" s="3" t="str">
        <f ca="1">IFERROR(__xludf.DUMMYFUNCTION("""COMPUTED_VALUE"""),",(5043, 'MYR') -- 后台配置成包网了-停用-大运棋牌api-马来i8-正式公司S004皮肤2-1级代理ID： 1854827")</f>
        <v>,(5043, 'MYR') -- 后台配置成包网了-停用-大运棋牌api-马来i8-正式公司S004皮肤2-1级代理ID： 1854827</v>
      </c>
    </row>
    <row r="11" spans="1:22">
      <c r="A11" s="3">
        <f ca="1">IFERROR(__xludf.DUMMYFUNCTION("""COMPUTED_VALUE"""),5044)</f>
        <v>5044</v>
      </c>
      <c r="B11" s="3" t="str">
        <f ca="1">IFERROR(__xludf.DUMMYFUNCTION("""COMPUTED_VALUE"""),"1850836_chessapilxwf")</f>
        <v>1850836_chessapilxwf</v>
      </c>
      <c r="C11" s="3" t="str">
        <f ca="1">IFERROR(__xludf.DUMMYFUNCTION("""COMPUTED_VALUE"""),"后台配置成包网了-停用-大运棋牌api-马来i8-正式公司S004皮肤3，1级代理ID：1854842")</f>
        <v>后台配置成包网了-停用-大运棋牌api-马来i8-正式公司S004皮肤3，1级代理ID：1854842</v>
      </c>
      <c r="D11" s="3">
        <f ca="1">IFERROR(__xludf.DUMMYFUNCTION("""COMPUTED_VALUE"""),1)</f>
        <v>1</v>
      </c>
      <c r="E11" s="3" t="str">
        <f ca="1">IFERROR(__xludf.DUMMYFUNCTION("""COMPUTED_VALUE"""),"API")</f>
        <v>API</v>
      </c>
      <c r="F11" s="3" t="str">
        <f ca="1">IFERROR(__xludf.DUMMYFUNCTION("""COMPUTED_VALUE"""),"S004")</f>
        <v>S004</v>
      </c>
      <c r="G11" s="3"/>
      <c r="H11" s="3" t="str">
        <f ca="1">IFERROR(__xludf.DUMMYFUNCTION("""COMPUTED_VALUE"""),"未知")</f>
        <v>未知</v>
      </c>
      <c r="I11" s="3" t="str">
        <f ca="1">IFERROR(__xludf.DUMMYFUNCTION("""COMPUTED_VALUE"""),"泰銖")</f>
        <v>泰銖</v>
      </c>
      <c r="J11" s="3" t="str">
        <f ca="1">IFERROR(__xludf.DUMMYFUNCTION("""COMPUTED_VALUE"""),"THB")</f>
        <v>THB</v>
      </c>
      <c r="K11" s="3" t="str">
        <f ca="1">IFERROR(__xludf.DUMMYFUNCTION("""COMPUTED_VALUE"""),",(5044, 'THB') -- 后台配置成包网了-停用-大运棋牌api-马来i8-正式公司S004皮肤3，1级代理ID：1854842")</f>
        <v>,(5044, 'THB') -- 后台配置成包网了-停用-大运棋牌api-马来i8-正式公司S004皮肤3，1级代理ID：1854842</v>
      </c>
    </row>
    <row r="12" spans="1:22">
      <c r="A12" s="3">
        <f ca="1">IFERROR(__xludf.DUMMYFUNCTION("""COMPUTED_VALUE"""),5045)</f>
        <v>5045</v>
      </c>
      <c r="B12" s="3" t="str">
        <f ca="1">IFERROR(__xludf.DUMMYFUNCTION("""COMPUTED_VALUE"""),"1850836_chessapilxzy")</f>
        <v>1850836_chessapilxzy</v>
      </c>
      <c r="C12" s="3" t="str">
        <f ca="1">IFERROR(__xludf.DUMMYFUNCTION("""COMPUTED_VALUE"""),"后台配置成包网了-停用-大运棋牌api-马来i8-正式公司S004皮肤4，1级代理ID：1854849")</f>
        <v>后台配置成包网了-停用-大运棋牌api-马来i8-正式公司S004皮肤4，1级代理ID：1854849</v>
      </c>
      <c r="D12" s="3">
        <f ca="1">IFERROR(__xludf.DUMMYFUNCTION("""COMPUTED_VALUE"""),1)</f>
        <v>1</v>
      </c>
      <c r="E12" s="3" t="str">
        <f ca="1">IFERROR(__xludf.DUMMYFUNCTION("""COMPUTED_VALUE"""),"API")</f>
        <v>API</v>
      </c>
      <c r="F12" s="3" t="str">
        <f ca="1">IFERROR(__xludf.DUMMYFUNCTION("""COMPUTED_VALUE"""),"S004")</f>
        <v>S004</v>
      </c>
      <c r="G12" s="3"/>
      <c r="H12" s="3" t="str">
        <f ca="1">IFERROR(__xludf.DUMMYFUNCTION("""COMPUTED_VALUE"""),"未知")</f>
        <v>未知</v>
      </c>
      <c r="I12" s="3" t="str">
        <f ca="1">IFERROR(__xludf.DUMMYFUNCTION("""COMPUTED_VALUE"""),"越南盾")</f>
        <v>越南盾</v>
      </c>
      <c r="J12" s="3" t="str">
        <f ca="1">IFERROR(__xludf.DUMMYFUNCTION("""COMPUTED_VALUE"""),"VND")</f>
        <v>VND</v>
      </c>
      <c r="K12" s="3" t="str">
        <f ca="1">IFERROR(__xludf.DUMMYFUNCTION("""COMPUTED_VALUE"""),",(5045, 'VND') -- 后台配置成包网了-停用-大运棋牌api-马来i8-正式公司S004皮肤4，1级代理ID：1854849")</f>
        <v>,(5045, 'VND') -- 后台配置成包网了-停用-大运棋牌api-马来i8-正式公司S004皮肤4，1级代理ID：1854849</v>
      </c>
    </row>
    <row r="13" spans="1:22">
      <c r="A13" s="3">
        <f ca="1">IFERROR(__xludf.DUMMYFUNCTION("""COMPUTED_VALUE"""),5046)</f>
        <v>5046</v>
      </c>
      <c r="B13" s="3" t="str">
        <f ca="1">IFERROR(__xludf.DUMMYFUNCTION("""COMPUTED_VALUE"""),"1850836_haocai")</f>
        <v>1850836_haocai</v>
      </c>
      <c r="C13" s="3" t="str">
        <f ca="1">IFERROR(__xludf.DUMMYFUNCTION("""COMPUTED_VALUE"""),"后台配置成包网了-停用-大运棋牌api-马来i8-正式公司S004皮肤5，1级代理ID：1854926")</f>
        <v>后台配置成包网了-停用-大运棋牌api-马来i8-正式公司S004皮肤5，1级代理ID：1854926</v>
      </c>
      <c r="D13" s="3">
        <f ca="1">IFERROR(__xludf.DUMMYFUNCTION("""COMPUTED_VALUE"""),1)</f>
        <v>1</v>
      </c>
      <c r="E13" s="3" t="str">
        <f ca="1">IFERROR(__xludf.DUMMYFUNCTION("""COMPUTED_VALUE"""),"API")</f>
        <v>API</v>
      </c>
      <c r="F13" s="3" t="str">
        <f ca="1">IFERROR(__xludf.DUMMYFUNCTION("""COMPUTED_VALUE"""),"S004")</f>
        <v>S004</v>
      </c>
      <c r="G13" s="3"/>
      <c r="H13" s="3" t="str">
        <f ca="1">IFERROR(__xludf.DUMMYFUNCTION("""COMPUTED_VALUE"""),"未知")</f>
        <v>未知</v>
      </c>
      <c r="I13" s="3" t="str">
        <f ca="1">IFERROR(__xludf.DUMMYFUNCTION("""COMPUTED_VALUE"""),"印尼盾")</f>
        <v>印尼盾</v>
      </c>
      <c r="J13" s="3" t="str">
        <f ca="1">IFERROR(__xludf.DUMMYFUNCTION("""COMPUTED_VALUE"""),"IDR")</f>
        <v>IDR</v>
      </c>
      <c r="K13" s="3" t="str">
        <f ca="1">IFERROR(__xludf.DUMMYFUNCTION("""COMPUTED_VALUE"""),",(5046, 'IDR') -- 后台配置成包网了-停用-大运棋牌api-马来i8-正式公司S004皮肤5，1级代理ID：1854926")</f>
        <v>,(5046, 'IDR') -- 后台配置成包网了-停用-大运棋牌api-马来i8-正式公司S004皮肤5，1级代理ID：1854926</v>
      </c>
    </row>
    <row r="14" spans="1:22">
      <c r="A14" s="3">
        <f ca="1">IFERROR(__xludf.DUMMYFUNCTION("""COMPUTED_VALUE"""),5047)</f>
        <v>5047</v>
      </c>
      <c r="B14" s="3" t="str">
        <f ca="1">IFERROR(__xludf.DUMMYFUNCTION("""COMPUTED_VALUE"""),"1850836_chessqpw")</f>
        <v>1850836_chessqpw</v>
      </c>
      <c r="C14" s="3" t="str">
        <f ca="1">IFERROR(__xludf.DUMMYFUNCTION("""COMPUTED_VALUE"""),"后台配置成包网了-停用-大运棋牌api-马来i8-正式公司S004皮肤6，1级代理ID：1854935")</f>
        <v>后台配置成包网了-停用-大运棋牌api-马来i8-正式公司S004皮肤6，1级代理ID：1854935</v>
      </c>
      <c r="D14" s="3">
        <f ca="1">IFERROR(__xludf.DUMMYFUNCTION("""COMPUTED_VALUE"""),1)</f>
        <v>1</v>
      </c>
      <c r="E14" s="3" t="str">
        <f ca="1">IFERROR(__xludf.DUMMYFUNCTION("""COMPUTED_VALUE"""),"API")</f>
        <v>API</v>
      </c>
      <c r="F14" s="3" t="str">
        <f ca="1">IFERROR(__xludf.DUMMYFUNCTION("""COMPUTED_VALUE"""),"S004")</f>
        <v>S004</v>
      </c>
      <c r="G14" s="3"/>
      <c r="H14" s="3" t="str">
        <f ca="1">IFERROR(__xludf.DUMMYFUNCTION("""COMPUTED_VALUE"""),"未知")</f>
        <v>未知</v>
      </c>
      <c r="I14" s="3" t="str">
        <f ca="1">IFERROR(__xludf.DUMMYFUNCTION("""COMPUTED_VALUE"""),"新加坡元")</f>
        <v>新加坡元</v>
      </c>
      <c r="J14" s="3" t="str">
        <f ca="1">IFERROR(__xludf.DUMMYFUNCTION("""COMPUTED_VALUE"""),"SGD")</f>
        <v>SGD</v>
      </c>
      <c r="K14" s="3" t="str">
        <f ca="1">IFERROR(__xludf.DUMMYFUNCTION("""COMPUTED_VALUE"""),",(5047, 'SGD') -- 后台配置成包网了-停用-大运棋牌api-马来i8-正式公司S004皮肤6，1级代理ID：1854935")</f>
        <v>,(5047, 'SGD') -- 后台配置成包网了-停用-大运棋牌api-马来i8-正式公司S004皮肤6，1级代理ID：1854935</v>
      </c>
    </row>
    <row r="15" spans="1:22">
      <c r="A15" s="3">
        <f ca="1">IFERROR(__xludf.DUMMYFUNCTION("""COMPUTED_VALUE"""),5048)</f>
        <v>5048</v>
      </c>
      <c r="B15" s="3" t="str">
        <f ca="1">IFERROR(__xludf.DUMMYFUNCTION("""COMPUTED_VALUE"""),"1850836_chess800")</f>
        <v>1850836_chess800</v>
      </c>
      <c r="C15" s="3" t="str">
        <f ca="1">IFERROR(__xludf.DUMMYFUNCTION("""COMPUTED_VALUE"""),"后台配置成包网了-停用-大运棋牌api-马来i8-正式公司S004皮肤7，1级代理ID：1854942")</f>
        <v>后台配置成包网了-停用-大运棋牌api-马来i8-正式公司S004皮肤7，1级代理ID：1854942</v>
      </c>
      <c r="D15" s="3">
        <f ca="1">IFERROR(__xludf.DUMMYFUNCTION("""COMPUTED_VALUE"""),1)</f>
        <v>1</v>
      </c>
      <c r="E15" s="3" t="str">
        <f ca="1">IFERROR(__xludf.DUMMYFUNCTION("""COMPUTED_VALUE"""),"API")</f>
        <v>API</v>
      </c>
      <c r="F15" s="3" t="str">
        <f ca="1">IFERROR(__xludf.DUMMYFUNCTION("""COMPUTED_VALUE"""),"S004")</f>
        <v>S004</v>
      </c>
      <c r="G15" s="3"/>
      <c r="H15" s="3" t="str">
        <f ca="1">IFERROR(__xludf.DUMMYFUNCTION("""COMPUTED_VALUE"""),"未知")</f>
        <v>未知</v>
      </c>
      <c r="I15" s="3" t="str">
        <f ca="1">IFERROR(__xludf.DUMMYFUNCTION("""COMPUTED_VALUE"""),"菲律賓披索")</f>
        <v>菲律賓披索</v>
      </c>
      <c r="J15" s="3" t="str">
        <f ca="1">IFERROR(__xludf.DUMMYFUNCTION("""COMPUTED_VALUE"""),"PHP")</f>
        <v>PHP</v>
      </c>
      <c r="K15" s="3" t="str">
        <f ca="1">IFERROR(__xludf.DUMMYFUNCTION("""COMPUTED_VALUE"""),",(5048, 'PHP') -- 后台配置成包网了-停用-大运棋牌api-马来i8-正式公司S004皮肤7，1级代理ID：1854942")</f>
        <v>,(5048, 'PHP') -- 后台配置成包网了-停用-大运棋牌api-马来i8-正式公司S004皮肤7，1级代理ID：1854942</v>
      </c>
    </row>
    <row r="16" spans="1:22">
      <c r="A16" s="3">
        <f ca="1">IFERROR(__xludf.DUMMYFUNCTION("""COMPUTED_VALUE"""),5070)</f>
        <v>5070</v>
      </c>
      <c r="B16" s="3" t="str">
        <f ca="1">IFERROR(__xludf.DUMMYFUNCTION("""COMPUTED_VALUE"""),"1853680_chessapilxzy")</f>
        <v>1853680_chessapilxzy</v>
      </c>
      <c r="C16" s="3" t="str">
        <f ca="1">IFERROR(__xludf.DUMMYFUNCTION("""COMPUTED_VALUE"""),"大运棋牌api-转账钱包-完美api-1级代理ID： 2012205")</f>
        <v>大运棋牌api-转账钱包-完美api-1级代理ID： 2012205</v>
      </c>
      <c r="D16" s="3">
        <f ca="1">IFERROR(__xludf.DUMMYFUNCTION("""COMPUTED_VALUE"""),1)</f>
        <v>1</v>
      </c>
      <c r="E16" s="3" t="str">
        <f ca="1">IFERROR(__xludf.DUMMYFUNCTION("""COMPUTED_VALUE"""),"API")</f>
        <v>API</v>
      </c>
      <c r="F16" s="3" t="str">
        <f ca="1">IFERROR(__xludf.DUMMYFUNCTION("""COMPUTED_VALUE"""),"S004")</f>
        <v>S004</v>
      </c>
      <c r="G16" s="3"/>
      <c r="H16" s="3" t="str">
        <f ca="1">IFERROR(__xludf.DUMMYFUNCTION("""COMPUTED_VALUE"""),"已對接")</f>
        <v>已對接</v>
      </c>
      <c r="I16" s="3" t="str">
        <f ca="1">IFERROR(__xludf.DUMMYFUNCTION("""COMPUTED_VALUE"""),"越南盾")</f>
        <v>越南盾</v>
      </c>
      <c r="J16" s="3" t="str">
        <f ca="1">IFERROR(__xludf.DUMMYFUNCTION("""COMPUTED_VALUE"""),"VND")</f>
        <v>VND</v>
      </c>
      <c r="K16" s="3" t="str">
        <f ca="1">IFERROR(__xludf.DUMMYFUNCTION("""COMPUTED_VALUE"""),",(5070, 'VND') -- 大运棋牌api-转账钱包-完美api-1级代理ID： 2012205")</f>
        <v>,(5070, 'VND') -- 大运棋牌api-转账钱包-完美api-1级代理ID： 2012205</v>
      </c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  <row r="33" spans="8:8">
      <c r="H33" s="3"/>
    </row>
    <row r="34" spans="8:8">
      <c r="H34" s="3"/>
    </row>
    <row r="35" spans="8:8">
      <c r="H35" s="3"/>
    </row>
    <row r="36" spans="8:8">
      <c r="H36" s="3"/>
    </row>
    <row r="37" spans="8:8">
      <c r="H37" s="3"/>
    </row>
    <row r="38" spans="8:8">
      <c r="H38" s="3"/>
    </row>
    <row r="39" spans="8:8">
      <c r="H39" s="3"/>
    </row>
    <row r="40" spans="8:8">
      <c r="H40" s="3"/>
    </row>
    <row r="41" spans="8:8">
      <c r="H41" s="3"/>
    </row>
    <row r="42" spans="8:8">
      <c r="H42" s="3"/>
    </row>
    <row r="43" spans="8:8">
      <c r="H43" s="3"/>
    </row>
    <row r="44" spans="8:8">
      <c r="H44" s="3"/>
    </row>
    <row r="45" spans="8:8">
      <c r="H45" s="3"/>
    </row>
    <row r="46" spans="8:8">
      <c r="H46" s="3"/>
    </row>
    <row r="47" spans="8:8">
      <c r="H47" s="3"/>
    </row>
    <row r="48" spans="8:8">
      <c r="H48" s="3"/>
    </row>
    <row r="49" spans="8:8">
      <c r="H49" s="3"/>
    </row>
    <row r="50" spans="8:8">
      <c r="H50" s="3"/>
    </row>
    <row r="51" spans="8:8">
      <c r="H51" s="3"/>
    </row>
    <row r="52" spans="8:8">
      <c r="H52" s="3"/>
    </row>
    <row r="53" spans="8:8">
      <c r="H53" s="3"/>
    </row>
    <row r="54" spans="8:8">
      <c r="H54" s="3"/>
    </row>
    <row r="55" spans="8:8">
      <c r="H55" s="3"/>
    </row>
    <row r="56" spans="8:8">
      <c r="H56" s="3"/>
    </row>
    <row r="57" spans="8:8">
      <c r="H57" s="3"/>
    </row>
    <row r="58" spans="8:8">
      <c r="H58" s="3"/>
    </row>
    <row r="59" spans="8:8">
      <c r="H59" s="3"/>
    </row>
    <row r="60" spans="8:8">
      <c r="H60" s="3"/>
    </row>
    <row r="61" spans="8:8">
      <c r="H61" s="3"/>
    </row>
    <row r="62" spans="8:8">
      <c r="H62" s="3"/>
    </row>
    <row r="63" spans="8:8">
      <c r="H63" s="3"/>
    </row>
    <row r="64" spans="8:8">
      <c r="H64" s="3"/>
    </row>
    <row r="65" spans="8:8">
      <c r="H65" s="3"/>
    </row>
    <row r="66" spans="8:8">
      <c r="H66" s="3"/>
    </row>
    <row r="67" spans="8:8">
      <c r="H67" s="3"/>
    </row>
    <row r="68" spans="8:8">
      <c r="H68" s="3"/>
    </row>
    <row r="69" spans="8:8">
      <c r="H69" s="3"/>
    </row>
    <row r="70" spans="8:8">
      <c r="H70" s="3"/>
    </row>
    <row r="71" spans="8:8">
      <c r="H71" s="3"/>
    </row>
    <row r="72" spans="8:8">
      <c r="H72" s="3"/>
    </row>
    <row r="73" spans="8:8">
      <c r="H73" s="3"/>
    </row>
    <row r="74" spans="8:8">
      <c r="H74" s="3"/>
    </row>
    <row r="75" spans="8:8">
      <c r="H75" s="3"/>
    </row>
    <row r="76" spans="8:8">
      <c r="H76" s="3"/>
    </row>
    <row r="77" spans="8:8">
      <c r="H77" s="3"/>
    </row>
    <row r="78" spans="8:8">
      <c r="H78" s="3"/>
    </row>
    <row r="79" spans="8:8">
      <c r="H79" s="3"/>
    </row>
    <row r="80" spans="8:8">
      <c r="H80" s="3"/>
    </row>
    <row r="81" spans="8:8">
      <c r="H81" s="3"/>
    </row>
    <row r="82" spans="8:8">
      <c r="H82" s="3"/>
    </row>
    <row r="83" spans="8:8">
      <c r="H83" s="3"/>
    </row>
    <row r="84" spans="8:8">
      <c r="H84" s="3"/>
    </row>
    <row r="85" spans="8:8">
      <c r="H85" s="3"/>
    </row>
    <row r="86" spans="8:8">
      <c r="H86" s="3"/>
    </row>
    <row r="87" spans="8:8">
      <c r="H87" s="3"/>
    </row>
    <row r="88" spans="8:8">
      <c r="H88" s="3"/>
    </row>
    <row r="89" spans="8:8">
      <c r="H89" s="3"/>
    </row>
    <row r="90" spans="8:8">
      <c r="H90" s="3"/>
    </row>
    <row r="91" spans="8:8">
      <c r="H91" s="3"/>
    </row>
    <row r="92" spans="8:8">
      <c r="H92" s="3"/>
    </row>
    <row r="93" spans="8:8">
      <c r="H93" s="3"/>
    </row>
    <row r="94" spans="8:8">
      <c r="H94" s="3"/>
    </row>
    <row r="95" spans="8:8">
      <c r="H95" s="3"/>
    </row>
    <row r="96" spans="8:8">
      <c r="H96" s="3"/>
    </row>
    <row r="97" spans="8:8">
      <c r="H97" s="3"/>
    </row>
    <row r="98" spans="8:8">
      <c r="H98" s="3"/>
    </row>
    <row r="99" spans="8:8">
      <c r="H99" s="3"/>
    </row>
    <row r="100" spans="8:8">
      <c r="H100" s="3"/>
    </row>
    <row r="101" spans="8:8">
      <c r="H101" s="3"/>
    </row>
    <row r="102" spans="8:8">
      <c r="H102" s="3"/>
    </row>
    <row r="103" spans="8:8">
      <c r="H103" s="3"/>
    </row>
    <row r="104" spans="8:8">
      <c r="H104" s="3"/>
    </row>
    <row r="105" spans="8:8">
      <c r="H105" s="3"/>
    </row>
    <row r="106" spans="8:8">
      <c r="H106" s="3"/>
    </row>
    <row r="107" spans="8:8">
      <c r="H107" s="3"/>
    </row>
    <row r="108" spans="8:8">
      <c r="H108" s="3"/>
    </row>
    <row r="109" spans="8:8">
      <c r="H109" s="3"/>
    </row>
    <row r="110" spans="8:8">
      <c r="H110" s="3"/>
    </row>
    <row r="111" spans="8:8">
      <c r="H111" s="3"/>
    </row>
    <row r="112" spans="8:8">
      <c r="H112" s="3"/>
    </row>
    <row r="113" spans="8:8">
      <c r="H113" s="3"/>
    </row>
    <row r="114" spans="8:8">
      <c r="H114" s="3"/>
    </row>
  </sheetData>
  <phoneticPr fontId="3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參考資訊!$A$2:$A114</xm:f>
          </x14:formula1>
          <xm:sqref>H3:H114</xm:sqref>
        </x14:dataValidation>
        <x14:dataValidation type="list" allowBlank="1" showErrorMessage="1" xr:uid="{00000000-0002-0000-0300-000001000000}">
          <x14:formula1>
            <xm:f>參考資訊!$B$2:$B114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99"/>
  <sheetViews>
    <sheetView tabSelected="1" topLeftCell="A234" workbookViewId="0">
      <selection activeCell="E266" sqref="E266"/>
    </sheetView>
  </sheetViews>
  <sheetFormatPr defaultColWidth="12.5703125" defaultRowHeight="15.75" customHeight="1"/>
  <cols>
    <col min="2" max="2" width="31.7109375" customWidth="1"/>
    <col min="3" max="3" width="65.5703125" customWidth="1"/>
  </cols>
  <sheetData>
    <row r="1" spans="1:6" ht="12.75">
      <c r="A1" s="3" t="str">
        <f ca="1">IFERROR(__xludf.DUMMYFUNCTION("QUERY('正式服API公司列表'!A:J, ""SELECT A, B, C, I, J"")"),"company_id")</f>
        <v>company_id</v>
      </c>
      <c r="B1" s="3" t="str">
        <f ca="1">IFERROR(__xludf.DUMMYFUNCTION("""COMPUTED_VALUE"""),"company_key")</f>
        <v>company_key</v>
      </c>
      <c r="C1" s="3" t="str">
        <f ca="1">IFERROR(__xludf.DUMMYFUNCTION("""COMPUTED_VALUE"""),"company_name")</f>
        <v>company_name</v>
      </c>
      <c r="D1" s="3" t="str">
        <f ca="1">IFERROR(__xludf.DUMMYFUNCTION("""COMPUTED_VALUE"""),"幣別中文")</f>
        <v>幣別中文</v>
      </c>
      <c r="E1" s="3" t="str">
        <f ca="1">IFERROR(__xludf.DUMMYFUNCTION("""COMPUTED_VALUE"""),"幣別代碼")</f>
        <v>幣別代碼</v>
      </c>
      <c r="F1" s="3" t="s">
        <v>662</v>
      </c>
    </row>
    <row r="2" spans="1:6" ht="12.75">
      <c r="A2" s="3">
        <f ca="1">IFERROR(__xludf.DUMMYFUNCTION("""COMPUTED_VALUE"""),0)</f>
        <v>0</v>
      </c>
      <c r="B2" s="3" t="str">
        <f ca="1">IFERROR(__xludf.DUMMYFUNCTION("""COMPUTED_VALUE"""),"TemplateCompany")</f>
        <v>TemplateCompany</v>
      </c>
      <c r="C2" s="3" t="str">
        <f ca="1">IFERROR(__xludf.DUMMYFUNCTION("""COMPUTED_VALUE"""),"模板公司")</f>
        <v>模板公司</v>
      </c>
      <c r="D2" s="3" t="str">
        <f ca="1">IFERROR(__xludf.DUMMYFUNCTION("""COMPUTED_VALUE"""),"人民幣")</f>
        <v>人民幣</v>
      </c>
      <c r="E2" s="3" t="str">
        <f ca="1">IFERROR(__xludf.DUMMYFUNCTION("""COMPUTED_VALUE"""),"CNY")</f>
        <v>CNY</v>
      </c>
      <c r="F2" s="3">
        <f ca="1">VLOOKUP(E2, 幣別!B:D, 3, FALSE)</f>
        <v>0</v>
      </c>
    </row>
    <row r="3" spans="1:6" ht="12.75">
      <c r="A3" s="3">
        <f ca="1">IFERROR(__xludf.DUMMYFUNCTION("""COMPUTED_VALUE"""),211)</f>
        <v>211</v>
      </c>
      <c r="B3" s="3" t="str">
        <f ca="1">IFERROR(__xludf.DUMMYFUNCTION("""COMPUTED_VALUE"""),"1574846_haocai")</f>
        <v>1574846_haocai</v>
      </c>
      <c r="C3" s="3" t="str">
        <f ca="1">IFERROR(__xludf.DUMMYFUNCTION("""COMPUTED_VALUE"""),"利鑫测试公司豪彩HC皮肤")</f>
        <v>利鑫测试公司豪彩HC皮肤</v>
      </c>
      <c r="D3" s="3" t="str">
        <f ca="1">IFERROR(__xludf.DUMMYFUNCTION("""COMPUTED_VALUE"""),"人民幣")</f>
        <v>人民幣</v>
      </c>
      <c r="E3" s="3" t="str">
        <f ca="1">IFERROR(__xludf.DUMMYFUNCTION("""COMPUTED_VALUE"""),"CNY")</f>
        <v>CNY</v>
      </c>
      <c r="F3" s="3">
        <f ca="1">VLOOKUP(E3, 幣別!B:D, 3, FALSE)</f>
        <v>0</v>
      </c>
    </row>
    <row r="4" spans="1:6" ht="12.75">
      <c r="A4" s="3">
        <f ca="1">IFERROR(__xludf.DUMMYFUNCTION("""COMPUTED_VALUE"""),212)</f>
        <v>212</v>
      </c>
      <c r="B4" s="3" t="str">
        <f ca="1">IFERROR(__xludf.DUMMYFUNCTION("""COMPUTED_VALUE"""),"1574846_chessapilxzy")</f>
        <v>1574846_chessapilxzy</v>
      </c>
      <c r="C4" s="3" t="str">
        <f ca="1">IFERROR(__xludf.DUMMYFUNCTION("""COMPUTED_VALUE"""),"利鑫测试公司利鑫租用zy皮肤")</f>
        <v>利鑫测试公司利鑫租用zy皮肤</v>
      </c>
      <c r="D4" s="3" t="str">
        <f ca="1">IFERROR(__xludf.DUMMYFUNCTION("""COMPUTED_VALUE"""),"人民幣")</f>
        <v>人民幣</v>
      </c>
      <c r="E4" s="3" t="str">
        <f ca="1">IFERROR(__xludf.DUMMYFUNCTION("""COMPUTED_VALUE"""),"CNY")</f>
        <v>CNY</v>
      </c>
      <c r="F4" s="3">
        <f ca="1">VLOOKUP(E4, 幣別!B:D, 3, FALSE)</f>
        <v>0</v>
      </c>
    </row>
    <row r="5" spans="1:6" ht="12.75">
      <c r="A5" s="3">
        <f ca="1">IFERROR(__xludf.DUMMYFUNCTION("""COMPUTED_VALUE"""),213)</f>
        <v>213</v>
      </c>
      <c r="B5" s="3" t="str">
        <f ca="1">IFERROR(__xludf.DUMMYFUNCTION("""COMPUTED_VALUE"""),"1574846_chessapilxwf")</f>
        <v>1574846_chessapilxwf</v>
      </c>
      <c r="C5" s="3" t="str">
        <f ca="1">IFERROR(__xludf.DUMMYFUNCTION("""COMPUTED_VALUE"""),"利鑫测试公司利鑫外放wf皮肤")</f>
        <v>利鑫测试公司利鑫外放wf皮肤</v>
      </c>
      <c r="D5" s="3" t="str">
        <f ca="1">IFERROR(__xludf.DUMMYFUNCTION("""COMPUTED_VALUE"""),"人民幣")</f>
        <v>人民幣</v>
      </c>
      <c r="E5" s="3" t="str">
        <f ca="1">IFERROR(__xludf.DUMMYFUNCTION("""COMPUTED_VALUE"""),"CNY")</f>
        <v>CNY</v>
      </c>
      <c r="F5" s="3">
        <f ca="1">VLOOKUP(E5, 幣別!B:D, 3, FALSE)</f>
        <v>0</v>
      </c>
    </row>
    <row r="6" spans="1:6" ht="12.75">
      <c r="A6" s="3">
        <f ca="1">IFERROR(__xludf.DUMMYFUNCTION("""COMPUTED_VALUE"""),214)</f>
        <v>214</v>
      </c>
      <c r="B6" s="3" t="str">
        <f ca="1">IFERROR(__xludf.DUMMYFUNCTION("""COMPUTED_VALUE"""),"1581838_haocai")</f>
        <v>1581838_haocai</v>
      </c>
      <c r="C6" s="3" t="str">
        <f ca="1">IFERROR(__xludf.DUMMYFUNCTION("""COMPUTED_VALUE"""),"欢乐皮肤测试公司")</f>
        <v>欢乐皮肤测试公司</v>
      </c>
      <c r="D6" s="3" t="str">
        <f ca="1">IFERROR(__xludf.DUMMYFUNCTION("""COMPUTED_VALUE"""),"人民幣")</f>
        <v>人民幣</v>
      </c>
      <c r="E6" s="3" t="str">
        <f ca="1">IFERROR(__xludf.DUMMYFUNCTION("""COMPUTED_VALUE"""),"CNY")</f>
        <v>CNY</v>
      </c>
      <c r="F6" s="3">
        <f ca="1">VLOOKUP(E6, 幣別!B:D, 3, FALSE)</f>
        <v>0</v>
      </c>
    </row>
    <row r="7" spans="1:6" ht="12.75">
      <c r="A7" s="3">
        <f ca="1">IFERROR(__xludf.DUMMYFUNCTION("""COMPUTED_VALUE"""),5001)</f>
        <v>5001</v>
      </c>
      <c r="B7" s="3" t="str">
        <f ca="1">IFERROR(__xludf.DUMMYFUNCTION("""COMPUTED_VALUE"""),"1573931_chessapilixin")</f>
        <v>1573931_chessapilixin</v>
      </c>
      <c r="C7" s="3" t="str">
        <f ca="1">IFERROR(__xludf.DUMMYFUNCTION("""COMPUTED_VALUE"""),"豪彩")</f>
        <v>豪彩</v>
      </c>
      <c r="D7" s="3" t="str">
        <f ca="1">IFERROR(__xludf.DUMMYFUNCTION("""COMPUTED_VALUE"""),"人民幣")</f>
        <v>人民幣</v>
      </c>
      <c r="E7" s="3" t="str">
        <f ca="1">IFERROR(__xludf.DUMMYFUNCTION("""COMPUTED_VALUE"""),"CNY")</f>
        <v>CNY</v>
      </c>
      <c r="F7" s="3">
        <f ca="1">VLOOKUP(E7, 幣別!B:D, 3, FALSE)</f>
        <v>0</v>
      </c>
    </row>
    <row r="8" spans="1:6" ht="12.75">
      <c r="A8" s="3">
        <f ca="1">IFERROR(__xludf.DUMMYFUNCTION("""COMPUTED_VALUE"""),5003)</f>
        <v>5003</v>
      </c>
      <c r="B8" s="3" t="str">
        <f ca="1">IFERROR(__xludf.DUMMYFUNCTION("""COMPUTED_VALUE"""),"1573945_chessapilixin")</f>
        <v>1573945_chessapilixin</v>
      </c>
      <c r="C8" s="3" t="str">
        <f ca="1">IFERROR(__xludf.DUMMYFUNCTION("""COMPUTED_VALUE"""),"外放(EMC)")</f>
        <v>外放(EMC)</v>
      </c>
      <c r="D8" s="3" t="str">
        <f ca="1">IFERROR(__xludf.DUMMYFUNCTION("""COMPUTED_VALUE"""),"人民幣")</f>
        <v>人民幣</v>
      </c>
      <c r="E8" s="3" t="str">
        <f ca="1">IFERROR(__xludf.DUMMYFUNCTION("""COMPUTED_VALUE"""),"CNY")</f>
        <v>CNY</v>
      </c>
      <c r="F8" s="3">
        <f ca="1">VLOOKUP(E8, 幣別!B:D, 3, FALSE)</f>
        <v>0</v>
      </c>
    </row>
    <row r="9" spans="1:6" ht="12.75">
      <c r="A9" s="3">
        <f ca="1">IFERROR(__xludf.DUMMYFUNCTION("""COMPUTED_VALUE"""),5004)</f>
        <v>5004</v>
      </c>
      <c r="B9" s="3" t="str">
        <f ca="1">IFERROR(__xludf.DUMMYFUNCTION("""COMPUTED_VALUE"""),"1574372_chessapilixin")</f>
        <v>1574372_chessapilixin</v>
      </c>
      <c r="C9" s="3" t="str">
        <f ca="1">IFERROR(__xludf.DUMMYFUNCTION("""COMPUTED_VALUE"""),"租用 (目前使用: 全租用利鑫)")</f>
        <v>租用 (目前使用: 全租用利鑫)</v>
      </c>
      <c r="D9" s="3" t="str">
        <f ca="1">IFERROR(__xludf.DUMMYFUNCTION("""COMPUTED_VALUE"""),"人民幣")</f>
        <v>人民幣</v>
      </c>
      <c r="E9" s="3" t="str">
        <f ca="1">IFERROR(__xludf.DUMMYFUNCTION("""COMPUTED_VALUE"""),"CNY")</f>
        <v>CNY</v>
      </c>
      <c r="F9" s="3">
        <f ca="1">VLOOKUP(E9, 幣別!B:D, 3, FALSE)</f>
        <v>0</v>
      </c>
    </row>
    <row r="10" spans="1:6" ht="12.75">
      <c r="A10" s="3">
        <f ca="1">IFERROR(__xludf.DUMMYFUNCTION("""COMPUTED_VALUE"""),5008)</f>
        <v>5008</v>
      </c>
      <c r="B10" s="3" t="str">
        <f ca="1">IFERROR(__xludf.DUMMYFUNCTION("""COMPUTED_VALUE"""),"1581878_haocai")</f>
        <v>1581878_haocai</v>
      </c>
      <c r="C10" s="3" t="str">
        <f ca="1">IFERROR(__xludf.DUMMYFUNCTION("""COMPUTED_VALUE"""),"欢乐豪彩公司皮肤")</f>
        <v>欢乐豪彩公司皮肤</v>
      </c>
      <c r="D10" s="3" t="str">
        <f ca="1">IFERROR(__xludf.DUMMYFUNCTION("""COMPUTED_VALUE"""),"人民幣")</f>
        <v>人民幣</v>
      </c>
      <c r="E10" s="3" t="str">
        <f ca="1">IFERROR(__xludf.DUMMYFUNCTION("""COMPUTED_VALUE"""),"CNY")</f>
        <v>CNY</v>
      </c>
      <c r="F10" s="3">
        <f ca="1">VLOOKUP(E10, 幣別!B:D, 3, FALSE)</f>
        <v>0</v>
      </c>
    </row>
    <row r="11" spans="1:6" ht="12.75">
      <c r="A11" s="3">
        <f ca="1">IFERROR(__xludf.DUMMYFUNCTION("""COMPUTED_VALUE"""),5009)</f>
        <v>5009</v>
      </c>
      <c r="B11" s="3" t="str">
        <f ca="1">IFERROR(__xludf.DUMMYFUNCTION("""COMPUTED_VALUE"""),"1581879_haocai")</f>
        <v>1581879_haocai</v>
      </c>
      <c r="C11" s="3" t="str">
        <f ca="1">IFERROR(__xludf.DUMMYFUNCTION("""COMPUTED_VALUE"""),"欢乐租用公司皮肤 (目前使用: 全租用歡樂)")</f>
        <v>欢乐租用公司皮肤 (目前使用: 全租用歡樂)</v>
      </c>
      <c r="D11" s="3" t="str">
        <f ca="1">IFERROR(__xludf.DUMMYFUNCTION("""COMPUTED_VALUE"""),"人民幣")</f>
        <v>人民幣</v>
      </c>
      <c r="E11" s="3" t="str">
        <f ca="1">IFERROR(__xludf.DUMMYFUNCTION("""COMPUTED_VALUE"""),"CNY")</f>
        <v>CNY</v>
      </c>
      <c r="F11" s="3">
        <f ca="1">VLOOKUP(E11, 幣別!B:D, 3, FALSE)</f>
        <v>0</v>
      </c>
    </row>
    <row r="12" spans="1:6" ht="12.75">
      <c r="A12" s="3">
        <f ca="1">IFERROR(__xludf.DUMMYFUNCTION("""COMPUTED_VALUE"""),5010)</f>
        <v>5010</v>
      </c>
      <c r="B12" s="3" t="str">
        <f ca="1">IFERROR(__xludf.DUMMYFUNCTION("""COMPUTED_VALUE"""),"1581880_haocai")</f>
        <v>1581880_haocai</v>
      </c>
      <c r="C12" s="3" t="str">
        <f ca="1">IFERROR(__xludf.DUMMYFUNCTION("""COMPUTED_VALUE"""),"欢乐外放公司皮肤")</f>
        <v>欢乐外放公司皮肤</v>
      </c>
      <c r="D12" s="3" t="str">
        <f ca="1">IFERROR(__xludf.DUMMYFUNCTION("""COMPUTED_VALUE"""),"人民幣")</f>
        <v>人民幣</v>
      </c>
      <c r="E12" s="3" t="str">
        <f ca="1">IFERROR(__xludf.DUMMYFUNCTION("""COMPUTED_VALUE"""),"CNY")</f>
        <v>CNY</v>
      </c>
      <c r="F12" s="3">
        <f ca="1">VLOOKUP(E12, 幣別!B:D, 3, FALSE)</f>
        <v>0</v>
      </c>
    </row>
    <row r="13" spans="1:6" ht="12.75">
      <c r="A13" s="3">
        <f ca="1">IFERROR(__xludf.DUMMYFUNCTION("""COMPUTED_VALUE"""),5029)</f>
        <v>5029</v>
      </c>
      <c r="B13" s="3" t="str">
        <f ca="1">IFERROR(__xludf.DUMMYFUNCTION("""COMPUTED_VALUE"""),"1783032_chessapilxwfgfg")</f>
        <v>1783032_chessapilxwfgfg</v>
      </c>
      <c r="C13" s="3" t="str">
        <f ca="1">IFERROR(__xludf.DUMMYFUNCTION("""COMPUTED_VALUE"""),"大运电子(EMC電子+彩票GFG)")</f>
        <v>大运电子(EMC電子+彩票GFG)</v>
      </c>
      <c r="D13" s="3" t="str">
        <f ca="1">IFERROR(__xludf.DUMMYFUNCTION("""COMPUTED_VALUE"""),"人民幣")</f>
        <v>人民幣</v>
      </c>
      <c r="E13" s="3" t="str">
        <f ca="1">IFERROR(__xludf.DUMMYFUNCTION("""COMPUTED_VALUE"""),"CNY")</f>
        <v>CNY</v>
      </c>
      <c r="F13" s="3">
        <f ca="1">VLOOKUP(E13, 幣別!B:D, 3, FALSE)</f>
        <v>0</v>
      </c>
    </row>
    <row r="14" spans="1:6" ht="12.75">
      <c r="A14" s="3">
        <f ca="1">IFERROR(__xludf.DUMMYFUNCTION("""COMPUTED_VALUE"""),5030)</f>
        <v>5030</v>
      </c>
      <c r="B14" s="3" t="str">
        <f ca="1">IFERROR(__xludf.DUMMYFUNCTION("""COMPUTED_VALUE"""),"1784194_chessapilxwfgfg")</f>
        <v>1784194_chessapilxwfgfg</v>
      </c>
      <c r="C14" s="3" t="str">
        <f ca="1">IFERROR(__xludf.DUMMYFUNCTION("""COMPUTED_VALUE"""),"大运电子-正式环境测试公司")</f>
        <v>大运电子-正式环境测试公司</v>
      </c>
      <c r="D14" s="3" t="str">
        <f ca="1">IFERROR(__xludf.DUMMYFUNCTION("""COMPUTED_VALUE"""),"人民幣")</f>
        <v>人民幣</v>
      </c>
      <c r="E14" s="3" t="str">
        <f ca="1">IFERROR(__xludf.DUMMYFUNCTION("""COMPUTED_VALUE"""),"CNY")</f>
        <v>CNY</v>
      </c>
      <c r="F14" s="3">
        <f ca="1">VLOOKUP(E14, 幣別!B:D, 3, FALSE)</f>
        <v>0</v>
      </c>
    </row>
    <row r="15" spans="1:6" ht="12.75">
      <c r="A15" s="3">
        <f ca="1">IFERROR(__xludf.DUMMYFUNCTION("""COMPUTED_VALUE"""),5031)</f>
        <v>5031</v>
      </c>
      <c r="B15" s="3" t="str">
        <f ca="1">IFERROR(__xludf.DUMMYFUNCTION("""COMPUTED_VALUE"""),"1797427_chessapilxwfgfg")</f>
        <v>1797427_chessapilxwfgfg</v>
      </c>
      <c r="C15" s="3" t="str">
        <f ca="1">IFERROR(__xludf.DUMMYFUNCTION("""COMPUTED_VALUE"""),"韩国捕鱼-hanguo66")</f>
        <v>韩国捕鱼-hanguo66</v>
      </c>
      <c r="D15" s="3" t="str">
        <f ca="1">IFERROR(__xludf.DUMMYFUNCTION("""COMPUTED_VALUE"""),"韓圓")</f>
        <v>韓圓</v>
      </c>
      <c r="E15" s="3" t="str">
        <f ca="1">IFERROR(__xludf.DUMMYFUNCTION("""COMPUTED_VALUE"""),"KRW")</f>
        <v>KRW</v>
      </c>
      <c r="F15" s="3" t="str">
        <f ca="1">VLOOKUP(E15, 幣別!B:D, 3, FALSE)</f>
        <v>CNYKRW</v>
      </c>
    </row>
    <row r="16" spans="1:6" ht="12.75">
      <c r="A16" s="3">
        <f ca="1">IFERROR(__xludf.DUMMYFUNCTION("""COMPUTED_VALUE"""),5032)</f>
        <v>5032</v>
      </c>
      <c r="B16" s="3" t="str">
        <f ca="1">IFERROR(__xludf.DUMMYFUNCTION("""COMPUTED_VALUE"""),"1797652_chessapilxwfgfg")</f>
        <v>1797652_chessapilxwfgfg</v>
      </c>
      <c r="C16" s="3" t="str">
        <f ca="1">IFERROR(__xludf.DUMMYFUNCTION("""COMPUTED_VALUE"""),"菲律宾捕鱼-Lodi777平台")</f>
        <v>菲律宾捕鱼-Lodi777平台</v>
      </c>
      <c r="D16" s="3" t="str">
        <f ca="1">IFERROR(__xludf.DUMMYFUNCTION("""COMPUTED_VALUE"""),"菲律賓披索")</f>
        <v>菲律賓披索</v>
      </c>
      <c r="E16" s="3" t="str">
        <f ca="1">IFERROR(__xludf.DUMMYFUNCTION("""COMPUTED_VALUE"""),"PHP")</f>
        <v>PHP</v>
      </c>
      <c r="F16" s="3" t="str">
        <f ca="1">VLOOKUP(E16, 幣別!B:D, 3, FALSE)</f>
        <v>CNYPHP</v>
      </c>
    </row>
    <row r="17" spans="1:6" ht="12.75">
      <c r="A17" s="3">
        <f ca="1">IFERROR(__xludf.DUMMYFUNCTION("""COMPUTED_VALUE"""),5033)</f>
        <v>5033</v>
      </c>
      <c r="B17" s="3" t="str">
        <f ca="1">IFERROR(__xludf.DUMMYFUNCTION("""COMPUTED_VALUE"""),"1797729_chessapilxwfgfg")</f>
        <v>1797729_chessapilxwfgfg</v>
      </c>
      <c r="C17" s="3" t="str">
        <f ca="1">IFERROR(__xludf.DUMMYFUNCTION("""COMPUTED_VALUE"""),"菲律宾捕鱼-Bouns365平台")</f>
        <v>菲律宾捕鱼-Bouns365平台</v>
      </c>
      <c r="D17" s="3" t="str">
        <f ca="1">IFERROR(__xludf.DUMMYFUNCTION("""COMPUTED_VALUE"""),"菲律賓披索")</f>
        <v>菲律賓披索</v>
      </c>
      <c r="E17" s="3" t="str">
        <f ca="1">IFERROR(__xludf.DUMMYFUNCTION("""COMPUTED_VALUE"""),"PHP")</f>
        <v>PHP</v>
      </c>
      <c r="F17" s="3" t="str">
        <f ca="1">VLOOKUP(E17, 幣別!B:D, 3, FALSE)</f>
        <v>CNYPHP</v>
      </c>
    </row>
    <row r="18" spans="1:6" ht="12.75">
      <c r="A18" s="3">
        <f ca="1">IFERROR(__xludf.DUMMYFUNCTION("""COMPUTED_VALUE"""),5036)</f>
        <v>5036</v>
      </c>
      <c r="B18" s="3" t="str">
        <f ca="1">IFERROR(__xludf.DUMMYFUNCTION("""COMPUTED_VALUE"""),"1846685_chessapilixin")</f>
        <v>1846685_chessapilixin</v>
      </c>
      <c r="C18" s="3" t="str">
        <f ca="1">IFERROR(__xludf.DUMMYFUNCTION("""COMPUTED_VALUE"""),"大运棋牌api-ANOE8平台-正式公司S004皮肤")</f>
        <v>大运棋牌api-ANOE8平台-正式公司S004皮肤</v>
      </c>
      <c r="D18" s="3" t="str">
        <f ca="1">IFERROR(__xludf.DUMMYFUNCTION("""COMPUTED_VALUE"""),"馬來西亞令吉")</f>
        <v>馬來西亞令吉</v>
      </c>
      <c r="E18" s="3" t="str">
        <f ca="1">IFERROR(__xludf.DUMMYFUNCTION("""COMPUTED_VALUE"""),"MYR")</f>
        <v>MYR</v>
      </c>
      <c r="F18" s="3" t="str">
        <f ca="1">VLOOKUP(E18, 幣別!B:D, 3, FALSE)</f>
        <v>CNYMYR</v>
      </c>
    </row>
    <row r="19" spans="1:6" ht="12.75">
      <c r="A19" s="3">
        <f ca="1">IFERROR(__xludf.DUMMYFUNCTION("""COMPUTED_VALUE"""),5037)</f>
        <v>5037</v>
      </c>
      <c r="B19" s="3" t="str">
        <f ca="1">IFERROR(__xludf.DUMMYFUNCTION("""COMPUTED_VALUE"""),"1847592_chessapilixin")</f>
        <v>1847592_chessapilixin</v>
      </c>
      <c r="C19" s="3" t="str">
        <f ca="1">IFERROR(__xludf.DUMMYFUNCTION("""COMPUTED_VALUE"""),"菲律宾捕鱼-Lodi777平台-S004")</f>
        <v>菲律宾捕鱼-Lodi777平台-S004</v>
      </c>
      <c r="D19" s="3" t="str">
        <f ca="1">IFERROR(__xludf.DUMMYFUNCTION("""COMPUTED_VALUE"""),"菲律賓披索")</f>
        <v>菲律賓披索</v>
      </c>
      <c r="E19" s="3" t="str">
        <f ca="1">IFERROR(__xludf.DUMMYFUNCTION("""COMPUTED_VALUE"""),"PHP")</f>
        <v>PHP</v>
      </c>
      <c r="F19" s="3" t="str">
        <f ca="1">VLOOKUP(E19, 幣別!B:D, 3, FALSE)</f>
        <v>CNYPHP</v>
      </c>
    </row>
    <row r="20" spans="1:6" ht="12.75">
      <c r="A20" s="3">
        <f ca="1">IFERROR(__xludf.DUMMYFUNCTION("""COMPUTED_VALUE"""),5038)</f>
        <v>5038</v>
      </c>
      <c r="B20" s="3" t="str">
        <f ca="1">IFERROR(__xludf.DUMMYFUNCTION("""COMPUTED_VALUE"""),"1847665_chessapilixin")</f>
        <v>1847665_chessapilixin</v>
      </c>
      <c r="C20" s="3" t="str">
        <f ca="1">IFERROR(__xludf.DUMMYFUNCTION("""COMPUTED_VALUE"""),"大运棋牌api-正式环境测试公司-1847674-S004皮肤")</f>
        <v>大运棋牌api-正式环境测试公司-1847674-S004皮肤</v>
      </c>
      <c r="D20" s="3" t="str">
        <f ca="1">IFERROR(__xludf.DUMMYFUNCTION("""COMPUTED_VALUE"""),"人民幣")</f>
        <v>人民幣</v>
      </c>
      <c r="E20" s="3" t="str">
        <f ca="1">IFERROR(__xludf.DUMMYFUNCTION("""COMPUTED_VALUE"""),"CNY")</f>
        <v>CNY</v>
      </c>
      <c r="F20" s="3">
        <f ca="1">VLOOKUP(E20, 幣別!B:D, 3, FALSE)</f>
        <v>0</v>
      </c>
    </row>
    <row r="21" spans="1:6" ht="12.75">
      <c r="A21" s="3">
        <f ca="1">IFERROR(__xludf.DUMMYFUNCTION("""COMPUTED_VALUE"""),5039)</f>
        <v>5039</v>
      </c>
      <c r="B21" s="3" t="str">
        <f ca="1">IFERROR(__xludf.DUMMYFUNCTION("""COMPUTED_VALUE"""),"1847665_chessapilxwf")</f>
        <v>1847665_chessapilxwf</v>
      </c>
      <c r="C21" s="3" t="str">
        <f ca="1">IFERROR(__xludf.DUMMYFUNCTION("""COMPUTED_VALUE"""),"大运棋牌api-正式环境测试公司-1847675-S004皮肤")</f>
        <v>大运棋牌api-正式环境测试公司-1847675-S004皮肤</v>
      </c>
      <c r="D21" s="3" t="str">
        <f ca="1">IFERROR(__xludf.DUMMYFUNCTION("""COMPUTED_VALUE"""),"人民幣")</f>
        <v>人民幣</v>
      </c>
      <c r="E21" s="3" t="str">
        <f ca="1">IFERROR(__xludf.DUMMYFUNCTION("""COMPUTED_VALUE"""),"CNY")</f>
        <v>CNY</v>
      </c>
      <c r="F21" s="3">
        <f ca="1">VLOOKUP(E21, 幣別!B:D, 3, FALSE)</f>
        <v>0</v>
      </c>
    </row>
    <row r="22" spans="1:6" ht="12.75">
      <c r="A22" s="3">
        <f ca="1">IFERROR(__xludf.DUMMYFUNCTION("""COMPUTED_VALUE"""),5040)</f>
        <v>5040</v>
      </c>
      <c r="B22" s="3" t="str">
        <f ca="1">IFERROR(__xludf.DUMMYFUNCTION("""COMPUTED_VALUE"""),"1847665_chessapilxwfgfg")</f>
        <v>1847665_chessapilxwfgfg</v>
      </c>
      <c r="C22" s="3" t="str">
        <f ca="1">IFERROR(__xludf.DUMMYFUNCTION("""COMPUTED_VALUE"""),"大运棋牌api-正式环境测试公司-1847676-S004皮肤")</f>
        <v>大运棋牌api-正式环境测试公司-1847676-S004皮肤</v>
      </c>
      <c r="D22" s="3" t="str">
        <f ca="1">IFERROR(__xludf.DUMMYFUNCTION("""COMPUTED_VALUE"""),"人民幣")</f>
        <v>人民幣</v>
      </c>
      <c r="E22" s="3" t="str">
        <f ca="1">IFERROR(__xludf.DUMMYFUNCTION("""COMPUTED_VALUE"""),"CNY")</f>
        <v>CNY</v>
      </c>
      <c r="F22" s="3">
        <f ca="1">VLOOKUP(E22, 幣別!B:D, 3, FALSE)</f>
        <v>0</v>
      </c>
    </row>
    <row r="23" spans="1:6" ht="12.75">
      <c r="A23" s="3">
        <f ca="1">IFERROR(__xludf.DUMMYFUNCTION("""COMPUTED_VALUE"""),5042)</f>
        <v>5042</v>
      </c>
      <c r="B23" s="3" t="str">
        <f ca="1">IFERROR(__xludf.DUMMYFUNCTION("""COMPUTED_VALUE"""),"1853680_chessapilixin")</f>
        <v>1853680_chessapilixin</v>
      </c>
      <c r="C23" s="3" t="str">
        <f ca="1">IFERROR(__xludf.DUMMYFUNCTION("""COMPUTED_VALUE"""),"完美api-S004")</f>
        <v>完美api-S004</v>
      </c>
      <c r="D23" s="3" t="str">
        <f ca="1">IFERROR(__xludf.DUMMYFUNCTION("""COMPUTED_VALUE"""),"人民幣")</f>
        <v>人民幣</v>
      </c>
      <c r="E23" s="3" t="str">
        <f ca="1">IFERROR(__xludf.DUMMYFUNCTION("""COMPUTED_VALUE"""),"CNY")</f>
        <v>CNY</v>
      </c>
      <c r="F23" s="3">
        <f ca="1">VLOOKUP(E23, 幣別!B:D, 3, FALSE)</f>
        <v>0</v>
      </c>
    </row>
    <row r="24" spans="1:6" ht="12.75">
      <c r="A24" s="3">
        <f ca="1">IFERROR(__xludf.DUMMYFUNCTION("""COMPUTED_VALUE"""),5041)</f>
        <v>5041</v>
      </c>
      <c r="B24" s="3" t="str">
        <f ca="1">IFERROR(__xludf.DUMMYFUNCTION("""COMPUTED_VALUE"""),"1850836_chessapilixin")</f>
        <v>1850836_chessapilixin</v>
      </c>
      <c r="C24" s="3" t="str">
        <f ca="1">IFERROR(__xludf.DUMMYFUNCTION("""COMPUTED_VALUE"""),"后台配置成包网了-停用-大运棋牌api-马来i8-正式公司S004皮肤1，1级代理ID：1853833")</f>
        <v>后台配置成包网了-停用-大运棋牌api-马来i8-正式公司S004皮肤1，1级代理ID：1853833</v>
      </c>
      <c r="D24" s="3" t="str">
        <f ca="1">IFERROR(__xludf.DUMMYFUNCTION("""COMPUTED_VALUE"""),"人民幣")</f>
        <v>人民幣</v>
      </c>
      <c r="E24" s="3" t="str">
        <f ca="1">IFERROR(__xludf.DUMMYFUNCTION("""COMPUTED_VALUE"""),"CNY")</f>
        <v>CNY</v>
      </c>
      <c r="F24" s="3">
        <f ca="1">VLOOKUP(E24, 幣別!B:D, 3, FALSE)</f>
        <v>0</v>
      </c>
    </row>
    <row r="25" spans="1:6" ht="12.75">
      <c r="A25" s="3">
        <f ca="1">IFERROR(__xludf.DUMMYFUNCTION("""COMPUTED_VALUE"""),5043)</f>
        <v>5043</v>
      </c>
      <c r="B25" s="3" t="str">
        <f ca="1">IFERROR(__xludf.DUMMYFUNCTION("""COMPUTED_VALUE"""),"1850836_chessapilxwfgfg")</f>
        <v>1850836_chessapilxwfgfg</v>
      </c>
      <c r="C25" s="3" t="str">
        <f ca="1">IFERROR(__xludf.DUMMYFUNCTION("""COMPUTED_VALUE"""),"后台配置成包网了-停用-大运棋牌api-马来i8-正式公司S004皮肤2-1级代理ID： 1854827")</f>
        <v>后台配置成包网了-停用-大运棋牌api-马来i8-正式公司S004皮肤2-1级代理ID： 1854827</v>
      </c>
      <c r="D25" s="3" t="str">
        <f ca="1">IFERROR(__xludf.DUMMYFUNCTION("""COMPUTED_VALUE"""),"馬來西亞令吉")</f>
        <v>馬來西亞令吉</v>
      </c>
      <c r="E25" s="3" t="str">
        <f ca="1">IFERROR(__xludf.DUMMYFUNCTION("""COMPUTED_VALUE"""),"MYR")</f>
        <v>MYR</v>
      </c>
      <c r="F25" s="3" t="str">
        <f ca="1">VLOOKUP(E25, 幣別!B:D, 3, FALSE)</f>
        <v>CNYMYR</v>
      </c>
    </row>
    <row r="26" spans="1:6" ht="12.75">
      <c r="A26" s="3">
        <f ca="1">IFERROR(__xludf.DUMMYFUNCTION("""COMPUTED_VALUE"""),5044)</f>
        <v>5044</v>
      </c>
      <c r="B26" s="3" t="str">
        <f ca="1">IFERROR(__xludf.DUMMYFUNCTION("""COMPUTED_VALUE"""),"1850836_chessapilxwf")</f>
        <v>1850836_chessapilxwf</v>
      </c>
      <c r="C26" s="3" t="str">
        <f ca="1">IFERROR(__xludf.DUMMYFUNCTION("""COMPUTED_VALUE"""),"后台配置成包网了-停用-大运棋牌api-马来i8-正式公司S004皮肤3，1级代理ID：1854842")</f>
        <v>后台配置成包网了-停用-大运棋牌api-马来i8-正式公司S004皮肤3，1级代理ID：1854842</v>
      </c>
      <c r="D26" s="3" t="str">
        <f ca="1">IFERROR(__xludf.DUMMYFUNCTION("""COMPUTED_VALUE"""),"泰銖")</f>
        <v>泰銖</v>
      </c>
      <c r="E26" s="3" t="str">
        <f ca="1">IFERROR(__xludf.DUMMYFUNCTION("""COMPUTED_VALUE"""),"THB")</f>
        <v>THB</v>
      </c>
      <c r="F26" s="3" t="str">
        <f ca="1">VLOOKUP(E26, 幣別!B:D, 3, FALSE)</f>
        <v>CNYTHB</v>
      </c>
    </row>
    <row r="27" spans="1:6" ht="12.75">
      <c r="A27" s="3">
        <f ca="1">IFERROR(__xludf.DUMMYFUNCTION("""COMPUTED_VALUE"""),5045)</f>
        <v>5045</v>
      </c>
      <c r="B27" s="3" t="str">
        <f ca="1">IFERROR(__xludf.DUMMYFUNCTION("""COMPUTED_VALUE"""),"1850836_chessapilxzy")</f>
        <v>1850836_chessapilxzy</v>
      </c>
      <c r="C27" s="3" t="str">
        <f ca="1">IFERROR(__xludf.DUMMYFUNCTION("""COMPUTED_VALUE"""),"后台配置成包网了-停用-大运棋牌api-马来i8-正式公司S004皮肤4，1级代理ID：1854849")</f>
        <v>后台配置成包网了-停用-大运棋牌api-马来i8-正式公司S004皮肤4，1级代理ID：1854849</v>
      </c>
      <c r="D27" s="3" t="str">
        <f ca="1">IFERROR(__xludf.DUMMYFUNCTION("""COMPUTED_VALUE"""),"越南盾")</f>
        <v>越南盾</v>
      </c>
      <c r="E27" s="3" t="str">
        <f ca="1">IFERROR(__xludf.DUMMYFUNCTION("""COMPUTED_VALUE"""),"VND")</f>
        <v>VND</v>
      </c>
      <c r="F27" s="3" t="str">
        <f ca="1">VLOOKUP(E27, 幣別!B:D, 3, FALSE)</f>
        <v>CNYVND</v>
      </c>
    </row>
    <row r="28" spans="1:6" ht="12.75">
      <c r="A28" s="3">
        <f ca="1">IFERROR(__xludf.DUMMYFUNCTION("""COMPUTED_VALUE"""),5046)</f>
        <v>5046</v>
      </c>
      <c r="B28" s="3" t="str">
        <f ca="1">IFERROR(__xludf.DUMMYFUNCTION("""COMPUTED_VALUE"""),"1850836_haocai")</f>
        <v>1850836_haocai</v>
      </c>
      <c r="C28" s="3" t="str">
        <f ca="1">IFERROR(__xludf.DUMMYFUNCTION("""COMPUTED_VALUE"""),"后台配置成包网了-停用-大运棋牌api-马来i8-正式公司S004皮肤5，1级代理ID：1854926")</f>
        <v>后台配置成包网了-停用-大运棋牌api-马来i8-正式公司S004皮肤5，1级代理ID：1854926</v>
      </c>
      <c r="D28" s="3" t="str">
        <f ca="1">IFERROR(__xludf.DUMMYFUNCTION("""COMPUTED_VALUE"""),"印尼盾")</f>
        <v>印尼盾</v>
      </c>
      <c r="E28" s="3" t="str">
        <f ca="1">IFERROR(__xludf.DUMMYFUNCTION("""COMPUTED_VALUE"""),"IDR")</f>
        <v>IDR</v>
      </c>
      <c r="F28" s="3" t="str">
        <f ca="1">VLOOKUP(E28, 幣別!B:D, 3, FALSE)</f>
        <v>CNYIDR</v>
      </c>
    </row>
    <row r="29" spans="1:6" ht="12.75">
      <c r="A29" s="3">
        <f ca="1">IFERROR(__xludf.DUMMYFUNCTION("""COMPUTED_VALUE"""),5047)</f>
        <v>5047</v>
      </c>
      <c r="B29" s="3" t="str">
        <f ca="1">IFERROR(__xludf.DUMMYFUNCTION("""COMPUTED_VALUE"""),"1850836_chessqpw")</f>
        <v>1850836_chessqpw</v>
      </c>
      <c r="C29" s="3" t="str">
        <f ca="1">IFERROR(__xludf.DUMMYFUNCTION("""COMPUTED_VALUE"""),"后台配置成包网了-停用-大运棋牌api-马来i8-正式公司S004皮肤6，1级代理ID：1854935")</f>
        <v>后台配置成包网了-停用-大运棋牌api-马来i8-正式公司S004皮肤6，1级代理ID：1854935</v>
      </c>
      <c r="D29" s="3" t="str">
        <f ca="1">IFERROR(__xludf.DUMMYFUNCTION("""COMPUTED_VALUE"""),"新加坡元")</f>
        <v>新加坡元</v>
      </c>
      <c r="E29" s="3" t="str">
        <f ca="1">IFERROR(__xludf.DUMMYFUNCTION("""COMPUTED_VALUE"""),"SGD")</f>
        <v>SGD</v>
      </c>
      <c r="F29" s="3" t="str">
        <f ca="1">VLOOKUP(E29, 幣別!B:D, 3, FALSE)</f>
        <v>CNYSGD</v>
      </c>
    </row>
    <row r="30" spans="1:6" ht="12.75">
      <c r="A30" s="3">
        <f ca="1">IFERROR(__xludf.DUMMYFUNCTION("""COMPUTED_VALUE"""),5048)</f>
        <v>5048</v>
      </c>
      <c r="B30" s="3" t="str">
        <f ca="1">IFERROR(__xludf.DUMMYFUNCTION("""COMPUTED_VALUE"""),"1850836_chess800")</f>
        <v>1850836_chess800</v>
      </c>
      <c r="C30" s="3" t="str">
        <f ca="1">IFERROR(__xludf.DUMMYFUNCTION("""COMPUTED_VALUE"""),"后台配置成包网了-停用-大运棋牌api-马来i8-正式公司S004皮肤7，1级代理ID：1854942")</f>
        <v>后台配置成包网了-停用-大运棋牌api-马来i8-正式公司S004皮肤7，1级代理ID：1854942</v>
      </c>
      <c r="D30" s="3" t="str">
        <f ca="1">IFERROR(__xludf.DUMMYFUNCTION("""COMPUTED_VALUE"""),"菲律賓披索")</f>
        <v>菲律賓披索</v>
      </c>
      <c r="E30" s="3" t="str">
        <f ca="1">IFERROR(__xludf.DUMMYFUNCTION("""COMPUTED_VALUE"""),"PHP")</f>
        <v>PHP</v>
      </c>
      <c r="F30" s="3" t="str">
        <f ca="1">VLOOKUP(E30, 幣別!B:D, 3, FALSE)</f>
        <v>CNYPHP</v>
      </c>
    </row>
    <row r="31" spans="1:6" ht="12.75">
      <c r="A31" s="3">
        <f ca="1">IFERROR(__xludf.DUMMYFUNCTION("""COMPUTED_VALUE"""),5049)</f>
        <v>5049</v>
      </c>
      <c r="B31" s="3" t="str">
        <f ca="1">IFERROR(__xludf.DUMMYFUNCTION("""COMPUTED_VALUE"""),"1906176_chessapilixin")</f>
        <v>1906176_chessapilixin</v>
      </c>
      <c r="C31" s="3" t="str">
        <f ca="1">IFERROR(__xludf.DUMMYFUNCTION("""COMPUTED_VALUE"""),"大运棋牌api-马来i8-正式公司S007-皮肤1-1级代理ID： 1906318")</f>
        <v>大运棋牌api-马来i8-正式公司S007-皮肤1-1级代理ID： 1906318</v>
      </c>
      <c r="D31" s="3" t="str">
        <f ca="1">IFERROR(__xludf.DUMMYFUNCTION("""COMPUTED_VALUE"""),"人民幣")</f>
        <v>人民幣</v>
      </c>
      <c r="E31" s="3" t="str">
        <f ca="1">IFERROR(__xludf.DUMMYFUNCTION("""COMPUTED_VALUE"""),"CNY")</f>
        <v>CNY</v>
      </c>
      <c r="F31" s="3">
        <f ca="1">VLOOKUP(E31, 幣別!B:D, 3, FALSE)</f>
        <v>0</v>
      </c>
    </row>
    <row r="32" spans="1:6" ht="12.75">
      <c r="A32" s="3">
        <f ca="1">IFERROR(__xludf.DUMMYFUNCTION("""COMPUTED_VALUE"""),5050)</f>
        <v>5050</v>
      </c>
      <c r="B32" s="3" t="str">
        <f ca="1">IFERROR(__xludf.DUMMYFUNCTION("""COMPUTED_VALUE"""),"1906176_chessapilxwfgfg")</f>
        <v>1906176_chessapilxwfgfg</v>
      </c>
      <c r="C32" s="3" t="str">
        <f ca="1">IFERROR(__xludf.DUMMYFUNCTION("""COMPUTED_VALUE"""),"大运棋牌api-马来i8-正式公司S007-皮肤2-1级代理ID： 1906327")</f>
        <v>大运棋牌api-马来i8-正式公司S007-皮肤2-1级代理ID： 1906327</v>
      </c>
      <c r="D32" s="3" t="str">
        <f ca="1">IFERROR(__xludf.DUMMYFUNCTION("""COMPUTED_VALUE"""),"馬來西亞令吉")</f>
        <v>馬來西亞令吉</v>
      </c>
      <c r="E32" s="3" t="str">
        <f ca="1">IFERROR(__xludf.DUMMYFUNCTION("""COMPUTED_VALUE"""),"MYR")</f>
        <v>MYR</v>
      </c>
      <c r="F32" s="3" t="str">
        <f ca="1">VLOOKUP(E32, 幣別!B:D, 3, FALSE)</f>
        <v>CNYMYR</v>
      </c>
    </row>
    <row r="33" spans="1:6" ht="12.75">
      <c r="A33" s="3">
        <f ca="1">IFERROR(__xludf.DUMMYFUNCTION("""COMPUTED_VALUE"""),5051)</f>
        <v>5051</v>
      </c>
      <c r="B33" s="3" t="str">
        <f ca="1">IFERROR(__xludf.DUMMYFUNCTION("""COMPUTED_VALUE"""),"1906176_chessapilxwf")</f>
        <v>1906176_chessapilxwf</v>
      </c>
      <c r="C33" s="3" t="str">
        <f ca="1">IFERROR(__xludf.DUMMYFUNCTION("""COMPUTED_VALUE"""),"大运棋牌api-马来i8-正式公司S007-皮肤3，1级代理ID：1906334")</f>
        <v>大运棋牌api-马来i8-正式公司S007-皮肤3，1级代理ID：1906334</v>
      </c>
      <c r="D33" s="3" t="str">
        <f ca="1">IFERROR(__xludf.DUMMYFUNCTION("""COMPUTED_VALUE"""),"泰銖")</f>
        <v>泰銖</v>
      </c>
      <c r="E33" s="3" t="str">
        <f ca="1">IFERROR(__xludf.DUMMYFUNCTION("""COMPUTED_VALUE"""),"THB")</f>
        <v>THB</v>
      </c>
      <c r="F33" s="3" t="str">
        <f ca="1">VLOOKUP(E33, 幣別!B:D, 3, FALSE)</f>
        <v>CNYTHB</v>
      </c>
    </row>
    <row r="34" spans="1:6" ht="12.75">
      <c r="A34" s="3">
        <f ca="1">IFERROR(__xludf.DUMMYFUNCTION("""COMPUTED_VALUE"""),5052)</f>
        <v>5052</v>
      </c>
      <c r="B34" s="3" t="str">
        <f ca="1">IFERROR(__xludf.DUMMYFUNCTION("""COMPUTED_VALUE"""),"1906176_chessapilxzy")</f>
        <v>1906176_chessapilxzy</v>
      </c>
      <c r="C34" s="3" t="str">
        <f ca="1">IFERROR(__xludf.DUMMYFUNCTION("""COMPUTED_VALUE"""),"大运棋牌api-马来i8-正式公司S007-皮肤4，1级代理ID：1906342")</f>
        <v>大运棋牌api-马来i8-正式公司S007-皮肤4，1级代理ID：1906342</v>
      </c>
      <c r="D34" s="3" t="str">
        <f ca="1">IFERROR(__xludf.DUMMYFUNCTION("""COMPUTED_VALUE"""),"越南盾")</f>
        <v>越南盾</v>
      </c>
      <c r="E34" s="3" t="str">
        <f ca="1">IFERROR(__xludf.DUMMYFUNCTION("""COMPUTED_VALUE"""),"VND")</f>
        <v>VND</v>
      </c>
      <c r="F34" s="3" t="str">
        <f ca="1">VLOOKUP(E34, 幣別!B:D, 3, FALSE)</f>
        <v>CNYVND</v>
      </c>
    </row>
    <row r="35" spans="1:6" ht="12.75">
      <c r="A35" s="3">
        <f ca="1">IFERROR(__xludf.DUMMYFUNCTION("""COMPUTED_VALUE"""),5053)</f>
        <v>5053</v>
      </c>
      <c r="B35" s="3" t="str">
        <f ca="1">IFERROR(__xludf.DUMMYFUNCTION("""COMPUTED_VALUE"""),"1906176_haocai")</f>
        <v>1906176_haocai</v>
      </c>
      <c r="C35" s="3" t="str">
        <f ca="1">IFERROR(__xludf.DUMMYFUNCTION("""COMPUTED_VALUE"""),"大运棋牌api-马来i8-正式公司S007-皮肤5，1级代理ID：1906347")</f>
        <v>大运棋牌api-马来i8-正式公司S007-皮肤5，1级代理ID：1906347</v>
      </c>
      <c r="D35" s="3" t="str">
        <f ca="1">IFERROR(__xludf.DUMMYFUNCTION("""COMPUTED_VALUE"""),"印尼盾")</f>
        <v>印尼盾</v>
      </c>
      <c r="E35" s="3" t="str">
        <f ca="1">IFERROR(__xludf.DUMMYFUNCTION("""COMPUTED_VALUE"""),"IDR")</f>
        <v>IDR</v>
      </c>
      <c r="F35" s="3" t="str">
        <f ca="1">VLOOKUP(E35, 幣別!B:D, 3, FALSE)</f>
        <v>CNYIDR</v>
      </c>
    </row>
    <row r="36" spans="1:6" ht="12.75">
      <c r="A36" s="3">
        <f ca="1">IFERROR(__xludf.DUMMYFUNCTION("""COMPUTED_VALUE"""),5054)</f>
        <v>5054</v>
      </c>
      <c r="B36" s="3" t="str">
        <f ca="1">IFERROR(__xludf.DUMMYFUNCTION("""COMPUTED_VALUE"""),"1906176_chessqpw")</f>
        <v>1906176_chessqpw</v>
      </c>
      <c r="C36" s="3" t="str">
        <f ca="1">IFERROR(__xludf.DUMMYFUNCTION("""COMPUTED_VALUE"""),"大运棋牌api-马来i8-正式公司S007-皮肤6，1级代理ID：1906355")</f>
        <v>大运棋牌api-马来i8-正式公司S007-皮肤6，1级代理ID：1906355</v>
      </c>
      <c r="D36" s="3" t="str">
        <f ca="1">IFERROR(__xludf.DUMMYFUNCTION("""COMPUTED_VALUE"""),"新加坡元")</f>
        <v>新加坡元</v>
      </c>
      <c r="E36" s="3" t="str">
        <f ca="1">IFERROR(__xludf.DUMMYFUNCTION("""COMPUTED_VALUE"""),"SGD")</f>
        <v>SGD</v>
      </c>
      <c r="F36" s="3" t="str">
        <f ca="1">VLOOKUP(E36, 幣別!B:D, 3, FALSE)</f>
        <v>CNYSGD</v>
      </c>
    </row>
    <row r="37" spans="1:6" ht="12.75">
      <c r="A37" s="3">
        <f ca="1">IFERROR(__xludf.DUMMYFUNCTION("""COMPUTED_VALUE"""),5055)</f>
        <v>5055</v>
      </c>
      <c r="B37" s="3" t="str">
        <f ca="1">IFERROR(__xludf.DUMMYFUNCTION("""COMPUTED_VALUE"""),"1906176_chess800")</f>
        <v>1906176_chess800</v>
      </c>
      <c r="C37" s="3" t="str">
        <f ca="1">IFERROR(__xludf.DUMMYFUNCTION("""COMPUTED_VALUE"""),"大运棋牌api-马来i8-正式公司S007-皮肤7，1级代理ID：1906358")</f>
        <v>大运棋牌api-马来i8-正式公司S007-皮肤7，1级代理ID：1906358</v>
      </c>
      <c r="D37" s="3" t="str">
        <f ca="1">IFERROR(__xludf.DUMMYFUNCTION("""COMPUTED_VALUE"""),"菲律賓披索")</f>
        <v>菲律賓披索</v>
      </c>
      <c r="E37" s="3" t="str">
        <f ca="1">IFERROR(__xludf.DUMMYFUNCTION("""COMPUTED_VALUE"""),"PHP")</f>
        <v>PHP</v>
      </c>
      <c r="F37" s="3" t="str">
        <f ca="1">VLOOKUP(E37, 幣別!B:D, 3, FALSE)</f>
        <v>CNYPHP</v>
      </c>
    </row>
    <row r="38" spans="1:6" ht="12.75">
      <c r="A38" s="3">
        <f ca="1">IFERROR(__xludf.DUMMYFUNCTION("""COMPUTED_VALUE"""),5056)</f>
        <v>5056</v>
      </c>
      <c r="B38" s="3" t="str">
        <f ca="1">IFERROR(__xludf.DUMMYFUNCTION("""COMPUTED_VALUE"""),"1971868_haocai")</f>
        <v>1971868_haocai</v>
      </c>
      <c r="C38" s="3" t="str">
        <f ca="1">IFERROR(__xludf.DUMMYFUNCTION("""COMPUTED_VALUE"""),"大运棋牌api-单一钱包-测试公司S007-皮肤1-1级代理ID： 1971886")</f>
        <v>大运棋牌api-单一钱包-测试公司S007-皮肤1-1级代理ID： 1971886</v>
      </c>
      <c r="D38" s="3" t="str">
        <f ca="1">IFERROR(__xludf.DUMMYFUNCTION("""COMPUTED_VALUE"""),"人民幣")</f>
        <v>人民幣</v>
      </c>
      <c r="E38" s="3" t="str">
        <f ca="1">IFERROR(__xludf.DUMMYFUNCTION("""COMPUTED_VALUE"""),"CNY")</f>
        <v>CNY</v>
      </c>
      <c r="F38" s="3">
        <f ca="1">VLOOKUP(E38, 幣別!B:D, 3, FALSE)</f>
        <v>0</v>
      </c>
    </row>
    <row r="39" spans="1:6" ht="12.75">
      <c r="A39" s="3">
        <f ca="1">IFERROR(__xludf.DUMMYFUNCTION("""COMPUTED_VALUE"""),5057)</f>
        <v>5057</v>
      </c>
      <c r="B39" s="3" t="str">
        <f ca="1">IFERROR(__xludf.DUMMYFUNCTION("""COMPUTED_VALUE"""),"1987201_chessapilixin")</f>
        <v>1987201_chessapilixin</v>
      </c>
      <c r="C39" s="3" t="str">
        <f ca="1">IFERROR(__xludf.DUMMYFUNCTION("""COMPUTED_VALUE"""),"大运棋牌api-韩国KB Gaming S007-1级代理ID： 1987211")</f>
        <v>大运棋牌api-韩国KB Gaming S007-1级代理ID： 1987211</v>
      </c>
      <c r="D39" s="3" t="str">
        <f ca="1">IFERROR(__xludf.DUMMYFUNCTION("""COMPUTED_VALUE"""),"韓圓")</f>
        <v>韓圓</v>
      </c>
      <c r="E39" s="3" t="str">
        <f ca="1">IFERROR(__xludf.DUMMYFUNCTION("""COMPUTED_VALUE"""),"KRW")</f>
        <v>KRW</v>
      </c>
      <c r="F39" s="3" t="str">
        <f ca="1">VLOOKUP(E39, 幣別!B:D, 3, FALSE)</f>
        <v>CNYKRW</v>
      </c>
    </row>
    <row r="40" spans="1:6" ht="12.75">
      <c r="A40" s="3">
        <f ca="1">IFERROR(__xludf.DUMMYFUNCTION("""COMPUTED_VALUE"""),5058)</f>
        <v>5058</v>
      </c>
      <c r="B40" s="3" t="str">
        <f ca="1">IFERROR(__xludf.DUMMYFUNCTION("""COMPUTED_VALUE"""),"1987676_chessapilixin")</f>
        <v>1987676_chessapilixin</v>
      </c>
      <c r="C40" s="3" t="str">
        <f ca="1">IFERROR(__xludf.DUMMYFUNCTION("""COMPUTED_VALUE"""),"大运棋牌api-唯一钱包-TOT-老板娘区块链-1级代理ID：1988600")</f>
        <v>大运棋牌api-唯一钱包-TOT-老板娘区块链-1级代理ID：1988600</v>
      </c>
      <c r="D40" s="3" t="str">
        <f ca="1">IFERROR(__xludf.DUMMYFUNCTION("""COMPUTED_VALUE"""),"人民幣")</f>
        <v>人民幣</v>
      </c>
      <c r="E40" s="3" t="str">
        <f ca="1">IFERROR(__xludf.DUMMYFUNCTION("""COMPUTED_VALUE"""),"CNY")</f>
        <v>CNY</v>
      </c>
      <c r="F40" s="3">
        <f ca="1">VLOOKUP(E40, 幣別!B:D, 3, FALSE)</f>
        <v>0</v>
      </c>
    </row>
    <row r="41" spans="1:6" ht="12.75">
      <c r="A41" s="3">
        <f ca="1">IFERROR(__xludf.DUMMYFUNCTION("""COMPUTED_VALUE"""),5059)</f>
        <v>5059</v>
      </c>
      <c r="B41" s="3" t="str">
        <f ca="1">IFERROR(__xludf.DUMMYFUNCTION("""COMPUTED_VALUE"""),"1987676_chessapilxwfgfg")</f>
        <v>1987676_chessapilxwfgfg</v>
      </c>
      <c r="C41" s="3" t="str">
        <f ca="1">IFERROR(__xludf.DUMMYFUNCTION("""COMPUTED_VALUE"""),"大运棋牌api-唯一钱包-TOT-老板娘区块链-1级代理ID：1988606")</f>
        <v>大运棋牌api-唯一钱包-TOT-老板娘区块链-1级代理ID：1988606</v>
      </c>
      <c r="D41" s="3" t="str">
        <f ca="1">IFERROR(__xludf.DUMMYFUNCTION("""COMPUTED_VALUE"""),"巴西雷亞爾")</f>
        <v>巴西雷亞爾</v>
      </c>
      <c r="E41" s="3" t="str">
        <f ca="1">IFERROR(__xludf.DUMMYFUNCTION("""COMPUTED_VALUE"""),"BRL")</f>
        <v>BRL</v>
      </c>
      <c r="F41" s="3" t="str">
        <f ca="1">VLOOKUP(E41, 幣別!B:D, 3, FALSE)</f>
        <v>CNYBRL</v>
      </c>
    </row>
    <row r="42" spans="1:6" ht="12.75">
      <c r="A42" s="3">
        <f ca="1">IFERROR(__xludf.DUMMYFUNCTION("""COMPUTED_VALUE"""),5060)</f>
        <v>5060</v>
      </c>
      <c r="B42" s="3" t="str">
        <f ca="1">IFERROR(__xludf.DUMMYFUNCTION("""COMPUTED_VALUE"""),"1987676_chessapilxwf")</f>
        <v>1987676_chessapilxwf</v>
      </c>
      <c r="C42" s="3" t="str">
        <f ca="1">IFERROR(__xludf.DUMMYFUNCTION("""COMPUTED_VALUE"""),"大运棋牌api-唯一钱包-TOT-老板娘区块链-1级代理ID：1988609")</f>
        <v>大运棋牌api-唯一钱包-TOT-老板娘区块链-1级代理ID：1988609</v>
      </c>
      <c r="D42" s="3" t="str">
        <f ca="1">IFERROR(__xludf.DUMMYFUNCTION("""COMPUTED_VALUE"""),"越南盾")</f>
        <v>越南盾</v>
      </c>
      <c r="E42" s="3" t="str">
        <f ca="1">IFERROR(__xludf.DUMMYFUNCTION("""COMPUTED_VALUE"""),"VND")</f>
        <v>VND</v>
      </c>
      <c r="F42" s="3" t="str">
        <f ca="1">VLOOKUP(E42, 幣別!B:D, 3, FALSE)</f>
        <v>CNYVND</v>
      </c>
    </row>
    <row r="43" spans="1:6" ht="12.75">
      <c r="A43" s="3">
        <f ca="1">IFERROR(__xludf.DUMMYFUNCTION("""COMPUTED_VALUE"""),5061)</f>
        <v>5061</v>
      </c>
      <c r="B43" s="3" t="str">
        <f ca="1">IFERROR(__xludf.DUMMYFUNCTION("""COMPUTED_VALUE"""),"1987676_chessapilxzy")</f>
        <v>1987676_chessapilxzy</v>
      </c>
      <c r="C43" s="3" t="str">
        <f ca="1">IFERROR(__xludf.DUMMYFUNCTION("""COMPUTED_VALUE"""),"大运棋牌api-唯一钱包-TOT-老板娘区块链-1级代理ID：1988610")</f>
        <v>大运棋牌api-唯一钱包-TOT-老板娘区块链-1级代理ID：1988610</v>
      </c>
      <c r="D43" s="3" t="str">
        <f ca="1">IFERROR(__xludf.DUMMYFUNCTION("""COMPUTED_VALUE"""),"印尼盾")</f>
        <v>印尼盾</v>
      </c>
      <c r="E43" s="3" t="str">
        <f ca="1">IFERROR(__xludf.DUMMYFUNCTION("""COMPUTED_VALUE"""),"IDR")</f>
        <v>IDR</v>
      </c>
      <c r="F43" s="3" t="str">
        <f ca="1">VLOOKUP(E43, 幣別!B:D, 3, FALSE)</f>
        <v>CNYIDR</v>
      </c>
    </row>
    <row r="44" spans="1:6" ht="12.75">
      <c r="A44" s="3">
        <f ca="1">IFERROR(__xludf.DUMMYFUNCTION("""COMPUTED_VALUE"""),5062)</f>
        <v>5062</v>
      </c>
      <c r="B44" s="3" t="str">
        <f ca="1">IFERROR(__xludf.DUMMYFUNCTION("""COMPUTED_VALUE"""),"1987676_haocai")</f>
        <v>1987676_haocai</v>
      </c>
      <c r="C44" s="3" t="str">
        <f ca="1">IFERROR(__xludf.DUMMYFUNCTION("""COMPUTED_VALUE"""),"大运棋牌api-唯一钱包-TOT-老板娘区块链-1级代理ID：1988603")</f>
        <v>大运棋牌api-唯一钱包-TOT-老板娘区块链-1级代理ID：1988603</v>
      </c>
      <c r="D44" s="3" t="str">
        <f ca="1">IFERROR(__xludf.DUMMYFUNCTION("""COMPUTED_VALUE"""),"美元")</f>
        <v>美元</v>
      </c>
      <c r="E44" s="3" t="str">
        <f ca="1">IFERROR(__xludf.DUMMYFUNCTION("""COMPUTED_VALUE"""),"USD")</f>
        <v>USD</v>
      </c>
      <c r="F44" s="3" t="str">
        <f ca="1">VLOOKUP(E44, 幣別!B:D, 3, FALSE)</f>
        <v>CNYUSD</v>
      </c>
    </row>
    <row r="45" spans="1:6" ht="12.75">
      <c r="A45" s="3">
        <f ca="1">IFERROR(__xludf.DUMMYFUNCTION("""COMPUTED_VALUE"""),5063)</f>
        <v>5063</v>
      </c>
      <c r="B45" s="3" t="str">
        <f ca="1">IFERROR(__xludf.DUMMYFUNCTION("""COMPUTED_VALUE"""),"1987676_chessqpw")</f>
        <v>1987676_chessqpw</v>
      </c>
      <c r="C45" s="3" t="str">
        <f ca="1">IFERROR(__xludf.DUMMYFUNCTION("""COMPUTED_VALUE"""),"大运棋牌api-唯一钱包-TOT-老板娘区块链-1级代理ID：1988612")</f>
        <v>大运棋牌api-唯一钱包-TOT-老板娘区块链-1级代理ID：1988612</v>
      </c>
      <c r="D45" s="3" t="str">
        <f ca="1">IFERROR(__xludf.DUMMYFUNCTION("""COMPUTED_VALUE"""),"日圓")</f>
        <v>日圓</v>
      </c>
      <c r="E45" s="3" t="str">
        <f ca="1">IFERROR(__xludf.DUMMYFUNCTION("""COMPUTED_VALUE"""),"JPY")</f>
        <v>JPY</v>
      </c>
      <c r="F45" s="3" t="str">
        <f ca="1">VLOOKUP(E45, 幣別!B:D, 3, FALSE)</f>
        <v>CNYJPY</v>
      </c>
    </row>
    <row r="46" spans="1:6" ht="12.75">
      <c r="A46" s="3">
        <f ca="1">IFERROR(__xludf.DUMMYFUNCTION("""COMPUTED_VALUE"""),5065)</f>
        <v>5065</v>
      </c>
      <c r="B46" s="3" t="str">
        <f ca="1">IFERROR(__xludf.DUMMYFUNCTION("""COMPUTED_VALUE"""),"1990687_chessapilixin")</f>
        <v>1990687_chessapilixin</v>
      </c>
      <c r="C46" s="3" t="str">
        <f ca="1">IFERROR(__xludf.DUMMYFUNCTION("""COMPUTED_VALUE"""),"大运棋牌api-转账钱包-哈希专属测试-1级代理ID： 1990702")</f>
        <v>大运棋牌api-转账钱包-哈希专属测试-1级代理ID： 1990702</v>
      </c>
      <c r="D46" s="3" t="str">
        <f ca="1">IFERROR(__xludf.DUMMYFUNCTION("""COMPUTED_VALUE"""),"虛擬美金")</f>
        <v>虛擬美金</v>
      </c>
      <c r="E46" s="3" t="str">
        <f ca="1">IFERROR(__xludf.DUMMYFUNCTION("""COMPUTED_VALUE"""),"USDT")</f>
        <v>USDT</v>
      </c>
      <c r="F46" s="3" t="str">
        <f ca="1">VLOOKUP(E46, 幣別!B:D, 3, FALSE)</f>
        <v>CNYUSD</v>
      </c>
    </row>
    <row r="47" spans="1:6" ht="12.75">
      <c r="A47" s="3">
        <f ca="1">IFERROR(__xludf.DUMMYFUNCTION("""COMPUTED_VALUE"""),5066)</f>
        <v>5066</v>
      </c>
      <c r="B47" s="3" t="str">
        <f ca="1">IFERROR(__xludf.DUMMYFUNCTION("""COMPUTED_VALUE"""),"1990687_chessapilxwfgfg")</f>
        <v>1990687_chessapilxwfgfg</v>
      </c>
      <c r="C47" s="3" t="str">
        <f ca="1">IFERROR(__xludf.DUMMYFUNCTION("""COMPUTED_VALUE"""),"大运棋牌api-转账钱包-哈希专属测试-1级代理ID： 1990704")</f>
        <v>大运棋牌api-转账钱包-哈希专属测试-1级代理ID： 1990704</v>
      </c>
      <c r="D47" s="3" t="str">
        <f ca="1">IFERROR(__xludf.DUMMYFUNCTION("""COMPUTED_VALUE"""),"虛擬美金")</f>
        <v>虛擬美金</v>
      </c>
      <c r="E47" s="3" t="str">
        <f ca="1">IFERROR(__xludf.DUMMYFUNCTION("""COMPUTED_VALUE"""),"USDT")</f>
        <v>USDT</v>
      </c>
      <c r="F47" s="3" t="str">
        <f ca="1">VLOOKUP(E47, 幣別!B:D, 3, FALSE)</f>
        <v>CNYUSD</v>
      </c>
    </row>
    <row r="48" spans="1:6" ht="12.75">
      <c r="A48" s="3">
        <f ca="1">IFERROR(__xludf.DUMMYFUNCTION("""COMPUTED_VALUE"""),5067)</f>
        <v>5067</v>
      </c>
      <c r="B48" s="3" t="str">
        <f ca="1">IFERROR(__xludf.DUMMYFUNCTION("""COMPUTED_VALUE"""),"2009023_chessapilixin")</f>
        <v>2009023_chessapilixin</v>
      </c>
      <c r="C48" s="3" t="str">
        <f ca="1">IFERROR(__xludf.DUMMYFUNCTION("""COMPUTED_VALUE"""),"大运棋牌api-转账钱包-汛利娱乐-1级代理ID： 2009080")</f>
        <v>大运棋牌api-转账钱包-汛利娱乐-1级代理ID： 2009080</v>
      </c>
      <c r="D48" s="3" t="str">
        <f ca="1">IFERROR(__xludf.DUMMYFUNCTION("""COMPUTED_VALUE"""),"人民幣")</f>
        <v>人民幣</v>
      </c>
      <c r="E48" s="3" t="str">
        <f ca="1">IFERROR(__xludf.DUMMYFUNCTION("""COMPUTED_VALUE"""),"CNY")</f>
        <v>CNY</v>
      </c>
      <c r="F48" s="3">
        <f ca="1">VLOOKUP(E48, 幣別!B:D, 3, FALSE)</f>
        <v>0</v>
      </c>
    </row>
    <row r="49" spans="1:6" ht="12.75">
      <c r="A49" s="3">
        <f ca="1">IFERROR(__xludf.DUMMYFUNCTION("""COMPUTED_VALUE"""),5068)</f>
        <v>5068</v>
      </c>
      <c r="B49" s="3" t="str">
        <f ca="1">IFERROR(__xludf.DUMMYFUNCTION("""COMPUTED_VALUE"""),"1853680_chessapilxwfgfg")</f>
        <v>1853680_chessapilxwfgfg</v>
      </c>
      <c r="C49" s="3" t="str">
        <f ca="1">IFERROR(__xludf.DUMMYFUNCTION("""COMPUTED_VALUE"""),"大运棋牌api-转账钱包-完美包网API-1级代理ID： 2009892")</f>
        <v>大运棋牌api-转账钱包-完美包网API-1级代理ID： 2009892</v>
      </c>
      <c r="D49" s="3" t="str">
        <f ca="1">IFERROR(__xludf.DUMMYFUNCTION("""COMPUTED_VALUE"""),"菲律賓披索")</f>
        <v>菲律賓披索</v>
      </c>
      <c r="E49" s="3" t="str">
        <f ca="1">IFERROR(__xludf.DUMMYFUNCTION("""COMPUTED_VALUE"""),"PHP")</f>
        <v>PHP</v>
      </c>
      <c r="F49" s="3" t="str">
        <f ca="1">VLOOKUP(E49, 幣別!B:D, 3, FALSE)</f>
        <v>CNYPHP</v>
      </c>
    </row>
    <row r="50" spans="1:6" ht="12.75">
      <c r="A50" s="3">
        <f ca="1">IFERROR(__xludf.DUMMYFUNCTION("""COMPUTED_VALUE"""),5069)</f>
        <v>5069</v>
      </c>
      <c r="B50" s="3" t="str">
        <f ca="1">IFERROR(__xludf.DUMMYFUNCTION("""COMPUTED_VALUE"""),"2010881_chessapilixin")</f>
        <v>2010881_chessapilixin</v>
      </c>
      <c r="C50" s="3" t="str">
        <f ca="1">IFERROR(__xludf.DUMMYFUNCTION("""COMPUTED_VALUE"""),"大运棋牌api-转账钱包-完美厂长-1级代理ID： 2010892")</f>
        <v>大运棋牌api-转账钱包-完美厂长-1级代理ID： 2010892</v>
      </c>
      <c r="D50" s="3" t="str">
        <f ca="1">IFERROR(__xludf.DUMMYFUNCTION("""COMPUTED_VALUE"""),"人民幣")</f>
        <v>人民幣</v>
      </c>
      <c r="E50" s="3" t="str">
        <f ca="1">IFERROR(__xludf.DUMMYFUNCTION("""COMPUTED_VALUE"""),"CNY")</f>
        <v>CNY</v>
      </c>
      <c r="F50" s="3">
        <f ca="1">VLOOKUP(E50, 幣別!B:D, 3, FALSE)</f>
        <v>0</v>
      </c>
    </row>
    <row r="51" spans="1:6" ht="12.75">
      <c r="A51" s="3">
        <f ca="1">IFERROR(__xludf.DUMMYFUNCTION("""COMPUTED_VALUE"""),5070)</f>
        <v>5070</v>
      </c>
      <c r="B51" s="3" t="str">
        <f ca="1">IFERROR(__xludf.DUMMYFUNCTION("""COMPUTED_VALUE"""),"1853680_chessapilxzy")</f>
        <v>1853680_chessapilxzy</v>
      </c>
      <c r="C51" s="3" t="str">
        <f ca="1">IFERROR(__xludf.DUMMYFUNCTION("""COMPUTED_VALUE"""),"大运棋牌api-转账钱包-完美api-1级代理ID： 2012205")</f>
        <v>大运棋牌api-转账钱包-完美api-1级代理ID： 2012205</v>
      </c>
      <c r="D51" s="3" t="str">
        <f ca="1">IFERROR(__xludf.DUMMYFUNCTION("""COMPUTED_VALUE"""),"越南盾")</f>
        <v>越南盾</v>
      </c>
      <c r="E51" s="3" t="str">
        <f ca="1">IFERROR(__xludf.DUMMYFUNCTION("""COMPUTED_VALUE"""),"VND")</f>
        <v>VND</v>
      </c>
      <c r="F51" s="3" t="str">
        <f ca="1">VLOOKUP(E51, 幣別!B:D, 3, FALSE)</f>
        <v>CNYVND</v>
      </c>
    </row>
    <row r="52" spans="1:6" ht="12.75">
      <c r="A52" s="3">
        <f ca="1">IFERROR(__xludf.DUMMYFUNCTION("""COMPUTED_VALUE"""),5071)</f>
        <v>5071</v>
      </c>
      <c r="B52" s="3" t="str">
        <f ca="1">IFERROR(__xludf.DUMMYFUNCTION("""COMPUTED_VALUE"""),"2012241_chessapilxwf")</f>
        <v>2012241_chessapilxwf</v>
      </c>
      <c r="C52" s="3" t="str">
        <f ca="1">IFERROR(__xludf.DUMMYFUNCTION("""COMPUTED_VALUE"""),"大运棋牌api-转账钱包-CMD368测试公司-1级代理ID： 2012483")</f>
        <v>大运棋牌api-转账钱包-CMD368测试公司-1级代理ID： 2012483</v>
      </c>
      <c r="D52" s="3" t="str">
        <f ca="1">IFERROR(__xludf.DUMMYFUNCTION("""COMPUTED_VALUE"""),"馬來西亞令吉")</f>
        <v>馬來西亞令吉</v>
      </c>
      <c r="E52" s="3" t="str">
        <f ca="1">IFERROR(__xludf.DUMMYFUNCTION("""COMPUTED_VALUE"""),"MYR")</f>
        <v>MYR</v>
      </c>
      <c r="F52" s="3" t="str">
        <f ca="1">VLOOKUP(E52, 幣別!B:D, 3, FALSE)</f>
        <v>CNYMYR</v>
      </c>
    </row>
    <row r="53" spans="1:6" ht="12.75">
      <c r="A53" s="3">
        <f ca="1">IFERROR(__xludf.DUMMYFUNCTION("""COMPUTED_VALUE"""),5072)</f>
        <v>5072</v>
      </c>
      <c r="B53" s="3" t="str">
        <f ca="1">IFERROR(__xludf.DUMMYFUNCTION("""COMPUTED_VALUE"""),"2012241_chessapilxzy")</f>
        <v>2012241_chessapilxzy</v>
      </c>
      <c r="C53" s="3" t="str">
        <f ca="1">IFERROR(__xludf.DUMMYFUNCTION("""COMPUTED_VALUE"""),"大运棋牌api-转账钱包-CMD368测试公司-1级代理ID： 2012493")</f>
        <v>大运棋牌api-转账钱包-CMD368测试公司-1级代理ID： 2012493</v>
      </c>
      <c r="D53" s="3" t="str">
        <f ca="1">IFERROR(__xludf.DUMMYFUNCTION("""COMPUTED_VALUE"""),"新加坡元")</f>
        <v>新加坡元</v>
      </c>
      <c r="E53" s="3" t="str">
        <f ca="1">IFERROR(__xludf.DUMMYFUNCTION("""COMPUTED_VALUE"""),"SGD")</f>
        <v>SGD</v>
      </c>
      <c r="F53" s="3" t="str">
        <f ca="1">VLOOKUP(E53, 幣別!B:D, 3, FALSE)</f>
        <v>CNYSGD</v>
      </c>
    </row>
    <row r="54" spans="1:6" ht="12.75">
      <c r="A54" s="3">
        <f ca="1">IFERROR(__xludf.DUMMYFUNCTION("""COMPUTED_VALUE"""),5073)</f>
        <v>5073</v>
      </c>
      <c r="B54" s="3" t="str">
        <f ca="1">IFERROR(__xludf.DUMMYFUNCTION("""COMPUTED_VALUE"""),"2012241_chessapilixin")</f>
        <v>2012241_chessapilixin</v>
      </c>
      <c r="C54" s="3" t="str">
        <f ca="1">IFERROR(__xludf.DUMMYFUNCTION("""COMPUTED_VALUE"""),"大运棋牌api-转账钱包-CMD368测试公司-1级代理ID： 2012475")</f>
        <v>大运棋牌api-转账钱包-CMD368测试公司-1级代理ID： 2012475</v>
      </c>
      <c r="D54" s="3" t="str">
        <f ca="1">IFERROR(__xludf.DUMMYFUNCTION("""COMPUTED_VALUE"""),"人民幣")</f>
        <v>人民幣</v>
      </c>
      <c r="E54" s="3" t="str">
        <f ca="1">IFERROR(__xludf.DUMMYFUNCTION("""COMPUTED_VALUE"""),"CNY")</f>
        <v>CNY</v>
      </c>
      <c r="F54" s="3">
        <f ca="1">VLOOKUP(E54, 幣別!B:D, 3, FALSE)</f>
        <v>0</v>
      </c>
    </row>
    <row r="55" spans="1:6" ht="12.75">
      <c r="A55" s="3">
        <f ca="1">IFERROR(__xludf.DUMMYFUNCTION("""COMPUTED_VALUE"""),5074)</f>
        <v>5074</v>
      </c>
      <c r="B55" s="3" t="str">
        <f ca="1">IFERROR(__xludf.DUMMYFUNCTION("""COMPUTED_VALUE"""),"2012241_chessapilxwfgfg")</f>
        <v>2012241_chessapilxwfgfg</v>
      </c>
      <c r="C55" s="3" t="str">
        <f ca="1">IFERROR(__xludf.DUMMYFUNCTION("""COMPUTED_VALUE"""),"大运棋牌api-转账钱包-CMD368测试公司-1级代理ID： 2012478")</f>
        <v>大运棋牌api-转账钱包-CMD368测试公司-1级代理ID： 2012478</v>
      </c>
      <c r="D55" s="3" t="str">
        <f ca="1">IFERROR(__xludf.DUMMYFUNCTION("""COMPUTED_VALUE"""),"印尼盾")</f>
        <v>印尼盾</v>
      </c>
      <c r="E55" s="3" t="str">
        <f ca="1">IFERROR(__xludf.DUMMYFUNCTION("""COMPUTED_VALUE"""),"IDR")</f>
        <v>IDR</v>
      </c>
      <c r="F55" s="3" t="str">
        <f ca="1">VLOOKUP(E55, 幣別!B:D, 3, FALSE)</f>
        <v>CNYIDR</v>
      </c>
    </row>
    <row r="56" spans="1:6" ht="12.75">
      <c r="A56" s="3">
        <f ca="1">IFERROR(__xludf.DUMMYFUNCTION("""COMPUTED_VALUE"""),5075)</f>
        <v>5075</v>
      </c>
      <c r="B56" s="3" t="str">
        <f ca="1">IFERROR(__xludf.DUMMYFUNCTION("""COMPUTED_VALUE"""),"2012241_gfgtest")</f>
        <v>2012241_gfgtest</v>
      </c>
      <c r="C56" s="3" t="str">
        <f ca="1">IFERROR(__xludf.DUMMYFUNCTION("""COMPUTED_VALUE"""),"大运棋牌api-转账钱包-CMD368测试公司-1级代理ID： 2012488")</f>
        <v>大运棋牌api-转账钱包-CMD368测试公司-1级代理ID： 2012488</v>
      </c>
      <c r="D56" s="3" t="str">
        <f ca="1">IFERROR(__xludf.DUMMYFUNCTION("""COMPUTED_VALUE"""),"越南盾")</f>
        <v>越南盾</v>
      </c>
      <c r="E56" s="3" t="str">
        <f ca="1">IFERROR(__xludf.DUMMYFUNCTION("""COMPUTED_VALUE"""),"VND")</f>
        <v>VND</v>
      </c>
      <c r="F56" s="3" t="str">
        <f ca="1">VLOOKUP(E56, 幣別!B:D, 3, FALSE)</f>
        <v>CNYVND</v>
      </c>
    </row>
    <row r="57" spans="1:6" ht="12.75">
      <c r="A57" s="3">
        <f ca="1">IFERROR(__xludf.DUMMYFUNCTION("""COMPUTED_VALUE"""),5076)</f>
        <v>5076</v>
      </c>
      <c r="B57" s="3" t="str">
        <f ca="1">IFERROR(__xludf.DUMMYFUNCTION("""COMPUTED_VALUE"""),"2012241_haocai")</f>
        <v>2012241_haocai</v>
      </c>
      <c r="C57" s="3" t="str">
        <f ca="1">IFERROR(__xludf.DUMMYFUNCTION("""COMPUTED_VALUE"""),"大运棋牌api-转账钱包-CMD368测试公司-1级代理ID： 2012484")</f>
        <v>大运棋牌api-转账钱包-CMD368测试公司-1级代理ID： 2012484</v>
      </c>
      <c r="D57" s="3" t="str">
        <f ca="1">IFERROR(__xludf.DUMMYFUNCTION("""COMPUTED_VALUE"""),"泰銖")</f>
        <v>泰銖</v>
      </c>
      <c r="E57" s="3" t="str">
        <f ca="1">IFERROR(__xludf.DUMMYFUNCTION("""COMPUTED_VALUE"""),"THB")</f>
        <v>THB</v>
      </c>
      <c r="F57" s="3" t="str">
        <f ca="1">VLOOKUP(E57, 幣別!B:D, 3, FALSE)</f>
        <v>CNYTHB</v>
      </c>
    </row>
    <row r="58" spans="1:6" ht="12.75">
      <c r="A58" s="3">
        <f ca="1">IFERROR(__xludf.DUMMYFUNCTION("""COMPUTED_VALUE"""),5077)</f>
        <v>5077</v>
      </c>
      <c r="B58" s="3" t="str">
        <f ca="1">IFERROR(__xludf.DUMMYFUNCTION("""COMPUTED_VALUE"""),"2013647_chessapilixin")</f>
        <v>2013647_chessapilixin</v>
      </c>
      <c r="C58" s="3" t="str">
        <f ca="1">IFERROR(__xludf.DUMMYFUNCTION("""COMPUTED_VALUE"""),"大运棋牌api-转账钱包-KBS越南-1级代理ID： 2013656")</f>
        <v>大运棋牌api-转账钱包-KBS越南-1级代理ID： 2013656</v>
      </c>
      <c r="D58" s="3" t="str">
        <f ca="1">IFERROR(__xludf.DUMMYFUNCTION("""COMPUTED_VALUE"""),"越南盾")</f>
        <v>越南盾</v>
      </c>
      <c r="E58" s="3" t="str">
        <f ca="1">IFERROR(__xludf.DUMMYFUNCTION("""COMPUTED_VALUE"""),"VND")</f>
        <v>VND</v>
      </c>
      <c r="F58" s="3" t="str">
        <f ca="1">VLOOKUP(E58, 幣別!B:D, 3, FALSE)</f>
        <v>CNYVND</v>
      </c>
    </row>
    <row r="59" spans="1:6" ht="12.75">
      <c r="A59" s="3">
        <f ca="1">IFERROR(__xludf.DUMMYFUNCTION("""COMPUTED_VALUE"""),5078)</f>
        <v>5078</v>
      </c>
      <c r="B59" s="3" t="str">
        <f ca="1">IFERROR(__xludf.DUMMYFUNCTION("""COMPUTED_VALUE"""),"2025744_chessapilixin")</f>
        <v>2025744_chessapilixin</v>
      </c>
      <c r="C59" s="3" t="str">
        <f ca="1">IFERROR(__xludf.DUMMYFUNCTION("""COMPUTED_VALUE"""),"大运棋牌api-转账钱包-哈希-1级代理ID： 2025752")</f>
        <v>大运棋牌api-转账钱包-哈希-1级代理ID： 2025752</v>
      </c>
      <c r="D59" s="3" t="str">
        <f ca="1">IFERROR(__xludf.DUMMYFUNCTION("""COMPUTED_VALUE"""),"虛擬美金")</f>
        <v>虛擬美金</v>
      </c>
      <c r="E59" s="3" t="str">
        <f ca="1">IFERROR(__xludf.DUMMYFUNCTION("""COMPUTED_VALUE"""),"USDT")</f>
        <v>USDT</v>
      </c>
      <c r="F59" s="3" t="str">
        <f ca="1">VLOOKUP(E59, 幣別!B:D, 3, FALSE)</f>
        <v>CNYUSD</v>
      </c>
    </row>
    <row r="60" spans="1:6" ht="12.75">
      <c r="A60" s="3">
        <f ca="1">IFERROR(__xludf.DUMMYFUNCTION("""COMPUTED_VALUE"""),5079)</f>
        <v>5079</v>
      </c>
      <c r="B60" s="3" t="str">
        <f ca="1">IFERROR(__xludf.DUMMYFUNCTION("""COMPUTED_VALUE"""),"2040590_chessapilixin")</f>
        <v>2040590_chessapilixin</v>
      </c>
      <c r="C60" s="3" t="str">
        <f ca="1">IFERROR(__xludf.DUMMYFUNCTION("""COMPUTED_VALUE"""),"大运棋牌api-单一钱包-河马API-1级代理ID： 2040594")</f>
        <v>大运棋牌api-单一钱包-河马API-1级代理ID： 2040594</v>
      </c>
      <c r="D60" s="3" t="str">
        <f ca="1">IFERROR(__xludf.DUMMYFUNCTION("""COMPUTED_VALUE"""),"虛擬美金")</f>
        <v>虛擬美金</v>
      </c>
      <c r="E60" s="3" t="str">
        <f ca="1">IFERROR(__xludf.DUMMYFUNCTION("""COMPUTED_VALUE"""),"USDT")</f>
        <v>USDT</v>
      </c>
      <c r="F60" s="3" t="str">
        <f ca="1">VLOOKUP(E60, 幣別!B:D, 3, FALSE)</f>
        <v>CNYUSD</v>
      </c>
    </row>
    <row r="61" spans="1:6" ht="12.75">
      <c r="A61" s="3">
        <f ca="1">IFERROR(__xludf.DUMMYFUNCTION("""COMPUTED_VALUE"""),5080)</f>
        <v>5080</v>
      </c>
      <c r="B61" s="3" t="str">
        <f ca="1">IFERROR(__xludf.DUMMYFUNCTION("""COMPUTED_VALUE"""),"2061036_chessapilixin")</f>
        <v>2061036_chessapilixin</v>
      </c>
      <c r="C61" s="3" t="str">
        <f ca="1">IFERROR(__xludf.DUMMYFUNCTION("""COMPUTED_VALUE"""),"大运棋牌api-转账钱包-卡卡体育-1级代理ID： 2061061")</f>
        <v>大运棋牌api-转账钱包-卡卡体育-1级代理ID： 2061061</v>
      </c>
      <c r="D61" s="3" t="str">
        <f ca="1">IFERROR(__xludf.DUMMYFUNCTION("""COMPUTED_VALUE"""),"人民幣")</f>
        <v>人民幣</v>
      </c>
      <c r="E61" s="3" t="str">
        <f ca="1">IFERROR(__xludf.DUMMYFUNCTION("""COMPUTED_VALUE"""),"CNY")</f>
        <v>CNY</v>
      </c>
      <c r="F61" s="3">
        <f ca="1">VLOOKUP(E61, 幣別!B:D, 3, FALSE)</f>
        <v>0</v>
      </c>
    </row>
    <row r="62" spans="1:6" ht="12.75">
      <c r="A62" s="3">
        <f ca="1">IFERROR(__xludf.DUMMYFUNCTION("""COMPUTED_VALUE"""),5081)</f>
        <v>5081</v>
      </c>
      <c r="B62" s="3" t="str">
        <f ca="1">IFERROR(__xludf.DUMMYFUNCTION("""COMPUTED_VALUE"""),"2104266_chessapilixin")</f>
        <v>2104266_chessapilixin</v>
      </c>
      <c r="C62" s="3" t="str">
        <f ca="1">IFERROR(__xludf.DUMMYFUNCTION("""COMPUTED_VALUE"""),"大运棋牌api-转账钱包-多语言租用-1级代理ID： 2104307")</f>
        <v>大运棋牌api-转账钱包-多语言租用-1级代理ID： 2104307</v>
      </c>
      <c r="D62" s="3" t="str">
        <f ca="1">IFERROR(__xludf.DUMMYFUNCTION("""COMPUTED_VALUE"""),"菲律賓披索")</f>
        <v>菲律賓披索</v>
      </c>
      <c r="E62" s="3" t="str">
        <f ca="1">IFERROR(__xludf.DUMMYFUNCTION("""COMPUTED_VALUE"""),"PHP")</f>
        <v>PHP</v>
      </c>
      <c r="F62" s="3" t="str">
        <f ca="1">VLOOKUP(E62, 幣別!B:D, 3, FALSE)</f>
        <v>CNYPHP</v>
      </c>
    </row>
    <row r="63" spans="1:6" ht="12.75">
      <c r="A63" s="3">
        <f ca="1">IFERROR(__xludf.DUMMYFUNCTION("""COMPUTED_VALUE"""),5082)</f>
        <v>5082</v>
      </c>
      <c r="B63" s="3" t="str">
        <f ca="1">IFERROR(__xludf.DUMMYFUNCTION("""COMPUTED_VALUE"""),"2111372_chessapilixin")</f>
        <v>2111372_chessapilixin</v>
      </c>
      <c r="C63" s="3" t="str">
        <f ca="1">IFERROR(__xludf.DUMMYFUNCTION("""COMPUTED_VALUE"""),"大运棋牌api-转账钱包-CMD368正式-1级代理ID： 2111377")</f>
        <v>大运棋牌api-转账钱包-CMD368正式-1级代理ID： 2111377</v>
      </c>
      <c r="D63" s="3" t="str">
        <f ca="1">IFERROR(__xludf.DUMMYFUNCTION("""COMPUTED_VALUE"""),"人民幣")</f>
        <v>人民幣</v>
      </c>
      <c r="E63" s="3" t="str">
        <f ca="1">IFERROR(__xludf.DUMMYFUNCTION("""COMPUTED_VALUE"""),"CNY")</f>
        <v>CNY</v>
      </c>
      <c r="F63" s="3">
        <f ca="1">VLOOKUP(E63, 幣別!B:D, 3, FALSE)</f>
        <v>0</v>
      </c>
    </row>
    <row r="64" spans="1:6" ht="12.75">
      <c r="A64" s="3">
        <f ca="1">IFERROR(__xludf.DUMMYFUNCTION("""COMPUTED_VALUE"""),5083)</f>
        <v>5083</v>
      </c>
      <c r="B64" s="3" t="str">
        <f ca="1">IFERROR(__xludf.DUMMYFUNCTION("""COMPUTED_VALUE"""),"2111372_chessapilxwfgfg")</f>
        <v>2111372_chessapilxwfgfg</v>
      </c>
      <c r="C64" s="3" t="str">
        <f ca="1">IFERROR(__xludf.DUMMYFUNCTION("""COMPUTED_VALUE"""),"大运棋牌api-转账钱包-CMD368正式-1级代理ID： 2111512")</f>
        <v>大运棋牌api-转账钱包-CMD368正式-1级代理ID： 2111512</v>
      </c>
      <c r="D64" s="3" t="str">
        <f ca="1">IFERROR(__xludf.DUMMYFUNCTION("""COMPUTED_VALUE"""),"印尼盾")</f>
        <v>印尼盾</v>
      </c>
      <c r="E64" s="3" t="str">
        <f ca="1">IFERROR(__xludf.DUMMYFUNCTION("""COMPUTED_VALUE"""),"IDR")</f>
        <v>IDR</v>
      </c>
      <c r="F64" s="3" t="str">
        <f ca="1">VLOOKUP(E64, 幣別!B:D, 3, FALSE)</f>
        <v>CNYIDR</v>
      </c>
    </row>
    <row r="65" spans="1:6" ht="12.75">
      <c r="A65" s="3">
        <f ca="1">IFERROR(__xludf.DUMMYFUNCTION("""COMPUTED_VALUE"""),5084)</f>
        <v>5084</v>
      </c>
      <c r="B65" s="3" t="str">
        <f ca="1">IFERROR(__xludf.DUMMYFUNCTION("""COMPUTED_VALUE"""),"2111372_chessapilxwf")</f>
        <v>2111372_chessapilxwf</v>
      </c>
      <c r="C65" s="3" t="str">
        <f ca="1">IFERROR(__xludf.DUMMYFUNCTION("""COMPUTED_VALUE"""),"大运棋牌api-转账钱包-CMD368正式-1级代理ID： 2111527")</f>
        <v>大运棋牌api-转账钱包-CMD368正式-1级代理ID： 2111527</v>
      </c>
      <c r="D65" s="3" t="str">
        <f ca="1">IFERROR(__xludf.DUMMYFUNCTION("""COMPUTED_VALUE"""),"馬來西亞令吉")</f>
        <v>馬來西亞令吉</v>
      </c>
      <c r="E65" s="3" t="str">
        <f ca="1">IFERROR(__xludf.DUMMYFUNCTION("""COMPUTED_VALUE"""),"MYR")</f>
        <v>MYR</v>
      </c>
      <c r="F65" s="3" t="str">
        <f ca="1">VLOOKUP(E65, 幣別!B:D, 3, FALSE)</f>
        <v>CNYMYR</v>
      </c>
    </row>
    <row r="66" spans="1:6" ht="12.75">
      <c r="A66" s="3">
        <f ca="1">IFERROR(__xludf.DUMMYFUNCTION("""COMPUTED_VALUE"""),5085)</f>
        <v>5085</v>
      </c>
      <c r="B66" s="3" t="str">
        <f ca="1">IFERROR(__xludf.DUMMYFUNCTION("""COMPUTED_VALUE"""),"2111372_haocai")</f>
        <v>2111372_haocai</v>
      </c>
      <c r="C66" s="3" t="str">
        <f ca="1">IFERROR(__xludf.DUMMYFUNCTION("""COMPUTED_VALUE"""),"大运棋牌api-转账钱包-CMD368正式-1级代理ID： 2111515")</f>
        <v>大运棋牌api-转账钱包-CMD368正式-1级代理ID： 2111515</v>
      </c>
      <c r="D66" s="3" t="str">
        <f ca="1">IFERROR(__xludf.DUMMYFUNCTION("""COMPUTED_VALUE"""),"泰銖")</f>
        <v>泰銖</v>
      </c>
      <c r="E66" s="3" t="str">
        <f ca="1">IFERROR(__xludf.DUMMYFUNCTION("""COMPUTED_VALUE"""),"THB")</f>
        <v>THB</v>
      </c>
      <c r="F66" s="3" t="str">
        <f ca="1">VLOOKUP(E66, 幣別!B:D, 3, FALSE)</f>
        <v>CNYTHB</v>
      </c>
    </row>
    <row r="67" spans="1:6" ht="12.75">
      <c r="A67" s="3">
        <f ca="1">IFERROR(__xludf.DUMMYFUNCTION("""COMPUTED_VALUE"""),5086)</f>
        <v>5086</v>
      </c>
      <c r="B67" s="3" t="str">
        <f ca="1">IFERROR(__xludf.DUMMYFUNCTION("""COMPUTED_VALUE"""),"2111372_gfgtest")</f>
        <v>2111372_gfgtest</v>
      </c>
      <c r="C67" s="3" t="str">
        <f ca="1">IFERROR(__xludf.DUMMYFUNCTION("""COMPUTED_VALUE"""),"大运棋牌api-转账钱包-CMD368正式-1级代理ID： 2111532")</f>
        <v>大运棋牌api-转账钱包-CMD368正式-1级代理ID： 2111532</v>
      </c>
      <c r="D67" s="3" t="str">
        <f ca="1">IFERROR(__xludf.DUMMYFUNCTION("""COMPUTED_VALUE"""),"越南盾")</f>
        <v>越南盾</v>
      </c>
      <c r="E67" s="3" t="str">
        <f ca="1">IFERROR(__xludf.DUMMYFUNCTION("""COMPUTED_VALUE"""),"VND")</f>
        <v>VND</v>
      </c>
      <c r="F67" s="3" t="str">
        <f ca="1">VLOOKUP(E67, 幣別!B:D, 3, FALSE)</f>
        <v>CNYVND</v>
      </c>
    </row>
    <row r="68" spans="1:6" ht="12.75">
      <c r="A68" s="3">
        <f ca="1">IFERROR(__xludf.DUMMYFUNCTION("""COMPUTED_VALUE"""),5087)</f>
        <v>5087</v>
      </c>
      <c r="B68" s="3" t="str">
        <f ca="1">IFERROR(__xludf.DUMMYFUNCTION("""COMPUTED_VALUE"""),"2111372_chessapilxzy")</f>
        <v>2111372_chessapilxzy</v>
      </c>
      <c r="C68" s="3" t="str">
        <f ca="1">IFERROR(__xludf.DUMMYFUNCTION("""COMPUTED_VALUE"""),"大运棋牌api-转账钱包-CMD368正式-1级代理ID： 2111535")</f>
        <v>大运棋牌api-转账钱包-CMD368正式-1级代理ID： 2111535</v>
      </c>
      <c r="D68" s="3" t="str">
        <f ca="1">IFERROR(__xludf.DUMMYFUNCTION("""COMPUTED_VALUE"""),"新加坡元")</f>
        <v>新加坡元</v>
      </c>
      <c r="E68" s="3" t="str">
        <f ca="1">IFERROR(__xludf.DUMMYFUNCTION("""COMPUTED_VALUE"""),"SGD")</f>
        <v>SGD</v>
      </c>
      <c r="F68" s="3" t="str">
        <f ca="1">VLOOKUP(E68, 幣別!B:D, 3, FALSE)</f>
        <v>CNYSGD</v>
      </c>
    </row>
    <row r="69" spans="1:6" ht="12.75">
      <c r="A69" s="3">
        <f ca="1">IFERROR(__xludf.DUMMYFUNCTION("""COMPUTED_VALUE"""),5088)</f>
        <v>5088</v>
      </c>
      <c r="B69" s="3" t="str">
        <f ca="1">IFERROR(__xludf.DUMMYFUNCTION("""COMPUTED_VALUE"""),"2120037_chessapilixin")</f>
        <v>2120037_chessapilixin</v>
      </c>
      <c r="C69" s="3" t="str">
        <f ca="1">IFERROR(__xludf.DUMMYFUNCTION("""COMPUTED_VALUE"""),"大运棋牌api-唯一钱包-E78菲律宾-1级代理ID： 2120064")</f>
        <v>大运棋牌api-唯一钱包-E78菲律宾-1级代理ID： 2120064</v>
      </c>
      <c r="D69" s="3" t="str">
        <f ca="1">IFERROR(__xludf.DUMMYFUNCTION("""COMPUTED_VALUE"""),"菲律賓披索")</f>
        <v>菲律賓披索</v>
      </c>
      <c r="E69" s="3" t="str">
        <f ca="1">IFERROR(__xludf.DUMMYFUNCTION("""COMPUTED_VALUE"""),"PHP")</f>
        <v>PHP</v>
      </c>
      <c r="F69" s="3" t="str">
        <f ca="1">VLOOKUP(E69, 幣別!B:D, 3, FALSE)</f>
        <v>CNYPHP</v>
      </c>
    </row>
    <row r="70" spans="1:6" ht="12.75">
      <c r="A70" s="3">
        <f ca="1">IFERROR(__xludf.DUMMYFUNCTION("""COMPUTED_VALUE"""),5089)</f>
        <v>5089</v>
      </c>
      <c r="B70" s="3" t="str">
        <f ca="1">IFERROR(__xludf.DUMMYFUNCTION("""COMPUTED_VALUE"""),"1784194_chess800")</f>
        <v>1784194_chess800</v>
      </c>
      <c r="C70" s="3" t="str">
        <f ca="1">IFERROR(__xludf.DUMMYFUNCTION("""COMPUTED_VALUE"""),"大运棋牌api-转账钱包-大运电子测试公司新增多皮肤-1级代理ID： 2122257")</f>
        <v>大运棋牌api-转账钱包-大运电子测试公司新增多皮肤-1级代理ID： 2122257</v>
      </c>
      <c r="D70" s="3" t="str">
        <f ca="1">IFERROR(__xludf.DUMMYFUNCTION("""COMPUTED_VALUE"""),"泰銖")</f>
        <v>泰銖</v>
      </c>
      <c r="E70" s="3" t="str">
        <f ca="1">IFERROR(__xludf.DUMMYFUNCTION("""COMPUTED_VALUE"""),"THB")</f>
        <v>THB</v>
      </c>
      <c r="F70" s="3" t="str">
        <f ca="1">VLOOKUP(E70, 幣別!B:D, 3, FALSE)</f>
        <v>CNYTHB</v>
      </c>
    </row>
    <row r="71" spans="1:6" ht="12.75">
      <c r="A71" s="3">
        <f ca="1">IFERROR(__xludf.DUMMYFUNCTION("""COMPUTED_VALUE"""),5090)</f>
        <v>5090</v>
      </c>
      <c r="B71" s="3" t="str">
        <f ca="1">IFERROR(__xludf.DUMMYFUNCTION("""COMPUTED_VALUE"""),"1784194_chessapilixin")</f>
        <v>1784194_chessapilixin</v>
      </c>
      <c r="C71" s="3" t="str">
        <f ca="1">IFERROR(__xludf.DUMMYFUNCTION("""COMPUTED_VALUE"""),"大运棋牌api-转账钱包-大运电子测试公司新增多皮肤-1级代理ID： 2122273")</f>
        <v>大运棋牌api-转账钱包-大运电子测试公司新增多皮肤-1级代理ID： 2122273</v>
      </c>
      <c r="D71" s="3" t="str">
        <f ca="1">IFERROR(__xludf.DUMMYFUNCTION("""COMPUTED_VALUE"""),"人民幣")</f>
        <v>人民幣</v>
      </c>
      <c r="E71" s="3" t="str">
        <f ca="1">IFERROR(__xludf.DUMMYFUNCTION("""COMPUTED_VALUE"""),"CNY")</f>
        <v>CNY</v>
      </c>
      <c r="F71" s="3">
        <f ca="1">VLOOKUP(E71, 幣別!B:D, 3, FALSE)</f>
        <v>0</v>
      </c>
    </row>
    <row r="72" spans="1:6" ht="12.75">
      <c r="A72" s="3">
        <f ca="1">IFERROR(__xludf.DUMMYFUNCTION("""COMPUTED_VALUE"""),5091)</f>
        <v>5091</v>
      </c>
      <c r="B72" s="3" t="str">
        <f ca="1">IFERROR(__xludf.DUMMYFUNCTION("""COMPUTED_VALUE"""),"1784194_gfgtest")</f>
        <v>1784194_gfgtest</v>
      </c>
      <c r="C72" s="3" t="str">
        <f ca="1">IFERROR(__xludf.DUMMYFUNCTION("""COMPUTED_VALUE"""),"大运棋牌api-转账钱包-大运电子测试公司新增多皮肤-1级代理ID： 2122286")</f>
        <v>大运棋牌api-转账钱包-大运电子测试公司新增多皮肤-1级代理ID： 2122286</v>
      </c>
      <c r="D72" s="3" t="str">
        <f ca="1">IFERROR(__xludf.DUMMYFUNCTION("""COMPUTED_VALUE"""),"美元")</f>
        <v>美元</v>
      </c>
      <c r="E72" s="3" t="str">
        <f ca="1">IFERROR(__xludf.DUMMYFUNCTION("""COMPUTED_VALUE"""),"USD")</f>
        <v>USD</v>
      </c>
      <c r="F72" s="3" t="str">
        <f ca="1">VLOOKUP(E72, 幣別!B:D, 3, FALSE)</f>
        <v>CNYUSD</v>
      </c>
    </row>
    <row r="73" spans="1:6" ht="12.75">
      <c r="A73" s="3">
        <f ca="1">IFERROR(__xludf.DUMMYFUNCTION("""COMPUTED_VALUE"""),5092)</f>
        <v>5092</v>
      </c>
      <c r="B73" s="3" t="str">
        <f ca="1">IFERROR(__xludf.DUMMYFUNCTION("""COMPUTED_VALUE"""),"1784194_chessapilxzy")</f>
        <v>1784194_chessapilxzy</v>
      </c>
      <c r="C73" s="3" t="str">
        <f ca="1">IFERROR(__xludf.DUMMYFUNCTION("""COMPUTED_VALUE"""),"大运棋牌api-转账钱包-大运电子测试公司新增多皮肤-1级代理ID： 2122275")</f>
        <v>大运棋牌api-转账钱包-大运电子测试公司新增多皮肤-1级代理ID： 2122275</v>
      </c>
      <c r="D73" s="3" t="str">
        <f ca="1">IFERROR(__xludf.DUMMYFUNCTION("""COMPUTED_VALUE"""),"港幣")</f>
        <v>港幣</v>
      </c>
      <c r="E73" s="3" t="str">
        <f ca="1">IFERROR(__xludf.DUMMYFUNCTION("""COMPUTED_VALUE"""),"HKD")</f>
        <v>HKD</v>
      </c>
      <c r="F73" s="3" t="str">
        <f ca="1">VLOOKUP(E73, 幣別!B:D, 3, FALSE)</f>
        <v>CNYHKD</v>
      </c>
    </row>
    <row r="74" spans="1:6" ht="12.75">
      <c r="A74" s="3">
        <f ca="1">IFERROR(__xludf.DUMMYFUNCTION("""COMPUTED_VALUE"""),5093)</f>
        <v>5093</v>
      </c>
      <c r="B74" s="3" t="str">
        <f ca="1">IFERROR(__xludf.DUMMYFUNCTION("""COMPUTED_VALUE"""),"1971868_gfgtest")</f>
        <v>1971868_gfgtest</v>
      </c>
      <c r="C74" s="3" t="str">
        <f ca="1">IFERROR(__xludf.DUMMYFUNCTION("""COMPUTED_VALUE"""),"大运棋牌api-唯一钱包-大运电子测试公司新增多皮肤-1级代理ID： 2164741")</f>
        <v>大运棋牌api-唯一钱包-大运电子测试公司新增多皮肤-1级代理ID： 2164741</v>
      </c>
      <c r="D74" s="3" t="str">
        <f ca="1">IFERROR(__xludf.DUMMYFUNCTION("""COMPUTED_VALUE"""),"越南盾")</f>
        <v>越南盾</v>
      </c>
      <c r="E74" s="3" t="str">
        <f ca="1">IFERROR(__xludf.DUMMYFUNCTION("""COMPUTED_VALUE"""),"VND")</f>
        <v>VND</v>
      </c>
      <c r="F74" s="3" t="str">
        <f ca="1">VLOOKUP(E74, 幣別!B:D, 3, FALSE)</f>
        <v>CNYVND</v>
      </c>
    </row>
    <row r="75" spans="1:6" ht="12.75">
      <c r="A75" s="3">
        <f ca="1">IFERROR(__xludf.DUMMYFUNCTION("""COMPUTED_VALUE"""),5094)</f>
        <v>5094</v>
      </c>
      <c r="B75" s="3" t="str">
        <f ca="1">IFERROR(__xludf.DUMMYFUNCTION("""COMPUTED_VALUE"""),"1971868_chessapilxwfgfg")</f>
        <v>1971868_chessapilxwfgfg</v>
      </c>
      <c r="C75" s="3" t="str">
        <f ca="1">IFERROR(__xludf.DUMMYFUNCTION("""COMPUTED_VALUE"""),"大运棋牌api-唯一钱包-大运电子测试公司新增多皮肤-1级代理ID： 2164739")</f>
        <v>大运棋牌api-唯一钱包-大运电子测试公司新增多皮肤-1级代理ID： 2164739</v>
      </c>
      <c r="D75" s="3" t="str">
        <f ca="1">IFERROR(__xludf.DUMMYFUNCTION("""COMPUTED_VALUE"""),"泰銖")</f>
        <v>泰銖</v>
      </c>
      <c r="E75" s="3" t="str">
        <f ca="1">IFERROR(__xludf.DUMMYFUNCTION("""COMPUTED_VALUE"""),"THB")</f>
        <v>THB</v>
      </c>
      <c r="F75" s="3" t="str">
        <f ca="1">VLOOKUP(E75, 幣別!B:D, 3, FALSE)</f>
        <v>CNYTHB</v>
      </c>
    </row>
    <row r="76" spans="1:6" ht="12.75">
      <c r="A76" s="3">
        <f ca="1">IFERROR(__xludf.DUMMYFUNCTION("""COMPUTED_VALUE"""),5095)</f>
        <v>5095</v>
      </c>
      <c r="B76" s="3" t="str">
        <f ca="1">IFERROR(__xludf.DUMMYFUNCTION("""COMPUTED_VALUE"""),"1971868_chessapilxwf")</f>
        <v>1971868_chessapilxwf</v>
      </c>
      <c r="C76" s="3" t="str">
        <f ca="1">IFERROR(__xludf.DUMMYFUNCTION("""COMPUTED_VALUE"""),"大运棋牌api-唯一钱包-大运电子测试公司新增多皮肤-1级代理ID： 2164737")</f>
        <v>大运棋牌api-唯一钱包-大运电子测试公司新增多皮肤-1级代理ID： 2164737</v>
      </c>
      <c r="D76" s="3" t="str">
        <f ca="1">IFERROR(__xludf.DUMMYFUNCTION("""COMPUTED_VALUE"""),"印度盧比")</f>
        <v>印度盧比</v>
      </c>
      <c r="E76" s="3" t="str">
        <f ca="1">IFERROR(__xludf.DUMMYFUNCTION("""COMPUTED_VALUE"""),"INR")</f>
        <v>INR</v>
      </c>
      <c r="F76" s="3" t="str">
        <f ca="1">VLOOKUP(E76, 幣別!B:D, 3, FALSE)</f>
        <v>CNYINR</v>
      </c>
    </row>
    <row r="77" spans="1:6" ht="12.75">
      <c r="A77" s="3">
        <f ca="1">IFERROR(__xludf.DUMMYFUNCTION("""COMPUTED_VALUE"""),5096)</f>
        <v>5096</v>
      </c>
      <c r="B77" s="3" t="str">
        <f ca="1">IFERROR(__xludf.DUMMYFUNCTION("""COMPUTED_VALUE"""),"1971868_chessapilxzy")</f>
        <v>1971868_chessapilxzy</v>
      </c>
      <c r="C77" s="3" t="str">
        <f ca="1">IFERROR(__xludf.DUMMYFUNCTION("""COMPUTED_VALUE"""),"大运棋牌api-唯一钱包-大运电子测试公司新增多皮肤-1级代理ID： 2164736")</f>
        <v>大运棋牌api-唯一钱包-大运电子测试公司新增多皮肤-1级代理ID： 2164736</v>
      </c>
      <c r="D77" s="3" t="str">
        <f ca="1">IFERROR(__xludf.DUMMYFUNCTION("""COMPUTED_VALUE"""),"印尼盾")</f>
        <v>印尼盾</v>
      </c>
      <c r="E77" s="3" t="str">
        <f ca="1">IFERROR(__xludf.DUMMYFUNCTION("""COMPUTED_VALUE"""),"IDR")</f>
        <v>IDR</v>
      </c>
      <c r="F77" s="3" t="str">
        <f ca="1">VLOOKUP(E77, 幣別!B:D, 3, FALSE)</f>
        <v>CNYIDR</v>
      </c>
    </row>
    <row r="78" spans="1:6" ht="12.75">
      <c r="A78" s="3">
        <f ca="1">IFERROR(__xludf.DUMMYFUNCTION("""COMPUTED_VALUE"""),5097)</f>
        <v>5097</v>
      </c>
      <c r="B78" s="3" t="str">
        <f ca="1">IFERROR(__xludf.DUMMYFUNCTION("""COMPUTED_VALUE"""),"1971868_chessapilixin")</f>
        <v>1971868_chessapilixin</v>
      </c>
      <c r="C78" s="3" t="str">
        <f ca="1">IFERROR(__xludf.DUMMYFUNCTION("""COMPUTED_VALUE"""),"大运棋牌api-唯一钱包-大运电子测试公司新增多皮肤-1级代理ID： 2164735")</f>
        <v>大运棋牌api-唯一钱包-大运电子测试公司新增多皮肤-1级代理ID： 2164735</v>
      </c>
      <c r="D78" s="3" t="str">
        <f ca="1">IFERROR(__xludf.DUMMYFUNCTION("""COMPUTED_VALUE"""),"新加坡元")</f>
        <v>新加坡元</v>
      </c>
      <c r="E78" s="3" t="str">
        <f ca="1">IFERROR(__xludf.DUMMYFUNCTION("""COMPUTED_VALUE"""),"SGD")</f>
        <v>SGD</v>
      </c>
      <c r="F78" s="3" t="str">
        <f ca="1">VLOOKUP(E78, 幣別!B:D, 3, FALSE)</f>
        <v>CNYSGD</v>
      </c>
    </row>
    <row r="79" spans="1:6" ht="12.75">
      <c r="A79" s="3">
        <f ca="1">IFERROR(__xludf.DUMMYFUNCTION("""COMPUTED_VALUE"""),5098)</f>
        <v>5098</v>
      </c>
      <c r="B79" s="3" t="str">
        <f ca="1">IFERROR(__xludf.DUMMYFUNCTION("""COMPUTED_VALUE"""),"2164884_chessapilixin")</f>
        <v>2164884_chessapilixin</v>
      </c>
      <c r="C79" s="3" t="str">
        <f ca="1">IFERROR(__xludf.DUMMYFUNCTION("""COMPUTED_VALUE"""),"大运棋牌api-转账钱包-starbo星寳-1级代理ID： 2164904")</f>
        <v>大运棋牌api-转账钱包-starbo星寳-1级代理ID： 2164904</v>
      </c>
      <c r="D79" s="3" t="str">
        <f ca="1">IFERROR(__xludf.DUMMYFUNCTION("""COMPUTED_VALUE"""),"人民幣")</f>
        <v>人民幣</v>
      </c>
      <c r="E79" s="3" t="str">
        <f ca="1">IFERROR(__xludf.DUMMYFUNCTION("""COMPUTED_VALUE"""),"CNY")</f>
        <v>CNY</v>
      </c>
      <c r="F79" s="3">
        <f ca="1">VLOOKUP(E79, 幣別!B:D, 3, FALSE)</f>
        <v>0</v>
      </c>
    </row>
    <row r="80" spans="1:6" ht="12.75">
      <c r="A80" s="3">
        <f ca="1">IFERROR(__xludf.DUMMYFUNCTION("""COMPUTED_VALUE"""),5099)</f>
        <v>5099</v>
      </c>
      <c r="B80" s="3" t="str">
        <f ca="1">IFERROR(__xludf.DUMMYFUNCTION("""COMPUTED_VALUE"""),"2104266_chessapilxzy")</f>
        <v>2104266_chessapilxzy</v>
      </c>
      <c r="C80" s="3" t="str">
        <f ca="1">IFERROR(__xludf.DUMMYFUNCTION("""COMPUTED_VALUE"""),"大运棋牌api-转账钱包-多语言租用-皮肤二-1级代理ID： 2200726")</f>
        <v>大运棋牌api-转账钱包-多语言租用-皮肤二-1级代理ID： 2200726</v>
      </c>
      <c r="D80" s="3" t="str">
        <f ca="1">IFERROR(__xludf.DUMMYFUNCTION("""COMPUTED_VALUE"""),"人民幣")</f>
        <v>人民幣</v>
      </c>
      <c r="E80" s="3" t="str">
        <f ca="1">IFERROR(__xludf.DUMMYFUNCTION("""COMPUTED_VALUE"""),"CNY")</f>
        <v>CNY</v>
      </c>
      <c r="F80" s="3">
        <f ca="1">VLOOKUP(E80, 幣別!B:D, 3, FALSE)</f>
        <v>0</v>
      </c>
    </row>
    <row r="81" spans="1:6" ht="12.75">
      <c r="A81" s="3">
        <f ca="1">IFERROR(__xludf.DUMMYFUNCTION("""COMPUTED_VALUE"""),5100)</f>
        <v>5100</v>
      </c>
      <c r="B81" s="3" t="str">
        <f ca="1">IFERROR(__xludf.DUMMYFUNCTION("""COMPUTED_VALUE"""),"2104266_chessapilxwf")</f>
        <v>2104266_chessapilxwf</v>
      </c>
      <c r="C81" s="3" t="str">
        <f ca="1">IFERROR(__xludf.DUMMYFUNCTION("""COMPUTED_VALUE"""),"大运棋牌api-转账钱包-多语言租用-皮肤三-1级代理ID： 2200730")</f>
        <v>大运棋牌api-转账钱包-多语言租用-皮肤三-1级代理ID： 2200730</v>
      </c>
      <c r="D81" s="3" t="str">
        <f ca="1">IFERROR(__xludf.DUMMYFUNCTION("""COMPUTED_VALUE"""),"越南盾")</f>
        <v>越南盾</v>
      </c>
      <c r="E81" s="3" t="str">
        <f ca="1">IFERROR(__xludf.DUMMYFUNCTION("""COMPUTED_VALUE"""),"VND")</f>
        <v>VND</v>
      </c>
      <c r="F81" s="3" t="str">
        <f ca="1">VLOOKUP(E81, 幣別!B:D, 3, FALSE)</f>
        <v>CNYVND</v>
      </c>
    </row>
    <row r="82" spans="1:6" ht="12.75">
      <c r="A82" s="3">
        <f ca="1">IFERROR(__xludf.DUMMYFUNCTION("""COMPUTED_VALUE"""),5101)</f>
        <v>5101</v>
      </c>
      <c r="B82" s="3" t="str">
        <f ca="1">IFERROR(__xludf.DUMMYFUNCTION("""COMPUTED_VALUE"""),"2211635_haocai")</f>
        <v>2211635_haocai</v>
      </c>
      <c r="C82" s="3" t="str">
        <f ca="1">IFERROR(__xludf.DUMMYFUNCTION("""COMPUTED_VALUE"""),"大运棋牌api-转账钱包-JBCF-1级代理ID： 2211639")</f>
        <v>大运棋牌api-转账钱包-JBCF-1级代理ID： 2211639</v>
      </c>
      <c r="D82" s="3" t="str">
        <f ca="1">IFERROR(__xludf.DUMMYFUNCTION("""COMPUTED_VALUE"""),"人民幣")</f>
        <v>人民幣</v>
      </c>
      <c r="E82" s="3" t="str">
        <f ca="1">IFERROR(__xludf.DUMMYFUNCTION("""COMPUTED_VALUE"""),"CNY")</f>
        <v>CNY</v>
      </c>
      <c r="F82" s="3">
        <f ca="1">VLOOKUP(E82, 幣別!B:D, 3, FALSE)</f>
        <v>0</v>
      </c>
    </row>
    <row r="83" spans="1:6" ht="12.75">
      <c r="A83" s="3">
        <f ca="1">IFERROR(__xludf.DUMMYFUNCTION("""COMPUTED_VALUE"""),5102)</f>
        <v>5102</v>
      </c>
      <c r="B83" s="3" t="str">
        <f ca="1">IFERROR(__xludf.DUMMYFUNCTION("""COMPUTED_VALUE"""),"2211635_gfgtest")</f>
        <v>2211635_gfgtest</v>
      </c>
      <c r="C83" s="3" t="str">
        <f ca="1">IFERROR(__xludf.DUMMYFUNCTION("""COMPUTED_VALUE"""),"大运棋牌api-转账钱包-JBCF-1级代理ID： 2212832")</f>
        <v>大运棋牌api-转账钱包-JBCF-1级代理ID： 2212832</v>
      </c>
      <c r="D83" s="3" t="str">
        <f ca="1">IFERROR(__xludf.DUMMYFUNCTION("""COMPUTED_VALUE"""),"歐元")</f>
        <v>歐元</v>
      </c>
      <c r="E83" s="3" t="str">
        <f ca="1">IFERROR(__xludf.DUMMYFUNCTION("""COMPUTED_VALUE"""),"EUR")</f>
        <v>EUR</v>
      </c>
      <c r="F83" s="3" t="str">
        <f ca="1">VLOOKUP(E83, 幣別!B:D, 3, FALSE)</f>
        <v>CNYEUR</v>
      </c>
    </row>
    <row r="84" spans="1:6" ht="12.75">
      <c r="A84" s="3">
        <f ca="1">IFERROR(__xludf.DUMMYFUNCTION("""COMPUTED_VALUE"""),5103)</f>
        <v>5103</v>
      </c>
      <c r="B84" s="3" t="str">
        <f ca="1">IFERROR(__xludf.DUMMYFUNCTION("""COMPUTED_VALUE"""),"2211635_chessapilxwfgfg")</f>
        <v>2211635_chessapilxwfgfg</v>
      </c>
      <c r="C84" s="3" t="str">
        <f ca="1">IFERROR(__xludf.DUMMYFUNCTION("""COMPUTED_VALUE"""),"大运棋牌api-转账钱包-JBCF-1级代理ID： 2212834")</f>
        <v>大运棋牌api-转账钱包-JBCF-1级代理ID： 2212834</v>
      </c>
      <c r="D84" s="3" t="str">
        <f ca="1">IFERROR(__xludf.DUMMYFUNCTION("""COMPUTED_VALUE"""),"越南盾")</f>
        <v>越南盾</v>
      </c>
      <c r="E84" s="3" t="str">
        <f ca="1">IFERROR(__xludf.DUMMYFUNCTION("""COMPUTED_VALUE"""),"VND")</f>
        <v>VND</v>
      </c>
      <c r="F84" s="3" t="str">
        <f ca="1">VLOOKUP(E84, 幣別!B:D, 3, FALSE)</f>
        <v>CNYVND</v>
      </c>
    </row>
    <row r="85" spans="1:6" ht="12.75">
      <c r="A85" s="3">
        <f ca="1">IFERROR(__xludf.DUMMYFUNCTION("""COMPUTED_VALUE"""),5104)</f>
        <v>5104</v>
      </c>
      <c r="B85" s="3" t="str">
        <f ca="1">IFERROR(__xludf.DUMMYFUNCTION("""COMPUTED_VALUE"""),"2211635_chessapilxwf")</f>
        <v>2211635_chessapilxwf</v>
      </c>
      <c r="C85" s="3" t="str">
        <f ca="1">IFERROR(__xludf.DUMMYFUNCTION("""COMPUTED_VALUE"""),"大运棋牌api-转账钱包-JBCF-1级代理ID： 2212835")</f>
        <v>大运棋牌api-转账钱包-JBCF-1级代理ID： 2212835</v>
      </c>
      <c r="D85" s="3" t="str">
        <f ca="1">IFERROR(__xludf.DUMMYFUNCTION("""COMPUTED_VALUE"""),"巴西雷亞爾")</f>
        <v>巴西雷亞爾</v>
      </c>
      <c r="E85" s="3" t="str">
        <f ca="1">IFERROR(__xludf.DUMMYFUNCTION("""COMPUTED_VALUE"""),"BRL")</f>
        <v>BRL</v>
      </c>
      <c r="F85" s="3" t="str">
        <f ca="1">VLOOKUP(E85, 幣別!B:D, 3, FALSE)</f>
        <v>CNYBRL</v>
      </c>
    </row>
    <row r="86" spans="1:6" ht="12.75">
      <c r="A86" s="3">
        <f ca="1">IFERROR(__xludf.DUMMYFUNCTION("""COMPUTED_VALUE"""),5105)</f>
        <v>5105</v>
      </c>
      <c r="B86" s="3" t="str">
        <f ca="1">IFERROR(__xludf.DUMMYFUNCTION("""COMPUTED_VALUE"""),"2211635_chessapilxzy")</f>
        <v>2211635_chessapilxzy</v>
      </c>
      <c r="C86" s="3" t="str">
        <f ca="1">IFERROR(__xludf.DUMMYFUNCTION("""COMPUTED_VALUE"""),"大运棋牌api-转账钱包-JBCF-1级代理ID： 2212837")</f>
        <v>大运棋牌api-转账钱包-JBCF-1级代理ID： 2212837</v>
      </c>
      <c r="D86" s="3" t="str">
        <f ca="1">IFERROR(__xludf.DUMMYFUNCTION("""COMPUTED_VALUE"""),"印度盧比")</f>
        <v>印度盧比</v>
      </c>
      <c r="E86" s="3" t="str">
        <f ca="1">IFERROR(__xludf.DUMMYFUNCTION("""COMPUTED_VALUE"""),"INR")</f>
        <v>INR</v>
      </c>
      <c r="F86" s="3" t="str">
        <f ca="1">VLOOKUP(E86, 幣別!B:D, 3, FALSE)</f>
        <v>CNYINR</v>
      </c>
    </row>
    <row r="87" spans="1:6" ht="12.75">
      <c r="A87" s="3">
        <f ca="1">IFERROR(__xludf.DUMMYFUNCTION("""COMPUTED_VALUE"""),5106)</f>
        <v>5106</v>
      </c>
      <c r="B87" s="3" t="str">
        <f ca="1">IFERROR(__xludf.DUMMYFUNCTION("""COMPUTED_VALUE"""),"2211635_chessapilixin")</f>
        <v>2211635_chessapilixin</v>
      </c>
      <c r="C87" s="3" t="str">
        <f ca="1">IFERROR(__xludf.DUMMYFUNCTION("""COMPUTED_VALUE"""),"大运棋牌api-转账钱包-JBCF-1级代理ID： 2212838")</f>
        <v>大运棋牌api-转账钱包-JBCF-1级代理ID： 2212838</v>
      </c>
      <c r="D87" s="3" t="str">
        <f ca="1">IFERROR(__xludf.DUMMYFUNCTION("""COMPUTED_VALUE"""),"墨西哥披索")</f>
        <v>墨西哥披索</v>
      </c>
      <c r="E87" s="3" t="str">
        <f ca="1">IFERROR(__xludf.DUMMYFUNCTION("""COMPUTED_VALUE"""),"MXN")</f>
        <v>MXN</v>
      </c>
      <c r="F87" s="3" t="str">
        <f ca="1">VLOOKUP(E87, 幣別!B:D, 3, FALSE)</f>
        <v>CNYMXN</v>
      </c>
    </row>
    <row r="88" spans="1:6" ht="12.75">
      <c r="A88" s="3">
        <f ca="1">IFERROR(__xludf.DUMMYFUNCTION("""COMPUTED_VALUE"""),5107)</f>
        <v>5107</v>
      </c>
      <c r="B88" s="3" t="str">
        <f ca="1">IFERROR(__xludf.DUMMYFUNCTION("""COMPUTED_VALUE"""),"2211635_chessapihlwf")</f>
        <v>2211635_chessapihlwf</v>
      </c>
      <c r="C88" s="3" t="str">
        <f ca="1">IFERROR(__xludf.DUMMYFUNCTION("""COMPUTED_VALUE"""),"大运棋牌api-转账钱包-JBCF-1级代理ID： 2212840")</f>
        <v>大运棋牌api-转账钱包-JBCF-1级代理ID： 2212840</v>
      </c>
      <c r="D88" s="3" t="str">
        <f ca="1">IFERROR(__xludf.DUMMYFUNCTION("""COMPUTED_VALUE"""),"虛擬美金")</f>
        <v>虛擬美金</v>
      </c>
      <c r="E88" s="3" t="str">
        <f ca="1">IFERROR(__xludf.DUMMYFUNCTION("""COMPUTED_VALUE"""),"USDT")</f>
        <v>USDT</v>
      </c>
      <c r="F88" s="3" t="str">
        <f ca="1">VLOOKUP(E88, 幣別!B:D, 3, FALSE)</f>
        <v>CNYUSD</v>
      </c>
    </row>
    <row r="89" spans="1:6" ht="12.75">
      <c r="A89" s="3">
        <f ca="1">IFERROR(__xludf.DUMMYFUNCTION("""COMPUTED_VALUE"""),5108)</f>
        <v>5108</v>
      </c>
      <c r="B89" s="3" t="str">
        <f ca="1">IFERROR(__xludf.DUMMYFUNCTION("""COMPUTED_VALUE"""),"2211635_chessapihlzy")</f>
        <v>2211635_chessapihlzy</v>
      </c>
      <c r="C89" s="3" t="str">
        <f ca="1">IFERROR(__xludf.DUMMYFUNCTION("""COMPUTED_VALUE"""),"大运棋牌api-转账钱包-JBCF-1级代理ID： 2212841")</f>
        <v>大运棋牌api-转账钱包-JBCF-1级代理ID： 2212841</v>
      </c>
      <c r="D89" s="3" t="str">
        <f ca="1">IFERROR(__xludf.DUMMYFUNCTION("""COMPUTED_VALUE"""),"尼日利亞奈拉")</f>
        <v>尼日利亞奈拉</v>
      </c>
      <c r="E89" s="3" t="str">
        <f ca="1">IFERROR(__xludf.DUMMYFUNCTION("""COMPUTED_VALUE"""),"NGN")</f>
        <v>NGN</v>
      </c>
      <c r="F89" s="3" t="str">
        <f ca="1">VLOOKUP(E89, 幣別!B:D, 3, FALSE)</f>
        <v>CNYNGN</v>
      </c>
    </row>
    <row r="90" spans="1:6" ht="12.75">
      <c r="A90" s="3">
        <f ca="1">IFERROR(__xludf.DUMMYFUNCTION("""COMPUTED_VALUE"""),5109)</f>
        <v>5109</v>
      </c>
      <c r="B90" s="3" t="str">
        <f ca="1">IFERROR(__xludf.DUMMYFUNCTION("""COMPUTED_VALUE"""),"2211635_chessa9yl")</f>
        <v>2211635_chessa9yl</v>
      </c>
      <c r="C90" s="3" t="str">
        <f ca="1">IFERROR(__xludf.DUMMYFUNCTION("""COMPUTED_VALUE"""),"大运棋牌api-转账钱包-JBCF-1级代理ID： 2212843")</f>
        <v>大运棋牌api-转账钱包-JBCF-1级代理ID： 2212843</v>
      </c>
      <c r="D90" s="3" t="str">
        <f ca="1">IFERROR(__xludf.DUMMYFUNCTION("""COMPUTED_VALUE"""),"菲律賓披索")</f>
        <v>菲律賓披索</v>
      </c>
      <c r="E90" s="3" t="str">
        <f ca="1">IFERROR(__xludf.DUMMYFUNCTION("""COMPUTED_VALUE"""),"PHP")</f>
        <v>PHP</v>
      </c>
      <c r="F90" s="3" t="str">
        <f ca="1">VLOOKUP(E90, 幣別!B:D, 3, FALSE)</f>
        <v>CNYPHP</v>
      </c>
    </row>
    <row r="91" spans="1:6" ht="12.75">
      <c r="A91" s="3">
        <f ca="1">IFERROR(__xludf.DUMMYFUNCTION("""COMPUTED_VALUE"""),5110)</f>
        <v>5110</v>
      </c>
      <c r="B91" s="3" t="str">
        <f ca="1">IFERROR(__xludf.DUMMYFUNCTION("""COMPUTED_VALUE"""),"1971868_cny")</f>
        <v>1971868_cny</v>
      </c>
      <c r="C91" s="3" t="str">
        <f ca="1">IFERROR(__xludf.DUMMYFUNCTION("""COMPUTED_VALUE"""),"大运棋牌api-单一钱包-测试公司-1级代理ID： 2220896")</f>
        <v>大运棋牌api-单一钱包-测试公司-1级代理ID： 2220896</v>
      </c>
      <c r="D91" s="3" t="str">
        <f ca="1">IFERROR(__xludf.DUMMYFUNCTION("""COMPUTED_VALUE"""),"人民幣")</f>
        <v>人民幣</v>
      </c>
      <c r="E91" s="3" t="str">
        <f ca="1">IFERROR(__xludf.DUMMYFUNCTION("""COMPUTED_VALUE"""),"CNY")</f>
        <v>CNY</v>
      </c>
      <c r="F91" s="3">
        <f ca="1">VLOOKUP(E91, 幣別!B:D, 3, FALSE)</f>
        <v>0</v>
      </c>
    </row>
    <row r="92" spans="1:6" ht="12.75">
      <c r="A92" s="3">
        <f ca="1">IFERROR(__xludf.DUMMYFUNCTION("""COMPUTED_VALUE"""),5111)</f>
        <v>5111</v>
      </c>
      <c r="B92" s="3" t="str">
        <f ca="1">IFERROR(__xludf.DUMMYFUNCTION("""COMPUTED_VALUE"""),"1784194_thb")</f>
        <v>1784194_thb</v>
      </c>
      <c r="C92" s="3" t="str">
        <f ca="1">IFERROR(__xludf.DUMMYFUNCTION("""COMPUTED_VALUE"""),"大运棋牌api-转账钱包DZceshi-一级代理：2238282 - THB")</f>
        <v>大运棋牌api-转账钱包DZceshi-一级代理：2238282 - THB</v>
      </c>
      <c r="D92" s="3" t="str">
        <f ca="1">IFERROR(__xludf.DUMMYFUNCTION("""COMPUTED_VALUE"""),"泰銖")</f>
        <v>泰銖</v>
      </c>
      <c r="E92" s="3" t="str">
        <f ca="1">IFERROR(__xludf.DUMMYFUNCTION("""COMPUTED_VALUE"""),"THB")</f>
        <v>THB</v>
      </c>
      <c r="F92" s="3" t="str">
        <f ca="1">VLOOKUP(E92, 幣別!B:D, 3, FALSE)</f>
        <v>CNYTHB</v>
      </c>
    </row>
    <row r="93" spans="1:6" ht="12.75">
      <c r="A93" s="3">
        <f ca="1">IFERROR(__xludf.DUMMYFUNCTION("""COMPUTED_VALUE"""),5112)</f>
        <v>5112</v>
      </c>
      <c r="B93" s="3" t="str">
        <f ca="1">IFERROR(__xludf.DUMMYFUNCTION("""COMPUTED_VALUE"""),"1784194_vnd")</f>
        <v>1784194_vnd</v>
      </c>
      <c r="C93" s="3" t="str">
        <f ca="1">IFERROR(__xludf.DUMMYFUNCTION("""COMPUTED_VALUE"""),"大运棋牌api-转账钱包DZceshi-一级代理：2238285 - VND")</f>
        <v>大运棋牌api-转账钱包DZceshi-一级代理：2238285 - VND</v>
      </c>
      <c r="D93" s="3" t="str">
        <f ca="1">IFERROR(__xludf.DUMMYFUNCTION("""COMPUTED_VALUE"""),"越南盾")</f>
        <v>越南盾</v>
      </c>
      <c r="E93" s="3" t="str">
        <f ca="1">IFERROR(__xludf.DUMMYFUNCTION("""COMPUTED_VALUE"""),"VND")</f>
        <v>VND</v>
      </c>
      <c r="F93" s="3" t="str">
        <f ca="1">VLOOKUP(E93, 幣別!B:D, 3, FALSE)</f>
        <v>CNYVND</v>
      </c>
    </row>
    <row r="94" spans="1:6" ht="12.75">
      <c r="A94" s="3">
        <f ca="1">IFERROR(__xludf.DUMMYFUNCTION("""COMPUTED_VALUE"""),5113)</f>
        <v>5113</v>
      </c>
      <c r="B94" s="3" t="str">
        <f ca="1">IFERROR(__xludf.DUMMYFUNCTION("""COMPUTED_VALUE"""),"1784194_inr")</f>
        <v>1784194_inr</v>
      </c>
      <c r="C94" s="3" t="str">
        <f ca="1">IFERROR(__xludf.DUMMYFUNCTION("""COMPUTED_VALUE"""),"大运棋牌api-转账钱包DZceshi-一级代理：2238283 - INR")</f>
        <v>大运棋牌api-转账钱包DZceshi-一级代理：2238283 - INR</v>
      </c>
      <c r="D94" s="3" t="str">
        <f ca="1">IFERROR(__xludf.DUMMYFUNCTION("""COMPUTED_VALUE"""),"印度盧比")</f>
        <v>印度盧比</v>
      </c>
      <c r="E94" s="3" t="str">
        <f ca="1">IFERROR(__xludf.DUMMYFUNCTION("""COMPUTED_VALUE"""),"INR")</f>
        <v>INR</v>
      </c>
      <c r="F94" s="3" t="str">
        <f ca="1">VLOOKUP(E94, 幣別!B:D, 3, FALSE)</f>
        <v>CNYINR</v>
      </c>
    </row>
    <row r="95" spans="1:6" ht="12.75">
      <c r="A95" s="3">
        <f ca="1">IFERROR(__xludf.DUMMYFUNCTION("""COMPUTED_VALUE"""),5114)</f>
        <v>5114</v>
      </c>
      <c r="B95" s="3" t="str">
        <f ca="1">IFERROR(__xludf.DUMMYFUNCTION("""COMPUTED_VALUE"""),"1784194_myr")</f>
        <v>1784194_myr</v>
      </c>
      <c r="C95" s="3" t="str">
        <f ca="1">IFERROR(__xludf.DUMMYFUNCTION("""COMPUTED_VALUE"""),"大运棋牌api-转账钱包DZceshi-一级代理：2238288 - MYR")</f>
        <v>大运棋牌api-转账钱包DZceshi-一级代理：2238288 - MYR</v>
      </c>
      <c r="D95" s="3" t="str">
        <f ca="1">IFERROR(__xludf.DUMMYFUNCTION("""COMPUTED_VALUE"""),"馬來西亞令吉")</f>
        <v>馬來西亞令吉</v>
      </c>
      <c r="E95" s="3" t="str">
        <f ca="1">IFERROR(__xludf.DUMMYFUNCTION("""COMPUTED_VALUE"""),"MYR")</f>
        <v>MYR</v>
      </c>
      <c r="F95" s="3" t="str">
        <f ca="1">VLOOKUP(E95, 幣別!B:D, 3, FALSE)</f>
        <v>CNYMYR</v>
      </c>
    </row>
    <row r="96" spans="1:6" ht="12.75">
      <c r="A96" s="3">
        <f ca="1">IFERROR(__xludf.DUMMYFUNCTION("""COMPUTED_VALUE"""),5115)</f>
        <v>5115</v>
      </c>
      <c r="B96" s="3" t="str">
        <f ca="1">IFERROR(__xludf.DUMMYFUNCTION("""COMPUTED_VALUE"""),"1784194_usd")</f>
        <v>1784194_usd</v>
      </c>
      <c r="C96" s="3" t="str">
        <f ca="1">IFERROR(__xludf.DUMMYFUNCTION("""COMPUTED_VALUE"""),"大运棋牌api-转账钱包DZceshi-一级代理：2238289 - USD")</f>
        <v>大运棋牌api-转账钱包DZceshi-一级代理：2238289 - USD</v>
      </c>
      <c r="D96" s="3" t="str">
        <f ca="1">IFERROR(__xludf.DUMMYFUNCTION("""COMPUTED_VALUE"""),"美元")</f>
        <v>美元</v>
      </c>
      <c r="E96" s="3" t="str">
        <f ca="1">IFERROR(__xludf.DUMMYFUNCTION("""COMPUTED_VALUE"""),"USD")</f>
        <v>USD</v>
      </c>
      <c r="F96" s="3" t="str">
        <f ca="1">VLOOKUP(E96, 幣別!B:D, 3, FALSE)</f>
        <v>CNYUSD</v>
      </c>
    </row>
    <row r="97" spans="1:6" ht="12.75">
      <c r="A97" s="3">
        <f ca="1">IFERROR(__xludf.DUMMYFUNCTION("""COMPUTED_VALUE"""),5116)</f>
        <v>5116</v>
      </c>
      <c r="B97" s="3" t="str">
        <f ca="1">IFERROR(__xludf.DUMMYFUNCTION("""COMPUTED_VALUE"""),"1784194_krw")</f>
        <v>1784194_krw</v>
      </c>
      <c r="C97" s="3" t="str">
        <f ca="1">IFERROR(__xludf.DUMMYFUNCTION("""COMPUTED_VALUE"""),"大运棋牌api-转账钱包DZceshi-一级代理：2238314 - KRW")</f>
        <v>大运棋牌api-转账钱包DZceshi-一级代理：2238314 - KRW</v>
      </c>
      <c r="D97" s="3" t="str">
        <f ca="1">IFERROR(__xludf.DUMMYFUNCTION("""COMPUTED_VALUE"""),"韓圓")</f>
        <v>韓圓</v>
      </c>
      <c r="E97" s="3" t="str">
        <f ca="1">IFERROR(__xludf.DUMMYFUNCTION("""COMPUTED_VALUE"""),"KRW")</f>
        <v>KRW</v>
      </c>
      <c r="F97" s="3" t="str">
        <f ca="1">VLOOKUP(E97, 幣別!B:D, 3, FALSE)</f>
        <v>CNYKRW</v>
      </c>
    </row>
    <row r="98" spans="1:6" ht="12.75">
      <c r="A98" s="3">
        <f ca="1">IFERROR(__xludf.DUMMYFUNCTION("""COMPUTED_VALUE"""),5117)</f>
        <v>5117</v>
      </c>
      <c r="B98" s="3" t="str">
        <f ca="1">IFERROR(__xludf.DUMMYFUNCTION("""COMPUTED_VALUE"""),"1784194_hkd")</f>
        <v>1784194_hkd</v>
      </c>
      <c r="C98" s="3" t="str">
        <f ca="1">IFERROR(__xludf.DUMMYFUNCTION("""COMPUTED_VALUE"""),"大运棋牌api-转账钱包DZceshi-一级代理：2238316 - HKD")</f>
        <v>大运棋牌api-转账钱包DZceshi-一级代理：2238316 - HKD</v>
      </c>
      <c r="D98" s="3" t="str">
        <f ca="1">IFERROR(__xludf.DUMMYFUNCTION("""COMPUTED_VALUE"""),"港幣")</f>
        <v>港幣</v>
      </c>
      <c r="E98" s="3" t="str">
        <f ca="1">IFERROR(__xludf.DUMMYFUNCTION("""COMPUTED_VALUE"""),"HKD")</f>
        <v>HKD</v>
      </c>
      <c r="F98" s="3" t="str">
        <f ca="1">VLOOKUP(E98, 幣別!B:D, 3, FALSE)</f>
        <v>CNYHKD</v>
      </c>
    </row>
    <row r="99" spans="1:6" ht="12.75">
      <c r="A99" s="3">
        <f ca="1">IFERROR(__xludf.DUMMYFUNCTION("""COMPUTED_VALUE"""),5118)</f>
        <v>5118</v>
      </c>
      <c r="B99" s="3" t="str">
        <f ca="1">IFERROR(__xludf.DUMMYFUNCTION("""COMPUTED_VALUE"""),"1784194_ngn")</f>
        <v>1784194_ngn</v>
      </c>
      <c r="C99" s="3" t="str">
        <f ca="1">IFERROR(__xludf.DUMMYFUNCTION("""COMPUTED_VALUE"""),"大运棋牌api-转账钱包DZceshi-一级代理：2238310 - NGN")</f>
        <v>大运棋牌api-转账钱包DZceshi-一级代理：2238310 - NGN</v>
      </c>
      <c r="D99" s="3" t="str">
        <f ca="1">IFERROR(__xludf.DUMMYFUNCTION("""COMPUTED_VALUE"""),"尼日利亞奈拉")</f>
        <v>尼日利亞奈拉</v>
      </c>
      <c r="E99" s="3" t="str">
        <f ca="1">IFERROR(__xludf.DUMMYFUNCTION("""COMPUTED_VALUE"""),"NGN")</f>
        <v>NGN</v>
      </c>
      <c r="F99" s="3" t="str">
        <f ca="1">VLOOKUP(E99, 幣別!B:D, 3, FALSE)</f>
        <v>CNYNGN</v>
      </c>
    </row>
    <row r="100" spans="1:6" ht="12.75">
      <c r="A100" s="3">
        <f ca="1">IFERROR(__xludf.DUMMYFUNCTION("""COMPUTED_VALUE"""),5119)</f>
        <v>5119</v>
      </c>
      <c r="B100" s="3" t="str">
        <f ca="1">IFERROR(__xludf.DUMMYFUNCTION("""COMPUTED_VALUE"""),"1784194_mxn")</f>
        <v>1784194_mxn</v>
      </c>
      <c r="C100" s="3" t="str">
        <f ca="1">IFERROR(__xludf.DUMMYFUNCTION("""COMPUTED_VALUE"""),"大运棋牌api-转账钱包DZceshi-一级代理：2238318 - MXN")</f>
        <v>大运棋牌api-转账钱包DZceshi-一级代理：2238318 - MXN</v>
      </c>
      <c r="D100" s="3" t="str">
        <f ca="1">IFERROR(__xludf.DUMMYFUNCTION("""COMPUTED_VALUE"""),"墨西哥披索")</f>
        <v>墨西哥披索</v>
      </c>
      <c r="E100" s="3" t="str">
        <f ca="1">IFERROR(__xludf.DUMMYFUNCTION("""COMPUTED_VALUE"""),"MXN")</f>
        <v>MXN</v>
      </c>
      <c r="F100" s="3" t="str">
        <f ca="1">VLOOKUP(E100, 幣別!B:D, 3, FALSE)</f>
        <v>CNYMXN</v>
      </c>
    </row>
    <row r="101" spans="1:6" ht="12.75">
      <c r="A101" s="3">
        <f ca="1">IFERROR(__xludf.DUMMYFUNCTION("""COMPUTED_VALUE"""),5120)</f>
        <v>5120</v>
      </c>
      <c r="B101" s="3" t="str">
        <f ca="1">IFERROR(__xludf.DUMMYFUNCTION("""COMPUTED_VALUE"""),"1784194_brl")</f>
        <v>1784194_brl</v>
      </c>
      <c r="C101" s="3" t="str">
        <f ca="1">IFERROR(__xludf.DUMMYFUNCTION("""COMPUTED_VALUE"""),"大运棋牌api-转账钱包DZceshi-一级代理：2238320 - BRL")</f>
        <v>大运棋牌api-转账钱包DZceshi-一级代理：2238320 - BRL</v>
      </c>
      <c r="D101" s="3" t="str">
        <f ca="1">IFERROR(__xludf.DUMMYFUNCTION("""COMPUTED_VALUE"""),"巴西雷亞爾")</f>
        <v>巴西雷亞爾</v>
      </c>
      <c r="E101" s="3" t="str">
        <f ca="1">IFERROR(__xludf.DUMMYFUNCTION("""COMPUTED_VALUE"""),"BRL")</f>
        <v>BRL</v>
      </c>
      <c r="F101" s="3" t="str">
        <f ca="1">VLOOKUP(E101, 幣別!B:D, 3, FALSE)</f>
        <v>CNYBRL</v>
      </c>
    </row>
    <row r="102" spans="1:6" ht="12.75">
      <c r="A102" s="3">
        <f ca="1">IFERROR(__xludf.DUMMYFUNCTION("""COMPUTED_VALUE"""),5121)</f>
        <v>5121</v>
      </c>
      <c r="B102" s="3" t="str">
        <f ca="1">IFERROR(__xludf.DUMMYFUNCTION("""COMPUTED_VALUE"""),"1784194_eur")</f>
        <v>1784194_eur</v>
      </c>
      <c r="C102" s="3" t="str">
        <f ca="1">IFERROR(__xludf.DUMMYFUNCTION("""COMPUTED_VALUE"""),"大运棋牌api-转账钱包DZceshi-一级代理：2238321 - EUR")</f>
        <v>大运棋牌api-转账钱包DZceshi-一级代理：2238321 - EUR</v>
      </c>
      <c r="D102" s="3" t="str">
        <f ca="1">IFERROR(__xludf.DUMMYFUNCTION("""COMPUTED_VALUE"""),"歐元")</f>
        <v>歐元</v>
      </c>
      <c r="E102" s="3" t="str">
        <f ca="1">IFERROR(__xludf.DUMMYFUNCTION("""COMPUTED_VALUE"""),"EUR")</f>
        <v>EUR</v>
      </c>
      <c r="F102" s="3" t="str">
        <f ca="1">VLOOKUP(E102, 幣別!B:D, 3, FALSE)</f>
        <v>CNYEUR</v>
      </c>
    </row>
    <row r="103" spans="1:6" ht="12.75">
      <c r="A103" s="3">
        <f ca="1">IFERROR(__xludf.DUMMYFUNCTION("""COMPUTED_VALUE"""),5122)</f>
        <v>5122</v>
      </c>
      <c r="B103" s="3" t="str">
        <f ca="1">IFERROR(__xludf.DUMMYFUNCTION("""COMPUTED_VALUE"""),"1784194_php")</f>
        <v>1784194_php</v>
      </c>
      <c r="C103" s="3" t="str">
        <f ca="1">IFERROR(__xludf.DUMMYFUNCTION("""COMPUTED_VALUE"""),"大运棋牌api-转账钱包DZceshi-一级代理：2239144 - PHP")</f>
        <v>大运棋牌api-转账钱包DZceshi-一级代理：2239144 - PHP</v>
      </c>
      <c r="D103" s="3" t="str">
        <f ca="1">IFERROR(__xludf.DUMMYFUNCTION("""COMPUTED_VALUE"""),"菲律賓披索")</f>
        <v>菲律賓披索</v>
      </c>
      <c r="E103" s="3" t="str">
        <f ca="1">IFERROR(__xludf.DUMMYFUNCTION("""COMPUTED_VALUE"""),"PHP")</f>
        <v>PHP</v>
      </c>
      <c r="F103" s="3" t="str">
        <f ca="1">VLOOKUP(E103, 幣別!B:D, 3, FALSE)</f>
        <v>CNYPHP</v>
      </c>
    </row>
    <row r="104" spans="1:6" ht="12.75">
      <c r="A104" s="3">
        <f ca="1">IFERROR(__xludf.DUMMYFUNCTION("""COMPUTED_VALUE"""),5123)</f>
        <v>5123</v>
      </c>
      <c r="B104" s="3" t="str">
        <f ca="1">IFERROR(__xludf.DUMMYFUNCTION("""COMPUTED_VALUE"""),"1784194_idr")</f>
        <v>1784194_idr</v>
      </c>
      <c r="C104" s="3" t="str">
        <f ca="1">IFERROR(__xludf.DUMMYFUNCTION("""COMPUTED_VALUE"""),"大运棋牌api-转账钱包DZceshi-一级代理：2239145 - IDR")</f>
        <v>大运棋牌api-转账钱包DZceshi-一级代理：2239145 - IDR</v>
      </c>
      <c r="D104" s="3" t="str">
        <f ca="1">IFERROR(__xludf.DUMMYFUNCTION("""COMPUTED_VALUE"""),"印尼盾")</f>
        <v>印尼盾</v>
      </c>
      <c r="E104" s="3" t="str">
        <f ca="1">IFERROR(__xludf.DUMMYFUNCTION("""COMPUTED_VALUE"""),"IDR")</f>
        <v>IDR</v>
      </c>
      <c r="F104" s="3" t="str">
        <f ca="1">VLOOKUP(E104, 幣別!B:D, 3, FALSE)</f>
        <v>CNYIDR</v>
      </c>
    </row>
    <row r="105" spans="1:6" ht="12.75">
      <c r="A105" s="3">
        <f ca="1">IFERROR(__xludf.DUMMYFUNCTION("""COMPUTED_VALUE"""),5124)</f>
        <v>5124</v>
      </c>
      <c r="B105" s="3" t="str">
        <f ca="1">IFERROR(__xludf.DUMMYFUNCTION("""COMPUTED_VALUE"""),"1971868_krw")</f>
        <v>1971868_krw</v>
      </c>
      <c r="C105" s="3" t="str">
        <f ca="1">IFERROR(__xludf.DUMMYFUNCTION("""COMPUTED_VALUE"""),"大运棋牌api-唯一钱包dydzdyce1-一级代理：2239469 - KRW")</f>
        <v>大运棋牌api-唯一钱包dydzdyce1-一级代理：2239469 - KRW</v>
      </c>
      <c r="D105" s="3" t="str">
        <f ca="1">IFERROR(__xludf.DUMMYFUNCTION("""COMPUTED_VALUE"""),"韓圓")</f>
        <v>韓圓</v>
      </c>
      <c r="E105" s="3" t="str">
        <f ca="1">IFERROR(__xludf.DUMMYFUNCTION("""COMPUTED_VALUE"""),"KRW")</f>
        <v>KRW</v>
      </c>
      <c r="F105" s="3" t="str">
        <f ca="1">VLOOKUP(E105, 幣別!B:D, 3, FALSE)</f>
        <v>CNYKRW</v>
      </c>
    </row>
    <row r="106" spans="1:6" ht="12.75">
      <c r="A106" s="3">
        <f ca="1">IFERROR(__xludf.DUMMYFUNCTION("""COMPUTED_VALUE"""),5125)</f>
        <v>5125</v>
      </c>
      <c r="B106" s="3" t="str">
        <f ca="1">IFERROR(__xludf.DUMMYFUNCTION("""COMPUTED_VALUE"""),"1971868_usd")</f>
        <v>1971868_usd</v>
      </c>
      <c r="C106" s="3" t="str">
        <f ca="1">IFERROR(__xludf.DUMMYFUNCTION("""COMPUTED_VALUE"""),"大运棋牌api-唯一钱包dydzdyce1-一级代理：2239470 - USD")</f>
        <v>大运棋牌api-唯一钱包dydzdyce1-一级代理：2239470 - USD</v>
      </c>
      <c r="D106" s="3" t="str">
        <f ca="1">IFERROR(__xludf.DUMMYFUNCTION("""COMPUTED_VALUE"""),"美元")</f>
        <v>美元</v>
      </c>
      <c r="E106" s="3" t="str">
        <f ca="1">IFERROR(__xludf.DUMMYFUNCTION("""COMPUTED_VALUE"""),"USD")</f>
        <v>USD</v>
      </c>
      <c r="F106" s="3" t="str">
        <f ca="1">VLOOKUP(E106, 幣別!B:D, 3, FALSE)</f>
        <v>CNYUSD</v>
      </c>
    </row>
    <row r="107" spans="1:6" ht="12.75">
      <c r="A107" s="3">
        <f ca="1">IFERROR(__xludf.DUMMYFUNCTION("""COMPUTED_VALUE"""),5126)</f>
        <v>5126</v>
      </c>
      <c r="B107" s="3" t="str">
        <f ca="1">IFERROR(__xludf.DUMMYFUNCTION("""COMPUTED_VALUE"""),"1971868_eur")</f>
        <v>1971868_eur</v>
      </c>
      <c r="C107" s="3" t="str">
        <f ca="1">IFERROR(__xludf.DUMMYFUNCTION("""COMPUTED_VALUE"""),"大运棋牌api-唯一钱包dydzdyce1-一级代理：2239468 - EUR")</f>
        <v>大运棋牌api-唯一钱包dydzdyce1-一级代理：2239468 - EUR</v>
      </c>
      <c r="D107" s="3" t="str">
        <f ca="1">IFERROR(__xludf.DUMMYFUNCTION("""COMPUTED_VALUE"""),"歐元")</f>
        <v>歐元</v>
      </c>
      <c r="E107" s="3" t="str">
        <f ca="1">IFERROR(__xludf.DUMMYFUNCTION("""COMPUTED_VALUE"""),"EUR")</f>
        <v>EUR</v>
      </c>
      <c r="F107" s="3" t="str">
        <f ca="1">VLOOKUP(E107, 幣別!B:D, 3, FALSE)</f>
        <v>CNYEUR</v>
      </c>
    </row>
    <row r="108" spans="1:6" ht="12.75">
      <c r="A108" s="3">
        <f ca="1">IFERROR(__xludf.DUMMYFUNCTION("""COMPUTED_VALUE"""),5127)</f>
        <v>5127</v>
      </c>
      <c r="B108" s="3" t="str">
        <f ca="1">IFERROR(__xludf.DUMMYFUNCTION("""COMPUTED_VALUE"""),"1987676_inr")</f>
        <v>1987676_inr</v>
      </c>
      <c r="C108" s="3" t="str">
        <f ca="1">IFERROR(__xludf.DUMMYFUNCTION("""COMPUTED_VALUE"""),"大运棋牌api-唯一钱包TOT-一级代理：2240926 - INR")</f>
        <v>大运棋牌api-唯一钱包TOT-一级代理：2240926 - INR</v>
      </c>
      <c r="D108" s="3" t="str">
        <f ca="1">IFERROR(__xludf.DUMMYFUNCTION("""COMPUTED_VALUE"""),"印度盧比")</f>
        <v>印度盧比</v>
      </c>
      <c r="E108" s="3" t="str">
        <f ca="1">IFERROR(__xludf.DUMMYFUNCTION("""COMPUTED_VALUE"""),"INR")</f>
        <v>INR</v>
      </c>
      <c r="F108" s="3" t="str">
        <f ca="1">VLOOKUP(E108, 幣別!B:D, 3, FALSE)</f>
        <v>CNYINR</v>
      </c>
    </row>
    <row r="109" spans="1:6" ht="12.75">
      <c r="A109" s="3">
        <f ca="1">IFERROR(__xludf.DUMMYFUNCTION("""COMPUTED_VALUE"""),5128)</f>
        <v>5128</v>
      </c>
      <c r="B109" s="3" t="str">
        <f ca="1">IFERROR(__xludf.DUMMYFUNCTION("""COMPUTED_VALUE"""),"1987676_php")</f>
        <v>1987676_php</v>
      </c>
      <c r="C109" s="3" t="str">
        <f ca="1">IFERROR(__xludf.DUMMYFUNCTION("""COMPUTED_VALUE"""),"大运棋牌api-唯一钱包TOT-一级代理：2240924 - PHP")</f>
        <v>大运棋牌api-唯一钱包TOT-一级代理：2240924 - PHP</v>
      </c>
      <c r="D109" s="3" t="str">
        <f ca="1">IFERROR(__xludf.DUMMYFUNCTION("""COMPUTED_VALUE"""),"菲律賓披索")</f>
        <v>菲律賓披索</v>
      </c>
      <c r="E109" s="3" t="str">
        <f ca="1">IFERROR(__xludf.DUMMYFUNCTION("""COMPUTED_VALUE"""),"PHP")</f>
        <v>PHP</v>
      </c>
      <c r="F109" s="3" t="str">
        <f ca="1">VLOOKUP(E109, 幣別!B:D, 3, FALSE)</f>
        <v>CNYPHP</v>
      </c>
    </row>
    <row r="110" spans="1:6" ht="12.75">
      <c r="A110" s="3">
        <f ca="1">IFERROR(__xludf.DUMMYFUNCTION("""COMPUTED_VALUE"""),5129)</f>
        <v>5129</v>
      </c>
      <c r="B110" s="3" t="str">
        <f ca="1">IFERROR(__xludf.DUMMYFUNCTION("""COMPUTED_VALUE"""),"1987676_thb")</f>
        <v>1987676_thb</v>
      </c>
      <c r="C110" s="3" t="str">
        <f ca="1">IFERROR(__xludf.DUMMYFUNCTION("""COMPUTED_VALUE"""),"大运棋牌api-唯一钱包TOT-一级代理：2240930 - THB")</f>
        <v>大运棋牌api-唯一钱包TOT-一级代理：2240930 - THB</v>
      </c>
      <c r="D110" s="3" t="str">
        <f ca="1">IFERROR(__xludf.DUMMYFUNCTION("""COMPUTED_VALUE"""),"泰銖")</f>
        <v>泰銖</v>
      </c>
      <c r="E110" s="3" t="str">
        <f ca="1">IFERROR(__xludf.DUMMYFUNCTION("""COMPUTED_VALUE"""),"THB")</f>
        <v>THB</v>
      </c>
      <c r="F110" s="3" t="str">
        <f ca="1">VLOOKUP(E110, 幣別!B:D, 3, FALSE)</f>
        <v>CNYTHB</v>
      </c>
    </row>
    <row r="111" spans="1:6" ht="12.75">
      <c r="A111" s="3">
        <f ca="1">IFERROR(__xludf.DUMMYFUNCTION("""COMPUTED_VALUE"""),5130)</f>
        <v>5130</v>
      </c>
      <c r="B111" s="3" t="str">
        <f ca="1">IFERROR(__xludf.DUMMYFUNCTION("""COMPUTED_VALUE"""),"1987676_eur")</f>
        <v>1987676_eur</v>
      </c>
      <c r="C111" s="3" t="str">
        <f ca="1">IFERROR(__xludf.DUMMYFUNCTION("""COMPUTED_VALUE"""),"大运棋牌api-唯一钱包TOT-一级代理：2240927 - EUR")</f>
        <v>大运棋牌api-唯一钱包TOT-一级代理：2240927 - EUR</v>
      </c>
      <c r="D111" s="3" t="str">
        <f ca="1">IFERROR(__xludf.DUMMYFUNCTION("""COMPUTED_VALUE"""),"歐元")</f>
        <v>歐元</v>
      </c>
      <c r="E111" s="3" t="str">
        <f ca="1">IFERROR(__xludf.DUMMYFUNCTION("""COMPUTED_VALUE"""),"EUR")</f>
        <v>EUR</v>
      </c>
      <c r="F111" s="3" t="str">
        <f ca="1">VLOOKUP(E111, 幣別!B:D, 3, FALSE)</f>
        <v>CNYEUR</v>
      </c>
    </row>
    <row r="112" spans="1:6" ht="12.75">
      <c r="A112" s="3">
        <f ca="1">IFERROR(__xludf.DUMMYFUNCTION("""COMPUTED_VALUE"""),5131)</f>
        <v>5131</v>
      </c>
      <c r="B112" s="3" t="str">
        <f ca="1">IFERROR(__xludf.DUMMYFUNCTION("""COMPUTED_VALUE"""),"1987676_idr")</f>
        <v>1987676_idr</v>
      </c>
      <c r="C112" s="3" t="str">
        <f ca="1">IFERROR(__xludf.DUMMYFUNCTION("""COMPUTED_VALUE"""),"大运棋牌api-唯一钱包TOT-一级代理：2240931 - IDR")</f>
        <v>大运棋牌api-唯一钱包TOT-一级代理：2240931 - IDR</v>
      </c>
      <c r="D112" s="3" t="str">
        <f ca="1">IFERROR(__xludf.DUMMYFUNCTION("""COMPUTED_VALUE"""),"印尼盾")</f>
        <v>印尼盾</v>
      </c>
      <c r="E112" s="3" t="str">
        <f ca="1">IFERROR(__xludf.DUMMYFUNCTION("""COMPUTED_VALUE"""),"IDR")</f>
        <v>IDR</v>
      </c>
      <c r="F112" s="3" t="str">
        <f ca="1">VLOOKUP(E112, 幣別!B:D, 3, FALSE)</f>
        <v>CNYIDR</v>
      </c>
    </row>
    <row r="113" spans="1:6" ht="12.75">
      <c r="A113" s="3">
        <f ca="1">IFERROR(__xludf.DUMMYFUNCTION("""COMPUTED_VALUE"""),5132)</f>
        <v>5132</v>
      </c>
      <c r="B113" s="3" t="str">
        <f ca="1">IFERROR(__xludf.DUMMYFUNCTION("""COMPUTED_VALUE"""),"2247068_aud")</f>
        <v>2247068_aud</v>
      </c>
      <c r="C113" s="3" t="str">
        <f ca="1">IFERROR(__xludf.DUMMYFUNCTION("""COMPUTED_VALUE"""),"大运棋牌api-唯一钱包998-一级代理：2247112 - AUD")</f>
        <v>大运棋牌api-唯一钱包998-一级代理：2247112 - AUD</v>
      </c>
      <c r="D113" s="3" t="str">
        <f ca="1">IFERROR(__xludf.DUMMYFUNCTION("""COMPUTED_VALUE"""),"澳洲元")</f>
        <v>澳洲元</v>
      </c>
      <c r="E113" s="3" t="str">
        <f ca="1">IFERROR(__xludf.DUMMYFUNCTION("""COMPUTED_VALUE"""),"AUD")</f>
        <v>AUD</v>
      </c>
      <c r="F113" s="3" t="str">
        <f ca="1">VLOOKUP(E113, 幣別!B:D, 3, FALSE)</f>
        <v>CNYAUD</v>
      </c>
    </row>
    <row r="114" spans="1:6" ht="12.75">
      <c r="A114" s="3">
        <f ca="1">IFERROR(__xludf.DUMMYFUNCTION("""COMPUTED_VALUE"""),5133)</f>
        <v>5133</v>
      </c>
      <c r="B114" s="3" t="str">
        <f ca="1">IFERROR(__xludf.DUMMYFUNCTION("""COMPUTED_VALUE"""),"2247068_cny")</f>
        <v>2247068_cny</v>
      </c>
      <c r="C114" s="3" t="str">
        <f ca="1">IFERROR(__xludf.DUMMYFUNCTION("""COMPUTED_VALUE"""),"大运棋牌api-唯一钱包998-一级代理：2247092 - CNY")</f>
        <v>大运棋牌api-唯一钱包998-一级代理：2247092 - CNY</v>
      </c>
      <c r="D114" s="3" t="str">
        <f ca="1">IFERROR(__xludf.DUMMYFUNCTION("""COMPUTED_VALUE"""),"人民幣")</f>
        <v>人民幣</v>
      </c>
      <c r="E114" s="3" t="str">
        <f ca="1">IFERROR(__xludf.DUMMYFUNCTION("""COMPUTED_VALUE"""),"CNY")</f>
        <v>CNY</v>
      </c>
      <c r="F114" s="3">
        <f ca="1">VLOOKUP(E114, 幣別!B:D, 3, FALSE)</f>
        <v>0</v>
      </c>
    </row>
    <row r="115" spans="1:6" ht="12.75">
      <c r="A115" s="3">
        <f ca="1">IFERROR(__xludf.DUMMYFUNCTION("""COMPUTED_VALUE"""),5134)</f>
        <v>5134</v>
      </c>
      <c r="B115" s="3" t="str">
        <f ca="1">IFERROR(__xludf.DUMMYFUNCTION("""COMPUTED_VALUE"""),"2247068_jpy")</f>
        <v>2247068_jpy</v>
      </c>
      <c r="C115" s="3" t="str">
        <f ca="1">IFERROR(__xludf.DUMMYFUNCTION("""COMPUTED_VALUE"""),"大运棋牌api-唯一钱包998-一级代理：2247115 - JPY")</f>
        <v>大运棋牌api-唯一钱包998-一级代理：2247115 - JPY</v>
      </c>
      <c r="D115" s="3" t="str">
        <f ca="1">IFERROR(__xludf.DUMMYFUNCTION("""COMPUTED_VALUE"""),"日圓")</f>
        <v>日圓</v>
      </c>
      <c r="E115" s="3" t="str">
        <f ca="1">IFERROR(__xludf.DUMMYFUNCTION("""COMPUTED_VALUE"""),"JPY")</f>
        <v>JPY</v>
      </c>
      <c r="F115" s="3" t="str">
        <f ca="1">VLOOKUP(E115, 幣別!B:D, 3, FALSE)</f>
        <v>CNYJPY</v>
      </c>
    </row>
    <row r="116" spans="1:6" ht="12.75">
      <c r="A116" s="3">
        <f ca="1">IFERROR(__xludf.DUMMYFUNCTION("""COMPUTED_VALUE"""),5135)</f>
        <v>5135</v>
      </c>
      <c r="B116" s="3" t="str">
        <f ca="1">IFERROR(__xludf.DUMMYFUNCTION("""COMPUTED_VALUE"""),"2247068_eur")</f>
        <v>2247068_eur</v>
      </c>
      <c r="C116" s="3" t="str">
        <f ca="1">IFERROR(__xludf.DUMMYFUNCTION("""COMPUTED_VALUE"""),"大运棋牌api-唯一钱包998-一级代理：2247098 - EUR")</f>
        <v>大运棋牌api-唯一钱包998-一级代理：2247098 - EUR</v>
      </c>
      <c r="D116" s="3" t="str">
        <f ca="1">IFERROR(__xludf.DUMMYFUNCTION("""COMPUTED_VALUE"""),"歐元")</f>
        <v>歐元</v>
      </c>
      <c r="E116" s="3" t="str">
        <f ca="1">IFERROR(__xludf.DUMMYFUNCTION("""COMPUTED_VALUE"""),"EUR")</f>
        <v>EUR</v>
      </c>
      <c r="F116" s="3" t="str">
        <f ca="1">VLOOKUP(E116, 幣別!B:D, 3, FALSE)</f>
        <v>CNYEUR</v>
      </c>
    </row>
    <row r="117" spans="1:6" ht="12.75">
      <c r="A117" s="3">
        <f ca="1">IFERROR(__xludf.DUMMYFUNCTION("""COMPUTED_VALUE"""),5136)</f>
        <v>5136</v>
      </c>
      <c r="B117" s="3" t="str">
        <f ca="1">IFERROR(__xludf.DUMMYFUNCTION("""COMPUTED_VALUE"""),"2247068_hkd")</f>
        <v>2247068_hkd</v>
      </c>
      <c r="C117" s="3" t="str">
        <f ca="1">IFERROR(__xludf.DUMMYFUNCTION("""COMPUTED_VALUE"""),"大运棋牌api-唯一钱包998-一级代理：2247103 - HKD")</f>
        <v>大运棋牌api-唯一钱包998-一级代理：2247103 - HKD</v>
      </c>
      <c r="D117" s="3" t="str">
        <f ca="1">IFERROR(__xludf.DUMMYFUNCTION("""COMPUTED_VALUE"""),"港幣")</f>
        <v>港幣</v>
      </c>
      <c r="E117" s="3" t="str">
        <f ca="1">IFERROR(__xludf.DUMMYFUNCTION("""COMPUTED_VALUE"""),"HKD")</f>
        <v>HKD</v>
      </c>
      <c r="F117" s="3" t="str">
        <f ca="1">VLOOKUP(E117, 幣別!B:D, 3, FALSE)</f>
        <v>CNYHKD</v>
      </c>
    </row>
    <row r="118" spans="1:6" ht="12.75">
      <c r="A118" s="3">
        <f ca="1">IFERROR(__xludf.DUMMYFUNCTION("""COMPUTED_VALUE"""),5137)</f>
        <v>5137</v>
      </c>
      <c r="B118" s="3" t="str">
        <f ca="1">IFERROR(__xludf.DUMMYFUNCTION("""COMPUTED_VALUE"""),"2247068_krw")</f>
        <v>2247068_krw</v>
      </c>
      <c r="C118" s="3" t="str">
        <f ca="1">IFERROR(__xludf.DUMMYFUNCTION("""COMPUTED_VALUE"""),"大运棋牌api-唯一钱包998-一级代理：2247105 - KRW")</f>
        <v>大运棋牌api-唯一钱包998-一级代理：2247105 - KRW</v>
      </c>
      <c r="D118" s="3" t="str">
        <f ca="1">IFERROR(__xludf.DUMMYFUNCTION("""COMPUTED_VALUE"""),"韓圓")</f>
        <v>韓圓</v>
      </c>
      <c r="E118" s="3" t="str">
        <f ca="1">IFERROR(__xludf.DUMMYFUNCTION("""COMPUTED_VALUE"""),"KRW")</f>
        <v>KRW</v>
      </c>
      <c r="F118" s="3" t="str">
        <f ca="1">VLOOKUP(E118, 幣別!B:D, 3, FALSE)</f>
        <v>CNYKRW</v>
      </c>
    </row>
    <row r="119" spans="1:6" ht="12.75">
      <c r="A119" s="3">
        <f ca="1">IFERROR(__xludf.DUMMYFUNCTION("""COMPUTED_VALUE"""),5138)</f>
        <v>5138</v>
      </c>
      <c r="B119" s="3" t="str">
        <f ca="1">IFERROR(__xludf.DUMMYFUNCTION("""COMPUTED_VALUE"""),"2247068_mmk")</f>
        <v>2247068_mmk</v>
      </c>
      <c r="C119" s="3" t="str">
        <f ca="1">IFERROR(__xludf.DUMMYFUNCTION("""COMPUTED_VALUE"""),"大运棋牌api-唯一钱包998-一级代理：2247113 - MMK")</f>
        <v>大运棋牌api-唯一钱包998-一级代理：2247113 - MMK</v>
      </c>
      <c r="D119" s="3" t="str">
        <f ca="1">IFERROR(__xludf.DUMMYFUNCTION("""COMPUTED_VALUE"""),"緬元")</f>
        <v>緬元</v>
      </c>
      <c r="E119" s="3" t="str">
        <f ca="1">IFERROR(__xludf.DUMMYFUNCTION("""COMPUTED_VALUE"""),"MMK")</f>
        <v>MMK</v>
      </c>
      <c r="F119" s="3" t="str">
        <f ca="1">VLOOKUP(E119, 幣別!B:D, 3, FALSE)</f>
        <v>CNYMMK</v>
      </c>
    </row>
    <row r="120" spans="1:6" ht="12.75">
      <c r="A120" s="3">
        <f ca="1">IFERROR(__xludf.DUMMYFUNCTION("""COMPUTED_VALUE"""),5139)</f>
        <v>5139</v>
      </c>
      <c r="B120" s="3" t="str">
        <f ca="1">IFERROR(__xludf.DUMMYFUNCTION("""COMPUTED_VALUE"""),"2247068_php")</f>
        <v>2247068_php</v>
      </c>
      <c r="C120" s="3" t="str">
        <f ca="1">IFERROR(__xludf.DUMMYFUNCTION("""COMPUTED_VALUE"""),"大运棋牌api-唯一钱包998-一级代理：2247093 - PHP")</f>
        <v>大运棋牌api-唯一钱包998-一级代理：2247093 - PHP</v>
      </c>
      <c r="D120" s="3" t="str">
        <f ca="1">IFERROR(__xludf.DUMMYFUNCTION("""COMPUTED_VALUE"""),"菲律賓披索")</f>
        <v>菲律賓披索</v>
      </c>
      <c r="E120" s="3" t="str">
        <f ca="1">IFERROR(__xludf.DUMMYFUNCTION("""COMPUTED_VALUE"""),"PHP")</f>
        <v>PHP</v>
      </c>
      <c r="F120" s="3" t="str">
        <f ca="1">VLOOKUP(E120, 幣別!B:D, 3, FALSE)</f>
        <v>CNYPHP</v>
      </c>
    </row>
    <row r="121" spans="1:6" ht="12.75">
      <c r="A121" s="3">
        <f ca="1">IFERROR(__xludf.DUMMYFUNCTION("""COMPUTED_VALUE"""),5140)</f>
        <v>5140</v>
      </c>
      <c r="B121" s="3" t="str">
        <f ca="1">IFERROR(__xludf.DUMMYFUNCTION("""COMPUTED_VALUE"""),"2247068_myr")</f>
        <v>2247068_myr</v>
      </c>
      <c r="C121" s="3" t="str">
        <f ca="1">IFERROR(__xludf.DUMMYFUNCTION("""COMPUTED_VALUE"""),"大运棋牌api-唯一钱包998-一级代理：2247101 - MYR")</f>
        <v>大运棋牌api-唯一钱包998-一级代理：2247101 - MYR</v>
      </c>
      <c r="D121" s="3" t="str">
        <f ca="1">IFERROR(__xludf.DUMMYFUNCTION("""COMPUTED_VALUE"""),"馬來西亞令吉")</f>
        <v>馬來西亞令吉</v>
      </c>
      <c r="E121" s="3" t="str">
        <f ca="1">IFERROR(__xludf.DUMMYFUNCTION("""COMPUTED_VALUE"""),"MYR")</f>
        <v>MYR</v>
      </c>
      <c r="F121" s="3" t="str">
        <f ca="1">VLOOKUP(E121, 幣別!B:D, 3, FALSE)</f>
        <v>CNYMYR</v>
      </c>
    </row>
    <row r="122" spans="1:6" ht="12.75">
      <c r="A122" s="3">
        <f ca="1">IFERROR(__xludf.DUMMYFUNCTION("""COMPUTED_VALUE"""),5141)</f>
        <v>5141</v>
      </c>
      <c r="B122" s="3" t="str">
        <f ca="1">IFERROR(__xludf.DUMMYFUNCTION("""COMPUTED_VALUE"""),"2247068_idr")</f>
        <v>2247068_idr</v>
      </c>
      <c r="C122" s="3" t="str">
        <f ca="1">IFERROR(__xludf.DUMMYFUNCTION("""COMPUTED_VALUE"""),"大运棋牌api-唯一钱包998-一级代理：2247109 - IDR")</f>
        <v>大运棋牌api-唯一钱包998-一级代理：2247109 - IDR</v>
      </c>
      <c r="D122" s="3" t="str">
        <f ca="1">IFERROR(__xludf.DUMMYFUNCTION("""COMPUTED_VALUE"""),"印尼盾")</f>
        <v>印尼盾</v>
      </c>
      <c r="E122" s="3" t="str">
        <f ca="1">IFERROR(__xludf.DUMMYFUNCTION("""COMPUTED_VALUE"""),"IDR")</f>
        <v>IDR</v>
      </c>
      <c r="F122" s="3" t="str">
        <f ca="1">VLOOKUP(E122, 幣別!B:D, 3, FALSE)</f>
        <v>CNYIDR</v>
      </c>
    </row>
    <row r="123" spans="1:6" ht="12.75">
      <c r="A123" s="3">
        <f ca="1">IFERROR(__xludf.DUMMYFUNCTION("""COMPUTED_VALUE"""),5142)</f>
        <v>5142</v>
      </c>
      <c r="B123" s="3" t="str">
        <f ca="1">IFERROR(__xludf.DUMMYFUNCTION("""COMPUTED_VALUE"""),"2247068_inr")</f>
        <v>2247068_inr</v>
      </c>
      <c r="C123" s="3" t="str">
        <f ca="1">IFERROR(__xludf.DUMMYFUNCTION("""COMPUTED_VALUE"""),"大运棋牌api-唯一钱包998-一级代理：2247096 - INR")</f>
        <v>大运棋牌api-唯一钱包998-一级代理：2247096 - INR</v>
      </c>
      <c r="D123" s="3" t="str">
        <f ca="1">IFERROR(__xludf.DUMMYFUNCTION("""COMPUTED_VALUE"""),"印度盧比")</f>
        <v>印度盧比</v>
      </c>
      <c r="E123" s="3" t="str">
        <f ca="1">IFERROR(__xludf.DUMMYFUNCTION("""COMPUTED_VALUE"""),"INR")</f>
        <v>INR</v>
      </c>
      <c r="F123" s="3" t="str">
        <f ca="1">VLOOKUP(E123, 幣別!B:D, 3, FALSE)</f>
        <v>CNYINR</v>
      </c>
    </row>
    <row r="124" spans="1:6" ht="12.75">
      <c r="A124" s="3">
        <f ca="1">IFERROR(__xludf.DUMMYFUNCTION("""COMPUTED_VALUE"""),5143)</f>
        <v>5143</v>
      </c>
      <c r="B124" s="3" t="str">
        <f ca="1">IFERROR(__xludf.DUMMYFUNCTION("""COMPUTED_VALUE"""),"2247068_thb")</f>
        <v>2247068_thb</v>
      </c>
      <c r="C124" s="3" t="str">
        <f ca="1">IFERROR(__xludf.DUMMYFUNCTION("""COMPUTED_VALUE"""),"大运棋牌api-唯一钱包998-一级代理：2247099 - THB")</f>
        <v>大运棋牌api-唯一钱包998-一级代理：2247099 - THB</v>
      </c>
      <c r="D124" s="3" t="str">
        <f ca="1">IFERROR(__xludf.DUMMYFUNCTION("""COMPUTED_VALUE"""),"泰銖")</f>
        <v>泰銖</v>
      </c>
      <c r="E124" s="3" t="str">
        <f ca="1">IFERROR(__xludf.DUMMYFUNCTION("""COMPUTED_VALUE"""),"THB")</f>
        <v>THB</v>
      </c>
      <c r="F124" s="3" t="str">
        <f ca="1">VLOOKUP(E124, 幣別!B:D, 3, FALSE)</f>
        <v>CNYTHB</v>
      </c>
    </row>
    <row r="125" spans="1:6" ht="12.75">
      <c r="A125" s="3">
        <f ca="1">IFERROR(__xludf.DUMMYFUNCTION("""COMPUTED_VALUE"""),5144)</f>
        <v>5144</v>
      </c>
      <c r="B125" s="3" t="str">
        <f ca="1">IFERROR(__xludf.DUMMYFUNCTION("""COMPUTED_VALUE"""),"2247068_usd")</f>
        <v>2247068_usd</v>
      </c>
      <c r="C125" s="3" t="str">
        <f ca="1">IFERROR(__xludf.DUMMYFUNCTION("""COMPUTED_VALUE"""),"大运棋牌api-唯一钱包998-一级代理：2247108 - USD")</f>
        <v>大运棋牌api-唯一钱包998-一级代理：2247108 - USD</v>
      </c>
      <c r="D125" s="3" t="str">
        <f ca="1">IFERROR(__xludf.DUMMYFUNCTION("""COMPUTED_VALUE"""),"美元")</f>
        <v>美元</v>
      </c>
      <c r="E125" s="3" t="str">
        <f ca="1">IFERROR(__xludf.DUMMYFUNCTION("""COMPUTED_VALUE"""),"USD")</f>
        <v>USD</v>
      </c>
      <c r="F125" s="3" t="str">
        <f ca="1">VLOOKUP(E125, 幣別!B:D, 3, FALSE)</f>
        <v>CNYUSD</v>
      </c>
    </row>
    <row r="126" spans="1:6" ht="12.75">
      <c r="A126" s="3">
        <f ca="1">IFERROR(__xludf.DUMMYFUNCTION("""COMPUTED_VALUE"""),5145)</f>
        <v>5145</v>
      </c>
      <c r="B126" s="3" t="str">
        <f ca="1">IFERROR(__xludf.DUMMYFUNCTION("""COMPUTED_VALUE"""),"2247068_vnd")</f>
        <v>2247068_vnd</v>
      </c>
      <c r="C126" s="3" t="str">
        <f ca="1">IFERROR(__xludf.DUMMYFUNCTION("""COMPUTED_VALUE"""),"大运棋牌api-唯一钱包998-一级代理：2247097 - VND")</f>
        <v>大运棋牌api-唯一钱包998-一级代理：2247097 - VND</v>
      </c>
      <c r="D126" s="3" t="str">
        <f ca="1">IFERROR(__xludf.DUMMYFUNCTION("""COMPUTED_VALUE"""),"越南盾")</f>
        <v>越南盾</v>
      </c>
      <c r="E126" s="3" t="str">
        <f ca="1">IFERROR(__xludf.DUMMYFUNCTION("""COMPUTED_VALUE"""),"VND")</f>
        <v>VND</v>
      </c>
      <c r="F126" s="3" t="str">
        <f ca="1">VLOOKUP(E126, 幣別!B:D, 3, FALSE)</f>
        <v>CNYVND</v>
      </c>
    </row>
    <row r="127" spans="1:6" ht="12.75">
      <c r="A127" s="3">
        <f ca="1">IFERROR(__xludf.DUMMYFUNCTION("""COMPUTED_VALUE"""),5146)</f>
        <v>5146</v>
      </c>
      <c r="B127" s="3" t="str">
        <f ca="1">IFERROR(__xludf.DUMMYFUNCTION("""COMPUTED_VALUE"""),"2247068_sgd")</f>
        <v>2247068_sgd</v>
      </c>
      <c r="C127" s="3" t="str">
        <f ca="1">IFERROR(__xludf.DUMMYFUNCTION("""COMPUTED_VALUE"""),"大运棋牌api-唯一钱包998-一级代理：2247116 - SGD")</f>
        <v>大运棋牌api-唯一钱包998-一级代理：2247116 - SGD</v>
      </c>
      <c r="D127" s="3" t="str">
        <f ca="1">IFERROR(__xludf.DUMMYFUNCTION("""COMPUTED_VALUE"""),"新加坡元")</f>
        <v>新加坡元</v>
      </c>
      <c r="E127" s="3" t="str">
        <f ca="1">IFERROR(__xludf.DUMMYFUNCTION("""COMPUTED_VALUE"""),"SGD")</f>
        <v>SGD</v>
      </c>
      <c r="F127" s="3" t="str">
        <f ca="1">VLOOKUP(E127, 幣別!B:D, 3, FALSE)</f>
        <v>CNYSGD</v>
      </c>
    </row>
    <row r="128" spans="1:6" ht="12.75">
      <c r="A128" s="3">
        <f ca="1">IFERROR(__xludf.DUMMYFUNCTION("""COMPUTED_VALUE"""),5147)</f>
        <v>5147</v>
      </c>
      <c r="B128" s="3" t="str">
        <f ca="1">IFERROR(__xludf.DUMMYFUNCTION("""COMPUTED_VALUE"""),"2247068_rub")</f>
        <v>2247068_rub</v>
      </c>
      <c r="C128" s="3" t="str">
        <f ca="1">IFERROR(__xludf.DUMMYFUNCTION("""COMPUTED_VALUE"""),"大运棋牌api-唯一钱包998-一级代理：2247110 - RUB")</f>
        <v>大运棋牌api-唯一钱包998-一级代理：2247110 - RUB</v>
      </c>
      <c r="D128" s="3" t="str">
        <f ca="1">IFERROR(__xludf.DUMMYFUNCTION("""COMPUTED_VALUE"""),"俄羅斯盧布")</f>
        <v>俄羅斯盧布</v>
      </c>
      <c r="E128" s="3" t="str">
        <f ca="1">IFERROR(__xludf.DUMMYFUNCTION("""COMPUTED_VALUE"""),"RUB")</f>
        <v>RUB</v>
      </c>
      <c r="F128" s="3" t="str">
        <f ca="1">VLOOKUP(E128, 幣別!B:D, 3, FALSE)</f>
        <v>CNYRUB</v>
      </c>
    </row>
    <row r="129" spans="1:6" ht="12.75">
      <c r="A129" s="3">
        <f ca="1">IFERROR(__xludf.DUMMYFUNCTION("""COMPUTED_VALUE"""),5149)</f>
        <v>5149</v>
      </c>
      <c r="B129" s="3" t="str">
        <f ca="1">IFERROR(__xludf.DUMMYFUNCTION("""COMPUTED_VALUE"""),"2257936_cny")</f>
        <v>2257936_cny</v>
      </c>
      <c r="C129" s="3" t="str">
        <f ca="1">IFERROR(__xludf.DUMMYFUNCTION("""COMPUTED_VALUE"""),"大运棋牌api-转账钱包BGdayou-一级代理：2257951")</f>
        <v>大运棋牌api-转账钱包BGdayou-一级代理：2257951</v>
      </c>
      <c r="D129" s="3" t="str">
        <f ca="1">IFERROR(__xludf.DUMMYFUNCTION("""COMPUTED_VALUE"""),"人民幣")</f>
        <v>人民幣</v>
      </c>
      <c r="E129" s="3" t="str">
        <f ca="1">IFERROR(__xludf.DUMMYFUNCTION("""COMPUTED_VALUE"""),"CNY")</f>
        <v>CNY</v>
      </c>
      <c r="F129" s="3">
        <f ca="1">VLOOKUP(E129, 幣別!B:D, 3, FALSE)</f>
        <v>0</v>
      </c>
    </row>
    <row r="130" spans="1:6" ht="12.75">
      <c r="A130" s="3">
        <f ca="1">IFERROR(__xludf.DUMMYFUNCTION("""COMPUTED_VALUE"""),5150)</f>
        <v>5150</v>
      </c>
      <c r="B130" s="3" t="str">
        <f ca="1">IFERROR(__xludf.DUMMYFUNCTION("""COMPUTED_VALUE"""),"2257936_inr")</f>
        <v>2257936_inr</v>
      </c>
      <c r="C130" s="3" t="str">
        <f ca="1">IFERROR(__xludf.DUMMYFUNCTION("""COMPUTED_VALUE"""),"大运棋牌api-转账钱包BGdayou-一级代理：2257952")</f>
        <v>大运棋牌api-转账钱包BGdayou-一级代理：2257952</v>
      </c>
      <c r="D130" s="3" t="str">
        <f ca="1">IFERROR(__xludf.DUMMYFUNCTION("""COMPUTED_VALUE"""),"印度盧比")</f>
        <v>印度盧比</v>
      </c>
      <c r="E130" s="3" t="str">
        <f ca="1">IFERROR(__xludf.DUMMYFUNCTION("""COMPUTED_VALUE"""),"INR")</f>
        <v>INR</v>
      </c>
      <c r="F130" s="3" t="str">
        <f ca="1">VLOOKUP(E130, 幣別!B:D, 3, FALSE)</f>
        <v>CNYINR</v>
      </c>
    </row>
    <row r="131" spans="1:6" ht="12.75">
      <c r="A131" s="3">
        <f ca="1">IFERROR(__xludf.DUMMYFUNCTION("""COMPUTED_VALUE"""),5151)</f>
        <v>5151</v>
      </c>
      <c r="B131" s="3" t="str">
        <f ca="1">IFERROR(__xludf.DUMMYFUNCTION("""COMPUTED_VALUE"""),"2257936_vnd")</f>
        <v>2257936_vnd</v>
      </c>
      <c r="C131" s="3" t="str">
        <f ca="1">IFERROR(__xludf.DUMMYFUNCTION("""COMPUTED_VALUE"""),"大运棋牌api-转账钱包BGdayou-一级代理：2257953")</f>
        <v>大运棋牌api-转账钱包BGdayou-一级代理：2257953</v>
      </c>
      <c r="D131" s="3" t="str">
        <f ca="1">IFERROR(__xludf.DUMMYFUNCTION("""COMPUTED_VALUE"""),"越南盾")</f>
        <v>越南盾</v>
      </c>
      <c r="E131" s="3" t="str">
        <f ca="1">IFERROR(__xludf.DUMMYFUNCTION("""COMPUTED_VALUE"""),"VND")</f>
        <v>VND</v>
      </c>
      <c r="F131" s="3" t="str">
        <f ca="1">VLOOKUP(E131, 幣別!B:D, 3, FALSE)</f>
        <v>CNYVND</v>
      </c>
    </row>
    <row r="132" spans="1:6" ht="12.75">
      <c r="A132" s="3">
        <f ca="1">IFERROR(__xludf.DUMMYFUNCTION("""COMPUTED_VALUE"""),5152)</f>
        <v>5152</v>
      </c>
      <c r="B132" s="3" t="str">
        <f ca="1">IFERROR(__xludf.DUMMYFUNCTION("""COMPUTED_VALUE"""),"2257936_thb")</f>
        <v>2257936_thb</v>
      </c>
      <c r="C132" s="3" t="str">
        <f ca="1">IFERROR(__xludf.DUMMYFUNCTION("""COMPUTED_VALUE"""),"大运棋牌api-转账钱包BGdayou-一级代理：2257955")</f>
        <v>大运棋牌api-转账钱包BGdayou-一级代理：2257955</v>
      </c>
      <c r="D132" s="3" t="str">
        <f ca="1">IFERROR(__xludf.DUMMYFUNCTION("""COMPUTED_VALUE"""),"泰銖")</f>
        <v>泰銖</v>
      </c>
      <c r="E132" s="3" t="str">
        <f ca="1">IFERROR(__xludf.DUMMYFUNCTION("""COMPUTED_VALUE"""),"THB")</f>
        <v>THB</v>
      </c>
      <c r="F132" s="3" t="str">
        <f ca="1">VLOOKUP(E132, 幣別!B:D, 3, FALSE)</f>
        <v>CNYTHB</v>
      </c>
    </row>
    <row r="133" spans="1:6" ht="12.75">
      <c r="A133" s="3">
        <f ca="1">IFERROR(__xludf.DUMMYFUNCTION("""COMPUTED_VALUE"""),5153)</f>
        <v>5153</v>
      </c>
      <c r="B133" s="3" t="str">
        <f ca="1">IFERROR(__xludf.DUMMYFUNCTION("""COMPUTED_VALUE"""),"2257936_myr")</f>
        <v>2257936_myr</v>
      </c>
      <c r="C133" s="3" t="str">
        <f ca="1">IFERROR(__xludf.DUMMYFUNCTION("""COMPUTED_VALUE"""),"大运棋牌api-转账钱包BGdayou-一级代理：2257956")</f>
        <v>大运棋牌api-转账钱包BGdayou-一级代理：2257956</v>
      </c>
      <c r="D133" s="3" t="str">
        <f ca="1">IFERROR(__xludf.DUMMYFUNCTION("""COMPUTED_VALUE"""),"馬來西亞令吉")</f>
        <v>馬來西亞令吉</v>
      </c>
      <c r="E133" s="3" t="str">
        <f ca="1">IFERROR(__xludf.DUMMYFUNCTION("""COMPUTED_VALUE"""),"MYR")</f>
        <v>MYR</v>
      </c>
      <c r="F133" s="3" t="str">
        <f ca="1">VLOOKUP(E133, 幣別!B:D, 3, FALSE)</f>
        <v>CNYMYR</v>
      </c>
    </row>
    <row r="134" spans="1:6" ht="12.75">
      <c r="A134" s="3">
        <f ca="1">IFERROR(__xludf.DUMMYFUNCTION("""COMPUTED_VALUE"""),5154)</f>
        <v>5154</v>
      </c>
      <c r="B134" s="3" t="str">
        <f ca="1">IFERROR(__xludf.DUMMYFUNCTION("""COMPUTED_VALUE"""),"2257936_usd")</f>
        <v>2257936_usd</v>
      </c>
      <c r="C134" s="3" t="str">
        <f ca="1">IFERROR(__xludf.DUMMYFUNCTION("""COMPUTED_VALUE"""),"大运棋牌api-转账钱包BGdayou-一级代理：2257957")</f>
        <v>大运棋牌api-转账钱包BGdayou-一级代理：2257957</v>
      </c>
      <c r="D134" s="3" t="str">
        <f ca="1">IFERROR(__xludf.DUMMYFUNCTION("""COMPUTED_VALUE"""),"美元")</f>
        <v>美元</v>
      </c>
      <c r="E134" s="3" t="str">
        <f ca="1">IFERROR(__xludf.DUMMYFUNCTION("""COMPUTED_VALUE"""),"USD")</f>
        <v>USD</v>
      </c>
      <c r="F134" s="3" t="str">
        <f ca="1">VLOOKUP(E134, 幣別!B:D, 3, FALSE)</f>
        <v>CNYUSD</v>
      </c>
    </row>
    <row r="135" spans="1:6" ht="12.75">
      <c r="A135" s="3">
        <f ca="1">IFERROR(__xludf.DUMMYFUNCTION("""COMPUTED_VALUE"""),5155)</f>
        <v>5155</v>
      </c>
      <c r="B135" s="3" t="str">
        <f ca="1">IFERROR(__xludf.DUMMYFUNCTION("""COMPUTED_VALUE"""),"2257936_idr")</f>
        <v>2257936_idr</v>
      </c>
      <c r="C135" s="3" t="str">
        <f ca="1">IFERROR(__xludf.DUMMYFUNCTION("""COMPUTED_VALUE"""),"大运棋牌api-转账钱包BGdayou-一级代理：2257963")</f>
        <v>大运棋牌api-转账钱包BGdayou-一级代理：2257963</v>
      </c>
      <c r="D135" s="3" t="str">
        <f ca="1">IFERROR(__xludf.DUMMYFUNCTION("""COMPUTED_VALUE"""),"印尼盾")</f>
        <v>印尼盾</v>
      </c>
      <c r="E135" s="3" t="str">
        <f ca="1">IFERROR(__xludf.DUMMYFUNCTION("""COMPUTED_VALUE"""),"IDR")</f>
        <v>IDR</v>
      </c>
      <c r="F135" s="3" t="str">
        <f ca="1">VLOOKUP(E135, 幣別!B:D, 3, FALSE)</f>
        <v>CNYIDR</v>
      </c>
    </row>
    <row r="136" spans="1:6" ht="12.75">
      <c r="A136" s="3">
        <f ca="1">IFERROR(__xludf.DUMMYFUNCTION("""COMPUTED_VALUE"""),5156)</f>
        <v>5156</v>
      </c>
      <c r="B136" s="3" t="str">
        <f ca="1">IFERROR(__xludf.DUMMYFUNCTION("""COMPUTED_VALUE"""),"2261561_cny")</f>
        <v>2261561_cny</v>
      </c>
      <c r="C136" s="3" t="str">
        <f ca="1">IFERROR(__xludf.DUMMYFUNCTION("""COMPUTED_VALUE"""),"大运棋牌api-转账钱包baixiaojie-一级代理：2261565 (草莓直播)")</f>
        <v>大运棋牌api-转账钱包baixiaojie-一级代理：2261565 (草莓直播)</v>
      </c>
      <c r="D136" s="3" t="str">
        <f ca="1">IFERROR(__xludf.DUMMYFUNCTION("""COMPUTED_VALUE"""),"人民幣")</f>
        <v>人民幣</v>
      </c>
      <c r="E136" s="3" t="str">
        <f ca="1">IFERROR(__xludf.DUMMYFUNCTION("""COMPUTED_VALUE"""),"CNY")</f>
        <v>CNY</v>
      </c>
      <c r="F136" s="3">
        <f ca="1">VLOOKUP(E136, 幣別!B:D, 3, FALSE)</f>
        <v>0</v>
      </c>
    </row>
    <row r="137" spans="1:6" ht="12.75">
      <c r="A137" s="3">
        <f ca="1">IFERROR(__xludf.DUMMYFUNCTION("""COMPUTED_VALUE"""),5157)</f>
        <v>5157</v>
      </c>
      <c r="B137" s="3" t="str">
        <f ca="1">IFERROR(__xludf.DUMMYFUNCTION("""COMPUTED_VALUE"""),"2373060_cny")</f>
        <v>2373060_cny</v>
      </c>
      <c r="C137" s="3" t="str">
        <f ca="1">IFERROR(__xludf.DUMMYFUNCTION("""COMPUTED_VALUE"""),"大运棋牌api-转账钱包XY99-一级代理：2373082")</f>
        <v>大运棋牌api-转账钱包XY99-一级代理：2373082</v>
      </c>
      <c r="D137" s="3" t="str">
        <f ca="1">IFERROR(__xludf.DUMMYFUNCTION("""COMPUTED_VALUE"""),"人民幣")</f>
        <v>人民幣</v>
      </c>
      <c r="E137" s="3" t="str">
        <f ca="1">IFERROR(__xludf.DUMMYFUNCTION("""COMPUTED_VALUE"""),"CNY")</f>
        <v>CNY</v>
      </c>
      <c r="F137" s="3">
        <f ca="1">VLOOKUP(E137, 幣別!B:D, 3, FALSE)</f>
        <v>0</v>
      </c>
    </row>
    <row r="138" spans="1:6" ht="12.75">
      <c r="A138" s="3">
        <f ca="1">IFERROR(__xludf.DUMMYFUNCTION("""COMPUTED_VALUE"""),5158)</f>
        <v>5158</v>
      </c>
      <c r="B138" s="3" t="str">
        <f ca="1">IFERROR(__xludf.DUMMYFUNCTION("""COMPUTED_VALUE"""),"2475520_hkd")</f>
        <v>2475520_hkd</v>
      </c>
      <c r="C138" s="3" t="str">
        <f ca="1">IFERROR(__xludf.DUMMYFUNCTION("""COMPUTED_VALUE"""),"大运棋牌api-转账钱包cash11-一级代理：2475544")</f>
        <v>大运棋牌api-转账钱包cash11-一级代理：2475544</v>
      </c>
      <c r="D138" s="3" t="str">
        <f ca="1">IFERROR(__xludf.DUMMYFUNCTION("""COMPUTED_VALUE"""),"港幣")</f>
        <v>港幣</v>
      </c>
      <c r="E138" s="3" t="str">
        <f ca="1">IFERROR(__xludf.DUMMYFUNCTION("""COMPUTED_VALUE"""),"HKD")</f>
        <v>HKD</v>
      </c>
      <c r="F138" s="3" t="str">
        <f ca="1">VLOOKUP(E138, 幣別!B:D, 3, FALSE)</f>
        <v>CNYHKD</v>
      </c>
    </row>
    <row r="139" spans="1:6" ht="12.75">
      <c r="A139" s="3">
        <f ca="1">IFERROR(__xludf.DUMMYFUNCTION("""COMPUTED_VALUE"""),5159)</f>
        <v>5159</v>
      </c>
      <c r="B139" s="3" t="str">
        <f ca="1">IFERROR(__xludf.DUMMYFUNCTION("""COMPUTED_VALUE"""),"2503177_myr")</f>
        <v>2503177_myr</v>
      </c>
      <c r="C139" s="3" t="str">
        <f ca="1">IFERROR(__xludf.DUMMYFUNCTION("""COMPUTED_VALUE"""),"大运棋牌api-转账钱包qz01-一级代理：2503202")</f>
        <v>大运棋牌api-转账钱包qz01-一级代理：2503202</v>
      </c>
      <c r="D139" s="3" t="str">
        <f ca="1">IFERROR(__xludf.DUMMYFUNCTION("""COMPUTED_VALUE"""),"馬來西亞令吉")</f>
        <v>馬來西亞令吉</v>
      </c>
      <c r="E139" s="3" t="str">
        <f ca="1">IFERROR(__xludf.DUMMYFUNCTION("""COMPUTED_VALUE"""),"MYR")</f>
        <v>MYR</v>
      </c>
      <c r="F139" s="3" t="str">
        <f ca="1">VLOOKUP(E139, 幣別!B:D, 3, FALSE)</f>
        <v>CNYMYR</v>
      </c>
    </row>
    <row r="140" spans="1:6" ht="12.75">
      <c r="A140" s="3">
        <f ca="1">IFERROR(__xludf.DUMMYFUNCTION("""COMPUTED_VALUE"""),40001)</f>
        <v>40001</v>
      </c>
      <c r="B140" s="3" t="str">
        <f ca="1">IFERROR(__xludf.DUMMYFUNCTION("""COMPUTED_VALUE"""),"2503177_aud")</f>
        <v>2503177_aud</v>
      </c>
      <c r="C140" s="3" t="str">
        <f ca="1">IFERROR(__xludf.DUMMYFUNCTION("""COMPUTED_VALUE"""),"大运棋牌api-转账钱包qz01-一级代理：2523612")</f>
        <v>大运棋牌api-转账钱包qz01-一级代理：2523612</v>
      </c>
      <c r="D140" s="3" t="str">
        <f ca="1">IFERROR(__xludf.DUMMYFUNCTION("""COMPUTED_VALUE"""),"澳洲元")</f>
        <v>澳洲元</v>
      </c>
      <c r="E140" s="3" t="str">
        <f ca="1">IFERROR(__xludf.DUMMYFUNCTION("""COMPUTED_VALUE"""),"AUD")</f>
        <v>AUD</v>
      </c>
      <c r="F140" s="3" t="str">
        <f ca="1">VLOOKUP(E140, 幣別!B:D, 3, FALSE)</f>
        <v>CNYAUD</v>
      </c>
    </row>
    <row r="141" spans="1:6" ht="12.75">
      <c r="A141" s="3">
        <f ca="1">IFERROR(__xludf.DUMMYFUNCTION("""COMPUTED_VALUE"""),40002)</f>
        <v>40002</v>
      </c>
      <c r="B141" s="3" t="str">
        <f ca="1">IFERROR(__xludf.DUMMYFUNCTION("""COMPUTED_VALUE"""),"1797427_php")</f>
        <v>1797427_php</v>
      </c>
      <c r="C141" s="3" t="str">
        <f ca="1">IFERROR(__xludf.DUMMYFUNCTION("""COMPUTED_VALUE"""),"大运棋牌api-转账钱包hanguo66-一级代理：2518552")</f>
        <v>大运棋牌api-转账钱包hanguo66-一级代理：2518552</v>
      </c>
      <c r="D141" s="3" t="str">
        <f ca="1">IFERROR(__xludf.DUMMYFUNCTION("""COMPUTED_VALUE"""),"菲律賓披索")</f>
        <v>菲律賓披索</v>
      </c>
      <c r="E141" s="3" t="str">
        <f ca="1">IFERROR(__xludf.DUMMYFUNCTION("""COMPUTED_VALUE"""),"PHP")</f>
        <v>PHP</v>
      </c>
      <c r="F141" s="3" t="str">
        <f ca="1">VLOOKUP(E141, 幣別!B:D, 3, FALSE)</f>
        <v>CNYPHP</v>
      </c>
    </row>
    <row r="142" spans="1:6" ht="12.75">
      <c r="A142" s="3">
        <f ca="1">IFERROR(__xludf.DUMMYFUNCTION("""COMPUTED_VALUE"""),40003)</f>
        <v>40003</v>
      </c>
      <c r="B142" s="3" t="str">
        <f ca="1">IFERROR(__xludf.DUMMYFUNCTION("""COMPUTED_VALUE"""),"1797427_usdt")</f>
        <v>1797427_usdt</v>
      </c>
      <c r="C142" s="3" t="str">
        <f ca="1">IFERROR(__xludf.DUMMYFUNCTION("""COMPUTED_VALUE"""),"大运棋牌api-转账钱包hanguo66-一级代理：2518550")</f>
        <v>大运棋牌api-转账钱包hanguo66-一级代理：2518550</v>
      </c>
      <c r="D142" s="3" t="str">
        <f ca="1">IFERROR(__xludf.DUMMYFUNCTION("""COMPUTED_VALUE"""),"虛擬美金")</f>
        <v>虛擬美金</v>
      </c>
      <c r="E142" s="3" t="str">
        <f ca="1">IFERROR(__xludf.DUMMYFUNCTION("""COMPUTED_VALUE"""),"USDT")</f>
        <v>USDT</v>
      </c>
      <c r="F142" s="3" t="str">
        <f ca="1">VLOOKUP(E142, 幣別!B:D, 3, FALSE)</f>
        <v>CNYUSD</v>
      </c>
    </row>
    <row r="143" spans="1:6" ht="12.75">
      <c r="A143" s="3">
        <f ca="1">IFERROR(__xludf.DUMMYFUNCTION("""COMPUTED_VALUE"""),40004)</f>
        <v>40004</v>
      </c>
      <c r="B143" s="3" t="str">
        <f ca="1">IFERROR(__xludf.DUMMYFUNCTION("""COMPUTED_VALUE"""),"1797427_vndk")</f>
        <v>1797427_vndk</v>
      </c>
      <c r="C143" s="3" t="str">
        <f ca="1">IFERROR(__xludf.DUMMYFUNCTION("""COMPUTED_VALUE"""),"大运棋牌api-转账钱包hanguo66-一级代理：2518555")</f>
        <v>大运棋牌api-转账钱包hanguo66-一级代理：2518555</v>
      </c>
      <c r="D143" s="3" t="str">
        <f ca="1">IFERROR(__xludf.DUMMYFUNCTION("""COMPUTED_VALUE"""),"越南盾(1:1000)")</f>
        <v>越南盾(1:1000)</v>
      </c>
      <c r="E143" s="3" t="str">
        <f ca="1">IFERROR(__xludf.DUMMYFUNCTION("""COMPUTED_VALUE"""),"VNDK")</f>
        <v>VNDK</v>
      </c>
      <c r="F143" s="3" t="str">
        <f ca="1">VLOOKUP(E143, 幣別!B:D, 3, FALSE)</f>
        <v>CNYVND</v>
      </c>
    </row>
    <row r="144" spans="1:6" ht="12.75">
      <c r="A144" s="3">
        <f ca="1">IFERROR(__xludf.DUMMYFUNCTION("""COMPUTED_VALUE"""),40005)</f>
        <v>40005</v>
      </c>
      <c r="B144" s="3" t="str">
        <f ca="1">IFERROR(__xludf.DUMMYFUNCTION("""COMPUTED_VALUE"""),"1971868_bdt")</f>
        <v>1971868_bdt</v>
      </c>
      <c r="C144" s="3" t="str">
        <f ca="1">IFERROR(__xludf.DUMMYFUNCTION("""COMPUTED_VALUE"""),"大运棋牌api-唯一钱包dydzdyce1-一级代理：2514647")</f>
        <v>大运棋牌api-唯一钱包dydzdyce1-一级代理：2514647</v>
      </c>
      <c r="D144" s="3" t="str">
        <f ca="1">IFERROR(__xludf.DUMMYFUNCTION("""COMPUTED_VALUE"""),"孟加拉塔卡")</f>
        <v>孟加拉塔卡</v>
      </c>
      <c r="E144" s="3" t="str">
        <f ca="1">IFERROR(__xludf.DUMMYFUNCTION("""COMPUTED_VALUE"""),"BDT")</f>
        <v>BDT</v>
      </c>
      <c r="F144" s="3" t="str">
        <f ca="1">VLOOKUP(E144, 幣別!B:D, 3, FALSE)</f>
        <v>CNYBDT</v>
      </c>
    </row>
    <row r="145" spans="1:6" ht="12.75">
      <c r="A145" s="3">
        <f ca="1">IFERROR(__xludf.DUMMYFUNCTION("""COMPUTED_VALUE"""),40006)</f>
        <v>40006</v>
      </c>
      <c r="B145" s="3" t="str">
        <f ca="1">IFERROR(__xludf.DUMMYFUNCTION("""COMPUTED_VALUE"""),"1971868_try")</f>
        <v>1971868_try</v>
      </c>
      <c r="C145" s="3" t="str">
        <f ca="1">IFERROR(__xludf.DUMMYFUNCTION("""COMPUTED_VALUE"""),"大运棋牌api-唯一钱包dydzdyce1-一级代理：2514646")</f>
        <v>大运棋牌api-唯一钱包dydzdyce1-一级代理：2514646</v>
      </c>
      <c r="D145" s="3" t="str">
        <f ca="1">IFERROR(__xludf.DUMMYFUNCTION("""COMPUTED_VALUE"""),"土耳其里拉")</f>
        <v>土耳其里拉</v>
      </c>
      <c r="E145" s="3" t="str">
        <f ca="1">IFERROR(__xludf.DUMMYFUNCTION("""COMPUTED_VALUE"""),"TRY")</f>
        <v>TRY</v>
      </c>
      <c r="F145" s="3" t="str">
        <f ca="1">VLOOKUP(E145, 幣別!B:D, 3, FALSE)</f>
        <v>CNYTRY</v>
      </c>
    </row>
    <row r="146" spans="1:6" ht="12.75">
      <c r="A146" s="3">
        <f ca="1">IFERROR(__xludf.DUMMYFUNCTION("""COMPUTED_VALUE"""),40007)</f>
        <v>40007</v>
      </c>
      <c r="B146" s="3" t="str">
        <f ca="1">IFERROR(__xludf.DUMMYFUNCTION("""COMPUTED_VALUE"""),"1971868_vndk")</f>
        <v>1971868_vndk</v>
      </c>
      <c r="C146" s="3" t="str">
        <f ca="1">IFERROR(__xludf.DUMMYFUNCTION("""COMPUTED_VALUE"""),"大运棋牌api-唯一钱包dydzdyce1-一级代理：2517260")</f>
        <v>大运棋牌api-唯一钱包dydzdyce1-一级代理：2517260</v>
      </c>
      <c r="D146" s="3" t="str">
        <f ca="1">IFERROR(__xludf.DUMMYFUNCTION("""COMPUTED_VALUE"""),"越南盾(1:1000)")</f>
        <v>越南盾(1:1000)</v>
      </c>
      <c r="E146" s="3" t="str">
        <f ca="1">IFERROR(__xludf.DUMMYFUNCTION("""COMPUTED_VALUE"""),"VNDK")</f>
        <v>VNDK</v>
      </c>
      <c r="F146" s="3" t="str">
        <f ca="1">VLOOKUP(E146, 幣別!B:D, 3, FALSE)</f>
        <v>CNYVND</v>
      </c>
    </row>
    <row r="147" spans="1:6" ht="12.75">
      <c r="A147" s="3">
        <f ca="1">IFERROR(__xludf.DUMMYFUNCTION("""COMPUTED_VALUE"""),40008)</f>
        <v>40008</v>
      </c>
      <c r="B147" s="3" t="str">
        <f ca="1">IFERROR(__xludf.DUMMYFUNCTION("""COMPUTED_VALUE"""),"1971868_idrk")</f>
        <v>1971868_idrk</v>
      </c>
      <c r="C147" s="3" t="str">
        <f ca="1">IFERROR(__xludf.DUMMYFUNCTION("""COMPUTED_VALUE"""),"大运棋牌api-唯一钱包dydzdyce1-一级代理：2514642")</f>
        <v>大运棋牌api-唯一钱包dydzdyce1-一级代理：2514642</v>
      </c>
      <c r="D147" s="3" t="str">
        <f ca="1">IFERROR(__xludf.DUMMYFUNCTION("""COMPUTED_VALUE"""),"印尼盾(1:1000)")</f>
        <v>印尼盾(1:1000)</v>
      </c>
      <c r="E147" s="3" t="str">
        <f ca="1">IFERROR(__xludf.DUMMYFUNCTION("""COMPUTED_VALUE"""),"IDRK")</f>
        <v>IDRK</v>
      </c>
      <c r="F147" s="3" t="str">
        <f ca="1">VLOOKUP(E147, 幣別!B:D, 3, FALSE)</f>
        <v>CNYIDRK</v>
      </c>
    </row>
    <row r="148" spans="1:6" ht="12.75">
      <c r="A148" s="3">
        <f ca="1">IFERROR(__xludf.DUMMYFUNCTION("""COMPUTED_VALUE"""),40010)</f>
        <v>40010</v>
      </c>
      <c r="B148" s="3" t="str">
        <f ca="1">IFERROR(__xludf.DUMMYFUNCTION("""COMPUTED_VALUE"""),"2530149_hkd")</f>
        <v>2530149_hkd</v>
      </c>
      <c r="C148" s="3" t="str">
        <f ca="1">IFERROR(__xludf.DUMMYFUNCTION("""COMPUTED_VALUE"""),"大运棋牌api-唯一钱包qzdy01-一级代理：2530158")</f>
        <v>大运棋牌api-唯一钱包qzdy01-一级代理：2530158</v>
      </c>
      <c r="D148" s="3" t="str">
        <f ca="1">IFERROR(__xludf.DUMMYFUNCTION("""COMPUTED_VALUE"""),"港幣")</f>
        <v>港幣</v>
      </c>
      <c r="E148" s="3" t="str">
        <f ca="1">IFERROR(__xludf.DUMMYFUNCTION("""COMPUTED_VALUE"""),"HKD")</f>
        <v>HKD</v>
      </c>
      <c r="F148" s="3" t="str">
        <f ca="1">VLOOKUP(E148, 幣別!B:D, 3, FALSE)</f>
        <v>CNYHKD</v>
      </c>
    </row>
    <row r="149" spans="1:6" ht="12.75">
      <c r="A149" s="3">
        <f ca="1">IFERROR(__xludf.DUMMYFUNCTION("""COMPUTED_VALUE"""),40011)</f>
        <v>40011</v>
      </c>
      <c r="B149" s="3" t="str">
        <f ca="1">IFERROR(__xludf.DUMMYFUNCTION("""COMPUTED_VALUE"""),"2503177_hkd")</f>
        <v>2503177_hkd</v>
      </c>
      <c r="C149" s="3" t="str">
        <f ca="1">IFERROR(__xludf.DUMMYFUNCTION("""COMPUTED_VALUE"""),"大运棋牌api-转账钱包qz01-一级代理：2534875")</f>
        <v>大运棋牌api-转账钱包qz01-一级代理：2534875</v>
      </c>
      <c r="D149" s="3" t="str">
        <f ca="1">IFERROR(__xludf.DUMMYFUNCTION("""COMPUTED_VALUE"""),"港幣")</f>
        <v>港幣</v>
      </c>
      <c r="E149" s="3" t="str">
        <f ca="1">IFERROR(__xludf.DUMMYFUNCTION("""COMPUTED_VALUE"""),"HKD")</f>
        <v>HKD</v>
      </c>
      <c r="F149" s="3" t="str">
        <f ca="1">VLOOKUP(E149, 幣別!B:D, 3, FALSE)</f>
        <v>CNYHKD</v>
      </c>
    </row>
    <row r="150" spans="1:6" ht="12.75">
      <c r="A150" s="3">
        <f ca="1">IFERROR(__xludf.DUMMYFUNCTION("""COMPUTED_VALUE"""),40012)</f>
        <v>40012</v>
      </c>
      <c r="B150" s="3" t="str">
        <f ca="1">IFERROR(__xludf.DUMMYFUNCTION("""COMPUTED_VALUE"""),"2530149_php")</f>
        <v>2530149_php</v>
      </c>
      <c r="C150" s="3" t="str">
        <f ca="1">IFERROR(__xludf.DUMMYFUNCTION("""COMPUTED_VALUE"""),"大运棋牌api-唯一钱包qzdy01-一级代理：2541090")</f>
        <v>大运棋牌api-唯一钱包qzdy01-一级代理：2541090</v>
      </c>
      <c r="D150" s="3" t="str">
        <f ca="1">IFERROR(__xludf.DUMMYFUNCTION("""COMPUTED_VALUE"""),"菲律賓披索")</f>
        <v>菲律賓披索</v>
      </c>
      <c r="E150" s="3" t="str">
        <f ca="1">IFERROR(__xludf.DUMMYFUNCTION("""COMPUTED_VALUE"""),"PHP")</f>
        <v>PHP</v>
      </c>
      <c r="F150" s="3" t="str">
        <f ca="1">VLOOKUP(E150, 幣別!B:D, 3, FALSE)</f>
        <v>CNYPHP</v>
      </c>
    </row>
    <row r="151" spans="1:6" ht="12.75">
      <c r="A151" s="3">
        <f ca="1">IFERROR(__xludf.DUMMYFUNCTION("""COMPUTED_VALUE"""),40013)</f>
        <v>40013</v>
      </c>
      <c r="B151" s="3" t="str">
        <f ca="1">IFERROR(__xludf.DUMMYFUNCTION("""COMPUTED_VALUE"""),"2530149_inr")</f>
        <v>2530149_inr</v>
      </c>
      <c r="C151" s="3" t="str">
        <f ca="1">IFERROR(__xludf.DUMMYFUNCTION("""COMPUTED_VALUE"""),"大运棋牌api-唯一钱包qzdy01-一级代理：2541112")</f>
        <v>大运棋牌api-唯一钱包qzdy01-一级代理：2541112</v>
      </c>
      <c r="D151" s="3" t="str">
        <f ca="1">IFERROR(__xludf.DUMMYFUNCTION("""COMPUTED_VALUE"""),"印度盧比")</f>
        <v>印度盧比</v>
      </c>
      <c r="E151" s="3" t="str">
        <f ca="1">IFERROR(__xludf.DUMMYFUNCTION("""COMPUTED_VALUE"""),"INR")</f>
        <v>INR</v>
      </c>
      <c r="F151" s="3" t="str">
        <f ca="1">VLOOKUP(E151, 幣別!B:D, 3, FALSE)</f>
        <v>CNYINR</v>
      </c>
    </row>
    <row r="152" spans="1:6" ht="12.75">
      <c r="A152" s="3">
        <f ca="1">IFERROR(__xludf.DUMMYFUNCTION("""COMPUTED_VALUE"""),40014)</f>
        <v>40014</v>
      </c>
      <c r="B152" s="3" t="str">
        <f ca="1">IFERROR(__xludf.DUMMYFUNCTION("""COMPUTED_VALUE"""),"2530149_thb")</f>
        <v>2530149_thb</v>
      </c>
      <c r="C152" s="3" t="str">
        <f ca="1">IFERROR(__xludf.DUMMYFUNCTION("""COMPUTED_VALUE"""),"大运棋牌api-唯一钱包qzdy01-一级代理：2541180")</f>
        <v>大运棋牌api-唯一钱包qzdy01-一级代理：2541180</v>
      </c>
      <c r="D152" s="3" t="str">
        <f ca="1">IFERROR(__xludf.DUMMYFUNCTION("""COMPUTED_VALUE"""),"泰銖")</f>
        <v>泰銖</v>
      </c>
      <c r="E152" s="3" t="str">
        <f ca="1">IFERROR(__xludf.DUMMYFUNCTION("""COMPUTED_VALUE"""),"THB")</f>
        <v>THB</v>
      </c>
      <c r="F152" s="3" t="str">
        <f ca="1">VLOOKUP(E152, 幣別!B:D, 3, FALSE)</f>
        <v>CNYTHB</v>
      </c>
    </row>
    <row r="153" spans="1:6" ht="12.75">
      <c r="A153" s="3">
        <f ca="1">IFERROR(__xludf.DUMMYFUNCTION("""COMPUTED_VALUE"""),40015)</f>
        <v>40015</v>
      </c>
      <c r="B153" s="3" t="str">
        <f ca="1">IFERROR(__xludf.DUMMYFUNCTION("""COMPUTED_VALUE"""),"2530149_myr")</f>
        <v>2530149_myr</v>
      </c>
      <c r="C153" s="3" t="str">
        <f ca="1">IFERROR(__xludf.DUMMYFUNCTION("""COMPUTED_VALUE"""),"大运棋牌api-唯一钱包qzdy01-一级代理：2541194")</f>
        <v>大运棋牌api-唯一钱包qzdy01-一级代理：2541194</v>
      </c>
      <c r="D153" s="3" t="str">
        <f ca="1">IFERROR(__xludf.DUMMYFUNCTION("""COMPUTED_VALUE"""),"馬來西亞令吉")</f>
        <v>馬來西亞令吉</v>
      </c>
      <c r="E153" s="3" t="str">
        <f ca="1">IFERROR(__xludf.DUMMYFUNCTION("""COMPUTED_VALUE"""),"MYR")</f>
        <v>MYR</v>
      </c>
      <c r="F153" s="3" t="str">
        <f ca="1">VLOOKUP(E153, 幣別!B:D, 3, FALSE)</f>
        <v>CNYMYR</v>
      </c>
    </row>
    <row r="154" spans="1:6" ht="12.75">
      <c r="A154" s="3">
        <f ca="1">IFERROR(__xludf.DUMMYFUNCTION("""COMPUTED_VALUE"""),40016)</f>
        <v>40016</v>
      </c>
      <c r="B154" s="3" t="str">
        <f ca="1">IFERROR(__xludf.DUMMYFUNCTION("""COMPUTED_VALUE"""),"2530149_usd")</f>
        <v>2530149_usd</v>
      </c>
      <c r="C154" s="3" t="str">
        <f ca="1">IFERROR(__xludf.DUMMYFUNCTION("""COMPUTED_VALUE"""),"大运棋牌api-唯一钱包qzdy01-一级代理：2541222")</f>
        <v>大运棋牌api-唯一钱包qzdy01-一级代理：2541222</v>
      </c>
      <c r="D154" s="3" t="str">
        <f ca="1">IFERROR(__xludf.DUMMYFUNCTION("""COMPUTED_VALUE"""),"美元")</f>
        <v>美元</v>
      </c>
      <c r="E154" s="3" t="str">
        <f ca="1">IFERROR(__xludf.DUMMYFUNCTION("""COMPUTED_VALUE"""),"USD")</f>
        <v>USD</v>
      </c>
      <c r="F154" s="3" t="str">
        <f ca="1">VLOOKUP(E154, 幣別!B:D, 3, FALSE)</f>
        <v>CNYUSD</v>
      </c>
    </row>
    <row r="155" spans="1:6" ht="12.75">
      <c r="A155" s="3">
        <f ca="1">IFERROR(__xludf.DUMMYFUNCTION("""COMPUTED_VALUE"""),40017)</f>
        <v>40017</v>
      </c>
      <c r="B155" s="3" t="str">
        <f ca="1">IFERROR(__xludf.DUMMYFUNCTION("""COMPUTED_VALUE"""),"2530149_idr")</f>
        <v>2530149_idr</v>
      </c>
      <c r="C155" s="3" t="str">
        <f ca="1">IFERROR(__xludf.DUMMYFUNCTION("""COMPUTED_VALUE"""),"大运棋牌api-唯一钱包qzdy01-一级代理：2541249")</f>
        <v>大运棋牌api-唯一钱包qzdy01-一级代理：2541249</v>
      </c>
      <c r="D155" s="3" t="str">
        <f ca="1">IFERROR(__xludf.DUMMYFUNCTION("""COMPUTED_VALUE"""),"印尼盾")</f>
        <v>印尼盾</v>
      </c>
      <c r="E155" s="3" t="str">
        <f ca="1">IFERROR(__xludf.DUMMYFUNCTION("""COMPUTED_VALUE"""),"IDR")</f>
        <v>IDR</v>
      </c>
      <c r="F155" s="3" t="str">
        <f ca="1">VLOOKUP(E155, 幣別!B:D, 3, FALSE)</f>
        <v>CNYIDR</v>
      </c>
    </row>
    <row r="156" spans="1:6" ht="12.75">
      <c r="A156" s="3">
        <f ca="1">IFERROR(__xludf.DUMMYFUNCTION("""COMPUTED_VALUE"""),40018)</f>
        <v>40018</v>
      </c>
      <c r="B156" s="3" t="str">
        <f ca="1">IFERROR(__xludf.DUMMYFUNCTION("""COMPUTED_VALUE"""),"2530149_aud")</f>
        <v>2530149_aud</v>
      </c>
      <c r="C156" s="3" t="str">
        <f ca="1">IFERROR(__xludf.DUMMYFUNCTION("""COMPUTED_VALUE"""),"大运棋牌api-唯一钱包qzdy01-一级代理：2541275")</f>
        <v>大运棋牌api-唯一钱包qzdy01-一级代理：2541275</v>
      </c>
      <c r="D156" s="3" t="str">
        <f ca="1">IFERROR(__xludf.DUMMYFUNCTION("""COMPUTED_VALUE"""),"澳洲元")</f>
        <v>澳洲元</v>
      </c>
      <c r="E156" s="3" t="str">
        <f ca="1">IFERROR(__xludf.DUMMYFUNCTION("""COMPUTED_VALUE"""),"AUD")</f>
        <v>AUD</v>
      </c>
      <c r="F156" s="3" t="str">
        <f ca="1">VLOOKUP(E156, 幣別!B:D, 3, FALSE)</f>
        <v>CNYAUD</v>
      </c>
    </row>
    <row r="157" spans="1:6" ht="12.75">
      <c r="A157" s="3">
        <f ca="1">IFERROR(__xludf.DUMMYFUNCTION("""COMPUTED_VALUE"""),40019)</f>
        <v>40019</v>
      </c>
      <c r="B157" s="3" t="str">
        <f ca="1">IFERROR(__xludf.DUMMYFUNCTION("""COMPUTED_VALUE"""),"2530149_mmk")</f>
        <v>2530149_mmk</v>
      </c>
      <c r="C157" s="3" t="str">
        <f ca="1">IFERROR(__xludf.DUMMYFUNCTION("""COMPUTED_VALUE"""),"大运棋牌api-唯一钱包qzdy01-一级代理：2541297")</f>
        <v>大运棋牌api-唯一钱包qzdy01-一级代理：2541297</v>
      </c>
      <c r="D157" s="3" t="str">
        <f ca="1">IFERROR(__xludf.DUMMYFUNCTION("""COMPUTED_VALUE"""),"緬元")</f>
        <v>緬元</v>
      </c>
      <c r="E157" s="3" t="str">
        <f ca="1">IFERROR(__xludf.DUMMYFUNCTION("""COMPUTED_VALUE"""),"MMK")</f>
        <v>MMK</v>
      </c>
      <c r="F157" s="3" t="str">
        <f ca="1">VLOOKUP(E157, 幣別!B:D, 3, FALSE)</f>
        <v>CNYMMK</v>
      </c>
    </row>
    <row r="158" spans="1:6" ht="12.75">
      <c r="A158" s="3">
        <f ca="1">IFERROR(__xludf.DUMMYFUNCTION("""COMPUTED_VALUE"""),40020)</f>
        <v>40020</v>
      </c>
      <c r="B158" s="3" t="str">
        <f ca="1">IFERROR(__xludf.DUMMYFUNCTION("""COMPUTED_VALUE"""),"2530149_sgd")</f>
        <v>2530149_sgd</v>
      </c>
      <c r="C158" s="3" t="str">
        <f ca="1">IFERROR(__xludf.DUMMYFUNCTION("""COMPUTED_VALUE"""),"大运棋牌api-唯一钱包qzdy01-一级代理：2541317")</f>
        <v>大运棋牌api-唯一钱包qzdy01-一级代理：2541317</v>
      </c>
      <c r="D158" s="3" t="str">
        <f ca="1">IFERROR(__xludf.DUMMYFUNCTION("""COMPUTED_VALUE"""),"新加坡元")</f>
        <v>新加坡元</v>
      </c>
      <c r="E158" s="3" t="str">
        <f ca="1">IFERROR(__xludf.DUMMYFUNCTION("""COMPUTED_VALUE"""),"SGD")</f>
        <v>SGD</v>
      </c>
      <c r="F158" s="3" t="str">
        <f ca="1">VLOOKUP(E158, 幣別!B:D, 3, FALSE)</f>
        <v>CNYSGD</v>
      </c>
    </row>
    <row r="159" spans="1:6" ht="12.75">
      <c r="A159" s="3">
        <f ca="1">IFERROR(__xludf.DUMMYFUNCTION("""COMPUTED_VALUE"""),40021)</f>
        <v>40021</v>
      </c>
      <c r="B159" s="3" t="str">
        <f ca="1">IFERROR(__xludf.DUMMYFUNCTION("""COMPUTED_VALUE"""),"2530149_bnd")</f>
        <v>2530149_bnd</v>
      </c>
      <c r="C159" s="3" t="str">
        <f ca="1">IFERROR(__xludf.DUMMYFUNCTION("""COMPUTED_VALUE"""),"大运棋牌api-唯一钱包qzdy01-一级代理：2541342")</f>
        <v>大运棋牌api-唯一钱包qzdy01-一级代理：2541342</v>
      </c>
      <c r="D159" s="3" t="str">
        <f ca="1">IFERROR(__xludf.DUMMYFUNCTION("""COMPUTED_VALUE"""),"汶萊元")</f>
        <v>汶萊元</v>
      </c>
      <c r="E159" s="3" t="str">
        <f ca="1">IFERROR(__xludf.DUMMYFUNCTION("""COMPUTED_VALUE"""),"BND")</f>
        <v>BND</v>
      </c>
      <c r="F159" s="3" t="str">
        <f ca="1">VLOOKUP(E159, 幣別!B:D, 3, FALSE)</f>
        <v>CNYBND</v>
      </c>
    </row>
    <row r="160" spans="1:6" ht="12.75">
      <c r="A160" s="3">
        <f ca="1">IFERROR(__xludf.DUMMYFUNCTION("""COMPUTED_VALUE"""),40022)</f>
        <v>40022</v>
      </c>
      <c r="B160" s="3" t="str">
        <f ca="1">IFERROR(__xludf.DUMMYFUNCTION("""COMPUTED_VALUE"""),"2530149_bdt")</f>
        <v>2530149_bdt</v>
      </c>
      <c r="C160" s="3" t="str">
        <f ca="1">IFERROR(__xludf.DUMMYFUNCTION("""COMPUTED_VALUE"""),"大运棋牌api-唯一钱包qzdy01-一级代理：2541361")</f>
        <v>大运棋牌api-唯一钱包qzdy01-一级代理：2541361</v>
      </c>
      <c r="D160" s="3" t="str">
        <f ca="1">IFERROR(__xludf.DUMMYFUNCTION("""COMPUTED_VALUE"""),"孟加拉塔卡")</f>
        <v>孟加拉塔卡</v>
      </c>
      <c r="E160" s="3" t="str">
        <f ca="1">IFERROR(__xludf.DUMMYFUNCTION("""COMPUTED_VALUE"""),"BDT")</f>
        <v>BDT</v>
      </c>
      <c r="F160" s="3" t="str">
        <f ca="1">VLOOKUP(E160, 幣別!B:D, 3, FALSE)</f>
        <v>CNYBDT</v>
      </c>
    </row>
    <row r="161" spans="1:6" ht="12.75">
      <c r="A161" s="3">
        <f ca="1">IFERROR(__xludf.DUMMYFUNCTION("""COMPUTED_VALUE"""),40023)</f>
        <v>40023</v>
      </c>
      <c r="B161" s="3" t="str">
        <f ca="1">IFERROR(__xludf.DUMMYFUNCTION("""COMPUTED_VALUE"""),"2530149_npr")</f>
        <v>2530149_npr</v>
      </c>
      <c r="C161" s="3" t="str">
        <f ca="1">IFERROR(__xludf.DUMMYFUNCTION("""COMPUTED_VALUE"""),"大运棋牌api-唯一钱包qzdy01-一级代理：2544324")</f>
        <v>大运棋牌api-唯一钱包qzdy01-一级代理：2544324</v>
      </c>
      <c r="D161" s="3" t="str">
        <f ca="1">IFERROR(__xludf.DUMMYFUNCTION("""COMPUTED_VALUE"""),"尼泊爾盧比")</f>
        <v>尼泊爾盧比</v>
      </c>
      <c r="E161" s="3" t="str">
        <f ca="1">IFERROR(__xludf.DUMMYFUNCTION("""COMPUTED_VALUE"""),"NPR")</f>
        <v>NPR</v>
      </c>
      <c r="F161" s="3" t="str">
        <f ca="1">VLOOKUP(E161, 幣別!B:D, 3, FALSE)</f>
        <v>CNYNPR</v>
      </c>
    </row>
    <row r="162" spans="1:6" ht="12.75">
      <c r="A162" s="3">
        <f ca="1">IFERROR(__xludf.DUMMYFUNCTION("""COMPUTED_VALUE"""),40024)</f>
        <v>40024</v>
      </c>
      <c r="B162" s="3" t="str">
        <f ca="1">IFERROR(__xludf.DUMMYFUNCTION("""COMPUTED_VALUE"""),"2530149_vnd")</f>
        <v>2530149_vnd</v>
      </c>
      <c r="C162" s="3" t="str">
        <f ca="1">IFERROR(__xludf.DUMMYFUNCTION("""COMPUTED_VALUE"""),"大运棋牌api-唯一钱包qzdy01-一级代理：2545007")</f>
        <v>大运棋牌api-唯一钱包qzdy01-一级代理：2545007</v>
      </c>
      <c r="D162" s="3" t="str">
        <f ca="1">IFERROR(__xludf.DUMMYFUNCTION("""COMPUTED_VALUE"""),"越南盾")</f>
        <v>越南盾</v>
      </c>
      <c r="E162" s="3" t="str">
        <f ca="1">IFERROR(__xludf.DUMMYFUNCTION("""COMPUTED_VALUE"""),"VND")</f>
        <v>VND</v>
      </c>
      <c r="F162" s="3" t="str">
        <f ca="1">VLOOKUP(E162, 幣別!B:D, 3, FALSE)</f>
        <v>CNYVND</v>
      </c>
    </row>
    <row r="163" spans="1:6" ht="12.75">
      <c r="A163" s="3">
        <f ca="1">IFERROR(__xludf.DUMMYFUNCTION("""COMPUTED_VALUE"""),40025)</f>
        <v>40025</v>
      </c>
      <c r="B163" s="3" t="str">
        <f ca="1">IFERROR(__xludf.DUMMYFUNCTION("""COMPUTED_VALUE"""),"2373060_myr")</f>
        <v>2373060_myr</v>
      </c>
      <c r="C163" s="3" t="str">
        <f ca="1">IFERROR(__xludf.DUMMYFUNCTION("""COMPUTED_VALUE"""),"大运棋牌api-转账钱包XY99-一级代理：2578775")</f>
        <v>大运棋牌api-转账钱包XY99-一级代理：2578775</v>
      </c>
      <c r="D163" s="3" t="str">
        <f ca="1">IFERROR(__xludf.DUMMYFUNCTION("""COMPUTED_VALUE"""),"馬來西亞令吉")</f>
        <v>馬來西亞令吉</v>
      </c>
      <c r="E163" s="3" t="str">
        <f ca="1">IFERROR(__xludf.DUMMYFUNCTION("""COMPUTED_VALUE"""),"MYR")</f>
        <v>MYR</v>
      </c>
      <c r="F163" s="3" t="str">
        <f ca="1">VLOOKUP(E163, 幣別!B:D, 3, FALSE)</f>
        <v>CNYMYR</v>
      </c>
    </row>
    <row r="164" spans="1:6" ht="12.75">
      <c r="A164" s="3">
        <f ca="1">IFERROR(__xludf.DUMMYFUNCTION("""COMPUTED_VALUE"""),40026)</f>
        <v>40026</v>
      </c>
      <c r="B164" s="3" t="str">
        <f ca="1">IFERROR(__xludf.DUMMYFUNCTION("""COMPUTED_VALUE"""),"2373060_hkd")</f>
        <v>2373060_hkd</v>
      </c>
      <c r="C164" s="3" t="str">
        <f ca="1">IFERROR(__xludf.DUMMYFUNCTION("""COMPUTED_VALUE"""),"大运棋牌api-转账钱包XY99-一级代理：2578781")</f>
        <v>大运棋牌api-转账钱包XY99-一级代理：2578781</v>
      </c>
      <c r="D164" s="3" t="str">
        <f ca="1">IFERROR(__xludf.DUMMYFUNCTION("""COMPUTED_VALUE"""),"港幣")</f>
        <v>港幣</v>
      </c>
      <c r="E164" s="3" t="str">
        <f ca="1">IFERROR(__xludf.DUMMYFUNCTION("""COMPUTED_VALUE"""),"HKD")</f>
        <v>HKD</v>
      </c>
      <c r="F164" s="3" t="str">
        <f ca="1">VLOOKUP(E164, 幣別!B:D, 3, FALSE)</f>
        <v>CNYHKD</v>
      </c>
    </row>
    <row r="165" spans="1:6" ht="12.75">
      <c r="A165" s="3">
        <f ca="1">IFERROR(__xludf.DUMMYFUNCTION("""COMPUTED_VALUE"""),40027)</f>
        <v>40027</v>
      </c>
      <c r="B165" s="3" t="str">
        <f ca="1">IFERROR(__xludf.DUMMYFUNCTION("""COMPUTED_VALUE"""),"1784194_cny")</f>
        <v>1784194_cny</v>
      </c>
      <c r="C165" s="3" t="str">
        <f ca="1">IFERROR(__xludf.DUMMYFUNCTION("""COMPUTED_VALUE"""),"大运棋牌api-转账钱包DZceshi-一级代理：2414317")</f>
        <v>大运棋牌api-转账钱包DZceshi-一级代理：2414317</v>
      </c>
      <c r="D165" s="3" t="str">
        <f ca="1">IFERROR(__xludf.DUMMYFUNCTION("""COMPUTED_VALUE"""),"人民幣")</f>
        <v>人民幣</v>
      </c>
      <c r="E165" s="3" t="str">
        <f ca="1">IFERROR(__xludf.DUMMYFUNCTION("""COMPUTED_VALUE"""),"CNY")</f>
        <v>CNY</v>
      </c>
    </row>
    <row r="166" spans="1:6" ht="12.75">
      <c r="A166" s="3">
        <f ca="1">IFERROR(__xludf.DUMMYFUNCTION("""COMPUTED_VALUE"""),40028)</f>
        <v>40028</v>
      </c>
      <c r="B166" s="3" t="str">
        <f ca="1">IFERROR(__xludf.DUMMYFUNCTION("""COMPUTED_VALUE"""),"1784194_mmk")</f>
        <v>1784194_mmk</v>
      </c>
      <c r="C166" s="3" t="str">
        <f ca="1">IFERROR(__xludf.DUMMYFUNCTION("""COMPUTED_VALUE"""),"大运棋牌api-转账钱包DZceshi-一级代理：2591540")</f>
        <v>大运棋牌api-转账钱包DZceshi-一级代理：2591540</v>
      </c>
      <c r="D166" s="3" t="str">
        <f ca="1">IFERROR(__xludf.DUMMYFUNCTION("""COMPUTED_VALUE"""),"緬元")</f>
        <v>緬元</v>
      </c>
      <c r="E166" s="3" t="str">
        <f ca="1">IFERROR(__xludf.DUMMYFUNCTION("""COMPUTED_VALUE"""),"MMK")</f>
        <v>MMK</v>
      </c>
    </row>
    <row r="167" spans="1:6" ht="12.75">
      <c r="A167" s="3">
        <f ca="1">IFERROR(__xludf.DUMMYFUNCTION("""COMPUTED_VALUE"""),40029)</f>
        <v>40029</v>
      </c>
      <c r="B167" s="3" t="str">
        <f ca="1">IFERROR(__xludf.DUMMYFUNCTION("""COMPUTED_VALUE"""),"1784194_jpy")</f>
        <v>1784194_jpy</v>
      </c>
      <c r="C167" s="3" t="str">
        <f ca="1">IFERROR(__xludf.DUMMYFUNCTION("""COMPUTED_VALUE"""),"大运棋牌api-转账钱包DZceshi-一级代理：2590958")</f>
        <v>大运棋牌api-转账钱包DZceshi-一级代理：2590958</v>
      </c>
      <c r="D167" s="3" t="str">
        <f ca="1">IFERROR(__xludf.DUMMYFUNCTION("""COMPUTED_VALUE"""),"日圓")</f>
        <v>日圓</v>
      </c>
      <c r="E167" s="3" t="str">
        <f ca="1">IFERROR(__xludf.DUMMYFUNCTION("""COMPUTED_VALUE"""),"JPY")</f>
        <v>JPY</v>
      </c>
    </row>
    <row r="168" spans="1:6" ht="12.75">
      <c r="A168" s="3">
        <f ca="1">IFERROR(__xludf.DUMMYFUNCTION("""COMPUTED_VALUE"""),40030)</f>
        <v>40030</v>
      </c>
      <c r="B168" s="3" t="str">
        <f ca="1">IFERROR(__xludf.DUMMYFUNCTION("""COMPUTED_VALUE"""),"1971868_usdt")</f>
        <v>1971868_usdt</v>
      </c>
      <c r="C168" s="3" t="str">
        <f ca="1">IFERROR(__xludf.DUMMYFUNCTION("""COMPUTED_VALUE"""),"大运棋牌api-单一钱包dydzdyce1-一级代理：2644654")</f>
        <v>大运棋牌api-单一钱包dydzdyce1-一级代理：2644654</v>
      </c>
      <c r="D168" s="3" t="str">
        <f ca="1">IFERROR(__xludf.DUMMYFUNCTION("""COMPUTED_VALUE"""),"虛擬美金")</f>
        <v>虛擬美金</v>
      </c>
      <c r="E168" s="3" t="str">
        <f ca="1">IFERROR(__xludf.DUMMYFUNCTION("""COMPUTED_VALUE"""),"USDT")</f>
        <v>USDT</v>
      </c>
    </row>
    <row r="169" spans="1:6" ht="12.75">
      <c r="A169" s="3">
        <f ca="1">IFERROR(__xludf.DUMMYFUNCTION("""COMPUTED_VALUE"""),40031)</f>
        <v>40031</v>
      </c>
      <c r="B169" s="3" t="str">
        <f ca="1">IFERROR(__xludf.DUMMYFUNCTION("""COMPUTED_VALUE"""),"1971868_mbtc")</f>
        <v>1971868_mbtc</v>
      </c>
      <c r="C169" s="3" t="str">
        <f ca="1">IFERROR(__xludf.DUMMYFUNCTION("""COMPUTED_VALUE"""),"大运棋牌api-单一钱包dydzdyce1-一级代理：2645562")</f>
        <v>大运棋牌api-单一钱包dydzdyce1-一级代理：2645562</v>
      </c>
      <c r="D169" s="3" t="str">
        <f ca="1">IFERROR(__xludf.DUMMYFUNCTION("""COMPUTED_VALUE"""),"千分之一比特幣")</f>
        <v>千分之一比特幣</v>
      </c>
      <c r="E169" s="3" t="str">
        <f ca="1">IFERROR(__xludf.DUMMYFUNCTION("""COMPUTED_VALUE"""),"MBTC")</f>
        <v>MBTC</v>
      </c>
    </row>
    <row r="170" spans="1:6" ht="12.75">
      <c r="A170" s="3">
        <f ca="1">IFERROR(__xludf.DUMMYFUNCTION("""COMPUTED_VALUE"""),40032)</f>
        <v>40032</v>
      </c>
      <c r="B170" s="3" t="str">
        <f ca="1">IFERROR(__xludf.DUMMYFUNCTION("""COMPUTED_VALUE"""),"1971868_ltc")</f>
        <v>1971868_ltc</v>
      </c>
      <c r="C170" s="3" t="str">
        <f ca="1">IFERROR(__xludf.DUMMYFUNCTION("""COMPUTED_VALUE"""),"大运棋牌api-单一钱包dydzdyce1-一级代理：2645568")</f>
        <v>大运棋牌api-单一钱包dydzdyce1-一级代理：2645568</v>
      </c>
      <c r="D170" s="3" t="str">
        <f ca="1">IFERROR(__xludf.DUMMYFUNCTION("""COMPUTED_VALUE"""),"萊特幣")</f>
        <v>萊特幣</v>
      </c>
      <c r="E170" s="3" t="str">
        <f ca="1">IFERROR(__xludf.DUMMYFUNCTION("""COMPUTED_VALUE"""),"LTC")</f>
        <v>LTC</v>
      </c>
    </row>
    <row r="171" spans="1:6" ht="12.75">
      <c r="A171" s="3">
        <f ca="1">IFERROR(__xludf.DUMMYFUNCTION("""COMPUTED_VALUE"""),40033)</f>
        <v>40033</v>
      </c>
      <c r="B171" s="3" t="str">
        <f ca="1">IFERROR(__xludf.DUMMYFUNCTION("""COMPUTED_VALUE"""),"2503177_hkd")</f>
        <v>2503177_hkd</v>
      </c>
      <c r="C171" s="3" t="str">
        <f ca="1">IFERROR(__xludf.DUMMYFUNCTION("""COMPUTED_VALUE"""),"大运棋牌api-转账钱包qz01-一级代理：2682375")</f>
        <v>大运棋牌api-转账钱包qz01-一级代理：2682375</v>
      </c>
      <c r="D171" s="3" t="str">
        <f ca="1">IFERROR(__xludf.DUMMYFUNCTION("""COMPUTED_VALUE"""),"港幣")</f>
        <v>港幣</v>
      </c>
      <c r="E171" s="3" t="str">
        <f ca="1">IFERROR(__xludf.DUMMYFUNCTION("""COMPUTED_VALUE"""),"HKD")</f>
        <v>HKD</v>
      </c>
    </row>
    <row r="172" spans="1:6" ht="12.75">
      <c r="A172" s="3">
        <f ca="1">IFERROR(__xludf.DUMMYFUNCTION("""COMPUTED_VALUE"""),40034)</f>
        <v>40034</v>
      </c>
      <c r="B172" s="3" t="str">
        <f ca="1">IFERROR(__xludf.DUMMYFUNCTION("""COMPUTED_VALUE"""),"2697738_cny")</f>
        <v>2697738_cny</v>
      </c>
      <c r="C172" s="3" t="str">
        <f ca="1">IFERROR(__xludf.DUMMYFUNCTION("""COMPUTED_VALUE"""),"大运棋牌api-转账钱包GS08-一级代理：2697816")</f>
        <v>大运棋牌api-转账钱包GS08-一级代理：2697816</v>
      </c>
      <c r="D172" s="3" t="str">
        <f ca="1">IFERROR(__xludf.DUMMYFUNCTION("""COMPUTED_VALUE"""),"人民幣")</f>
        <v>人民幣</v>
      </c>
      <c r="E172" s="3" t="str">
        <f ca="1">IFERROR(__xludf.DUMMYFUNCTION("""COMPUTED_VALUE"""),"CNY")</f>
        <v>CNY</v>
      </c>
    </row>
    <row r="173" spans="1:6" ht="12.75">
      <c r="A173" s="3">
        <f ca="1">IFERROR(__xludf.DUMMYFUNCTION("""COMPUTED_VALUE"""),40035)</f>
        <v>40035</v>
      </c>
      <c r="B173" s="3" t="str">
        <f ca="1">IFERROR(__xludf.DUMMYFUNCTION("""COMPUTED_VALUE"""),"1784194_hnl")</f>
        <v>1784194_hnl</v>
      </c>
      <c r="C173" s="3" t="str">
        <f ca="1">IFERROR(__xludf.DUMMYFUNCTION("""COMPUTED_VALUE"""),"大运棋牌api-转账钱包DZceshi-一级代理：2788419")</f>
        <v>大运棋牌api-转账钱包DZceshi-一级代理：2788419</v>
      </c>
      <c r="D173" s="3" t="str">
        <f ca="1">IFERROR(__xludf.DUMMYFUNCTION("""COMPUTED_VALUE"""),"洪都拉斯伦皮拉")</f>
        <v>洪都拉斯伦皮拉</v>
      </c>
      <c r="E173" s="3" t="str">
        <f ca="1">IFERROR(__xludf.DUMMYFUNCTION("""COMPUTED_VALUE"""),"HNL")</f>
        <v>HNL</v>
      </c>
    </row>
    <row r="174" spans="1:6" ht="12.75">
      <c r="A174" s="3">
        <f ca="1">IFERROR(__xludf.DUMMYFUNCTION("""COMPUTED_VALUE"""),40036)</f>
        <v>40036</v>
      </c>
      <c r="B174" s="3" t="str">
        <f ca="1">IFERROR(__xludf.DUMMYFUNCTION("""COMPUTED_VALUE"""),"1784194_etb")</f>
        <v>1784194_etb</v>
      </c>
      <c r="C174" s="3" t="str">
        <f ca="1">IFERROR(__xludf.DUMMYFUNCTION("""COMPUTED_VALUE"""),"大运棋牌api-转账钱包DZceshi-一级代理：2788621")</f>
        <v>大运棋牌api-转账钱包DZceshi-一级代理：2788621</v>
      </c>
      <c r="D174" s="3" t="str">
        <f ca="1">IFERROR(__xludf.DUMMYFUNCTION("""COMPUTED_VALUE"""),"埃塞俄比亚比尔")</f>
        <v>埃塞俄比亚比尔</v>
      </c>
      <c r="E174" s="3" t="str">
        <f ca="1">IFERROR(__xludf.DUMMYFUNCTION("""COMPUTED_VALUE"""),"ETB")</f>
        <v>ETB</v>
      </c>
    </row>
    <row r="175" spans="1:6" ht="12.75">
      <c r="A175" s="3">
        <f ca="1">IFERROR(__xludf.DUMMYFUNCTION("""COMPUTED_VALUE"""),40037)</f>
        <v>40037</v>
      </c>
      <c r="B175" s="3" t="str">
        <f ca="1">IFERROR(__xludf.DUMMYFUNCTION("""COMPUTED_VALUE"""),"1784194_zar")</f>
        <v>1784194_zar</v>
      </c>
      <c r="C175" s="3" t="str">
        <f ca="1">IFERROR(__xludf.DUMMYFUNCTION("""COMPUTED_VALUE"""),"大运棋牌api-转账钱包DZceshi-一级代理：2788416")</f>
        <v>大运棋牌api-转账钱包DZceshi-一级代理：2788416</v>
      </c>
      <c r="D175" s="3" t="str">
        <f ca="1">IFERROR(__xludf.DUMMYFUNCTION("""COMPUTED_VALUE"""),"南非蘭特")</f>
        <v>南非蘭特</v>
      </c>
      <c r="E175" s="3" t="str">
        <f ca="1">IFERROR(__xludf.DUMMYFUNCTION("""COMPUTED_VALUE"""),"ZAR")</f>
        <v>ZAR</v>
      </c>
    </row>
    <row r="176" spans="1:6" ht="12.75">
      <c r="A176" s="3">
        <f ca="1">IFERROR(__xludf.DUMMYFUNCTION("""COMPUTED_VALUE"""),40038)</f>
        <v>40038</v>
      </c>
      <c r="B176" s="3" t="str">
        <f ca="1">IFERROR(__xludf.DUMMYFUNCTION("""COMPUTED_VALUE"""),"1784194_ugx")</f>
        <v>1784194_ugx</v>
      </c>
      <c r="C176" s="3" t="str">
        <f ca="1">IFERROR(__xludf.DUMMYFUNCTION("""COMPUTED_VALUE"""),"大运棋牌api-转账钱包DZceshi-一级代理：2788402")</f>
        <v>大运棋牌api-转账钱包DZceshi-一级代理：2788402</v>
      </c>
      <c r="D176" s="3" t="str">
        <f ca="1">IFERROR(__xludf.DUMMYFUNCTION("""COMPUTED_VALUE"""),"乌干达先令")</f>
        <v>乌干达先令</v>
      </c>
      <c r="E176" s="3" t="str">
        <f ca="1">IFERROR(__xludf.DUMMYFUNCTION("""COMPUTED_VALUE"""),"UGX")</f>
        <v>UGX</v>
      </c>
    </row>
    <row r="177" spans="1:5" ht="12.75">
      <c r="A177" s="3">
        <f ca="1">IFERROR(__xludf.DUMMYFUNCTION("""COMPUTED_VALUE"""),40039)</f>
        <v>40039</v>
      </c>
      <c r="B177" s="3" t="str">
        <f ca="1">IFERROR(__xludf.DUMMYFUNCTION("""COMPUTED_VALUE"""),"1784194_tzs")</f>
        <v>1784194_tzs</v>
      </c>
      <c r="C177" s="3" t="str">
        <f ca="1">IFERROR(__xludf.DUMMYFUNCTION("""COMPUTED_VALUE"""),"大运棋牌api-转账钱包DZceshi-一级代理：2788398")</f>
        <v>大运棋牌api-转账钱包DZceshi-一级代理：2788398</v>
      </c>
      <c r="D177" s="3" t="str">
        <f ca="1">IFERROR(__xludf.DUMMYFUNCTION("""COMPUTED_VALUE"""),"坦桑尼亚先令")</f>
        <v>坦桑尼亚先令</v>
      </c>
      <c r="E177" s="3" t="str">
        <f ca="1">IFERROR(__xludf.DUMMYFUNCTION("""COMPUTED_VALUE"""),"TZS")</f>
        <v>TZS</v>
      </c>
    </row>
    <row r="178" spans="1:5" ht="12.75">
      <c r="A178" s="3">
        <f ca="1">IFERROR(__xludf.DUMMYFUNCTION("""COMPUTED_VALUE"""),40040)</f>
        <v>40040</v>
      </c>
      <c r="B178" s="3" t="str">
        <f ca="1">IFERROR(__xludf.DUMMYFUNCTION("""COMPUTED_VALUE"""),"1784194_kes")</f>
        <v>1784194_kes</v>
      </c>
      <c r="C178" s="3" t="str">
        <f ca="1">IFERROR(__xludf.DUMMYFUNCTION("""COMPUTED_VALUE"""),"大运棋牌api-转账钱包DZceshi-一级代理：2788385")</f>
        <v>大运棋牌api-转账钱包DZceshi-一级代理：2788385</v>
      </c>
      <c r="D178" s="3" t="str">
        <f ca="1">IFERROR(__xludf.DUMMYFUNCTION("""COMPUTED_VALUE"""),"肯尼亚先令")</f>
        <v>肯尼亚先令</v>
      </c>
      <c r="E178" s="3" t="str">
        <f ca="1">IFERROR(__xludf.DUMMYFUNCTION("""COMPUTED_VALUE"""),"KES")</f>
        <v>KES</v>
      </c>
    </row>
    <row r="179" spans="1:5" ht="12.75">
      <c r="A179" s="3">
        <f ca="1">IFERROR(__xludf.DUMMYFUNCTION("""COMPUTED_VALUE"""),40041)</f>
        <v>40041</v>
      </c>
      <c r="B179" s="3" t="str">
        <f ca="1">IFERROR(__xludf.DUMMYFUNCTION("""COMPUTED_VALUE"""),"1784194_egp")</f>
        <v>1784194_egp</v>
      </c>
      <c r="C179" s="3" t="str">
        <f ca="1">IFERROR(__xludf.DUMMYFUNCTION("""COMPUTED_VALUE"""),"大运棋牌api-转账钱包DZceshi-一级代理：2788372")</f>
        <v>大运棋牌api-转账钱包DZceshi-一级代理：2788372</v>
      </c>
      <c r="D179" s="3" t="str">
        <f ca="1">IFERROR(__xludf.DUMMYFUNCTION("""COMPUTED_VALUE"""),"埃及镑")</f>
        <v>埃及镑</v>
      </c>
      <c r="E179" s="3" t="str">
        <f ca="1">IFERROR(__xludf.DUMMYFUNCTION("""COMPUTED_VALUE"""),"EGP")</f>
        <v>EGP</v>
      </c>
    </row>
    <row r="180" spans="1:5" ht="12.75">
      <c r="A180" s="3">
        <f ca="1">IFERROR(__xludf.DUMMYFUNCTION("""COMPUTED_VALUE"""),40042)</f>
        <v>40042</v>
      </c>
      <c r="B180" s="3" t="str">
        <f ca="1">IFERROR(__xludf.DUMMYFUNCTION("""COMPUTED_VALUE"""),"1784194_try")</f>
        <v>1784194_try</v>
      </c>
      <c r="C180" s="3" t="str">
        <f ca="1">IFERROR(__xludf.DUMMYFUNCTION("""COMPUTED_VALUE"""),"大运棋牌api-转账钱包DZceshi-一级代理：2788368")</f>
        <v>大运棋牌api-转账钱包DZceshi-一级代理：2788368</v>
      </c>
      <c r="D180" s="3" t="str">
        <f ca="1">IFERROR(__xludf.DUMMYFUNCTION("""COMPUTED_VALUE"""),"土耳其里拉")</f>
        <v>土耳其里拉</v>
      </c>
      <c r="E180" s="3" t="str">
        <f ca="1">IFERROR(__xludf.DUMMYFUNCTION("""COMPUTED_VALUE"""),"TRY")</f>
        <v>TRY</v>
      </c>
    </row>
    <row r="181" spans="1:5" ht="12.75">
      <c r="A181" s="3">
        <f ca="1">IFERROR(__xludf.DUMMYFUNCTION("""COMPUTED_VALUE"""),40043)</f>
        <v>40043</v>
      </c>
      <c r="B181" s="3" t="str">
        <f ca="1">IFERROR(__xludf.DUMMYFUNCTION("""COMPUTED_VALUE"""),"1784194_bdt")</f>
        <v>1784194_bdt</v>
      </c>
      <c r="C181" s="3" t="str">
        <f ca="1">IFERROR(__xludf.DUMMYFUNCTION("""COMPUTED_VALUE"""),"大运棋牌api-转账钱包DZceshi-一级代理：2788360")</f>
        <v>大运棋牌api-转账钱包DZceshi-一级代理：2788360</v>
      </c>
      <c r="D181" s="3" t="str">
        <f ca="1">IFERROR(__xludf.DUMMYFUNCTION("""COMPUTED_VALUE"""),"孟加拉塔卡")</f>
        <v>孟加拉塔卡</v>
      </c>
      <c r="E181" s="3" t="str">
        <f ca="1">IFERROR(__xludf.DUMMYFUNCTION("""COMPUTED_VALUE"""),"BDT")</f>
        <v>BDT</v>
      </c>
    </row>
    <row r="182" spans="1:5" ht="12.75">
      <c r="A182" s="3">
        <f ca="1">IFERROR(__xludf.DUMMYFUNCTION("""COMPUTED_VALUE"""),40044)</f>
        <v>40044</v>
      </c>
      <c r="B182" s="3" t="str">
        <f ca="1">IFERROR(__xludf.DUMMYFUNCTION("""COMPUTED_VALUE"""),"1784194_pen")</f>
        <v>1784194_pen</v>
      </c>
      <c r="C182" s="3" t="str">
        <f ca="1">IFERROR(__xludf.DUMMYFUNCTION("""COMPUTED_VALUE"""),"大运棋牌api-转账钱包DZceshi-一级代理：2788333")</f>
        <v>大运棋牌api-转账钱包DZceshi-一级代理：2788333</v>
      </c>
      <c r="D182" s="3" t="str">
        <f ca="1">IFERROR(__xludf.DUMMYFUNCTION("""COMPUTED_VALUE"""),"秘鲁新索尔")</f>
        <v>秘鲁新索尔</v>
      </c>
      <c r="E182" s="3" t="str">
        <f ca="1">IFERROR(__xludf.DUMMYFUNCTION("""COMPUTED_VALUE"""),"PEN")</f>
        <v>PEN</v>
      </c>
    </row>
    <row r="183" spans="1:5" ht="12.75">
      <c r="A183" s="3">
        <f ca="1">IFERROR(__xludf.DUMMYFUNCTION("""COMPUTED_VALUE"""),40045)</f>
        <v>40045</v>
      </c>
      <c r="B183" s="3" t="str">
        <f ca="1">IFERROR(__xludf.DUMMYFUNCTION("""COMPUTED_VALUE"""),"1784194_bob")</f>
        <v>1784194_bob</v>
      </c>
      <c r="C183" s="3" t="str">
        <f ca="1">IFERROR(__xludf.DUMMYFUNCTION("""COMPUTED_VALUE"""),"大运棋牌api-转账钱包DZceshi-一级代理：2788335")</f>
        <v>大运棋牌api-转账钱包DZceshi-一级代理：2788335</v>
      </c>
      <c r="D183" s="3" t="str">
        <f ca="1">IFERROR(__xludf.DUMMYFUNCTION("""COMPUTED_VALUE"""),"玻利维亚诺")</f>
        <v>玻利维亚诺</v>
      </c>
      <c r="E183" s="3" t="str">
        <f ca="1">IFERROR(__xludf.DUMMYFUNCTION("""COMPUTED_VALUE"""),"BOB")</f>
        <v>BOB</v>
      </c>
    </row>
    <row r="184" spans="1:5" ht="12.75">
      <c r="A184" s="3">
        <f ca="1">IFERROR(__xludf.DUMMYFUNCTION("""COMPUTED_VALUE"""),40046)</f>
        <v>40046</v>
      </c>
      <c r="B184" s="3" t="str">
        <f ca="1">IFERROR(__xludf.DUMMYFUNCTION("""COMPUTED_VALUE"""),"1784194_cop")</f>
        <v>1784194_cop</v>
      </c>
      <c r="C184" s="3" t="str">
        <f ca="1">IFERROR(__xludf.DUMMYFUNCTION("""COMPUTED_VALUE"""),"大运棋牌api-转账钱包DZceshi-一级代理：2788337")</f>
        <v>大运棋牌api-转账钱包DZceshi-一级代理：2788337</v>
      </c>
      <c r="D184" s="3" t="str">
        <f ca="1">IFERROR(__xludf.DUMMYFUNCTION("""COMPUTED_VALUE"""),"哥伦比亚比索")</f>
        <v>哥伦比亚比索</v>
      </c>
      <c r="E184" s="3" t="str">
        <f ca="1">IFERROR(__xludf.DUMMYFUNCTION("""COMPUTED_VALUE"""),"COP")</f>
        <v>COP</v>
      </c>
    </row>
    <row r="185" spans="1:5" ht="12.75">
      <c r="A185" s="3">
        <f ca="1">IFERROR(__xludf.DUMMYFUNCTION("""COMPUTED_VALUE"""),40047)</f>
        <v>40047</v>
      </c>
      <c r="B185" s="3" t="str">
        <f ca="1">IFERROR(__xludf.DUMMYFUNCTION("""COMPUTED_VALUE"""),"1784194_pyg")</f>
        <v>1784194_pyg</v>
      </c>
      <c r="C185" s="3" t="str">
        <f ca="1">IFERROR(__xludf.DUMMYFUNCTION("""COMPUTED_VALUE"""),"大运棋牌api-转账钱包DZceshi-一级代理：2788343")</f>
        <v>大运棋牌api-转账钱包DZceshi-一级代理：2788343</v>
      </c>
      <c r="D185" s="3" t="str">
        <f ca="1">IFERROR(__xludf.DUMMYFUNCTION("""COMPUTED_VALUE"""),"巴拉圭瓜拉尼")</f>
        <v>巴拉圭瓜拉尼</v>
      </c>
      <c r="E185" s="3" t="str">
        <f ca="1">IFERROR(__xludf.DUMMYFUNCTION("""COMPUTED_VALUE"""),"PYG")</f>
        <v>PYG</v>
      </c>
    </row>
    <row r="186" spans="1:5" ht="12.75">
      <c r="A186" s="3">
        <f ca="1">IFERROR(__xludf.DUMMYFUNCTION("""COMPUTED_VALUE"""),40048)</f>
        <v>40048</v>
      </c>
      <c r="B186" s="3" t="str">
        <f ca="1">IFERROR(__xludf.DUMMYFUNCTION("""COMPUTED_VALUE"""),"1784194_pkr")</f>
        <v>1784194_pkr</v>
      </c>
      <c r="C186" s="3" t="str">
        <f ca="1">IFERROR(__xludf.DUMMYFUNCTION("""COMPUTED_VALUE"""),"大运棋牌api-转账钱包DZceshi-一级代理：2788361")</f>
        <v>大运棋牌api-转账钱包DZceshi-一级代理：2788361</v>
      </c>
      <c r="D186" s="3" t="str">
        <f ca="1">IFERROR(__xludf.DUMMYFUNCTION("""COMPUTED_VALUE"""),"巴基斯坦卢比")</f>
        <v>巴基斯坦卢比</v>
      </c>
      <c r="E186" s="3" t="str">
        <f ca="1">IFERROR(__xludf.DUMMYFUNCTION("""COMPUTED_VALUE"""),"PKR")</f>
        <v>PKR</v>
      </c>
    </row>
    <row r="187" spans="1:5" ht="12.75">
      <c r="A187" s="3">
        <f ca="1">IFERROR(__xludf.DUMMYFUNCTION("""COMPUTED_VALUE"""),40049)</f>
        <v>40049</v>
      </c>
      <c r="B187" s="3" t="str">
        <f ca="1">IFERROR(__xludf.DUMMYFUNCTION("""COMPUTED_VALUE"""),"1784194_ghs")</f>
        <v>1784194_ghs</v>
      </c>
      <c r="C187" s="3" t="str">
        <f ca="1">IFERROR(__xludf.DUMMYFUNCTION("""COMPUTED_VALUE"""),"大运棋牌api-转账钱包DZceshi-一级代理：2788374")</f>
        <v>大运棋牌api-转账钱包DZceshi-一级代理：2788374</v>
      </c>
      <c r="D187" s="3" t="str">
        <f ca="1">IFERROR(__xludf.DUMMYFUNCTION("""COMPUTED_VALUE"""),"加纳塞地")</f>
        <v>加纳塞地</v>
      </c>
      <c r="E187" s="3" t="str">
        <f ca="1">IFERROR(__xludf.DUMMYFUNCTION("""COMPUTED_VALUE"""),"GHS")</f>
        <v>GHS</v>
      </c>
    </row>
    <row r="188" spans="1:5" ht="12.75">
      <c r="A188" s="3">
        <f ca="1">IFERROR(__xludf.DUMMYFUNCTION("""COMPUTED_VALUE"""),40050)</f>
        <v>40050</v>
      </c>
      <c r="B188" s="3" t="str">
        <f ca="1">IFERROR(__xludf.DUMMYFUNCTION("""COMPUTED_VALUE"""),"1784194_ars")</f>
        <v>1784194_ars</v>
      </c>
      <c r="C188" s="3" t="str">
        <f ca="1">IFERROR(__xludf.DUMMYFUNCTION("""COMPUTED_VALUE"""),"大运棋牌api-转账钱包DZceshi-一级代理：2788213")</f>
        <v>大运棋牌api-转账钱包DZceshi-一级代理：2788213</v>
      </c>
      <c r="D188" s="3" t="str">
        <f ca="1">IFERROR(__xludf.DUMMYFUNCTION("""COMPUTED_VALUE"""),"阿根廷比索")</f>
        <v>阿根廷比索</v>
      </c>
      <c r="E188" s="3" t="str">
        <f ca="1">IFERROR(__xludf.DUMMYFUNCTION("""COMPUTED_VALUE"""),"ARS")</f>
        <v>ARS</v>
      </c>
    </row>
    <row r="189" spans="1:5" ht="12.75">
      <c r="A189" s="3">
        <f ca="1">IFERROR(__xludf.DUMMYFUNCTION("""COMPUTED_VALUE"""),40051)</f>
        <v>40051</v>
      </c>
      <c r="B189" s="3" t="str">
        <f ca="1">IFERROR(__xludf.DUMMYFUNCTION("""COMPUTED_VALUE"""),"1784194_idrk")</f>
        <v>1784194_idrk</v>
      </c>
      <c r="C189" s="3" t="str">
        <f ca="1">IFERROR(__xludf.DUMMYFUNCTION("""COMPUTED_VALUE"""),"大运棋牌api-转账钱包DZceshi-一级代理：2788075")</f>
        <v>大运棋牌api-转账钱包DZceshi-一级代理：2788075</v>
      </c>
      <c r="D189" s="3" t="str">
        <f ca="1">IFERROR(__xludf.DUMMYFUNCTION("""COMPUTED_VALUE"""),"印尼盾(1:1000)")</f>
        <v>印尼盾(1:1000)</v>
      </c>
      <c r="E189" s="3" t="str">
        <f ca="1">IFERROR(__xludf.DUMMYFUNCTION("""COMPUTED_VALUE"""),"IDRK")</f>
        <v>IDRK</v>
      </c>
    </row>
    <row r="190" spans="1:5" ht="12.75">
      <c r="A190" s="3">
        <f ca="1">IFERROR(__xludf.DUMMYFUNCTION("""COMPUTED_VALUE"""),40052)</f>
        <v>40052</v>
      </c>
      <c r="B190" s="3" t="str">
        <f ca="1">IFERROR(__xludf.DUMMYFUNCTION("""COMPUTED_VALUE"""),"1784194_vndk")</f>
        <v>1784194_vndk</v>
      </c>
      <c r="C190" s="3" t="str">
        <f ca="1">IFERROR(__xludf.DUMMYFUNCTION("""COMPUTED_VALUE"""),"大运棋牌api-转账钱包DZceshi-一级代理：2788067")</f>
        <v>大运棋牌api-转账钱包DZceshi-一级代理：2788067</v>
      </c>
      <c r="D190" s="3" t="str">
        <f ca="1">IFERROR(__xludf.DUMMYFUNCTION("""COMPUTED_VALUE"""),"越南盾(1:1000)")</f>
        <v>越南盾(1:1000)</v>
      </c>
      <c r="E190" s="3" t="str">
        <f ca="1">IFERROR(__xludf.DUMMYFUNCTION("""COMPUTED_VALUE"""),"VNDK")</f>
        <v>VNDK</v>
      </c>
    </row>
    <row r="191" spans="1:5" ht="12.75">
      <c r="A191" s="3">
        <f ca="1">IFERROR(__xludf.DUMMYFUNCTION("""COMPUTED_VALUE"""),40053)</f>
        <v>40053</v>
      </c>
      <c r="B191" s="3" t="str">
        <f ca="1">IFERROR(__xludf.DUMMYFUNCTION("""COMPUTED_VALUE"""),"2789216_cny")</f>
        <v>2789216_cny</v>
      </c>
      <c r="C191" s="3" t="str">
        <f ca="1">IFERROR(__xludf.DUMMYFUNCTION("""COMPUTED_VALUE"""),"大运棋牌api-转账钱包TCG88-一级代理：2789271")</f>
        <v>大运棋牌api-转账钱包TCG88-一级代理：2789271</v>
      </c>
      <c r="D191" s="3" t="str">
        <f ca="1">IFERROR(__xludf.DUMMYFUNCTION("""COMPUTED_VALUE"""),"人民幣")</f>
        <v>人民幣</v>
      </c>
      <c r="E191" s="3" t="str">
        <f ca="1">IFERROR(__xludf.DUMMYFUNCTION("""COMPUTED_VALUE"""),"CNY")</f>
        <v>CNY</v>
      </c>
    </row>
    <row r="192" spans="1:5" ht="12.75">
      <c r="A192" s="3">
        <f ca="1">IFERROR(__xludf.DUMMYFUNCTION("""COMPUTED_VALUE"""),40054)</f>
        <v>40054</v>
      </c>
      <c r="B192" s="3" t="str">
        <f ca="1">IFERROR(__xludf.DUMMYFUNCTION("""COMPUTED_VALUE"""),"2793614_thb")</f>
        <v>2793614_thb</v>
      </c>
      <c r="C192" s="3" t="str">
        <f ca="1">IFERROR(__xludf.DUMMYFUNCTION("""COMPUTED_VALUE"""),"大运棋牌api-转账钱包haxi06-一级代理：2793626")</f>
        <v>大运棋牌api-转账钱包haxi06-一级代理：2793626</v>
      </c>
      <c r="D192" s="3" t="str">
        <f ca="1">IFERROR(__xludf.DUMMYFUNCTION("""COMPUTED_VALUE"""),"虛擬美金")</f>
        <v>虛擬美金</v>
      </c>
      <c r="E192" s="3" t="s">
        <v>943</v>
      </c>
    </row>
    <row r="193" spans="1:5" ht="12.75">
      <c r="A193" s="3">
        <f ca="1">IFERROR(__xludf.DUMMYFUNCTION("""COMPUTED_VALUE"""),40055)</f>
        <v>40055</v>
      </c>
      <c r="B193" s="3" t="str">
        <f ca="1">IFERROR(__xludf.DUMMYFUNCTION("""COMPUTED_VALUE"""),"2795436_cny")</f>
        <v>2795436_cny</v>
      </c>
      <c r="C193" s="3" t="str">
        <f ca="1">IFERROR(__xludf.DUMMYFUNCTION("""COMPUTED_VALUE"""),"大运棋牌api-转账钱包TCG999-一级代理：2795454")</f>
        <v>大运棋牌api-转账钱包TCG999-一级代理：2795454</v>
      </c>
      <c r="D193" s="3" t="str">
        <f ca="1">IFERROR(__xludf.DUMMYFUNCTION("""COMPUTED_VALUE"""),"人民幣")</f>
        <v>人民幣</v>
      </c>
      <c r="E193" s="3" t="str">
        <f ca="1">IFERROR(__xludf.DUMMYFUNCTION("""COMPUTED_VALUE"""),"CNY")</f>
        <v>CNY</v>
      </c>
    </row>
    <row r="194" spans="1:5" ht="12.75">
      <c r="A194" s="3">
        <f ca="1">IFERROR(__xludf.DUMMYFUNCTION("""COMPUTED_VALUE"""),40056)</f>
        <v>40056</v>
      </c>
      <c r="B194" s="3" t="str">
        <f ca="1">IFERROR(__xludf.DUMMYFUNCTION("""COMPUTED_VALUE"""),"2795436_php")</f>
        <v>2795436_php</v>
      </c>
      <c r="C194" s="3" t="str">
        <f ca="1">IFERROR(__xludf.DUMMYFUNCTION("""COMPUTED_VALUE"""),"大运棋牌api-转账钱包TCG999-一级代理：2797610")</f>
        <v>大运棋牌api-转账钱包TCG999-一级代理：2797610</v>
      </c>
      <c r="D194" s="3" t="str">
        <f ca="1">IFERROR(__xludf.DUMMYFUNCTION("""COMPUTED_VALUE"""),"菲律賓披索")</f>
        <v>菲律賓披索</v>
      </c>
      <c r="E194" s="3" t="str">
        <f ca="1">IFERROR(__xludf.DUMMYFUNCTION("""COMPUTED_VALUE"""),"PHP")</f>
        <v>PHP</v>
      </c>
    </row>
    <row r="195" spans="1:5" ht="12.75">
      <c r="A195" s="3">
        <f ca="1">IFERROR(__xludf.DUMMYFUNCTION("""COMPUTED_VALUE"""),40057)</f>
        <v>40057</v>
      </c>
      <c r="B195" s="3" t="str">
        <f ca="1">IFERROR(__xludf.DUMMYFUNCTION("""COMPUTED_VALUE"""),"2795436_thb")</f>
        <v>2795436_thb</v>
      </c>
      <c r="C195" s="3" t="str">
        <f ca="1">IFERROR(__xludf.DUMMYFUNCTION("""COMPUTED_VALUE"""),"大运棋牌api-转账钱包TCG999-一级代理：2797611")</f>
        <v>大运棋牌api-转账钱包TCG999-一级代理：2797611</v>
      </c>
      <c r="D195" s="3" t="str">
        <f ca="1">IFERROR(__xludf.DUMMYFUNCTION("""COMPUTED_VALUE"""),"泰銖")</f>
        <v>泰銖</v>
      </c>
      <c r="E195" s="3" t="str">
        <f ca="1">IFERROR(__xludf.DUMMYFUNCTION("""COMPUTED_VALUE"""),"THB")</f>
        <v>THB</v>
      </c>
    </row>
    <row r="196" spans="1:5" ht="12.75">
      <c r="A196" s="3">
        <f ca="1">IFERROR(__xludf.DUMMYFUNCTION("""COMPUTED_VALUE"""),40058)</f>
        <v>40058</v>
      </c>
      <c r="B196" s="3" t="str">
        <f ca="1">IFERROR(__xludf.DUMMYFUNCTION("""COMPUTED_VALUE"""),"2795436_inr")</f>
        <v>2795436_inr</v>
      </c>
      <c r="C196" s="3" t="str">
        <f ca="1">IFERROR(__xludf.DUMMYFUNCTION("""COMPUTED_VALUE"""),"大运棋牌api-转账钱包TCG999-一级代理：2797615")</f>
        <v>大运棋牌api-转账钱包TCG999-一级代理：2797615</v>
      </c>
      <c r="D196" s="3" t="str">
        <f ca="1">IFERROR(__xludf.DUMMYFUNCTION("""COMPUTED_VALUE"""),"印度盧比")</f>
        <v>印度盧比</v>
      </c>
      <c r="E196" s="3" t="str">
        <f ca="1">IFERROR(__xludf.DUMMYFUNCTION("""COMPUTED_VALUE"""),"INR")</f>
        <v>INR</v>
      </c>
    </row>
    <row r="197" spans="1:5" ht="12.75">
      <c r="A197" s="3">
        <f ca="1">IFERROR(__xludf.DUMMYFUNCTION("""COMPUTED_VALUE"""),40059)</f>
        <v>40059</v>
      </c>
      <c r="B197" s="3" t="str">
        <f ca="1">IFERROR(__xludf.DUMMYFUNCTION("""COMPUTED_VALUE"""),"2795436_myr")</f>
        <v>2795436_myr</v>
      </c>
      <c r="C197" s="3" t="str">
        <f ca="1">IFERROR(__xludf.DUMMYFUNCTION("""COMPUTED_VALUE"""),"大运棋牌api-转账钱包TCG999-一级代理：2797618")</f>
        <v>大运棋牌api-转账钱包TCG999-一级代理：2797618</v>
      </c>
      <c r="D197" s="3" t="str">
        <f ca="1">IFERROR(__xludf.DUMMYFUNCTION("""COMPUTED_VALUE"""),"馬來西亞令吉")</f>
        <v>馬來西亞令吉</v>
      </c>
      <c r="E197" s="3" t="str">
        <f ca="1">IFERROR(__xludf.DUMMYFUNCTION("""COMPUTED_VALUE"""),"MYR")</f>
        <v>MYR</v>
      </c>
    </row>
    <row r="198" spans="1:5" ht="12.75">
      <c r="A198" s="3">
        <f ca="1">IFERROR(__xludf.DUMMYFUNCTION("""COMPUTED_VALUE"""),40060)</f>
        <v>40060</v>
      </c>
      <c r="B198" s="3" t="str">
        <f ca="1">IFERROR(__xludf.DUMMYFUNCTION("""COMPUTED_VALUE"""),"2795436_mmk")</f>
        <v>2795436_mmk</v>
      </c>
      <c r="C198" s="3" t="str">
        <f ca="1">IFERROR(__xludf.DUMMYFUNCTION("""COMPUTED_VALUE"""),"大运棋牌api-转账钱包TCG999-一级代理：2797623")</f>
        <v>大运棋牌api-转账钱包TCG999-一级代理：2797623</v>
      </c>
      <c r="D198" s="3" t="str">
        <f ca="1">IFERROR(__xludf.DUMMYFUNCTION("""COMPUTED_VALUE"""),"緬元")</f>
        <v>緬元</v>
      </c>
      <c r="E198" s="3" t="str">
        <f ca="1">IFERROR(__xludf.DUMMYFUNCTION("""COMPUTED_VALUE"""),"MMK")</f>
        <v>MMK</v>
      </c>
    </row>
    <row r="199" spans="1:5" ht="12.75">
      <c r="A199" s="3">
        <f ca="1">IFERROR(__xludf.DUMMYFUNCTION("""COMPUTED_VALUE"""),40061)</f>
        <v>40061</v>
      </c>
      <c r="B199" s="3" t="str">
        <f ca="1">IFERROR(__xludf.DUMMYFUNCTION("""COMPUTED_VALUE"""),"2795436_hkd")</f>
        <v>2795436_hkd</v>
      </c>
      <c r="C199" s="3" t="str">
        <f ca="1">IFERROR(__xludf.DUMMYFUNCTION("""COMPUTED_VALUE"""),"大运棋牌api-转账钱包TCG999-一级代理：2797626")</f>
        <v>大运棋牌api-转账钱包TCG999-一级代理：2797626</v>
      </c>
      <c r="D199" s="3" t="str">
        <f ca="1">IFERROR(__xludf.DUMMYFUNCTION("""COMPUTED_VALUE"""),"港幣")</f>
        <v>港幣</v>
      </c>
      <c r="E199" s="3" t="str">
        <f ca="1">IFERROR(__xludf.DUMMYFUNCTION("""COMPUTED_VALUE"""),"HKD")</f>
        <v>HKD</v>
      </c>
    </row>
    <row r="200" spans="1:5" ht="12.75">
      <c r="A200" s="3">
        <f ca="1">IFERROR(__xludf.DUMMYFUNCTION("""COMPUTED_VALUE"""),40062)</f>
        <v>40062</v>
      </c>
      <c r="B200" s="3" t="str">
        <f ca="1">IFERROR(__xludf.DUMMYFUNCTION("""COMPUTED_VALUE"""),"2795436_jpy")</f>
        <v>2795436_jpy</v>
      </c>
      <c r="C200" s="3" t="str">
        <f ca="1">IFERROR(__xludf.DUMMYFUNCTION("""COMPUTED_VALUE"""),"大运棋牌api-转账钱包TCG999-一级代理：2797628")</f>
        <v>大运棋牌api-转账钱包TCG999-一级代理：2797628</v>
      </c>
      <c r="D200" s="3" t="str">
        <f ca="1">IFERROR(__xludf.DUMMYFUNCTION("""COMPUTED_VALUE"""),"日圓")</f>
        <v>日圓</v>
      </c>
      <c r="E200" s="3" t="str">
        <f ca="1">IFERROR(__xludf.DUMMYFUNCTION("""COMPUTED_VALUE"""),"JPY")</f>
        <v>JPY</v>
      </c>
    </row>
    <row r="201" spans="1:5" ht="12.75">
      <c r="A201" s="3">
        <f ca="1">IFERROR(__xludf.DUMMYFUNCTION("""COMPUTED_VALUE"""),40063)</f>
        <v>40063</v>
      </c>
      <c r="B201" s="3" t="str">
        <f ca="1">IFERROR(__xludf.DUMMYFUNCTION("""COMPUTED_VALUE"""),"2795436_krw")</f>
        <v>2795436_krw</v>
      </c>
      <c r="C201" s="3" t="str">
        <f ca="1">IFERROR(__xludf.DUMMYFUNCTION("""COMPUTED_VALUE"""),"大运棋牌api-转账钱包TCG999-一级代理：2797630")</f>
        <v>大运棋牌api-转账钱包TCG999-一级代理：2797630</v>
      </c>
      <c r="D201" s="3" t="str">
        <f ca="1">IFERROR(__xludf.DUMMYFUNCTION("""COMPUTED_VALUE"""),"韓圓")</f>
        <v>韓圓</v>
      </c>
      <c r="E201" s="3" t="str">
        <f ca="1">IFERROR(__xludf.DUMMYFUNCTION("""COMPUTED_VALUE"""),"KRW")</f>
        <v>KRW</v>
      </c>
    </row>
    <row r="202" spans="1:5" ht="12.75">
      <c r="A202" s="3">
        <f ca="1">IFERROR(__xludf.DUMMYFUNCTION("""COMPUTED_VALUE"""),40064)</f>
        <v>40064</v>
      </c>
      <c r="B202" s="3" t="str">
        <f ca="1">IFERROR(__xludf.DUMMYFUNCTION("""COMPUTED_VALUE"""),"2795436_brl")</f>
        <v>2795436_brl</v>
      </c>
      <c r="C202" s="3" t="str">
        <f ca="1">IFERROR(__xludf.DUMMYFUNCTION("""COMPUTED_VALUE"""),"大运棋牌api-转账钱包TCG999-一级代理：2797634")</f>
        <v>大运棋牌api-转账钱包TCG999-一级代理：2797634</v>
      </c>
      <c r="D202" s="3" t="str">
        <f ca="1">IFERROR(__xludf.DUMMYFUNCTION("""COMPUTED_VALUE"""),"巴西雷亞爾")</f>
        <v>巴西雷亞爾</v>
      </c>
      <c r="E202" s="3" t="str">
        <f ca="1">IFERROR(__xludf.DUMMYFUNCTION("""COMPUTED_VALUE"""),"BRL")</f>
        <v>BRL</v>
      </c>
    </row>
    <row r="203" spans="1:5" ht="12.75">
      <c r="A203" s="3">
        <f ca="1">IFERROR(__xludf.DUMMYFUNCTION("""COMPUTED_VALUE"""),40065)</f>
        <v>40065</v>
      </c>
      <c r="B203" s="3" t="str">
        <f ca="1">IFERROR(__xludf.DUMMYFUNCTION("""COMPUTED_VALUE"""),"2795436_ars")</f>
        <v>2795436_ars</v>
      </c>
      <c r="C203" s="3" t="str">
        <f ca="1">IFERROR(__xludf.DUMMYFUNCTION("""COMPUTED_VALUE"""),"大运棋牌api-转账钱包TCG999-一级代理：2797636")</f>
        <v>大运棋牌api-转账钱包TCG999-一级代理：2797636</v>
      </c>
      <c r="D203" s="3" t="str">
        <f ca="1">IFERROR(__xludf.DUMMYFUNCTION("""COMPUTED_VALUE"""),"阿根廷比索")</f>
        <v>阿根廷比索</v>
      </c>
      <c r="E203" s="3" t="str">
        <f ca="1">IFERROR(__xludf.DUMMYFUNCTION("""COMPUTED_VALUE"""),"ARS")</f>
        <v>ARS</v>
      </c>
    </row>
    <row r="204" spans="1:5" ht="12.75">
      <c r="A204" s="3">
        <f ca="1">IFERROR(__xludf.DUMMYFUNCTION("""COMPUTED_VALUE"""),40066)</f>
        <v>40066</v>
      </c>
      <c r="B204" s="3" t="str">
        <f ca="1">IFERROR(__xludf.DUMMYFUNCTION("""COMPUTED_VALUE"""),"2795436_clp")</f>
        <v>2795436_clp</v>
      </c>
      <c r="C204" s="3" t="str">
        <f ca="1">IFERROR(__xludf.DUMMYFUNCTION("""COMPUTED_VALUE"""),"大运棋牌api-转账钱包TCG999-一级代理：2797639")</f>
        <v>大运棋牌api-转账钱包TCG999-一级代理：2797639</v>
      </c>
      <c r="D204" s="3" t="str">
        <f ca="1">IFERROR(__xludf.DUMMYFUNCTION("""COMPUTED_VALUE"""),"智利比索")</f>
        <v>智利比索</v>
      </c>
      <c r="E204" s="3" t="str">
        <f ca="1">IFERROR(__xludf.DUMMYFUNCTION("""COMPUTED_VALUE"""),"CLP")</f>
        <v>CLP</v>
      </c>
    </row>
    <row r="205" spans="1:5" ht="12.75">
      <c r="A205" s="3">
        <f ca="1">IFERROR(__xludf.DUMMYFUNCTION("""COMPUTED_VALUE"""),40067)</f>
        <v>40067</v>
      </c>
      <c r="B205" s="3" t="str">
        <f ca="1">IFERROR(__xludf.DUMMYFUNCTION("""COMPUTED_VALUE"""),"2795436_mxn")</f>
        <v>2795436_mxn</v>
      </c>
      <c r="C205" s="3" t="str">
        <f ca="1">IFERROR(__xludf.DUMMYFUNCTION("""COMPUTED_VALUE"""),"大运棋牌api-转账钱包TCG999-一级代理：2797643")</f>
        <v>大运棋牌api-转账钱包TCG999-一级代理：2797643</v>
      </c>
      <c r="D205" s="3" t="str">
        <f ca="1">IFERROR(__xludf.DUMMYFUNCTION("""COMPUTED_VALUE"""),"墨西哥披索")</f>
        <v>墨西哥披索</v>
      </c>
      <c r="E205" s="3" t="str">
        <f ca="1">IFERROR(__xludf.DUMMYFUNCTION("""COMPUTED_VALUE"""),"MXN")</f>
        <v>MXN</v>
      </c>
    </row>
    <row r="206" spans="1:5" ht="12.75">
      <c r="A206" s="3">
        <f ca="1">IFERROR(__xludf.DUMMYFUNCTION("""COMPUTED_VALUE"""),40068)</f>
        <v>40068</v>
      </c>
      <c r="B206" s="3" t="str">
        <f ca="1">IFERROR(__xludf.DUMMYFUNCTION("""COMPUTED_VALUE"""),"2795436_pen")</f>
        <v>2795436_pen</v>
      </c>
      <c r="C206" s="3" t="str">
        <f ca="1">IFERROR(__xludf.DUMMYFUNCTION("""COMPUTED_VALUE"""),"大运棋牌api-转账钱包TCG999-一级代理：2797648")</f>
        <v>大运棋牌api-转账钱包TCG999-一级代理：2797648</v>
      </c>
      <c r="D206" s="3" t="str">
        <f ca="1">IFERROR(__xludf.DUMMYFUNCTION("""COMPUTED_VALUE"""),"秘鲁新索尔")</f>
        <v>秘鲁新索尔</v>
      </c>
      <c r="E206" s="3" t="str">
        <f ca="1">IFERROR(__xludf.DUMMYFUNCTION("""COMPUTED_VALUE"""),"PEN")</f>
        <v>PEN</v>
      </c>
    </row>
    <row r="207" spans="1:5" ht="12.75">
      <c r="A207" s="3">
        <f ca="1">IFERROR(__xludf.DUMMYFUNCTION("""COMPUTED_VALUE"""),40069)</f>
        <v>40069</v>
      </c>
      <c r="B207" s="3" t="str">
        <f ca="1">IFERROR(__xludf.DUMMYFUNCTION("""COMPUTED_VALUE"""),"2795436_bob")</f>
        <v>2795436_bob</v>
      </c>
      <c r="C207" s="3" t="str">
        <f ca="1">IFERROR(__xludf.DUMMYFUNCTION("""COMPUTED_VALUE"""),"大运棋牌api-转账钱包TCG999-一级代理：2797652")</f>
        <v>大运棋牌api-转账钱包TCG999-一级代理：2797652</v>
      </c>
      <c r="D207" s="3" t="str">
        <f ca="1">IFERROR(__xludf.DUMMYFUNCTION("""COMPUTED_VALUE"""),"玻利维亚诺")</f>
        <v>玻利维亚诺</v>
      </c>
      <c r="E207" s="3" t="str">
        <f ca="1">IFERROR(__xludf.DUMMYFUNCTION("""COMPUTED_VALUE"""),"BOB")</f>
        <v>BOB</v>
      </c>
    </row>
    <row r="208" spans="1:5" ht="12.75">
      <c r="A208" s="3">
        <f ca="1">IFERROR(__xludf.DUMMYFUNCTION("""COMPUTED_VALUE"""),40070)</f>
        <v>40070</v>
      </c>
      <c r="B208" s="3" t="str">
        <f ca="1">IFERROR(__xludf.DUMMYFUNCTION("""COMPUTED_VALUE"""),"2795436_cop")</f>
        <v>2795436_cop</v>
      </c>
      <c r="C208" s="3" t="str">
        <f ca="1">IFERROR(__xludf.DUMMYFUNCTION("""COMPUTED_VALUE"""),"大运棋牌api-转账钱包TCG999-一级代理：2797654")</f>
        <v>大运棋牌api-转账钱包TCG999-一级代理：2797654</v>
      </c>
      <c r="D208" s="3" t="str">
        <f ca="1">IFERROR(__xludf.DUMMYFUNCTION("""COMPUTED_VALUE"""),"哥伦比亚比索")</f>
        <v>哥伦比亚比索</v>
      </c>
      <c r="E208" s="3" t="str">
        <f ca="1">IFERROR(__xludf.DUMMYFUNCTION("""COMPUTED_VALUE"""),"COP")</f>
        <v>COP</v>
      </c>
    </row>
    <row r="209" spans="1:5" ht="12.75">
      <c r="A209" s="3">
        <f ca="1">IFERROR(__xludf.DUMMYFUNCTION("""COMPUTED_VALUE"""),40071)</f>
        <v>40071</v>
      </c>
      <c r="B209" s="3" t="str">
        <f ca="1">IFERROR(__xludf.DUMMYFUNCTION("""COMPUTED_VALUE"""),"2795436_pyg")</f>
        <v>2795436_pyg</v>
      </c>
      <c r="C209" s="3" t="str">
        <f ca="1">IFERROR(__xludf.DUMMYFUNCTION("""COMPUTED_VALUE"""),"大运棋牌api-转账钱包TCG999-一级代理：2797658")</f>
        <v>大运棋牌api-转账钱包TCG999-一级代理：2797658</v>
      </c>
      <c r="D209" s="3" t="str">
        <f ca="1">IFERROR(__xludf.DUMMYFUNCTION("""COMPUTED_VALUE"""),"巴拉圭瓜拉尼")</f>
        <v>巴拉圭瓜拉尼</v>
      </c>
      <c r="E209" s="3" t="str">
        <f ca="1">IFERROR(__xludf.DUMMYFUNCTION("""COMPUTED_VALUE"""),"PYG")</f>
        <v>PYG</v>
      </c>
    </row>
    <row r="210" spans="1:5" ht="12.75">
      <c r="A210" s="3">
        <f ca="1">IFERROR(__xludf.DUMMYFUNCTION("""COMPUTED_VALUE"""),40072)</f>
        <v>40072</v>
      </c>
      <c r="B210" s="3" t="str">
        <f ca="1">IFERROR(__xludf.DUMMYFUNCTION("""COMPUTED_VALUE"""),"2795436_bdt")</f>
        <v>2795436_bdt</v>
      </c>
      <c r="C210" s="3" t="str">
        <f ca="1">IFERROR(__xludf.DUMMYFUNCTION("""COMPUTED_VALUE"""),"大运棋牌api-转账钱包TCG999-一级代理：2797660")</f>
        <v>大运棋牌api-转账钱包TCG999-一级代理：2797660</v>
      </c>
      <c r="D210" s="3" t="str">
        <f ca="1">IFERROR(__xludf.DUMMYFUNCTION("""COMPUTED_VALUE"""),"孟加拉塔卡")</f>
        <v>孟加拉塔卡</v>
      </c>
      <c r="E210" s="3" t="str">
        <f ca="1">IFERROR(__xludf.DUMMYFUNCTION("""COMPUTED_VALUE"""),"BDT")</f>
        <v>BDT</v>
      </c>
    </row>
    <row r="211" spans="1:5" ht="12.75">
      <c r="A211" s="3">
        <f ca="1">IFERROR(__xludf.DUMMYFUNCTION("""COMPUTED_VALUE"""),40073)</f>
        <v>40073</v>
      </c>
      <c r="B211" s="3" t="str">
        <f ca="1">IFERROR(__xludf.DUMMYFUNCTION("""COMPUTED_VALUE"""),"2795436_pkr")</f>
        <v>2795436_pkr</v>
      </c>
      <c r="C211" s="3" t="str">
        <f ca="1">IFERROR(__xludf.DUMMYFUNCTION("""COMPUTED_VALUE"""),"大运棋牌api-转账钱包TCG999-一级代理：2797662")</f>
        <v>大运棋牌api-转账钱包TCG999-一级代理：2797662</v>
      </c>
      <c r="D211" s="3" t="str">
        <f ca="1">IFERROR(__xludf.DUMMYFUNCTION("""COMPUTED_VALUE"""),"巴基斯坦卢比")</f>
        <v>巴基斯坦卢比</v>
      </c>
      <c r="E211" s="3" t="str">
        <f ca="1">IFERROR(__xludf.DUMMYFUNCTION("""COMPUTED_VALUE"""),"PKR")</f>
        <v>PKR</v>
      </c>
    </row>
    <row r="212" spans="1:5" ht="12.75">
      <c r="A212" s="3">
        <f ca="1">IFERROR(__xludf.DUMMYFUNCTION("""COMPUTED_VALUE"""),40074)</f>
        <v>40074</v>
      </c>
      <c r="B212" s="3" t="str">
        <f ca="1">IFERROR(__xludf.DUMMYFUNCTION("""COMPUTED_VALUE"""),"2795436_try")</f>
        <v>2795436_try</v>
      </c>
      <c r="C212" s="3" t="str">
        <f ca="1">IFERROR(__xludf.DUMMYFUNCTION("""COMPUTED_VALUE"""),"大运棋牌api-转账钱包TCG999-一级代理：2797669")</f>
        <v>大运棋牌api-转账钱包TCG999-一级代理：2797669</v>
      </c>
      <c r="D212" s="3" t="str">
        <f ca="1">IFERROR(__xludf.DUMMYFUNCTION("""COMPUTED_VALUE"""),"土耳其里拉")</f>
        <v>土耳其里拉</v>
      </c>
      <c r="E212" s="3" t="str">
        <f ca="1">IFERROR(__xludf.DUMMYFUNCTION("""COMPUTED_VALUE"""),"TRY")</f>
        <v>TRY</v>
      </c>
    </row>
    <row r="213" spans="1:5" ht="12.75">
      <c r="A213" s="3">
        <f ca="1">IFERROR(__xludf.DUMMYFUNCTION("""COMPUTED_VALUE"""),40075)</f>
        <v>40075</v>
      </c>
      <c r="B213" s="3" t="str">
        <f ca="1">IFERROR(__xludf.DUMMYFUNCTION("""COMPUTED_VALUE"""),"2795436_egp")</f>
        <v>2795436_egp</v>
      </c>
      <c r="C213" s="3" t="str">
        <f ca="1">IFERROR(__xludf.DUMMYFUNCTION("""COMPUTED_VALUE"""),"大运棋牌api-转账钱包TCG999-一级代理：2797671")</f>
        <v>大运棋牌api-转账钱包TCG999-一级代理：2797671</v>
      </c>
      <c r="D213" s="3" t="str">
        <f ca="1">IFERROR(__xludf.DUMMYFUNCTION("""COMPUTED_VALUE"""),"埃及镑")</f>
        <v>埃及镑</v>
      </c>
      <c r="E213" s="3" t="str">
        <f ca="1">IFERROR(__xludf.DUMMYFUNCTION("""COMPUTED_VALUE"""),"EGP")</f>
        <v>EGP</v>
      </c>
    </row>
    <row r="214" spans="1:5" ht="12.75">
      <c r="A214" s="3">
        <f ca="1">IFERROR(__xludf.DUMMYFUNCTION("""COMPUTED_VALUE"""),40076)</f>
        <v>40076</v>
      </c>
      <c r="B214" s="3" t="str">
        <f ca="1">IFERROR(__xludf.DUMMYFUNCTION("""COMPUTED_VALUE"""),"2795436_etb")</f>
        <v>2795436_etb</v>
      </c>
      <c r="C214" s="3" t="str">
        <f ca="1">IFERROR(__xludf.DUMMYFUNCTION("""COMPUTED_VALUE"""),"大运棋牌api-转账钱包TCG999-一级代理：2797677")</f>
        <v>大运棋牌api-转账钱包TCG999-一级代理：2797677</v>
      </c>
      <c r="D214" s="3" t="str">
        <f ca="1">IFERROR(__xludf.DUMMYFUNCTION("""COMPUTED_VALUE"""),"埃塞俄比亚比尔")</f>
        <v>埃塞俄比亚比尔</v>
      </c>
      <c r="E214" s="3" t="str">
        <f ca="1">IFERROR(__xludf.DUMMYFUNCTION("""COMPUTED_VALUE"""),"ETB")</f>
        <v>ETB</v>
      </c>
    </row>
    <row r="215" spans="1:5" ht="12.75">
      <c r="A215" s="3">
        <f ca="1">IFERROR(__xludf.DUMMYFUNCTION("""COMPUTED_VALUE"""),40077)</f>
        <v>40077</v>
      </c>
      <c r="B215" s="3" t="str">
        <f ca="1">IFERROR(__xludf.DUMMYFUNCTION("""COMPUTED_VALUE"""),"2795436_ghs")</f>
        <v>2795436_ghs</v>
      </c>
      <c r="C215" s="3" t="str">
        <f ca="1">IFERROR(__xludf.DUMMYFUNCTION("""COMPUTED_VALUE"""),"大运棋牌api-转账钱包TCG999-一级代理：2797679")</f>
        <v>大运棋牌api-转账钱包TCG999-一级代理：2797679</v>
      </c>
      <c r="D215" s="3" t="str">
        <f ca="1">IFERROR(__xludf.DUMMYFUNCTION("""COMPUTED_VALUE"""),"加纳塞地")</f>
        <v>加纳塞地</v>
      </c>
      <c r="E215" s="3" t="str">
        <f ca="1">IFERROR(__xludf.DUMMYFUNCTION("""COMPUTED_VALUE"""),"GHS")</f>
        <v>GHS</v>
      </c>
    </row>
    <row r="216" spans="1:5" ht="12.75">
      <c r="A216" s="3">
        <f ca="1">IFERROR(__xludf.DUMMYFUNCTION("""COMPUTED_VALUE"""),40078)</f>
        <v>40078</v>
      </c>
      <c r="B216" s="3" t="str">
        <f ca="1">IFERROR(__xludf.DUMMYFUNCTION("""COMPUTED_VALUE"""),"2795436_kes")</f>
        <v>2795436_kes</v>
      </c>
      <c r="C216" s="3" t="str">
        <f ca="1">IFERROR(__xludf.DUMMYFUNCTION("""COMPUTED_VALUE"""),"大运棋牌api-转账钱包TCG999-一级代理：2797682")</f>
        <v>大运棋牌api-转账钱包TCG999-一级代理：2797682</v>
      </c>
      <c r="D216" s="3" t="str">
        <f ca="1">IFERROR(__xludf.DUMMYFUNCTION("""COMPUTED_VALUE"""),"肯尼亚先令")</f>
        <v>肯尼亚先令</v>
      </c>
      <c r="E216" s="3" t="str">
        <f ca="1">IFERROR(__xludf.DUMMYFUNCTION("""COMPUTED_VALUE"""),"KES")</f>
        <v>KES</v>
      </c>
    </row>
    <row r="217" spans="1:5" ht="12.75">
      <c r="A217" s="3">
        <f ca="1">IFERROR(__xludf.DUMMYFUNCTION("""COMPUTED_VALUE"""),40079)</f>
        <v>40079</v>
      </c>
      <c r="B217" s="3" t="str">
        <f ca="1">IFERROR(__xludf.DUMMYFUNCTION("""COMPUTED_VALUE"""),"2795436_ngn")</f>
        <v>2795436_ngn</v>
      </c>
      <c r="C217" s="3" t="str">
        <f ca="1">IFERROR(__xludf.DUMMYFUNCTION("""COMPUTED_VALUE"""),"大运棋牌api-转账钱包TCG999-一级代理：2797683")</f>
        <v>大运棋牌api-转账钱包TCG999-一级代理：2797683</v>
      </c>
      <c r="D217" s="3" t="str">
        <f ca="1">IFERROR(__xludf.DUMMYFUNCTION("""COMPUTED_VALUE"""),"尼日利亞奈拉")</f>
        <v>尼日利亞奈拉</v>
      </c>
      <c r="E217" s="3" t="str">
        <f ca="1">IFERROR(__xludf.DUMMYFUNCTION("""COMPUTED_VALUE"""),"NGN")</f>
        <v>NGN</v>
      </c>
    </row>
    <row r="218" spans="1:5" ht="12.75">
      <c r="A218" s="3">
        <f ca="1">IFERROR(__xludf.DUMMYFUNCTION("""COMPUTED_VALUE"""),40080)</f>
        <v>40080</v>
      </c>
      <c r="B218" s="3" t="str">
        <f ca="1">IFERROR(__xludf.DUMMYFUNCTION("""COMPUTED_VALUE"""),"2795436_tzs")</f>
        <v>2795436_tzs</v>
      </c>
      <c r="C218" s="3" t="str">
        <f ca="1">IFERROR(__xludf.DUMMYFUNCTION("""COMPUTED_VALUE"""),"大运棋牌api-转账钱包TCG999-一级代理：2797685")</f>
        <v>大运棋牌api-转账钱包TCG999-一级代理：2797685</v>
      </c>
      <c r="D218" s="3" t="str">
        <f ca="1">IFERROR(__xludf.DUMMYFUNCTION("""COMPUTED_VALUE"""),"坦桑尼亚先令")</f>
        <v>坦桑尼亚先令</v>
      </c>
      <c r="E218" s="3" t="str">
        <f ca="1">IFERROR(__xludf.DUMMYFUNCTION("""COMPUTED_VALUE"""),"TZS")</f>
        <v>TZS</v>
      </c>
    </row>
    <row r="219" spans="1:5" ht="12.75">
      <c r="A219" s="3">
        <f ca="1">IFERROR(__xludf.DUMMYFUNCTION("""COMPUTED_VALUE"""),40081)</f>
        <v>40081</v>
      </c>
      <c r="B219" s="3" t="str">
        <f ca="1">IFERROR(__xludf.DUMMYFUNCTION("""COMPUTED_VALUE"""),"2795436_ugx")</f>
        <v>2795436_ugx</v>
      </c>
      <c r="C219" s="3" t="str">
        <f ca="1">IFERROR(__xludf.DUMMYFUNCTION("""COMPUTED_VALUE"""),"大运棋牌api-转账钱包TCG999-一级代理：2797686")</f>
        <v>大运棋牌api-转账钱包TCG999-一级代理：2797686</v>
      </c>
      <c r="D219" s="3" t="str">
        <f ca="1">IFERROR(__xludf.DUMMYFUNCTION("""COMPUTED_VALUE"""),"乌干达先令")</f>
        <v>乌干达先令</v>
      </c>
      <c r="E219" s="3" t="str">
        <f ca="1">IFERROR(__xludf.DUMMYFUNCTION("""COMPUTED_VALUE"""),"UGX")</f>
        <v>UGX</v>
      </c>
    </row>
    <row r="220" spans="1:5" ht="12.75">
      <c r="A220" s="3">
        <f ca="1">IFERROR(__xludf.DUMMYFUNCTION("""COMPUTED_VALUE"""),40082)</f>
        <v>40082</v>
      </c>
      <c r="B220" s="3" t="str">
        <f ca="1">IFERROR(__xludf.DUMMYFUNCTION("""COMPUTED_VALUE"""),"2795436_zar")</f>
        <v>2795436_zar</v>
      </c>
      <c r="C220" s="3" t="str">
        <f ca="1">IFERROR(__xludf.DUMMYFUNCTION("""COMPUTED_VALUE"""),"大运棋牌api-转账钱包TCG999-一级代理：2797687")</f>
        <v>大运棋牌api-转账钱包TCG999-一级代理：2797687</v>
      </c>
      <c r="D220" s="3" t="str">
        <f ca="1">IFERROR(__xludf.DUMMYFUNCTION("""COMPUTED_VALUE"""),"南非蘭特")</f>
        <v>南非蘭特</v>
      </c>
      <c r="E220" s="3" t="str">
        <f ca="1">IFERROR(__xludf.DUMMYFUNCTION("""COMPUTED_VALUE"""),"ZAR")</f>
        <v>ZAR</v>
      </c>
    </row>
    <row r="221" spans="1:5" ht="12.75">
      <c r="A221" s="3">
        <f ca="1">IFERROR(__xludf.DUMMYFUNCTION("""COMPUTED_VALUE"""),40083)</f>
        <v>40083</v>
      </c>
      <c r="B221" s="3" t="str">
        <f ca="1">IFERROR(__xludf.DUMMYFUNCTION("""COMPUTED_VALUE"""),"2795436_usd")</f>
        <v>2795436_usd</v>
      </c>
      <c r="C221" s="3" t="str">
        <f ca="1">IFERROR(__xludf.DUMMYFUNCTION("""COMPUTED_VALUE"""),"大运棋牌api-转账钱包TCG999-一级代理：2797691")</f>
        <v>大运棋牌api-转账钱包TCG999-一级代理：2797691</v>
      </c>
      <c r="D221" s="3" t="str">
        <f ca="1">IFERROR(__xludf.DUMMYFUNCTION("""COMPUTED_VALUE"""),"美元")</f>
        <v>美元</v>
      </c>
      <c r="E221" s="3" t="str">
        <f ca="1">IFERROR(__xludf.DUMMYFUNCTION("""COMPUTED_VALUE"""),"USD")</f>
        <v>USD</v>
      </c>
    </row>
    <row r="222" spans="1:5" ht="12.75">
      <c r="A222" s="3">
        <f ca="1">IFERROR(__xludf.DUMMYFUNCTION("""COMPUTED_VALUE"""),40084)</f>
        <v>40084</v>
      </c>
      <c r="B222" s="3" t="str">
        <f ca="1">IFERROR(__xludf.DUMMYFUNCTION("""COMPUTED_VALUE"""),"2795436_hnl")</f>
        <v>2795436_hnl</v>
      </c>
      <c r="C222" s="3" t="str">
        <f ca="1">IFERROR(__xludf.DUMMYFUNCTION("""COMPUTED_VALUE"""),"大运棋牌api-转账钱包TCG999-一级代理：2797695")</f>
        <v>大运棋牌api-转账钱包TCG999-一级代理：2797695</v>
      </c>
      <c r="D222" s="3" t="str">
        <f ca="1">IFERROR(__xludf.DUMMYFUNCTION("""COMPUTED_VALUE"""),"洪都拉斯伦皮拉")</f>
        <v>洪都拉斯伦皮拉</v>
      </c>
      <c r="E222" s="3" t="str">
        <f ca="1">IFERROR(__xludf.DUMMYFUNCTION("""COMPUTED_VALUE"""),"HNL")</f>
        <v>HNL</v>
      </c>
    </row>
    <row r="223" spans="1:5" ht="12.75">
      <c r="A223" s="3">
        <f ca="1">IFERROR(__xludf.DUMMYFUNCTION("""COMPUTED_VALUE"""),40085)</f>
        <v>40085</v>
      </c>
      <c r="B223" s="3" t="str">
        <f ca="1">IFERROR(__xludf.DUMMYFUNCTION("""COMPUTED_VALUE"""),"2795436_idrk")</f>
        <v>2795436_idrk</v>
      </c>
      <c r="C223" s="3" t="str">
        <f ca="1">IFERROR(__xludf.DUMMYFUNCTION("""COMPUTED_VALUE"""),"大运棋牌api-转账钱包TCG999-一级代理：2797697")</f>
        <v>大运棋牌api-转账钱包TCG999-一级代理：2797697</v>
      </c>
      <c r="D223" s="3" t="str">
        <f ca="1">IFERROR(__xludf.DUMMYFUNCTION("""COMPUTED_VALUE"""),"印尼盾(1:1000)")</f>
        <v>印尼盾(1:1000)</v>
      </c>
      <c r="E223" s="3" t="str">
        <f ca="1">IFERROR(__xludf.DUMMYFUNCTION("""COMPUTED_VALUE"""),"IDRK")</f>
        <v>IDRK</v>
      </c>
    </row>
    <row r="224" spans="1:5" ht="12.75">
      <c r="A224" s="3">
        <f ca="1">IFERROR(__xludf.DUMMYFUNCTION("""COMPUTED_VALUE"""),40086)</f>
        <v>40086</v>
      </c>
      <c r="B224" s="3" t="str">
        <f ca="1">IFERROR(__xludf.DUMMYFUNCTION("""COMPUTED_VALUE"""),"2795436_vndk")</f>
        <v>2795436_vndk</v>
      </c>
      <c r="C224" s="3" t="str">
        <f ca="1">IFERROR(__xludf.DUMMYFUNCTION("""COMPUTED_VALUE"""),"大运棋牌api-转账钱包TCG999-一级代理：2797699")</f>
        <v>大运棋牌api-转账钱包TCG999-一级代理：2797699</v>
      </c>
      <c r="D224" s="3" t="str">
        <f ca="1">IFERROR(__xludf.DUMMYFUNCTION("""COMPUTED_VALUE"""),"越南盾(1:1000)")</f>
        <v>越南盾(1:1000)</v>
      </c>
      <c r="E224" s="3" t="str">
        <f ca="1">IFERROR(__xludf.DUMMYFUNCTION("""COMPUTED_VALUE"""),"VNDK")</f>
        <v>VNDK</v>
      </c>
    </row>
    <row r="225" spans="1:5" ht="12.75">
      <c r="A225" s="3">
        <f ca="1">IFERROR(__xludf.DUMMYFUNCTION("""COMPUTED_VALUE"""),40087)</f>
        <v>40087</v>
      </c>
      <c r="B225" s="3" t="str">
        <f ca="1">IFERROR(__xludf.DUMMYFUNCTION("""COMPUTED_VALUE"""),"2802943_hkd")</f>
        <v>2802943_hkd</v>
      </c>
      <c r="C225" s="3" t="str">
        <f ca="1">IFERROR(__xludf.DUMMYFUNCTION("""COMPUTED_VALUE"""),"大运棋牌api-唯一钱包Yandu08-一级代理：2803110")</f>
        <v>大运棋牌api-唯一钱包Yandu08-一级代理：2803110</v>
      </c>
      <c r="D225" s="3" t="str">
        <f ca="1">IFERROR(__xludf.DUMMYFUNCTION("""COMPUTED_VALUE"""),"港幣")</f>
        <v>港幣</v>
      </c>
      <c r="E225" s="3" t="str">
        <f ca="1">IFERROR(__xludf.DUMMYFUNCTION("""COMPUTED_VALUE"""),"HKD")</f>
        <v>HKD</v>
      </c>
    </row>
    <row r="226" spans="1:5" ht="12.75">
      <c r="A226" s="3">
        <f ca="1">IFERROR(__xludf.DUMMYFUNCTION("""COMPUTED_VALUE"""),40088)</f>
        <v>40088</v>
      </c>
      <c r="B226" s="3" t="str">
        <f ca="1">IFERROR(__xludf.DUMMYFUNCTION("""COMPUTED_VALUE"""),"2802943_usd")</f>
        <v>2802943_usd</v>
      </c>
      <c r="C226" s="3" t="str">
        <f ca="1">IFERROR(__xludf.DUMMYFUNCTION("""COMPUTED_VALUE"""),"大运棋牌api-唯一钱包Yandu08-一级代理：2806269")</f>
        <v>大运棋牌api-唯一钱包Yandu08-一级代理：2806269</v>
      </c>
      <c r="D226" s="3" t="str">
        <f ca="1">IFERROR(__xludf.DUMMYFUNCTION("""COMPUTED_VALUE"""),"美元")</f>
        <v>美元</v>
      </c>
      <c r="E226" s="3" t="str">
        <f ca="1">IFERROR(__xludf.DUMMYFUNCTION("""COMPUTED_VALUE"""),"USD")</f>
        <v>USD</v>
      </c>
    </row>
    <row r="227" spans="1:5" ht="12.75">
      <c r="A227" s="3">
        <f ca="1">IFERROR(__xludf.DUMMYFUNCTION("""COMPUTED_VALUE"""),40089)</f>
        <v>40089</v>
      </c>
      <c r="B227" s="3" t="str">
        <f ca="1">IFERROR(__xludf.DUMMYFUNCTION("""COMPUTED_VALUE"""),"2802943_mxn")</f>
        <v>2802943_mxn</v>
      </c>
      <c r="C227" s="3" t="str">
        <f ca="1">IFERROR(__xludf.DUMMYFUNCTION("""COMPUTED_VALUE"""),"大运棋牌api-唯一钱包Yandu08-一级代理：2806301")</f>
        <v>大运棋牌api-唯一钱包Yandu08-一级代理：2806301</v>
      </c>
      <c r="D227" s="3" t="str">
        <f ca="1">IFERROR(__xludf.DUMMYFUNCTION("""COMPUTED_VALUE"""),"墨西哥披索")</f>
        <v>墨西哥披索</v>
      </c>
      <c r="E227" s="3" t="str">
        <f ca="1">IFERROR(__xludf.DUMMYFUNCTION("""COMPUTED_VALUE"""),"MXN")</f>
        <v>MXN</v>
      </c>
    </row>
    <row r="228" spans="1:5" ht="12.75">
      <c r="A228" s="3">
        <f ca="1">IFERROR(__xludf.DUMMYFUNCTION("""COMPUTED_VALUE"""),40090)</f>
        <v>40090</v>
      </c>
      <c r="B228" s="3" t="str">
        <f ca="1">IFERROR(__xludf.DUMMYFUNCTION("""COMPUTED_VALUE"""),"2802943_gbp")</f>
        <v>2802943_gbp</v>
      </c>
      <c r="C228" s="3" t="str">
        <f ca="1">IFERROR(__xludf.DUMMYFUNCTION("""COMPUTED_VALUE"""),"大运棋牌api-唯一钱包Yandu08-一级代理：2806261")</f>
        <v>大运棋牌api-唯一钱包Yandu08-一级代理：2806261</v>
      </c>
      <c r="D228" s="3" t="str">
        <f ca="1">IFERROR(__xludf.DUMMYFUNCTION("""COMPUTED_VALUE"""),"英鎊")</f>
        <v>英鎊</v>
      </c>
      <c r="E228" s="3" t="str">
        <f ca="1">IFERROR(__xludf.DUMMYFUNCTION("""COMPUTED_VALUE"""),"GBP")</f>
        <v>GBP</v>
      </c>
    </row>
    <row r="229" spans="1:5" ht="12.75">
      <c r="A229" s="3">
        <f ca="1">IFERROR(__xludf.DUMMYFUNCTION("""COMPUTED_VALUE"""),40091)</f>
        <v>40091</v>
      </c>
      <c r="B229" s="3" t="str">
        <f ca="1">IFERROR(__xludf.DUMMYFUNCTION("""COMPUTED_VALUE"""),"2802943_cny")</f>
        <v>2802943_cny</v>
      </c>
      <c r="C229" s="3" t="str">
        <f ca="1">IFERROR(__xludf.DUMMYFUNCTION("""COMPUTED_VALUE"""),"大运棋牌api-唯一钱包Yandu08-一级代理：2806264")</f>
        <v>大运棋牌api-唯一钱包Yandu08-一级代理：2806264</v>
      </c>
      <c r="D229" s="3" t="str">
        <f ca="1">IFERROR(__xludf.DUMMYFUNCTION("""COMPUTED_VALUE"""),"人民幣")</f>
        <v>人民幣</v>
      </c>
      <c r="E229" s="3" t="str">
        <f ca="1">IFERROR(__xludf.DUMMYFUNCTION("""COMPUTED_VALUE"""),"CNY")</f>
        <v>CNY</v>
      </c>
    </row>
    <row r="230" spans="1:5" ht="12.75">
      <c r="A230" s="3">
        <f ca="1">IFERROR(__xludf.DUMMYFUNCTION("""COMPUTED_VALUE"""),40092)</f>
        <v>40092</v>
      </c>
      <c r="B230" s="3" t="str">
        <f ca="1">IFERROR(__xludf.DUMMYFUNCTION("""COMPUTED_VALUE"""),"2802943_eur")</f>
        <v>2802943_eur</v>
      </c>
      <c r="C230" s="3" t="str">
        <f ca="1">IFERROR(__xludf.DUMMYFUNCTION("""COMPUTED_VALUE"""),"大运棋牌api-唯一钱包Yandu08-一级代理：2806266")</f>
        <v>大运棋牌api-唯一钱包Yandu08-一级代理：2806266</v>
      </c>
      <c r="D230" s="3" t="str">
        <f ca="1">IFERROR(__xludf.DUMMYFUNCTION("""COMPUTED_VALUE"""),"歐元")</f>
        <v>歐元</v>
      </c>
      <c r="E230" s="3" t="str">
        <f ca="1">IFERROR(__xludf.DUMMYFUNCTION("""COMPUTED_VALUE"""),"EUR")</f>
        <v>EUR</v>
      </c>
    </row>
    <row r="231" spans="1:5" ht="12.75">
      <c r="A231" s="3">
        <f ca="1">IFERROR(__xludf.DUMMYFUNCTION("""COMPUTED_VALUE"""),40093)</f>
        <v>40093</v>
      </c>
      <c r="B231" s="3" t="str">
        <f ca="1">IFERROR(__xludf.DUMMYFUNCTION("""COMPUTED_VALUE"""),"2802943_inr")</f>
        <v>2802943_inr</v>
      </c>
      <c r="C231" s="3" t="str">
        <f ca="1">IFERROR(__xludf.DUMMYFUNCTION("""COMPUTED_VALUE"""),"大运棋牌api-唯一钱包Yandu08-一级代理：2806272")</f>
        <v>大运棋牌api-唯一钱包Yandu08-一级代理：2806272</v>
      </c>
      <c r="D231" s="3" t="str">
        <f ca="1">IFERROR(__xludf.DUMMYFUNCTION("""COMPUTED_VALUE"""),"印度盧比")</f>
        <v>印度盧比</v>
      </c>
      <c r="E231" s="3" t="str">
        <f ca="1">IFERROR(__xludf.DUMMYFUNCTION("""COMPUTED_VALUE"""),"INR")</f>
        <v>INR</v>
      </c>
    </row>
    <row r="232" spans="1:5" ht="12.75">
      <c r="A232" s="3">
        <f ca="1">IFERROR(__xludf.DUMMYFUNCTION("""COMPUTED_VALUE"""),40094)</f>
        <v>40094</v>
      </c>
      <c r="B232" s="3" t="str">
        <f ca="1">IFERROR(__xludf.DUMMYFUNCTION("""COMPUTED_VALUE"""),"2802943_twd")</f>
        <v>2802943_twd</v>
      </c>
      <c r="C232" s="3" t="str">
        <f ca="1">IFERROR(__xludf.DUMMYFUNCTION("""COMPUTED_VALUE"""),"大运棋牌api-唯一钱包Yandu08-一级代理：2806278")</f>
        <v>大运棋牌api-唯一钱包Yandu08-一级代理：2806278</v>
      </c>
      <c r="D232" s="3" t="str">
        <f ca="1">IFERROR(__xludf.DUMMYFUNCTION("""COMPUTED_VALUE"""),"新台币")</f>
        <v>新台币</v>
      </c>
      <c r="E232" s="3" t="str">
        <f ca="1">IFERROR(__xludf.DUMMYFUNCTION("""COMPUTED_VALUE"""),"TWD")</f>
        <v>TWD</v>
      </c>
    </row>
    <row r="233" spans="1:5" ht="12.75">
      <c r="A233" s="3">
        <f ca="1">IFERROR(__xludf.DUMMYFUNCTION("""COMPUTED_VALUE"""),40095)</f>
        <v>40095</v>
      </c>
      <c r="B233" s="3" t="str">
        <f ca="1">IFERROR(__xludf.DUMMYFUNCTION("""COMPUTED_VALUE"""),"2802943_usdt")</f>
        <v>2802943_usdt</v>
      </c>
      <c r="C233" s="3" t="str">
        <f ca="1">IFERROR(__xludf.DUMMYFUNCTION("""COMPUTED_VALUE"""),"大运棋牌api-唯一钱包Yandu08-一级代理：2806282")</f>
        <v>大运棋牌api-唯一钱包Yandu08-一级代理：2806282</v>
      </c>
      <c r="D233" s="3" t="str">
        <f ca="1">IFERROR(__xludf.DUMMYFUNCTION("""COMPUTED_VALUE"""),"虛擬美金")</f>
        <v>虛擬美金</v>
      </c>
      <c r="E233" s="3" t="str">
        <f ca="1">IFERROR(__xludf.DUMMYFUNCTION("""COMPUTED_VALUE"""),"USDT")</f>
        <v>USDT</v>
      </c>
    </row>
    <row r="234" spans="1:5" ht="12.75">
      <c r="A234" s="3">
        <f ca="1">IFERROR(__xludf.DUMMYFUNCTION("""COMPUTED_VALUE"""),40096)</f>
        <v>40096</v>
      </c>
      <c r="B234" s="3" t="str">
        <f ca="1">IFERROR(__xludf.DUMMYFUNCTION("""COMPUTED_VALUE"""),"2802943_brl")</f>
        <v>2802943_brl</v>
      </c>
      <c r="C234" s="3" t="str">
        <f ca="1">IFERROR(__xludf.DUMMYFUNCTION("""COMPUTED_VALUE"""),"大运棋牌api-唯一钱包Yandu08-一级代理：2806292")</f>
        <v>大运棋牌api-唯一钱包Yandu08-一级代理：2806292</v>
      </c>
      <c r="D234" s="3" t="str">
        <f ca="1">IFERROR(__xludf.DUMMYFUNCTION("""COMPUTED_VALUE"""),"巴西雷亞爾")</f>
        <v>巴西雷亞爾</v>
      </c>
      <c r="E234" s="3" t="str">
        <f ca="1">IFERROR(__xludf.DUMMYFUNCTION("""COMPUTED_VALUE"""),"BRL")</f>
        <v>BRL</v>
      </c>
    </row>
    <row r="235" spans="1:5" ht="12.75">
      <c r="A235" s="3">
        <f ca="1">IFERROR(__xludf.DUMMYFUNCTION("""COMPUTED_VALUE"""),40097)</f>
        <v>40097</v>
      </c>
      <c r="B235" s="3" t="str">
        <f ca="1">IFERROR(__xludf.DUMMYFUNCTION("""COMPUTED_VALUE"""),"2802943_nok")</f>
        <v>2802943_nok</v>
      </c>
      <c r="C235" s="3" t="str">
        <f ca="1">IFERROR(__xludf.DUMMYFUNCTION("""COMPUTED_VALUE"""),"大运棋牌api-唯一钱包Yandu08-一级代理：2806297")</f>
        <v>大运棋牌api-唯一钱包Yandu08-一级代理：2806297</v>
      </c>
      <c r="D235" s="3" t="str">
        <f ca="1">IFERROR(__xludf.DUMMYFUNCTION("""COMPUTED_VALUE"""),"挪威克朗")</f>
        <v>挪威克朗</v>
      </c>
      <c r="E235" s="3" t="str">
        <f ca="1">IFERROR(__xludf.DUMMYFUNCTION("""COMPUTED_VALUE"""),"NOK")</f>
        <v>NOK</v>
      </c>
    </row>
    <row r="236" spans="1:5" ht="12.75">
      <c r="A236" s="3">
        <f ca="1">IFERROR(__xludf.DUMMYFUNCTION("""COMPUTED_VALUE"""),40098)</f>
        <v>40098</v>
      </c>
      <c r="B236" s="3" t="str">
        <f ca="1">IFERROR(__xludf.DUMMYFUNCTION("""COMPUTED_VALUE"""),"2802943_idrk")</f>
        <v>2802943_idrk</v>
      </c>
      <c r="C236" s="3" t="str">
        <f ca="1">IFERROR(__xludf.DUMMYFUNCTION("""COMPUTED_VALUE"""),"大运棋牌api-唯一钱包Yandu08-一级代理：2806308")</f>
        <v>大运棋牌api-唯一钱包Yandu08-一级代理：2806308</v>
      </c>
      <c r="D236" s="3" t="str">
        <f ca="1">IFERROR(__xludf.DUMMYFUNCTION("""COMPUTED_VALUE"""),"印尼盾(1:1000)")</f>
        <v>印尼盾(1:1000)</v>
      </c>
      <c r="E236" s="3" t="str">
        <f ca="1">IFERROR(__xludf.DUMMYFUNCTION("""COMPUTED_VALUE"""),"IDRK")</f>
        <v>IDRK</v>
      </c>
    </row>
    <row r="237" spans="1:5" ht="12.75">
      <c r="A237" s="3">
        <f ca="1">IFERROR(__xludf.DUMMYFUNCTION("""COMPUTED_VALUE"""),40099)</f>
        <v>40099</v>
      </c>
      <c r="B237" s="3" t="str">
        <f ca="1">IFERROR(__xludf.DUMMYFUNCTION("""COMPUTED_VALUE"""),"2802943_php")</f>
        <v>2802943_php</v>
      </c>
      <c r="C237" s="3" t="str">
        <f ca="1">IFERROR(__xludf.DUMMYFUNCTION("""COMPUTED_VALUE"""),"大运棋牌api-唯一钱包Yandu08-一级代理：2806302")</f>
        <v>大运棋牌api-唯一钱包Yandu08-一级代理：2806302</v>
      </c>
      <c r="D237" s="3" t="str">
        <f ca="1">IFERROR(__xludf.DUMMYFUNCTION("""COMPUTED_VALUE"""),"菲律賓披索")</f>
        <v>菲律賓披索</v>
      </c>
      <c r="E237" s="3" t="str">
        <f ca="1">IFERROR(__xludf.DUMMYFUNCTION("""COMPUTED_VALUE"""),"PHP")</f>
        <v>PHP</v>
      </c>
    </row>
    <row r="238" spans="1:5" ht="12.75">
      <c r="A238" s="3">
        <f ca="1">IFERROR(__xludf.DUMMYFUNCTION("""COMPUTED_VALUE"""),40100)</f>
        <v>40100</v>
      </c>
      <c r="B238" s="3" t="str">
        <f ca="1">IFERROR(__xludf.DUMMYFUNCTION("""COMPUTED_VALUE"""),"2802943_ngn")</f>
        <v>2802943_ngn</v>
      </c>
      <c r="C238" s="3" t="str">
        <f ca="1">IFERROR(__xludf.DUMMYFUNCTION("""COMPUTED_VALUE"""),"大运棋牌api-唯一钱包Yandu08-一级代理：2806304")</f>
        <v>大运棋牌api-唯一钱包Yandu08-一级代理：2806304</v>
      </c>
      <c r="D238" s="3" t="str">
        <f ca="1">IFERROR(__xludf.DUMMYFUNCTION("""COMPUTED_VALUE"""),"尼日利亞奈拉")</f>
        <v>尼日利亞奈拉</v>
      </c>
      <c r="E238" s="3" t="str">
        <f ca="1">IFERROR(__xludf.DUMMYFUNCTION("""COMPUTED_VALUE"""),"NGN")</f>
        <v>NGN</v>
      </c>
    </row>
    <row r="239" spans="1:5" ht="12.75">
      <c r="A239" s="3">
        <f ca="1">IFERROR(__xludf.DUMMYFUNCTION("""COMPUTED_VALUE"""),40101)</f>
        <v>40101</v>
      </c>
      <c r="B239" s="3" t="str">
        <f ca="1">IFERROR(__xludf.DUMMYFUNCTION("""COMPUTED_VALUE"""),"2802943_vndk")</f>
        <v>2802943_vndk</v>
      </c>
      <c r="C239" s="3" t="str">
        <f ca="1">IFERROR(__xludf.DUMMYFUNCTION("""COMPUTED_VALUE"""),"大运棋牌api-唯一钱包Yandu08-一级代理：2806310")</f>
        <v>大运棋牌api-唯一钱包Yandu08-一级代理：2806310</v>
      </c>
      <c r="D239" s="3" t="str">
        <f ca="1">IFERROR(__xludf.DUMMYFUNCTION("""COMPUTED_VALUE"""),"越南盾(1:1000)")</f>
        <v>越南盾(1:1000)</v>
      </c>
      <c r="E239" s="3" t="str">
        <f ca="1">IFERROR(__xludf.DUMMYFUNCTION("""COMPUTED_VALUE"""),"VNDK")</f>
        <v>VNDK</v>
      </c>
    </row>
    <row r="240" spans="1:5" ht="12.75">
      <c r="A240" s="3">
        <f ca="1">IFERROR(__xludf.DUMMYFUNCTION("""COMPUTED_VALUE"""),40103)</f>
        <v>40103</v>
      </c>
      <c r="B240" s="3" t="str">
        <f ca="1">IFERROR(__xludf.DUMMYFUNCTION("""COMPUTED_VALUE"""),"2847444_aud")</f>
        <v>2847444_aud</v>
      </c>
      <c r="C240" s="3" t="str">
        <f ca="1">IFERROR(__xludf.DUMMYFUNCTION("""COMPUTED_VALUE"""),"大运棋牌api-转账钱包CT08-一级代理：2847470")</f>
        <v>大运棋牌api-转账钱包CT08-一级代理：2847470</v>
      </c>
      <c r="D240" s="3" t="str">
        <f ca="1">IFERROR(__xludf.DUMMYFUNCTION("""COMPUTED_VALUE"""),"澳洲元")</f>
        <v>澳洲元</v>
      </c>
      <c r="E240" s="3" t="str">
        <f ca="1">IFERROR(__xludf.DUMMYFUNCTION("""COMPUTED_VALUE"""),"AUD")</f>
        <v>AUD</v>
      </c>
    </row>
    <row r="241" spans="1:5" ht="12.75">
      <c r="A241" s="3">
        <f ca="1">IFERROR(__xludf.DUMMYFUNCTION("""COMPUTED_VALUE"""),40104)</f>
        <v>40104</v>
      </c>
      <c r="B241" s="3" t="str">
        <f ca="1">IFERROR(__xludf.DUMMYFUNCTION("""COMPUTED_VALUE"""),"2847444_myr")</f>
        <v>2847444_myr</v>
      </c>
      <c r="C241" s="3" t="str">
        <f ca="1">IFERROR(__xludf.DUMMYFUNCTION("""COMPUTED_VALUE"""),"大运棋牌api-转账钱包CT08-一级代理：2849542")</f>
        <v>大运棋牌api-转账钱包CT08-一级代理：2849542</v>
      </c>
      <c r="D241" s="3" t="str">
        <f ca="1">IFERROR(__xludf.DUMMYFUNCTION("""COMPUTED_VALUE"""),"馬來西亞令吉")</f>
        <v>馬來西亞令吉</v>
      </c>
      <c r="E241" s="3" t="str">
        <f ca="1">IFERROR(__xludf.DUMMYFUNCTION("""COMPUTED_VALUE"""),"MYR")</f>
        <v>MYR</v>
      </c>
    </row>
    <row r="242" spans="1:5" ht="12.75">
      <c r="A242" s="3">
        <f ca="1">IFERROR(__xludf.DUMMYFUNCTION("""COMPUTED_VALUE"""),40105)</f>
        <v>40105</v>
      </c>
      <c r="B242" s="3" t="str">
        <f ca="1">IFERROR(__xludf.DUMMYFUNCTION("""COMPUTED_VALUE"""),"2850497_myr")</f>
        <v>2850497_myr</v>
      </c>
      <c r="C242" s="3" t="str">
        <f ca="1">IFERROR(__xludf.DUMMYFUNCTION("""COMPUTED_VALUE"""),"大运棋牌api-转账钱包Titan88-一级代理：2850523")</f>
        <v>大运棋牌api-转账钱包Titan88-一级代理：2850523</v>
      </c>
      <c r="D242" s="3" t="str">
        <f ca="1">IFERROR(__xludf.DUMMYFUNCTION("""COMPUTED_VALUE"""),"馬來西亞令吉")</f>
        <v>馬來西亞令吉</v>
      </c>
      <c r="E242" s="3" t="str">
        <f ca="1">IFERROR(__xludf.DUMMYFUNCTION("""COMPUTED_VALUE"""),"MYR")</f>
        <v>MYR</v>
      </c>
    </row>
    <row r="243" spans="1:5" ht="12.75">
      <c r="A243" s="3">
        <f ca="1">IFERROR(__xludf.DUMMYFUNCTION("""COMPUTED_VALUE"""),40106)</f>
        <v>40106</v>
      </c>
      <c r="B243" s="3" t="str">
        <f ca="1">IFERROR(__xludf.DUMMYFUNCTION("""COMPUTED_VALUE"""),"2904054_cny")</f>
        <v>2904054_cny</v>
      </c>
      <c r="C243" s="3" t="str">
        <f ca="1">IFERROR(__xludf.DUMMYFUNCTION("""COMPUTED_VALUE"""),"大运棋牌api-转账钱包WM88-一级代理：2904060")</f>
        <v>大运棋牌api-转账钱包WM88-一级代理：2904060</v>
      </c>
      <c r="D243" s="3" t="str">
        <f ca="1">IFERROR(__xludf.DUMMYFUNCTION("""COMPUTED_VALUE"""),"泰銖")</f>
        <v>泰銖</v>
      </c>
      <c r="E243" s="3" t="str">
        <f ca="1">IFERROR(__xludf.DUMMYFUNCTION("""COMPUTED_VALUE"""),"THB")</f>
        <v>THB</v>
      </c>
    </row>
    <row r="244" spans="1:5" ht="13.5">
      <c r="A244" s="3">
        <f ca="1">IFERROR(__xludf.DUMMYFUNCTION("""COMPUTED_VALUE"""),40107)</f>
        <v>40107</v>
      </c>
      <c r="B244" s="3" t="str">
        <f ca="1">IFERROR(__xludf.DUMMYFUNCTION("""COMPUTED_VALUE"""),"2904054_usd")</f>
        <v>2904054_usd</v>
      </c>
      <c r="C244" s="3" t="str">
        <f ca="1">IFERROR(__xludf.DUMMYFUNCTION("""COMPUTED_VALUE"""),"大运棋牌api-转账钱包WM88-一级代理：2904091")</f>
        <v>大运棋牌api-转账钱包WM88-一级代理：2904091</v>
      </c>
      <c r="D244" s="59" t="s">
        <v>931</v>
      </c>
      <c r="E244" s="3" t="s">
        <v>932</v>
      </c>
    </row>
    <row r="245" spans="1:5" ht="12.75">
      <c r="A245" s="3">
        <f ca="1">IFERROR(__xludf.DUMMYFUNCTION("""COMPUTED_VALUE"""),40108)</f>
        <v>40108</v>
      </c>
      <c r="B245" s="3" t="str">
        <f ca="1">IFERROR(__xludf.DUMMYFUNCTION("""COMPUTED_VALUE"""),"2904103_cny")</f>
        <v>2904103_cny</v>
      </c>
      <c r="C245" s="3" t="str">
        <f ca="1">IFERROR(__xludf.DUMMYFUNCTION("""COMPUTED_VALUE"""),"大运棋牌api-转账钱包WM99-一级代理：2904126")</f>
        <v>大运棋牌api-转账钱包WM99-一级代理：2904126</v>
      </c>
      <c r="D245" s="3" t="str">
        <f ca="1">IFERROR(__xludf.DUMMYFUNCTION("""COMPUTED_VALUE"""),"人民幣")</f>
        <v>人民幣</v>
      </c>
      <c r="E245" s="3" t="str">
        <f ca="1">IFERROR(__xludf.DUMMYFUNCTION("""COMPUTED_VALUE"""),"CNY")</f>
        <v>CNY</v>
      </c>
    </row>
    <row r="246" spans="1:5" ht="13.5">
      <c r="A246" s="3">
        <f ca="1">IFERROR(__xludf.DUMMYFUNCTION("""COMPUTED_VALUE"""),40109)</f>
        <v>40109</v>
      </c>
      <c r="B246" s="3" t="str">
        <f ca="1">IFERROR(__xludf.DUMMYFUNCTION("""COMPUTED_VALUE"""),"2904103_usd")</f>
        <v>2904103_usd</v>
      </c>
      <c r="C246" s="3" t="str">
        <f ca="1">IFERROR(__xludf.DUMMYFUNCTION("""COMPUTED_VALUE"""),"大运棋牌api-转账钱包WM99-一级代理：2904141")</f>
        <v>大运棋牌api-转账钱包WM99-一级代理：2904141</v>
      </c>
      <c r="D246" s="59" t="s">
        <v>931</v>
      </c>
      <c r="E246" s="3" t="s">
        <v>932</v>
      </c>
    </row>
    <row r="247" spans="1:5" ht="12.75">
      <c r="A247" s="3">
        <f ca="1">IFERROR(__xludf.DUMMYFUNCTION("""COMPUTED_VALUE"""),40110)</f>
        <v>40110</v>
      </c>
      <c r="B247" s="3" t="str">
        <f ca="1">IFERROR(__xludf.DUMMYFUNCTION("""COMPUTED_VALUE"""),"2909345_myr")</f>
        <v>2909345_myr</v>
      </c>
      <c r="C247" s="3" t="str">
        <f ca="1">IFERROR(__xludf.DUMMYFUNCTION("""COMPUTED_VALUE"""),"大运棋牌api-转账钱包JK8-一级代理：2909351")</f>
        <v>大运棋牌api-转账钱包JK8-一级代理：2909351</v>
      </c>
      <c r="D247" s="3" t="str">
        <f ca="1">IFERROR(__xludf.DUMMYFUNCTION("""COMPUTED_VALUE"""),"馬來西亞令吉")</f>
        <v>馬來西亞令吉</v>
      </c>
      <c r="E247" s="3" t="str">
        <f ca="1">IFERROR(__xludf.DUMMYFUNCTION("""COMPUTED_VALUE"""),"MYR")</f>
        <v>MYR</v>
      </c>
    </row>
    <row r="248" spans="1:5" ht="12.75">
      <c r="A248" s="3">
        <f ca="1">IFERROR(__xludf.DUMMYFUNCTION("""COMPUTED_VALUE"""),40111)</f>
        <v>40111</v>
      </c>
      <c r="B248" s="3" t="str">
        <f ca="1">IFERROR(__xludf.DUMMYFUNCTION("""COMPUTED_VALUE"""),"1971868_myr")</f>
        <v>1971868_myr</v>
      </c>
      <c r="C248" s="3" t="str">
        <f ca="1">IFERROR(__xludf.DUMMYFUNCTION("""COMPUTED_VALUE"""),"大运棋牌api-唯一钱包dydzdyce1-一级代理：2470843")</f>
        <v>大运棋牌api-唯一钱包dydzdyce1-一级代理：2470843</v>
      </c>
      <c r="D248" s="3" t="str">
        <f ca="1">IFERROR(__xludf.DUMMYFUNCTION("""COMPUTED_VALUE"""),"馬來西亞令吉")</f>
        <v>馬來西亞令吉</v>
      </c>
      <c r="E248" s="3" t="str">
        <f ca="1">IFERROR(__xludf.DUMMYFUNCTION("""COMPUTED_VALUE"""),"MYR")</f>
        <v>MYR</v>
      </c>
    </row>
    <row r="249" spans="1:5" ht="12.75">
      <c r="A249" s="3">
        <f ca="1">IFERROR(__xludf.DUMMYFUNCTION("""COMPUTED_VALUE"""),40112)</f>
        <v>40112</v>
      </c>
      <c r="B249" s="3" t="str">
        <f ca="1">IFERROR(__xludf.DUMMYFUNCTION("""COMPUTED_VALUE"""),"1971868_brl")</f>
        <v>1971868_brl</v>
      </c>
      <c r="C249" s="3" t="str">
        <f ca="1">IFERROR(__xludf.DUMMYFUNCTION("""COMPUTED_VALUE"""),"大运棋牌api-唯一钱包dydzdyce1-一级代理：2513662")</f>
        <v>大运棋牌api-唯一钱包dydzdyce1-一级代理：2513662</v>
      </c>
      <c r="D249" s="3"/>
      <c r="E249" s="3"/>
    </row>
    <row r="250" spans="1:5" ht="13.5">
      <c r="A250" s="3">
        <f ca="1">IFERROR(__xludf.DUMMYFUNCTION("""COMPUTED_VALUE"""),40113)</f>
        <v>40113</v>
      </c>
      <c r="B250" s="3" t="str">
        <f ca="1">IFERROR(__xludf.DUMMYFUNCTION("""COMPUTED_VALUE"""),"2921346_usd")</f>
        <v>2921346_usd</v>
      </c>
      <c r="C250" s="3" t="str">
        <f ca="1">IFERROR(__xludf.DUMMYFUNCTION("""COMPUTED_VALUE"""),"大运棋牌api-唯一钱包OKhash06-一级代理：2921363")</f>
        <v>大运棋牌api-唯一钱包OKhash06-一级代理：2921363</v>
      </c>
      <c r="D250" s="59" t="s">
        <v>931</v>
      </c>
      <c r="E250" s="3" t="s">
        <v>932</v>
      </c>
    </row>
    <row r="251" spans="1:5" ht="12.75">
      <c r="A251" s="3">
        <f ca="1">IFERROR(__xludf.DUMMYFUNCTION("""COMPUTED_VALUE"""),40114)</f>
        <v>40114</v>
      </c>
      <c r="B251" s="3" t="str">
        <f ca="1">IFERROR(__xludf.DUMMYFUNCTION("""COMPUTED_VALUE"""),"1971868_inr")</f>
        <v>1971868_inr</v>
      </c>
      <c r="C251" s="3" t="str">
        <f ca="1">IFERROR(__xludf.DUMMYFUNCTION("""COMPUTED_VALUE"""),"大运棋牌api-唯一钱包dydzdyce1-一级代理：2513685")</f>
        <v>大运棋牌api-唯一钱包dydzdyce1-一级代理：2513685</v>
      </c>
      <c r="D251" s="3"/>
      <c r="E251" s="3"/>
    </row>
    <row r="252" spans="1:5" ht="12.75">
      <c r="A252" s="3">
        <f ca="1">IFERROR(__xludf.DUMMYFUNCTION("""COMPUTED_VALUE"""),40115)</f>
        <v>40115</v>
      </c>
      <c r="B252" s="3" t="str">
        <f ca="1">IFERROR(__xludf.DUMMYFUNCTION("""COMPUTED_VALUE"""),"1971868_mxn")</f>
        <v>1971868_mxn</v>
      </c>
      <c r="C252" s="3" t="str">
        <f ca="1">IFERROR(__xludf.DUMMYFUNCTION("""COMPUTED_VALUE"""),"大运棋牌api-唯一钱包dydzdyce1-一级代理：2513676")</f>
        <v>大运棋牌api-唯一钱包dydzdyce1-一级代理：2513676</v>
      </c>
      <c r="D252" s="3"/>
      <c r="E252" s="3"/>
    </row>
    <row r="253" spans="1:5" ht="12.75">
      <c r="A253" s="3">
        <f ca="1">IFERROR(__xludf.DUMMYFUNCTION("""COMPUTED_VALUE"""),40116)</f>
        <v>40116</v>
      </c>
      <c r="B253" s="3" t="str">
        <f ca="1">IFERROR(__xludf.DUMMYFUNCTION("""COMPUTED_VALUE"""),"1971868_jpy")</f>
        <v>1971868_jpy</v>
      </c>
      <c r="C253" s="3" t="str">
        <f ca="1">IFERROR(__xludf.DUMMYFUNCTION("""COMPUTED_VALUE"""),"大运棋牌api-唯一钱包dydzdyce1-一级代理：2513673")</f>
        <v>大运棋牌api-唯一钱包dydzdyce1-一级代理：2513673</v>
      </c>
      <c r="D253" s="3"/>
      <c r="E253" s="3"/>
    </row>
    <row r="254" spans="1:5" ht="12.75">
      <c r="A254" s="3">
        <f ca="1">IFERROR(__xludf.DUMMYFUNCTION("""COMPUTED_VALUE"""),40117)</f>
        <v>40117</v>
      </c>
      <c r="B254" s="3" t="str">
        <f ca="1">IFERROR(__xludf.DUMMYFUNCTION("""COMPUTED_VALUE"""),"1971868_php")</f>
        <v>1971868_php</v>
      </c>
      <c r="C254" s="3" t="str">
        <f ca="1">IFERROR(__xludf.DUMMYFUNCTION("""COMPUTED_VALUE"""),"大运棋牌api-唯一钱包dydzdyce1-一级代理：2513624")</f>
        <v>大运棋牌api-唯一钱包dydzdyce1-一级代理：2513624</v>
      </c>
      <c r="D254" s="3"/>
      <c r="E254" s="3"/>
    </row>
    <row r="255" spans="1:5" ht="12.75">
      <c r="A255" s="3">
        <f ca="1">IFERROR(__xludf.DUMMYFUNCTION("""COMPUTED_VALUE"""),40118)</f>
        <v>40118</v>
      </c>
      <c r="B255" s="3" t="str">
        <f ca="1">IFERROR(__xludf.DUMMYFUNCTION("""COMPUTED_VALUE"""),"1971868_thb")</f>
        <v>1971868_thb</v>
      </c>
      <c r="C255" s="3" t="str">
        <f ca="1">IFERROR(__xludf.DUMMYFUNCTION("""COMPUTED_VALUE"""),"大运棋牌api-唯一钱包dydzdyce1-一级代理：2513665")</f>
        <v>大运棋牌api-唯一钱包dydzdyce1-一级代理：2513665</v>
      </c>
      <c r="D255" s="3"/>
      <c r="E255" s="3"/>
    </row>
    <row r="256" spans="1:5" ht="12.75">
      <c r="A256" s="3">
        <f ca="1">IFERROR(__xludf.DUMMYFUNCTION("""COMPUTED_VALUE"""),40119)</f>
        <v>40119</v>
      </c>
      <c r="B256" s="3" t="str">
        <f ca="1">IFERROR(__xludf.DUMMYFUNCTION("""COMPUTED_VALUE"""),"1971868_ngn")</f>
        <v>1971868_ngn</v>
      </c>
      <c r="C256" s="3" t="str">
        <f ca="1">IFERROR(__xludf.DUMMYFUNCTION("""COMPUTED_VALUE"""),"大运棋牌api-唯一钱包dydzdyce1-一级代理：2513634")</f>
        <v>大运棋牌api-唯一钱包dydzdyce1-一级代理：2513634</v>
      </c>
      <c r="D256" s="3"/>
      <c r="E256" s="3"/>
    </row>
    <row r="257" spans="1:5" ht="12.75">
      <c r="A257" s="3">
        <f ca="1">IFERROR(__xludf.DUMMYFUNCTION("""COMPUTED_VALUE"""),40120)</f>
        <v>40120</v>
      </c>
      <c r="B257" s="3" t="str">
        <f ca="1">IFERROR(__xludf.DUMMYFUNCTION("""COMPUTED_VALUE"""),"1971868_rub")</f>
        <v>1971868_rub</v>
      </c>
      <c r="C257" s="3" t="str">
        <f ca="1">IFERROR(__xludf.DUMMYFUNCTION("""COMPUTED_VALUE"""),"大运棋牌api-唯一钱包dydzdyce1-一级代理：2513641")</f>
        <v>大运棋牌api-唯一钱包dydzdyce1-一级代理：2513641</v>
      </c>
      <c r="D257" s="3"/>
      <c r="E257" s="3"/>
    </row>
    <row r="258" spans="1:5" ht="12.75">
      <c r="A258" s="3">
        <v>40128</v>
      </c>
      <c r="B258" s="3" t="s">
        <v>933</v>
      </c>
      <c r="C258" s="3" t="s">
        <v>934</v>
      </c>
      <c r="D258" s="3" t="str">
        <f ca="1">IFERROR(__xludf.DUMMYFUNCTION("""COMPUTED_VALUE"""),"馬來西亞令吉")</f>
        <v>馬來西亞令吉</v>
      </c>
      <c r="E258" s="3" t="str">
        <f ca="1">IFERROR(__xludf.DUMMYFUNCTION("""COMPUTED_VALUE"""),"MYR")</f>
        <v>MYR</v>
      </c>
    </row>
    <row r="259" spans="1:5" ht="13.5">
      <c r="A259" s="3">
        <v>40142</v>
      </c>
      <c r="B259" s="3" t="s">
        <v>935</v>
      </c>
      <c r="C259" s="3" t="s">
        <v>938</v>
      </c>
      <c r="D259" s="59" t="s">
        <v>936</v>
      </c>
      <c r="E259" s="3" t="s">
        <v>937</v>
      </c>
    </row>
    <row r="260" spans="1:5" ht="13.5">
      <c r="A260" s="3">
        <v>40144</v>
      </c>
      <c r="B260" s="3" t="s">
        <v>939</v>
      </c>
      <c r="C260" s="3" t="s">
        <v>940</v>
      </c>
      <c r="D260" s="59" t="s">
        <v>941</v>
      </c>
      <c r="E260" s="3" t="s">
        <v>942</v>
      </c>
    </row>
    <row r="261" spans="1:5" ht="14.25">
      <c r="A261" s="3">
        <v>40121</v>
      </c>
      <c r="B261" s="3" t="s">
        <v>945</v>
      </c>
      <c r="C261" s="57" t="s">
        <v>949</v>
      </c>
      <c r="D261" s="59" t="s">
        <v>931</v>
      </c>
      <c r="E261" s="3" t="s">
        <v>943</v>
      </c>
    </row>
    <row r="262" spans="1:5" ht="12.75">
      <c r="A262" s="3">
        <v>40150</v>
      </c>
      <c r="B262" s="3" t="s">
        <v>947</v>
      </c>
      <c r="C262" s="60" t="s">
        <v>948</v>
      </c>
      <c r="D262" s="3" t="str">
        <f ca="1">IFERROR(__xludf.DUMMYFUNCTION("""COMPUTED_VALUE"""),"巴西雷亞爾")</f>
        <v>巴西雷亞爾</v>
      </c>
      <c r="E262" s="3" t="str">
        <f ca="1">IFERROR(__xludf.DUMMYFUNCTION("""COMPUTED_VALUE"""),"BRL")</f>
        <v>BRL</v>
      </c>
    </row>
    <row r="263" spans="1:5" ht="14.25">
      <c r="A263" s="3">
        <v>40230</v>
      </c>
      <c r="B263" s="3" t="s">
        <v>950</v>
      </c>
      <c r="C263" s="57" t="s">
        <v>951</v>
      </c>
      <c r="D263" s="3" t="str">
        <f ca="1">IFERROR(__xludf.DUMMYFUNCTION("""COMPUTED_VALUE"""),"菲律賓披索")</f>
        <v>菲律賓披索</v>
      </c>
      <c r="E263" s="3" t="str">
        <f ca="1">IFERROR(__xludf.DUMMYFUNCTION("""COMPUTED_VALUE"""),"PHP")</f>
        <v>PHP</v>
      </c>
    </row>
    <row r="264" spans="1:5" ht="12.75">
      <c r="A264" s="3"/>
      <c r="B264" s="3"/>
      <c r="C264" s="3"/>
      <c r="D264" s="3"/>
      <c r="E264" s="3"/>
    </row>
    <row r="265" spans="1:5" ht="12.75">
      <c r="A265" s="3"/>
      <c r="B265" s="3"/>
      <c r="C265" s="3"/>
      <c r="D265" s="3"/>
      <c r="E265" s="3"/>
    </row>
    <row r="266" spans="1:5" ht="12.75">
      <c r="A266" s="3"/>
      <c r="B266" s="3"/>
      <c r="C266" s="3"/>
      <c r="D266" s="3"/>
      <c r="E266" s="3"/>
    </row>
    <row r="267" spans="1:5" ht="12.75">
      <c r="A267" s="3"/>
      <c r="B267" s="3"/>
      <c r="C267" s="3"/>
      <c r="D267" s="3"/>
      <c r="E267" s="3"/>
    </row>
    <row r="268" spans="1:5" ht="12.75">
      <c r="A268" s="3"/>
      <c r="B268" s="3"/>
      <c r="C268" s="3"/>
      <c r="D268" s="3"/>
      <c r="E268" s="3"/>
    </row>
    <row r="269" spans="1:5" ht="12.75">
      <c r="A269" s="3"/>
      <c r="B269" s="3"/>
      <c r="C269" s="3"/>
      <c r="D269" s="3"/>
      <c r="E269" s="3"/>
    </row>
    <row r="270" spans="1:5" ht="12.75">
      <c r="A270" s="3"/>
      <c r="B270" s="3"/>
      <c r="C270" s="3"/>
      <c r="D270" s="3"/>
      <c r="E270" s="3"/>
    </row>
    <row r="271" spans="1:5" ht="12.75">
      <c r="A271" s="3"/>
      <c r="B271" s="3"/>
      <c r="C271" s="3"/>
      <c r="D271" s="3"/>
      <c r="E271" s="3"/>
    </row>
    <row r="272" spans="1:5" ht="12.75">
      <c r="A272" s="3"/>
      <c r="B272" s="3"/>
      <c r="C272" s="3"/>
      <c r="D272" s="3"/>
      <c r="E272" s="3"/>
    </row>
    <row r="273" spans="1:5" ht="12.75">
      <c r="A273" s="3"/>
      <c r="B273" s="3"/>
      <c r="C273" s="3"/>
      <c r="D273" s="3"/>
      <c r="E273" s="3"/>
    </row>
    <row r="274" spans="1:5" ht="12.75">
      <c r="A274" s="3"/>
      <c r="B274" s="3"/>
      <c r="C274" s="3"/>
      <c r="D274" s="3"/>
      <c r="E274" s="3"/>
    </row>
    <row r="275" spans="1:5" ht="12.75">
      <c r="A275" s="3"/>
      <c r="B275" s="3"/>
      <c r="C275" s="3"/>
      <c r="D275" s="3"/>
      <c r="E275" s="3"/>
    </row>
    <row r="276" spans="1:5" ht="12.75">
      <c r="A276" s="3"/>
      <c r="B276" s="3"/>
      <c r="C276" s="3"/>
      <c r="D276" s="3"/>
      <c r="E276" s="3"/>
    </row>
    <row r="277" spans="1:5" ht="12.75">
      <c r="A277" s="3"/>
      <c r="B277" s="3"/>
      <c r="C277" s="3"/>
      <c r="D277" s="3"/>
      <c r="E277" s="3"/>
    </row>
    <row r="278" spans="1:5" ht="12.75">
      <c r="A278" s="3"/>
      <c r="B278" s="3"/>
      <c r="C278" s="3"/>
      <c r="D278" s="3"/>
      <c r="E278" s="3"/>
    </row>
    <row r="279" spans="1:5" ht="12.75">
      <c r="A279" s="3"/>
      <c r="B279" s="3"/>
      <c r="C279" s="3"/>
      <c r="D279" s="3"/>
      <c r="E279" s="3"/>
    </row>
    <row r="280" spans="1:5" ht="12.75">
      <c r="A280" s="3"/>
      <c r="B280" s="3"/>
      <c r="C280" s="3"/>
      <c r="D280" s="3"/>
      <c r="E280" s="3"/>
    </row>
    <row r="281" spans="1:5" ht="12.75">
      <c r="A281" s="3"/>
      <c r="B281" s="3"/>
      <c r="C281" s="3"/>
      <c r="D281" s="3"/>
      <c r="E281" s="3"/>
    </row>
    <row r="282" spans="1:5" ht="12.75">
      <c r="A282" s="3"/>
      <c r="B282" s="3"/>
      <c r="C282" s="3"/>
      <c r="D282" s="3"/>
      <c r="E282" s="3"/>
    </row>
    <row r="283" spans="1:5" ht="12.75">
      <c r="A283" s="3"/>
      <c r="B283" s="3"/>
      <c r="C283" s="3"/>
      <c r="D283" s="3"/>
      <c r="E283" s="3"/>
    </row>
    <row r="284" spans="1:5" ht="12.75">
      <c r="A284" s="3"/>
      <c r="B284" s="3"/>
      <c r="C284" s="3"/>
      <c r="D284" s="3"/>
      <c r="E284" s="3"/>
    </row>
    <row r="285" spans="1:5" ht="12.75">
      <c r="A285" s="3"/>
      <c r="B285" s="3"/>
      <c r="C285" s="3"/>
      <c r="D285" s="3"/>
      <c r="E285" s="3"/>
    </row>
    <row r="286" spans="1:5" ht="12.75">
      <c r="A286" s="3"/>
      <c r="B286" s="3"/>
      <c r="C286" s="3"/>
      <c r="D286" s="3"/>
      <c r="E286" s="3"/>
    </row>
    <row r="287" spans="1:5" ht="12.75">
      <c r="A287" s="3"/>
      <c r="B287" s="3"/>
      <c r="C287" s="3"/>
      <c r="D287" s="3"/>
      <c r="E287" s="3"/>
    </row>
    <row r="288" spans="1:5" ht="12.75">
      <c r="A288" s="3"/>
      <c r="B288" s="3"/>
      <c r="C288" s="3"/>
      <c r="D288" s="3"/>
      <c r="E288" s="3"/>
    </row>
    <row r="289" spans="1:5" ht="12.75">
      <c r="A289" s="3"/>
      <c r="B289" s="3"/>
      <c r="C289" s="3"/>
      <c r="D289" s="3"/>
      <c r="E289" s="3"/>
    </row>
    <row r="290" spans="1:5" ht="12.75">
      <c r="A290" s="3"/>
      <c r="B290" s="3"/>
      <c r="C290" s="3"/>
      <c r="D290" s="3"/>
      <c r="E290" s="3"/>
    </row>
    <row r="291" spans="1:5" ht="12.75">
      <c r="A291" s="3"/>
      <c r="B291" s="3"/>
      <c r="C291" s="3"/>
      <c r="D291" s="3"/>
      <c r="E291" s="3"/>
    </row>
    <row r="292" spans="1:5" ht="12.75">
      <c r="A292" s="3"/>
      <c r="B292" s="3"/>
      <c r="C292" s="3"/>
      <c r="D292" s="3"/>
      <c r="E292" s="3"/>
    </row>
    <row r="293" spans="1:5" ht="12.75">
      <c r="A293" s="3"/>
      <c r="B293" s="3"/>
      <c r="C293" s="3"/>
      <c r="D293" s="3"/>
      <c r="E293" s="3"/>
    </row>
    <row r="294" spans="1:5" ht="12.75">
      <c r="A294" s="3"/>
      <c r="B294" s="3"/>
      <c r="C294" s="3"/>
      <c r="D294" s="3"/>
      <c r="E294" s="3"/>
    </row>
    <row r="295" spans="1:5" ht="12.75">
      <c r="A295" s="3"/>
      <c r="B295" s="3"/>
      <c r="C295" s="3"/>
      <c r="D295" s="3"/>
      <c r="E295" s="3"/>
    </row>
    <row r="296" spans="1:5" ht="12.75">
      <c r="A296" s="3"/>
      <c r="B296" s="3"/>
      <c r="C296" s="3"/>
      <c r="D296" s="3"/>
      <c r="E296" s="3"/>
    </row>
    <row r="297" spans="1:5" ht="12.75">
      <c r="A297" s="3"/>
      <c r="B297" s="3"/>
      <c r="C297" s="3"/>
      <c r="D297" s="3"/>
      <c r="E297" s="3"/>
    </row>
    <row r="298" spans="1:5" ht="12.75">
      <c r="A298" s="3"/>
      <c r="B298" s="3"/>
      <c r="C298" s="3"/>
      <c r="D298" s="3"/>
      <c r="E298" s="3"/>
    </row>
    <row r="299" spans="1:5" ht="12.75">
      <c r="A299" s="3"/>
      <c r="B299" s="3"/>
      <c r="C299" s="3"/>
      <c r="D299" s="3"/>
      <c r="E299" s="3"/>
    </row>
    <row r="300" spans="1:5" ht="12.75">
      <c r="A300" s="3"/>
      <c r="B300" s="3"/>
      <c r="C300" s="3"/>
      <c r="D300" s="3"/>
      <c r="E300" s="3"/>
    </row>
    <row r="301" spans="1:5" ht="12.75">
      <c r="A301" s="3"/>
      <c r="B301" s="3"/>
      <c r="C301" s="3"/>
      <c r="D301" s="3"/>
      <c r="E301" s="3"/>
    </row>
    <row r="302" spans="1:5" ht="12.75">
      <c r="A302" s="3"/>
      <c r="B302" s="3"/>
      <c r="C302" s="3"/>
      <c r="D302" s="3"/>
      <c r="E302" s="3"/>
    </row>
    <row r="303" spans="1:5" ht="12.75">
      <c r="A303" s="3"/>
      <c r="B303" s="3"/>
      <c r="C303" s="3"/>
      <c r="D303" s="3"/>
      <c r="E303" s="3"/>
    </row>
    <row r="304" spans="1:5" ht="12.75">
      <c r="A304" s="3"/>
      <c r="B304" s="3"/>
      <c r="C304" s="3"/>
      <c r="D304" s="3"/>
      <c r="E304" s="3"/>
    </row>
    <row r="305" spans="1:5" ht="12.75">
      <c r="A305" s="3"/>
      <c r="B305" s="3"/>
      <c r="C305" s="3"/>
      <c r="D305" s="3"/>
      <c r="E305" s="3"/>
    </row>
    <row r="306" spans="1:5" ht="12.75">
      <c r="A306" s="3"/>
      <c r="B306" s="3"/>
      <c r="C306" s="3"/>
      <c r="D306" s="3"/>
      <c r="E306" s="3"/>
    </row>
    <row r="307" spans="1:5" ht="12.75">
      <c r="A307" s="3"/>
      <c r="B307" s="3"/>
      <c r="C307" s="3"/>
      <c r="D307" s="3"/>
      <c r="E307" s="3"/>
    </row>
    <row r="308" spans="1:5" ht="12.75">
      <c r="A308" s="3"/>
      <c r="B308" s="3"/>
      <c r="C308" s="3"/>
      <c r="D308" s="3"/>
      <c r="E308" s="3"/>
    </row>
    <row r="309" spans="1:5" ht="12.75">
      <c r="A309" s="3"/>
      <c r="B309" s="3"/>
      <c r="C309" s="3"/>
      <c r="D309" s="3"/>
      <c r="E309" s="3"/>
    </row>
    <row r="310" spans="1:5" ht="12.75">
      <c r="A310" s="3"/>
      <c r="B310" s="3"/>
      <c r="C310" s="3"/>
      <c r="D310" s="3"/>
      <c r="E310" s="3"/>
    </row>
    <row r="311" spans="1:5" ht="12.75">
      <c r="A311" s="3"/>
      <c r="B311" s="3"/>
      <c r="C311" s="3"/>
      <c r="D311" s="3"/>
      <c r="E311" s="3"/>
    </row>
    <row r="312" spans="1:5" ht="12.75">
      <c r="A312" s="3"/>
      <c r="B312" s="3"/>
      <c r="C312" s="3"/>
      <c r="D312" s="3"/>
      <c r="E312" s="3"/>
    </row>
    <row r="313" spans="1:5" ht="12.75">
      <c r="A313" s="3"/>
      <c r="B313" s="3"/>
      <c r="C313" s="3"/>
      <c r="D313" s="3"/>
      <c r="E313" s="3"/>
    </row>
    <row r="314" spans="1:5" ht="12.75">
      <c r="A314" s="3"/>
      <c r="B314" s="3"/>
      <c r="C314" s="3"/>
      <c r="D314" s="3"/>
      <c r="E314" s="3"/>
    </row>
    <row r="315" spans="1:5" ht="12.75">
      <c r="A315" s="3"/>
      <c r="B315" s="3"/>
      <c r="C315" s="3"/>
      <c r="D315" s="3"/>
      <c r="E315" s="3"/>
    </row>
    <row r="316" spans="1:5" ht="12.75">
      <c r="A316" s="3"/>
      <c r="B316" s="3"/>
      <c r="C316" s="3"/>
      <c r="D316" s="3"/>
      <c r="E316" s="3"/>
    </row>
    <row r="317" spans="1:5" ht="12.75">
      <c r="A317" s="3"/>
      <c r="B317" s="3"/>
      <c r="C317" s="3"/>
      <c r="D317" s="3"/>
      <c r="E317" s="3"/>
    </row>
    <row r="318" spans="1:5" ht="12.75">
      <c r="A318" s="3"/>
      <c r="B318" s="3"/>
      <c r="C318" s="3"/>
      <c r="D318" s="3"/>
      <c r="E318" s="3"/>
    </row>
    <row r="319" spans="1:5" ht="12.75">
      <c r="A319" s="3"/>
      <c r="B319" s="3"/>
      <c r="C319" s="3"/>
      <c r="D319" s="3"/>
      <c r="E319" s="3"/>
    </row>
    <row r="320" spans="1:5" ht="12.75">
      <c r="A320" s="3"/>
      <c r="B320" s="3"/>
      <c r="C320" s="3"/>
      <c r="D320" s="3"/>
      <c r="E320" s="3"/>
    </row>
    <row r="321" spans="1:5" ht="12.75">
      <c r="A321" s="3"/>
      <c r="B321" s="3"/>
      <c r="C321" s="3"/>
      <c r="D321" s="3"/>
      <c r="E321" s="3"/>
    </row>
    <row r="322" spans="1:5" ht="12.75">
      <c r="A322" s="3"/>
      <c r="B322" s="3"/>
      <c r="C322" s="3"/>
      <c r="D322" s="3"/>
      <c r="E322" s="3"/>
    </row>
    <row r="323" spans="1:5" ht="12.75">
      <c r="A323" s="3"/>
      <c r="B323" s="3"/>
      <c r="C323" s="3"/>
      <c r="D323" s="3"/>
      <c r="E323" s="3"/>
    </row>
    <row r="324" spans="1:5" ht="12.75">
      <c r="A324" s="3"/>
      <c r="B324" s="3"/>
      <c r="C324" s="3"/>
      <c r="D324" s="3"/>
      <c r="E324" s="3"/>
    </row>
    <row r="325" spans="1:5" ht="12.75">
      <c r="A325" s="3"/>
      <c r="B325" s="3"/>
      <c r="C325" s="3"/>
      <c r="D325" s="3"/>
      <c r="E325" s="3"/>
    </row>
    <row r="326" spans="1:5" ht="12.75">
      <c r="A326" s="3"/>
      <c r="B326" s="3"/>
      <c r="C326" s="3"/>
      <c r="D326" s="3"/>
      <c r="E326" s="3"/>
    </row>
    <row r="327" spans="1:5" ht="12.75">
      <c r="A327" s="3"/>
      <c r="B327" s="3"/>
      <c r="C327" s="3"/>
      <c r="D327" s="3"/>
      <c r="E327" s="3"/>
    </row>
    <row r="328" spans="1:5" ht="12.75">
      <c r="A328" s="3"/>
      <c r="B328" s="3"/>
      <c r="C328" s="3"/>
      <c r="D328" s="3"/>
      <c r="E328" s="3"/>
    </row>
    <row r="329" spans="1:5" ht="12.75">
      <c r="A329" s="3"/>
      <c r="B329" s="3"/>
      <c r="C329" s="3"/>
      <c r="D329" s="3"/>
      <c r="E329" s="3"/>
    </row>
    <row r="330" spans="1:5" ht="12.75">
      <c r="A330" s="3"/>
      <c r="B330" s="3"/>
      <c r="C330" s="3"/>
      <c r="D330" s="3"/>
      <c r="E330" s="3"/>
    </row>
    <row r="331" spans="1:5" ht="12.75">
      <c r="A331" s="3"/>
      <c r="B331" s="3"/>
      <c r="C331" s="3"/>
      <c r="D331" s="3"/>
      <c r="E331" s="3"/>
    </row>
    <row r="332" spans="1:5" ht="12.75">
      <c r="A332" s="3"/>
      <c r="B332" s="3"/>
      <c r="C332" s="3"/>
      <c r="D332" s="3"/>
      <c r="E332" s="3"/>
    </row>
    <row r="333" spans="1:5" ht="12.75">
      <c r="A333" s="3"/>
      <c r="B333" s="3"/>
      <c r="C333" s="3"/>
      <c r="D333" s="3"/>
      <c r="E333" s="3"/>
    </row>
    <row r="334" spans="1:5" ht="12.75">
      <c r="A334" s="3"/>
      <c r="B334" s="3"/>
      <c r="C334" s="3"/>
      <c r="D334" s="3"/>
      <c r="E334" s="3"/>
    </row>
    <row r="335" spans="1:5" ht="12.75">
      <c r="A335" s="3"/>
      <c r="B335" s="3"/>
      <c r="C335" s="3"/>
      <c r="D335" s="3"/>
      <c r="E335" s="3"/>
    </row>
    <row r="336" spans="1:5" ht="12.75">
      <c r="A336" s="3"/>
      <c r="B336" s="3"/>
      <c r="C336" s="3"/>
      <c r="D336" s="3"/>
      <c r="E336" s="3"/>
    </row>
    <row r="337" spans="1:5" ht="12.75">
      <c r="A337" s="3"/>
      <c r="B337" s="3"/>
      <c r="C337" s="3"/>
      <c r="D337" s="3"/>
      <c r="E337" s="3"/>
    </row>
    <row r="338" spans="1:5" ht="12.75">
      <c r="A338" s="3"/>
      <c r="B338" s="3"/>
      <c r="C338" s="3"/>
      <c r="D338" s="3"/>
      <c r="E338" s="3"/>
    </row>
    <row r="339" spans="1:5" ht="12.75">
      <c r="A339" s="3"/>
      <c r="B339" s="3"/>
      <c r="C339" s="3"/>
      <c r="D339" s="3"/>
      <c r="E339" s="3"/>
    </row>
    <row r="340" spans="1:5" ht="12.75">
      <c r="E340" s="3"/>
    </row>
    <row r="341" spans="1:5" ht="12.75">
      <c r="E341" s="3"/>
    </row>
    <row r="342" spans="1:5" ht="12.75">
      <c r="E342" s="3"/>
    </row>
    <row r="343" spans="1:5" ht="12.75">
      <c r="E343" s="3"/>
    </row>
    <row r="344" spans="1:5" ht="12.75">
      <c r="E344" s="3"/>
    </row>
    <row r="345" spans="1:5" ht="12.75">
      <c r="E345" s="3"/>
    </row>
    <row r="346" spans="1:5" ht="12.75">
      <c r="E346" s="3"/>
    </row>
    <row r="347" spans="1:5" ht="12.75">
      <c r="E347" s="3"/>
    </row>
    <row r="348" spans="1:5" ht="12.75">
      <c r="E348" s="3"/>
    </row>
    <row r="349" spans="1:5" ht="12.75">
      <c r="E349" s="3"/>
    </row>
    <row r="350" spans="1:5" ht="12.75">
      <c r="E350" s="3"/>
    </row>
    <row r="351" spans="1:5" ht="12.75">
      <c r="E351" s="3"/>
    </row>
    <row r="352" spans="1:5" ht="12.75">
      <c r="E352" s="3"/>
    </row>
    <row r="353" spans="5:5" ht="12.75">
      <c r="E353" s="3"/>
    </row>
    <row r="354" spans="5:5" ht="12.75">
      <c r="E354" s="3"/>
    </row>
    <row r="355" spans="5:5" ht="12.75">
      <c r="E355" s="3"/>
    </row>
    <row r="356" spans="5:5" ht="12.75">
      <c r="E356" s="3"/>
    </row>
    <row r="357" spans="5:5" ht="12.75">
      <c r="E357" s="3"/>
    </row>
    <row r="358" spans="5:5" ht="12.75">
      <c r="E358" s="3"/>
    </row>
    <row r="359" spans="5:5" ht="12.75">
      <c r="E359" s="3"/>
    </row>
    <row r="360" spans="5:5" ht="12.75">
      <c r="E360" s="3"/>
    </row>
    <row r="361" spans="5:5" ht="12.75">
      <c r="E361" s="3"/>
    </row>
    <row r="362" spans="5:5" ht="12.75">
      <c r="E362" s="3"/>
    </row>
    <row r="363" spans="5:5" ht="12.75">
      <c r="E363" s="3"/>
    </row>
    <row r="364" spans="5:5" ht="12.75">
      <c r="E364" s="3"/>
    </row>
    <row r="365" spans="5:5" ht="12.75">
      <c r="E365" s="3"/>
    </row>
    <row r="366" spans="5:5" ht="12.75">
      <c r="E366" s="3"/>
    </row>
    <row r="367" spans="5:5" ht="12.75">
      <c r="E367" s="3"/>
    </row>
    <row r="368" spans="5:5" ht="12.75">
      <c r="E368" s="3"/>
    </row>
    <row r="369" spans="5:5" ht="12.75">
      <c r="E369" s="3"/>
    </row>
    <row r="370" spans="5:5" ht="12.75">
      <c r="E370" s="3"/>
    </row>
    <row r="371" spans="5:5" ht="12.75">
      <c r="E371" s="3"/>
    </row>
    <row r="372" spans="5:5" ht="12.75">
      <c r="E372" s="3"/>
    </row>
    <row r="373" spans="5:5" ht="12.75">
      <c r="E373" s="3"/>
    </row>
    <row r="374" spans="5:5" ht="12.75">
      <c r="E374" s="3"/>
    </row>
    <row r="375" spans="5:5" ht="12.75">
      <c r="E375" s="3"/>
    </row>
    <row r="376" spans="5:5" ht="12.75">
      <c r="E376" s="3"/>
    </row>
    <row r="377" spans="5:5" ht="12.75">
      <c r="E377" s="3"/>
    </row>
    <row r="378" spans="5:5" ht="12.75">
      <c r="E378" s="3"/>
    </row>
    <row r="379" spans="5:5" ht="12.75">
      <c r="E379" s="3"/>
    </row>
    <row r="380" spans="5:5" ht="12.75">
      <c r="E380" s="3"/>
    </row>
    <row r="381" spans="5:5" ht="12.75">
      <c r="E381" s="3"/>
    </row>
    <row r="382" spans="5:5" ht="12.75">
      <c r="E382" s="3"/>
    </row>
    <row r="383" spans="5:5" ht="12.75">
      <c r="E383" s="3"/>
    </row>
    <row r="384" spans="5:5" ht="12.75">
      <c r="E384" s="3"/>
    </row>
    <row r="385" spans="5:5" ht="12.75">
      <c r="E385" s="3"/>
    </row>
    <row r="386" spans="5:5" ht="12.75">
      <c r="E386" s="3"/>
    </row>
    <row r="387" spans="5:5" ht="12.75">
      <c r="E387" s="3"/>
    </row>
    <row r="388" spans="5:5" ht="12.75">
      <c r="E388" s="3"/>
    </row>
    <row r="389" spans="5:5" ht="12.75">
      <c r="E389" s="3"/>
    </row>
    <row r="390" spans="5:5" ht="12.75">
      <c r="E390" s="3"/>
    </row>
    <row r="391" spans="5:5" ht="12.75">
      <c r="E391" s="3"/>
    </row>
    <row r="392" spans="5:5" ht="12.75">
      <c r="E392" s="3"/>
    </row>
    <row r="393" spans="5:5" ht="12.75">
      <c r="E393" s="3"/>
    </row>
    <row r="394" spans="5:5" ht="12.75">
      <c r="E394" s="3"/>
    </row>
    <row r="395" spans="5:5" ht="12.75">
      <c r="E395" s="3"/>
    </row>
    <row r="396" spans="5:5" ht="12.75">
      <c r="E396" s="3"/>
    </row>
    <row r="397" spans="5:5" ht="12.75">
      <c r="E397" s="3"/>
    </row>
    <row r="398" spans="5:5" ht="12.75">
      <c r="E398" s="3"/>
    </row>
    <row r="399" spans="5:5" ht="12.75">
      <c r="E399" s="3"/>
    </row>
    <row r="400" spans="5:5" ht="12.75">
      <c r="E400" s="3"/>
    </row>
    <row r="401" spans="5:5" ht="12.75">
      <c r="E401" s="3"/>
    </row>
    <row r="402" spans="5:5" ht="12.75">
      <c r="E402" s="3"/>
    </row>
    <row r="403" spans="5:5" ht="12.75">
      <c r="E403" s="3"/>
    </row>
    <row r="404" spans="5:5" ht="12.75">
      <c r="E404" s="3"/>
    </row>
    <row r="405" spans="5:5" ht="12.75">
      <c r="E405" s="3"/>
    </row>
    <row r="406" spans="5:5" ht="12.75">
      <c r="E406" s="3"/>
    </row>
    <row r="407" spans="5:5" ht="12.75">
      <c r="E407" s="3"/>
    </row>
    <row r="408" spans="5:5" ht="12.75">
      <c r="E408" s="3"/>
    </row>
    <row r="409" spans="5:5" ht="12.75">
      <c r="E409" s="3"/>
    </row>
    <row r="410" spans="5:5" ht="12.75">
      <c r="E410" s="3"/>
    </row>
    <row r="411" spans="5:5" ht="12.75">
      <c r="E411" s="3"/>
    </row>
    <row r="412" spans="5:5" ht="12.75">
      <c r="E412" s="3"/>
    </row>
    <row r="413" spans="5:5" ht="12.75">
      <c r="E413" s="3"/>
    </row>
    <row r="414" spans="5:5" ht="12.75">
      <c r="E414" s="3"/>
    </row>
    <row r="415" spans="5:5" ht="12.75">
      <c r="E415" s="3"/>
    </row>
    <row r="416" spans="5:5" ht="12.75">
      <c r="E416" s="3"/>
    </row>
    <row r="417" spans="5:5" ht="12.75">
      <c r="E417" s="3"/>
    </row>
    <row r="418" spans="5:5" ht="12.75">
      <c r="E418" s="3"/>
    </row>
    <row r="419" spans="5:5" ht="12.75">
      <c r="E419" s="3"/>
    </row>
    <row r="420" spans="5:5" ht="12.75">
      <c r="E420" s="3"/>
    </row>
    <row r="421" spans="5:5" ht="12.75">
      <c r="E421" s="3"/>
    </row>
    <row r="422" spans="5:5" ht="12.75">
      <c r="E422" s="3"/>
    </row>
    <row r="423" spans="5:5" ht="12.75">
      <c r="E423" s="3"/>
    </row>
    <row r="424" spans="5:5" ht="12.75">
      <c r="E424" s="3"/>
    </row>
    <row r="425" spans="5:5" ht="12.75">
      <c r="E425" s="3"/>
    </row>
    <row r="426" spans="5:5" ht="12.75">
      <c r="E426" s="3"/>
    </row>
    <row r="427" spans="5:5" ht="12.75">
      <c r="E427" s="3"/>
    </row>
    <row r="428" spans="5:5" ht="12.75">
      <c r="E428" s="3"/>
    </row>
    <row r="429" spans="5:5" ht="12.75">
      <c r="E429" s="3"/>
    </row>
    <row r="430" spans="5:5" ht="12.75">
      <c r="E430" s="3"/>
    </row>
    <row r="431" spans="5:5" ht="12.75">
      <c r="E431" s="3"/>
    </row>
    <row r="432" spans="5:5" ht="12.75">
      <c r="E432" s="3"/>
    </row>
    <row r="433" spans="5:5" ht="12.75">
      <c r="E433" s="3"/>
    </row>
    <row r="434" spans="5:5" ht="12.75">
      <c r="E434" s="3"/>
    </row>
    <row r="435" spans="5:5" ht="12.75">
      <c r="E435" s="3"/>
    </row>
    <row r="436" spans="5:5" ht="12.75">
      <c r="E436" s="3"/>
    </row>
    <row r="437" spans="5:5" ht="12.75">
      <c r="E437" s="3"/>
    </row>
    <row r="438" spans="5:5" ht="12.75">
      <c r="E438" s="3"/>
    </row>
    <row r="439" spans="5:5" ht="12.75">
      <c r="E439" s="3"/>
    </row>
    <row r="440" spans="5:5" ht="12.75">
      <c r="E440" s="3"/>
    </row>
    <row r="441" spans="5:5" ht="12.75">
      <c r="E441" s="3"/>
    </row>
    <row r="442" spans="5:5" ht="12.75">
      <c r="E442" s="3"/>
    </row>
    <row r="443" spans="5:5" ht="12.75">
      <c r="E443" s="3"/>
    </row>
    <row r="444" spans="5:5" ht="12.75">
      <c r="E444" s="3"/>
    </row>
    <row r="445" spans="5:5" ht="12.75">
      <c r="E445" s="3"/>
    </row>
    <row r="446" spans="5:5" ht="12.75">
      <c r="E446" s="3"/>
    </row>
    <row r="447" spans="5:5" ht="12.75">
      <c r="E447" s="3"/>
    </row>
    <row r="448" spans="5:5" ht="12.75">
      <c r="E448" s="3"/>
    </row>
    <row r="449" spans="5:5" ht="12.75">
      <c r="E449" s="3"/>
    </row>
    <row r="450" spans="5:5" ht="12.75">
      <c r="E450" s="3"/>
    </row>
    <row r="451" spans="5:5" ht="12.75">
      <c r="E451" s="3"/>
    </row>
    <row r="452" spans="5:5" ht="12.75">
      <c r="E452" s="3"/>
    </row>
    <row r="453" spans="5:5" ht="12.75">
      <c r="E453" s="3"/>
    </row>
    <row r="454" spans="5:5" ht="12.75">
      <c r="E454" s="3"/>
    </row>
    <row r="455" spans="5:5" ht="12.75">
      <c r="E455" s="3"/>
    </row>
    <row r="456" spans="5:5" ht="12.75">
      <c r="E456" s="3"/>
    </row>
    <row r="457" spans="5:5" ht="12.75">
      <c r="E457" s="3"/>
    </row>
    <row r="458" spans="5:5" ht="12.75">
      <c r="E458" s="3"/>
    </row>
    <row r="459" spans="5:5" ht="12.75">
      <c r="E459" s="3"/>
    </row>
    <row r="460" spans="5:5" ht="12.75">
      <c r="E460" s="3"/>
    </row>
    <row r="461" spans="5:5" ht="12.75">
      <c r="E461" s="3"/>
    </row>
    <row r="462" spans="5:5" ht="12.75">
      <c r="E462" s="3"/>
    </row>
    <row r="463" spans="5:5" ht="12.75">
      <c r="E463" s="3"/>
    </row>
    <row r="464" spans="5:5" ht="12.75">
      <c r="E464" s="3"/>
    </row>
    <row r="465" spans="5:5" ht="12.75">
      <c r="E465" s="3"/>
    </row>
    <row r="466" spans="5:5" ht="12.75">
      <c r="E466" s="3"/>
    </row>
    <row r="467" spans="5:5" ht="12.75">
      <c r="E467" s="3"/>
    </row>
    <row r="468" spans="5:5" ht="12.75">
      <c r="E468" s="3"/>
    </row>
    <row r="469" spans="5:5" ht="12.75">
      <c r="E469" s="3"/>
    </row>
    <row r="470" spans="5:5" ht="12.75">
      <c r="E470" s="3"/>
    </row>
    <row r="471" spans="5:5" ht="12.75">
      <c r="E471" s="3"/>
    </row>
    <row r="472" spans="5:5" ht="12.75">
      <c r="E472" s="3"/>
    </row>
    <row r="473" spans="5:5" ht="12.75">
      <c r="E473" s="3"/>
    </row>
    <row r="474" spans="5:5" ht="12.75">
      <c r="E474" s="3"/>
    </row>
    <row r="475" spans="5:5" ht="12.75">
      <c r="E475" s="3"/>
    </row>
    <row r="476" spans="5:5" ht="12.75">
      <c r="E476" s="3"/>
    </row>
    <row r="477" spans="5:5" ht="12.75">
      <c r="E477" s="3"/>
    </row>
    <row r="478" spans="5:5" ht="12.75">
      <c r="E478" s="3"/>
    </row>
    <row r="479" spans="5:5" ht="12.75">
      <c r="E479" s="3"/>
    </row>
    <row r="480" spans="5:5" ht="12.75">
      <c r="E480" s="3"/>
    </row>
    <row r="481" spans="5:5" ht="12.75">
      <c r="E481" s="3"/>
    </row>
    <row r="482" spans="5:5" ht="12.75">
      <c r="E482" s="3"/>
    </row>
    <row r="483" spans="5:5" ht="12.75">
      <c r="E483" s="3"/>
    </row>
    <row r="484" spans="5:5" ht="12.75">
      <c r="E484" s="3"/>
    </row>
    <row r="485" spans="5:5" ht="12.75">
      <c r="E485" s="3"/>
    </row>
    <row r="486" spans="5:5" ht="12.75">
      <c r="E486" s="3"/>
    </row>
    <row r="487" spans="5:5" ht="12.75">
      <c r="E487" s="3"/>
    </row>
    <row r="488" spans="5:5" ht="12.75">
      <c r="E488" s="3"/>
    </row>
    <row r="489" spans="5:5" ht="12.75">
      <c r="E489" s="3"/>
    </row>
    <row r="490" spans="5:5" ht="12.75">
      <c r="E490" s="3"/>
    </row>
    <row r="491" spans="5:5" ht="12.75">
      <c r="E491" s="3"/>
    </row>
    <row r="492" spans="5:5" ht="12.75">
      <c r="E492" s="3"/>
    </row>
    <row r="493" spans="5:5" ht="12.75">
      <c r="E493" s="3"/>
    </row>
    <row r="494" spans="5:5" ht="12.75">
      <c r="E494" s="3"/>
    </row>
    <row r="495" spans="5:5" ht="12.75">
      <c r="E495" s="3"/>
    </row>
    <row r="496" spans="5:5" ht="12.75">
      <c r="E496" s="3"/>
    </row>
    <row r="497" spans="5:5" ht="12.75">
      <c r="E497" s="3"/>
    </row>
    <row r="498" spans="5:5" ht="12.75">
      <c r="E498" s="3"/>
    </row>
    <row r="499" spans="5:5" ht="12.75">
      <c r="E499" s="3"/>
    </row>
    <row r="500" spans="5:5" ht="12.75">
      <c r="E500" s="3"/>
    </row>
    <row r="501" spans="5:5" ht="12.75">
      <c r="E501" s="3"/>
    </row>
    <row r="502" spans="5:5" ht="12.75">
      <c r="E502" s="3"/>
    </row>
    <row r="503" spans="5:5" ht="12.75">
      <c r="E503" s="3"/>
    </row>
    <row r="504" spans="5:5" ht="12.75">
      <c r="E504" s="3"/>
    </row>
    <row r="505" spans="5:5" ht="12.75">
      <c r="E505" s="3"/>
    </row>
    <row r="506" spans="5:5" ht="12.75">
      <c r="E506" s="3"/>
    </row>
    <row r="507" spans="5:5" ht="12.75">
      <c r="E507" s="3"/>
    </row>
    <row r="508" spans="5:5" ht="12.75">
      <c r="E508" s="3"/>
    </row>
    <row r="509" spans="5:5" ht="12.75">
      <c r="E509" s="3"/>
    </row>
    <row r="510" spans="5:5" ht="12.75">
      <c r="E510" s="3"/>
    </row>
    <row r="511" spans="5:5" ht="12.75">
      <c r="E511" s="3"/>
    </row>
    <row r="512" spans="5:5" ht="12.75">
      <c r="E512" s="3"/>
    </row>
    <row r="513" spans="5:5" ht="12.75">
      <c r="E513" s="3"/>
    </row>
    <row r="514" spans="5:5" ht="12.75">
      <c r="E514" s="3"/>
    </row>
    <row r="515" spans="5:5" ht="12.75">
      <c r="E515" s="3"/>
    </row>
    <row r="516" spans="5:5" ht="12.75">
      <c r="E516" s="3"/>
    </row>
    <row r="517" spans="5:5" ht="12.75">
      <c r="E517" s="3"/>
    </row>
    <row r="518" spans="5:5" ht="12.75">
      <c r="E518" s="3"/>
    </row>
    <row r="519" spans="5:5" ht="12.75">
      <c r="E519" s="3"/>
    </row>
    <row r="520" spans="5:5" ht="12.75">
      <c r="E520" s="3"/>
    </row>
    <row r="521" spans="5:5" ht="12.75">
      <c r="E521" s="3"/>
    </row>
    <row r="522" spans="5:5" ht="12.75">
      <c r="E522" s="3"/>
    </row>
    <row r="523" spans="5:5" ht="12.75">
      <c r="E523" s="3"/>
    </row>
    <row r="524" spans="5:5" ht="12.75">
      <c r="E524" s="3"/>
    </row>
    <row r="525" spans="5:5" ht="12.75">
      <c r="E525" s="3"/>
    </row>
    <row r="526" spans="5:5" ht="12.75">
      <c r="E526" s="3"/>
    </row>
    <row r="527" spans="5:5" ht="12.75">
      <c r="E527" s="3"/>
    </row>
    <row r="528" spans="5:5" ht="12.75">
      <c r="E528" s="3"/>
    </row>
    <row r="529" spans="5:5" ht="12.75">
      <c r="E529" s="3"/>
    </row>
    <row r="530" spans="5:5" ht="12.75">
      <c r="E530" s="3"/>
    </row>
    <row r="531" spans="5:5" ht="12.75">
      <c r="E531" s="3"/>
    </row>
    <row r="532" spans="5:5" ht="12.75">
      <c r="E532" s="3"/>
    </row>
    <row r="533" spans="5:5" ht="12.75">
      <c r="E533" s="3"/>
    </row>
    <row r="534" spans="5:5" ht="12.75">
      <c r="E534" s="3"/>
    </row>
    <row r="535" spans="5:5" ht="12.75">
      <c r="E535" s="3"/>
    </row>
    <row r="536" spans="5:5" ht="12.75">
      <c r="E536" s="3"/>
    </row>
    <row r="537" spans="5:5" ht="12.75">
      <c r="E537" s="3"/>
    </row>
    <row r="538" spans="5:5" ht="12.75">
      <c r="E538" s="3"/>
    </row>
    <row r="539" spans="5:5" ht="12.75">
      <c r="E539" s="3"/>
    </row>
    <row r="540" spans="5:5" ht="12.75">
      <c r="E540" s="3"/>
    </row>
    <row r="541" spans="5:5" ht="12.75">
      <c r="E541" s="3"/>
    </row>
    <row r="542" spans="5:5" ht="12.75">
      <c r="E542" s="3"/>
    </row>
    <row r="543" spans="5:5" ht="12.75">
      <c r="E543" s="3"/>
    </row>
    <row r="544" spans="5:5" ht="12.75">
      <c r="E544" s="3"/>
    </row>
    <row r="545" spans="5:5" ht="12.75">
      <c r="E545" s="3"/>
    </row>
    <row r="546" spans="5:5" ht="12.75">
      <c r="E546" s="3"/>
    </row>
    <row r="547" spans="5:5" ht="12.75">
      <c r="E547" s="3"/>
    </row>
    <row r="548" spans="5:5" ht="12.75">
      <c r="E548" s="3"/>
    </row>
    <row r="549" spans="5:5" ht="12.75">
      <c r="E549" s="3"/>
    </row>
    <row r="550" spans="5:5" ht="12.75">
      <c r="E550" s="3"/>
    </row>
    <row r="551" spans="5:5" ht="12.75">
      <c r="E551" s="3"/>
    </row>
    <row r="552" spans="5:5" ht="12.75">
      <c r="E552" s="3"/>
    </row>
    <row r="553" spans="5:5" ht="12.75">
      <c r="E553" s="3"/>
    </row>
    <row r="554" spans="5:5" ht="12.75">
      <c r="E554" s="3"/>
    </row>
    <row r="555" spans="5:5" ht="12.75">
      <c r="E555" s="3"/>
    </row>
    <row r="556" spans="5:5" ht="12.75">
      <c r="E556" s="3"/>
    </row>
    <row r="557" spans="5:5" ht="12.75">
      <c r="E557" s="3"/>
    </row>
    <row r="558" spans="5:5" ht="12.75">
      <c r="E558" s="3"/>
    </row>
    <row r="559" spans="5:5" ht="12.75">
      <c r="E559" s="3"/>
    </row>
    <row r="560" spans="5:5" ht="12.75">
      <c r="E560" s="3"/>
    </row>
    <row r="561" spans="5:5" ht="12.75">
      <c r="E561" s="3"/>
    </row>
    <row r="562" spans="5:5" ht="12.75">
      <c r="E562" s="3"/>
    </row>
    <row r="563" spans="5:5" ht="12.75">
      <c r="E563" s="3"/>
    </row>
    <row r="564" spans="5:5" ht="12.75">
      <c r="E564" s="3"/>
    </row>
    <row r="565" spans="5:5" ht="12.75">
      <c r="E565" s="3"/>
    </row>
    <row r="566" spans="5:5" ht="12.75">
      <c r="E566" s="3"/>
    </row>
    <row r="567" spans="5:5" ht="12.75">
      <c r="E567" s="3"/>
    </row>
    <row r="568" spans="5:5" ht="12.75">
      <c r="E568" s="3"/>
    </row>
    <row r="569" spans="5:5" ht="12.75">
      <c r="E569" s="3"/>
    </row>
    <row r="570" spans="5:5" ht="12.75">
      <c r="E570" s="3"/>
    </row>
    <row r="571" spans="5:5" ht="12.75">
      <c r="E571" s="3"/>
    </row>
    <row r="572" spans="5:5" ht="12.75">
      <c r="E572" s="3"/>
    </row>
    <row r="573" spans="5:5" ht="12.75">
      <c r="E573" s="3"/>
    </row>
    <row r="574" spans="5:5" ht="12.75">
      <c r="E574" s="3"/>
    </row>
    <row r="575" spans="5:5" ht="12.75">
      <c r="E575" s="3"/>
    </row>
    <row r="576" spans="5:5" ht="12.75">
      <c r="E576" s="3"/>
    </row>
    <row r="577" spans="5:5" ht="12.75">
      <c r="E577" s="3"/>
    </row>
    <row r="578" spans="5:5" ht="12.75">
      <c r="E578" s="3"/>
    </row>
    <row r="579" spans="5:5" ht="12.75">
      <c r="E579" s="3"/>
    </row>
    <row r="580" spans="5:5" ht="12.75">
      <c r="E580" s="3"/>
    </row>
    <row r="581" spans="5:5" ht="12.75">
      <c r="E581" s="3"/>
    </row>
    <row r="582" spans="5:5" ht="12.75">
      <c r="E582" s="3"/>
    </row>
    <row r="583" spans="5:5" ht="12.75">
      <c r="E583" s="3"/>
    </row>
    <row r="584" spans="5:5" ht="12.75">
      <c r="E584" s="3"/>
    </row>
    <row r="585" spans="5:5" ht="12.75">
      <c r="E585" s="3"/>
    </row>
    <row r="586" spans="5:5" ht="12.75">
      <c r="E586" s="3"/>
    </row>
    <row r="587" spans="5:5" ht="12.75">
      <c r="E587" s="3"/>
    </row>
    <row r="588" spans="5:5" ht="12.75">
      <c r="E588" s="3"/>
    </row>
    <row r="589" spans="5:5" ht="12.75">
      <c r="E589" s="3"/>
    </row>
    <row r="590" spans="5:5" ht="12.75">
      <c r="E590" s="3"/>
    </row>
    <row r="591" spans="5:5" ht="12.75">
      <c r="E591" s="3"/>
    </row>
    <row r="592" spans="5:5" ht="12.75">
      <c r="E592" s="3"/>
    </row>
    <row r="593" spans="5:5" ht="12.75">
      <c r="E593" s="3"/>
    </row>
    <row r="594" spans="5:5" ht="12.75">
      <c r="E594" s="3"/>
    </row>
    <row r="595" spans="5:5" ht="12.75">
      <c r="E595" s="3"/>
    </row>
    <row r="596" spans="5:5" ht="12.75">
      <c r="E596" s="3"/>
    </row>
    <row r="597" spans="5:5" ht="12.75">
      <c r="E597" s="3"/>
    </row>
    <row r="598" spans="5:5" ht="12.75">
      <c r="E598" s="3"/>
    </row>
    <row r="599" spans="5:5" ht="12.75">
      <c r="E599" s="3"/>
    </row>
    <row r="600" spans="5:5" ht="12.75">
      <c r="E600" s="3"/>
    </row>
    <row r="601" spans="5:5" ht="12.75">
      <c r="E601" s="3"/>
    </row>
    <row r="602" spans="5:5" ht="12.75">
      <c r="E602" s="3"/>
    </row>
    <row r="603" spans="5:5" ht="12.75">
      <c r="E603" s="3"/>
    </row>
    <row r="604" spans="5:5" ht="12.75">
      <c r="E604" s="3"/>
    </row>
    <row r="605" spans="5:5" ht="12.75">
      <c r="E605" s="3"/>
    </row>
    <row r="606" spans="5:5" ht="12.75">
      <c r="E606" s="3"/>
    </row>
    <row r="607" spans="5:5" ht="12.75">
      <c r="E607" s="3"/>
    </row>
    <row r="608" spans="5:5" ht="12.75">
      <c r="E608" s="3"/>
    </row>
    <row r="609" spans="5:5" ht="12.75">
      <c r="E609" s="3"/>
    </row>
    <row r="610" spans="5:5" ht="12.75">
      <c r="E610" s="3"/>
    </row>
    <row r="611" spans="5:5" ht="12.75">
      <c r="E611" s="3"/>
    </row>
    <row r="612" spans="5:5" ht="12.75">
      <c r="E612" s="3"/>
    </row>
    <row r="613" spans="5:5" ht="12.75">
      <c r="E613" s="3"/>
    </row>
    <row r="614" spans="5:5" ht="12.75">
      <c r="E614" s="3"/>
    </row>
    <row r="615" spans="5:5" ht="12.75">
      <c r="E615" s="3"/>
    </row>
    <row r="616" spans="5:5" ht="12.75">
      <c r="E616" s="3"/>
    </row>
    <row r="617" spans="5:5" ht="12.75">
      <c r="E617" s="3"/>
    </row>
    <row r="618" spans="5:5" ht="12.75">
      <c r="E618" s="3"/>
    </row>
    <row r="619" spans="5:5" ht="12.75">
      <c r="E619" s="3"/>
    </row>
    <row r="620" spans="5:5" ht="12.75">
      <c r="E620" s="3"/>
    </row>
    <row r="621" spans="5:5" ht="12.75">
      <c r="E621" s="3"/>
    </row>
    <row r="622" spans="5:5" ht="12.75">
      <c r="E622" s="3"/>
    </row>
    <row r="623" spans="5:5" ht="12.75">
      <c r="E623" s="3"/>
    </row>
    <row r="624" spans="5:5" ht="12.75">
      <c r="E624" s="3"/>
    </row>
    <row r="625" spans="5:5" ht="12.75">
      <c r="E625" s="3"/>
    </row>
    <row r="626" spans="5:5" ht="12.75">
      <c r="E626" s="3"/>
    </row>
    <row r="627" spans="5:5" ht="12.75">
      <c r="E627" s="3"/>
    </row>
    <row r="628" spans="5:5" ht="12.75">
      <c r="E628" s="3"/>
    </row>
    <row r="629" spans="5:5" ht="12.75">
      <c r="E629" s="3"/>
    </row>
    <row r="630" spans="5:5" ht="12.75">
      <c r="E630" s="3"/>
    </row>
    <row r="631" spans="5:5" ht="12.75">
      <c r="E631" s="3"/>
    </row>
    <row r="632" spans="5:5" ht="12.75">
      <c r="E632" s="3"/>
    </row>
    <row r="633" spans="5:5" ht="12.75">
      <c r="E633" s="3"/>
    </row>
    <row r="634" spans="5:5" ht="12.75">
      <c r="E634" s="3"/>
    </row>
    <row r="635" spans="5:5" ht="12.75">
      <c r="E635" s="3"/>
    </row>
    <row r="636" spans="5:5" ht="12.75">
      <c r="E636" s="3"/>
    </row>
    <row r="637" spans="5:5" ht="12.75">
      <c r="E637" s="3"/>
    </row>
    <row r="638" spans="5:5" ht="12.75">
      <c r="E638" s="3"/>
    </row>
    <row r="639" spans="5:5" ht="12.75">
      <c r="E639" s="3"/>
    </row>
    <row r="640" spans="5:5" ht="12.75">
      <c r="E640" s="3"/>
    </row>
    <row r="641" spans="5:5" ht="12.75">
      <c r="E641" s="3"/>
    </row>
    <row r="642" spans="5:5" ht="12.75">
      <c r="E642" s="3"/>
    </row>
    <row r="643" spans="5:5" ht="12.75">
      <c r="E643" s="3"/>
    </row>
    <row r="644" spans="5:5" ht="12.75">
      <c r="E644" s="3"/>
    </row>
    <row r="645" spans="5:5" ht="12.75">
      <c r="E645" s="3"/>
    </row>
    <row r="646" spans="5:5" ht="12.75">
      <c r="E646" s="3"/>
    </row>
    <row r="647" spans="5:5" ht="12.75">
      <c r="E647" s="3"/>
    </row>
    <row r="648" spans="5:5" ht="12.75">
      <c r="E648" s="3"/>
    </row>
    <row r="649" spans="5:5" ht="12.75">
      <c r="E649" s="3"/>
    </row>
    <row r="650" spans="5:5" ht="12.75">
      <c r="E650" s="3"/>
    </row>
    <row r="651" spans="5:5" ht="12.75">
      <c r="E651" s="3"/>
    </row>
    <row r="652" spans="5:5" ht="12.75">
      <c r="E652" s="3"/>
    </row>
    <row r="653" spans="5:5" ht="12.75">
      <c r="E653" s="3"/>
    </row>
    <row r="654" spans="5:5" ht="12.75">
      <c r="E654" s="3"/>
    </row>
    <row r="655" spans="5:5" ht="12.75">
      <c r="E655" s="3"/>
    </row>
    <row r="656" spans="5:5" ht="12.75">
      <c r="E656" s="3"/>
    </row>
    <row r="657" spans="5:5" ht="12.75">
      <c r="E657" s="3"/>
    </row>
    <row r="658" spans="5:5" ht="12.75">
      <c r="E658" s="3"/>
    </row>
    <row r="659" spans="5:5" ht="12.75">
      <c r="E659" s="3"/>
    </row>
    <row r="660" spans="5:5" ht="12.75">
      <c r="E660" s="3"/>
    </row>
    <row r="661" spans="5:5" ht="12.75">
      <c r="E661" s="3"/>
    </row>
    <row r="662" spans="5:5" ht="12.75">
      <c r="E662" s="3"/>
    </row>
    <row r="663" spans="5:5" ht="12.75">
      <c r="E663" s="3"/>
    </row>
    <row r="664" spans="5:5" ht="12.75">
      <c r="E664" s="3"/>
    </row>
    <row r="665" spans="5:5" ht="12.75">
      <c r="E665" s="3"/>
    </row>
    <row r="666" spans="5:5" ht="12.75">
      <c r="E666" s="3"/>
    </row>
    <row r="667" spans="5:5" ht="12.75">
      <c r="E667" s="3"/>
    </row>
    <row r="668" spans="5:5" ht="12.75">
      <c r="E668" s="3"/>
    </row>
    <row r="669" spans="5:5" ht="12.75">
      <c r="E669" s="3"/>
    </row>
    <row r="670" spans="5:5" ht="12.75">
      <c r="E670" s="3"/>
    </row>
    <row r="671" spans="5:5" ht="12.75">
      <c r="E671" s="3"/>
    </row>
    <row r="672" spans="5:5" ht="12.75">
      <c r="E672" s="3"/>
    </row>
    <row r="673" spans="5:5" ht="12.75">
      <c r="E673" s="3"/>
    </row>
    <row r="674" spans="5:5" ht="12.75">
      <c r="E674" s="3"/>
    </row>
    <row r="675" spans="5:5" ht="12.75">
      <c r="E675" s="3"/>
    </row>
    <row r="676" spans="5:5" ht="12.75">
      <c r="E676" s="3"/>
    </row>
    <row r="677" spans="5:5" ht="12.75">
      <c r="E677" s="3"/>
    </row>
    <row r="678" spans="5:5" ht="12.75">
      <c r="E678" s="3"/>
    </row>
    <row r="679" spans="5:5" ht="12.75">
      <c r="E679" s="3"/>
    </row>
    <row r="680" spans="5:5" ht="12.75">
      <c r="E680" s="3"/>
    </row>
    <row r="681" spans="5:5" ht="12.75">
      <c r="E681" s="3"/>
    </row>
    <row r="682" spans="5:5" ht="12.75">
      <c r="E682" s="3"/>
    </row>
    <row r="683" spans="5:5" ht="12.75">
      <c r="E683" s="3"/>
    </row>
    <row r="684" spans="5:5" ht="12.75">
      <c r="E684" s="3"/>
    </row>
    <row r="685" spans="5:5" ht="12.75">
      <c r="E685" s="3"/>
    </row>
    <row r="686" spans="5:5" ht="12.75">
      <c r="E686" s="3"/>
    </row>
    <row r="687" spans="5:5" ht="12.75">
      <c r="E687" s="3"/>
    </row>
    <row r="688" spans="5:5" ht="12.75">
      <c r="E688" s="3"/>
    </row>
    <row r="689" spans="5:5" ht="12.75">
      <c r="E689" s="3"/>
    </row>
    <row r="690" spans="5:5" ht="12.75">
      <c r="E690" s="3"/>
    </row>
    <row r="691" spans="5:5" ht="12.75">
      <c r="E691" s="3"/>
    </row>
    <row r="692" spans="5:5" ht="12.75">
      <c r="E692" s="3"/>
    </row>
    <row r="693" spans="5:5" ht="12.75">
      <c r="E693" s="3"/>
    </row>
    <row r="694" spans="5:5" ht="12.75">
      <c r="E694" s="3"/>
    </row>
    <row r="695" spans="5:5" ht="12.75">
      <c r="E695" s="3"/>
    </row>
    <row r="696" spans="5:5" ht="12.75">
      <c r="E696" s="3"/>
    </row>
    <row r="697" spans="5:5" ht="12.75">
      <c r="E697" s="3"/>
    </row>
    <row r="698" spans="5:5" ht="12.75">
      <c r="E698" s="3"/>
    </row>
    <row r="699" spans="5:5" ht="12.75">
      <c r="E699" s="3"/>
    </row>
    <row r="700" spans="5:5" ht="12.75">
      <c r="E700" s="3"/>
    </row>
    <row r="701" spans="5:5" ht="12.75">
      <c r="E701" s="3"/>
    </row>
    <row r="702" spans="5:5" ht="12.75">
      <c r="E702" s="3"/>
    </row>
    <row r="703" spans="5:5" ht="12.75">
      <c r="E703" s="3"/>
    </row>
    <row r="704" spans="5:5" ht="12.75">
      <c r="E704" s="3"/>
    </row>
    <row r="705" spans="5:5" ht="12.75">
      <c r="E705" s="3"/>
    </row>
    <row r="706" spans="5:5" ht="12.75">
      <c r="E706" s="3"/>
    </row>
    <row r="707" spans="5:5" ht="12.75">
      <c r="E707" s="3"/>
    </row>
    <row r="708" spans="5:5" ht="12.75">
      <c r="E708" s="3"/>
    </row>
    <row r="709" spans="5:5" ht="12.75">
      <c r="E709" s="3"/>
    </row>
    <row r="710" spans="5:5" ht="12.75">
      <c r="E710" s="3"/>
    </row>
    <row r="711" spans="5:5" ht="12.75">
      <c r="E711" s="3"/>
    </row>
    <row r="712" spans="5:5" ht="12.75">
      <c r="E712" s="3"/>
    </row>
    <row r="713" spans="5:5" ht="12.75">
      <c r="E713" s="3"/>
    </row>
    <row r="714" spans="5:5" ht="12.75">
      <c r="E714" s="3"/>
    </row>
    <row r="715" spans="5:5" ht="12.75">
      <c r="E715" s="3"/>
    </row>
    <row r="716" spans="5:5" ht="12.75">
      <c r="E716" s="3"/>
    </row>
    <row r="717" spans="5:5" ht="12.75">
      <c r="E717" s="3"/>
    </row>
    <row r="718" spans="5:5" ht="12.75">
      <c r="E718" s="3"/>
    </row>
    <row r="719" spans="5:5" ht="12.75">
      <c r="E719" s="3"/>
    </row>
    <row r="720" spans="5:5" ht="12.75">
      <c r="E720" s="3"/>
    </row>
    <row r="721" spans="5:5" ht="12.75">
      <c r="E721" s="3"/>
    </row>
    <row r="722" spans="5:5" ht="12.75">
      <c r="E722" s="3"/>
    </row>
    <row r="723" spans="5:5" ht="12.75">
      <c r="E723" s="3"/>
    </row>
    <row r="724" spans="5:5" ht="12.75">
      <c r="E724" s="3"/>
    </row>
    <row r="725" spans="5:5" ht="12.75">
      <c r="E725" s="3"/>
    </row>
    <row r="726" spans="5:5" ht="12.75">
      <c r="E726" s="3"/>
    </row>
    <row r="727" spans="5:5" ht="12.75">
      <c r="E727" s="3"/>
    </row>
    <row r="728" spans="5:5" ht="12.75">
      <c r="E728" s="3"/>
    </row>
    <row r="729" spans="5:5" ht="12.75">
      <c r="E729" s="3"/>
    </row>
    <row r="730" spans="5:5" ht="12.75">
      <c r="E730" s="3"/>
    </row>
    <row r="731" spans="5:5" ht="12.75">
      <c r="E731" s="3"/>
    </row>
    <row r="732" spans="5:5" ht="12.75">
      <c r="E732" s="3"/>
    </row>
    <row r="733" spans="5:5" ht="12.75">
      <c r="E733" s="3"/>
    </row>
    <row r="734" spans="5:5" ht="12.75">
      <c r="E734" s="3"/>
    </row>
    <row r="735" spans="5:5" ht="12.75">
      <c r="E735" s="3"/>
    </row>
    <row r="736" spans="5:5" ht="12.75">
      <c r="E736" s="3"/>
    </row>
    <row r="737" spans="5:5" ht="12.75">
      <c r="E737" s="3"/>
    </row>
    <row r="738" spans="5:5" ht="12.75">
      <c r="E738" s="3"/>
    </row>
    <row r="739" spans="5:5" ht="12.75">
      <c r="E739" s="3"/>
    </row>
    <row r="740" spans="5:5" ht="12.75">
      <c r="E740" s="3"/>
    </row>
    <row r="741" spans="5:5" ht="12.75">
      <c r="E741" s="3"/>
    </row>
    <row r="742" spans="5:5" ht="12.75">
      <c r="E742" s="3"/>
    </row>
    <row r="743" spans="5:5" ht="12.75">
      <c r="E743" s="3"/>
    </row>
    <row r="744" spans="5:5" ht="12.75">
      <c r="E744" s="3"/>
    </row>
    <row r="745" spans="5:5" ht="12.75">
      <c r="E745" s="3"/>
    </row>
    <row r="746" spans="5:5" ht="12.75">
      <c r="E746" s="3"/>
    </row>
    <row r="747" spans="5:5" ht="12.75">
      <c r="E747" s="3"/>
    </row>
    <row r="748" spans="5:5" ht="12.75">
      <c r="E748" s="3"/>
    </row>
    <row r="749" spans="5:5" ht="12.75">
      <c r="E749" s="3"/>
    </row>
    <row r="750" spans="5:5" ht="12.75">
      <c r="E750" s="3"/>
    </row>
    <row r="751" spans="5:5" ht="12.75">
      <c r="E751" s="3"/>
    </row>
    <row r="752" spans="5:5" ht="12.75">
      <c r="E752" s="3"/>
    </row>
    <row r="753" spans="5:5" ht="12.75">
      <c r="E753" s="3"/>
    </row>
    <row r="754" spans="5:5" ht="12.75">
      <c r="E754" s="3"/>
    </row>
    <row r="755" spans="5:5" ht="12.75">
      <c r="E755" s="3"/>
    </row>
    <row r="756" spans="5:5" ht="12.75">
      <c r="E756" s="3"/>
    </row>
    <row r="757" spans="5:5" ht="12.75">
      <c r="E757" s="3"/>
    </row>
    <row r="758" spans="5:5" ht="12.75">
      <c r="E758" s="3"/>
    </row>
    <row r="759" spans="5:5" ht="12.75">
      <c r="E759" s="3"/>
    </row>
    <row r="760" spans="5:5" ht="12.75">
      <c r="E760" s="3"/>
    </row>
    <row r="761" spans="5:5" ht="12.75">
      <c r="E761" s="3"/>
    </row>
    <row r="762" spans="5:5" ht="12.75">
      <c r="E762" s="3"/>
    </row>
    <row r="763" spans="5:5" ht="12.75">
      <c r="E763" s="3"/>
    </row>
    <row r="764" spans="5:5" ht="12.75">
      <c r="E764" s="3"/>
    </row>
    <row r="765" spans="5:5" ht="12.75">
      <c r="E765" s="3"/>
    </row>
    <row r="766" spans="5:5" ht="12.75">
      <c r="E766" s="3"/>
    </row>
    <row r="767" spans="5:5" ht="12.75">
      <c r="E767" s="3"/>
    </row>
    <row r="768" spans="5:5" ht="12.75">
      <c r="E768" s="3"/>
    </row>
    <row r="769" spans="5:5" ht="12.75">
      <c r="E769" s="3"/>
    </row>
    <row r="770" spans="5:5" ht="12.75">
      <c r="E770" s="3"/>
    </row>
    <row r="771" spans="5:5" ht="12.75">
      <c r="E771" s="3"/>
    </row>
    <row r="772" spans="5:5" ht="12.75">
      <c r="E772" s="3"/>
    </row>
    <row r="773" spans="5:5" ht="12.75">
      <c r="E773" s="3"/>
    </row>
    <row r="774" spans="5:5" ht="12.75">
      <c r="E774" s="3"/>
    </row>
    <row r="775" spans="5:5" ht="12.75">
      <c r="E775" s="3"/>
    </row>
    <row r="776" spans="5:5" ht="12.75">
      <c r="E776" s="3"/>
    </row>
    <row r="777" spans="5:5" ht="12.75">
      <c r="E777" s="3"/>
    </row>
    <row r="778" spans="5:5" ht="12.75">
      <c r="E778" s="3"/>
    </row>
    <row r="779" spans="5:5" ht="12.75">
      <c r="E779" s="3"/>
    </row>
    <row r="780" spans="5:5" ht="12.75">
      <c r="E780" s="3"/>
    </row>
    <row r="781" spans="5:5" ht="12.75">
      <c r="E781" s="3"/>
    </row>
    <row r="782" spans="5:5" ht="12.75">
      <c r="E782" s="3"/>
    </row>
    <row r="783" spans="5:5" ht="12.75">
      <c r="E783" s="3"/>
    </row>
    <row r="784" spans="5:5" ht="12.75">
      <c r="E784" s="3"/>
    </row>
    <row r="785" spans="5:5" ht="12.75">
      <c r="E785" s="3"/>
    </row>
    <row r="786" spans="5:5" ht="12.75">
      <c r="E786" s="3"/>
    </row>
    <row r="787" spans="5:5" ht="12.75">
      <c r="E787" s="3"/>
    </row>
    <row r="788" spans="5:5" ht="12.75">
      <c r="E788" s="3"/>
    </row>
    <row r="789" spans="5:5" ht="12.75">
      <c r="E789" s="3"/>
    </row>
    <row r="790" spans="5:5" ht="12.75">
      <c r="E790" s="3"/>
    </row>
    <row r="791" spans="5:5" ht="12.75">
      <c r="E791" s="3"/>
    </row>
    <row r="792" spans="5:5" ht="12.75">
      <c r="E792" s="3"/>
    </row>
    <row r="793" spans="5:5" ht="12.75">
      <c r="E793" s="3"/>
    </row>
    <row r="794" spans="5:5" ht="12.75">
      <c r="E794" s="3"/>
    </row>
    <row r="795" spans="5:5" ht="12.75">
      <c r="E795" s="3"/>
    </row>
    <row r="796" spans="5:5" ht="12.75">
      <c r="E796" s="3"/>
    </row>
    <row r="797" spans="5:5" ht="12.75">
      <c r="E797" s="3"/>
    </row>
    <row r="798" spans="5:5" ht="12.75">
      <c r="E798" s="3"/>
    </row>
    <row r="799" spans="5:5" ht="12.75">
      <c r="E799" s="3"/>
    </row>
    <row r="800" spans="5:5" ht="12.75">
      <c r="E800" s="3"/>
    </row>
    <row r="801" spans="5:5" ht="12.75">
      <c r="E801" s="3"/>
    </row>
    <row r="802" spans="5:5" ht="12.75">
      <c r="E802" s="3"/>
    </row>
    <row r="803" spans="5:5" ht="12.75">
      <c r="E803" s="3"/>
    </row>
    <row r="804" spans="5:5" ht="12.75">
      <c r="E804" s="3"/>
    </row>
    <row r="805" spans="5:5" ht="12.75">
      <c r="E805" s="3"/>
    </row>
    <row r="806" spans="5:5" ht="12.75">
      <c r="E806" s="3"/>
    </row>
    <row r="807" spans="5:5" ht="12.75">
      <c r="E807" s="3"/>
    </row>
    <row r="808" spans="5:5" ht="12.75">
      <c r="E808" s="3"/>
    </row>
    <row r="809" spans="5:5" ht="12.75">
      <c r="E809" s="3"/>
    </row>
    <row r="810" spans="5:5" ht="12.75">
      <c r="E810" s="3"/>
    </row>
    <row r="811" spans="5:5" ht="12.75">
      <c r="E811" s="3"/>
    </row>
    <row r="812" spans="5:5" ht="12.75">
      <c r="E812" s="3"/>
    </row>
    <row r="813" spans="5:5" ht="12.75">
      <c r="E813" s="3"/>
    </row>
    <row r="814" spans="5:5" ht="12.75">
      <c r="E814" s="3"/>
    </row>
    <row r="815" spans="5:5" ht="12.75">
      <c r="E815" s="3"/>
    </row>
    <row r="816" spans="5:5" ht="12.75">
      <c r="E816" s="3"/>
    </row>
    <row r="817" spans="5:5" ht="12.75">
      <c r="E817" s="3"/>
    </row>
    <row r="818" spans="5:5" ht="12.75">
      <c r="E818" s="3"/>
    </row>
    <row r="819" spans="5:5" ht="12.75">
      <c r="E819" s="3"/>
    </row>
    <row r="820" spans="5:5" ht="12.75">
      <c r="E820" s="3"/>
    </row>
    <row r="821" spans="5:5" ht="12.75">
      <c r="E821" s="3"/>
    </row>
    <row r="822" spans="5:5" ht="12.75">
      <c r="E822" s="3"/>
    </row>
    <row r="823" spans="5:5" ht="12.75">
      <c r="E823" s="3"/>
    </row>
    <row r="824" spans="5:5" ht="12.75">
      <c r="E824" s="3"/>
    </row>
    <row r="825" spans="5:5" ht="12.75">
      <c r="E825" s="3"/>
    </row>
    <row r="826" spans="5:5" ht="12.75">
      <c r="E826" s="3"/>
    </row>
    <row r="827" spans="5:5" ht="12.75">
      <c r="E827" s="3"/>
    </row>
    <row r="828" spans="5:5" ht="12.75">
      <c r="E828" s="3"/>
    </row>
    <row r="829" spans="5:5" ht="12.75">
      <c r="E829" s="3"/>
    </row>
    <row r="830" spans="5:5" ht="12.75">
      <c r="E830" s="3"/>
    </row>
    <row r="831" spans="5:5" ht="12.75">
      <c r="E831" s="3"/>
    </row>
    <row r="832" spans="5:5" ht="12.75">
      <c r="E832" s="3"/>
    </row>
    <row r="833" spans="5:5" ht="12.75">
      <c r="E833" s="3"/>
    </row>
    <row r="834" spans="5:5" ht="12.75">
      <c r="E834" s="3"/>
    </row>
    <row r="835" spans="5:5" ht="12.75">
      <c r="E835" s="3"/>
    </row>
    <row r="836" spans="5:5" ht="12.75">
      <c r="E836" s="3"/>
    </row>
    <row r="837" spans="5:5" ht="12.75">
      <c r="E837" s="3"/>
    </row>
    <row r="838" spans="5:5" ht="12.75">
      <c r="E838" s="3"/>
    </row>
    <row r="839" spans="5:5" ht="12.75">
      <c r="E839" s="3"/>
    </row>
    <row r="840" spans="5:5" ht="12.75">
      <c r="E840" s="3"/>
    </row>
    <row r="841" spans="5:5" ht="12.75">
      <c r="E841" s="3"/>
    </row>
    <row r="842" spans="5:5" ht="12.75">
      <c r="E842" s="3"/>
    </row>
    <row r="843" spans="5:5" ht="12.75">
      <c r="E843" s="3"/>
    </row>
    <row r="844" spans="5:5" ht="12.75">
      <c r="E844" s="3"/>
    </row>
    <row r="845" spans="5:5" ht="12.75">
      <c r="E845" s="3"/>
    </row>
    <row r="846" spans="5:5" ht="12.75">
      <c r="E846" s="3"/>
    </row>
    <row r="847" spans="5:5" ht="12.75">
      <c r="E847" s="3"/>
    </row>
    <row r="848" spans="5:5" ht="12.75">
      <c r="E848" s="3"/>
    </row>
    <row r="849" spans="5:5" ht="12.75">
      <c r="E849" s="3"/>
    </row>
    <row r="850" spans="5:5" ht="12.75">
      <c r="E850" s="3"/>
    </row>
    <row r="851" spans="5:5" ht="12.75">
      <c r="E851" s="3"/>
    </row>
    <row r="852" spans="5:5" ht="12.75">
      <c r="E852" s="3"/>
    </row>
    <row r="853" spans="5:5" ht="12.75">
      <c r="E853" s="3"/>
    </row>
    <row r="854" spans="5:5" ht="12.75">
      <c r="E854" s="3"/>
    </row>
    <row r="855" spans="5:5" ht="12.75">
      <c r="E855" s="3"/>
    </row>
    <row r="856" spans="5:5" ht="12.75">
      <c r="E856" s="3"/>
    </row>
    <row r="857" spans="5:5" ht="12.75">
      <c r="E857" s="3"/>
    </row>
    <row r="858" spans="5:5" ht="12.75">
      <c r="E858" s="3"/>
    </row>
    <row r="859" spans="5:5" ht="12.75">
      <c r="E859" s="3"/>
    </row>
    <row r="860" spans="5:5" ht="12.75">
      <c r="E860" s="3"/>
    </row>
    <row r="861" spans="5:5" ht="12.75">
      <c r="E861" s="3"/>
    </row>
    <row r="862" spans="5:5" ht="12.75">
      <c r="E862" s="3"/>
    </row>
    <row r="863" spans="5:5" ht="12.75">
      <c r="E863" s="3"/>
    </row>
    <row r="864" spans="5:5" ht="12.75">
      <c r="E864" s="3"/>
    </row>
    <row r="865" spans="5:5" ht="12.75">
      <c r="E865" s="3"/>
    </row>
    <row r="866" spans="5:5" ht="12.75">
      <c r="E866" s="3"/>
    </row>
    <row r="867" spans="5:5" ht="12.75">
      <c r="E867" s="3"/>
    </row>
    <row r="868" spans="5:5" ht="12.75">
      <c r="E868" s="3"/>
    </row>
    <row r="869" spans="5:5" ht="12.75">
      <c r="E869" s="3"/>
    </row>
    <row r="870" spans="5:5" ht="12.75">
      <c r="E870" s="3"/>
    </row>
    <row r="871" spans="5:5" ht="12.75">
      <c r="E871" s="3"/>
    </row>
    <row r="872" spans="5:5" ht="12.75">
      <c r="E872" s="3"/>
    </row>
    <row r="873" spans="5:5" ht="12.75">
      <c r="E873" s="3"/>
    </row>
    <row r="874" spans="5:5" ht="12.75">
      <c r="E874" s="3"/>
    </row>
    <row r="875" spans="5:5" ht="12.75">
      <c r="E875" s="3"/>
    </row>
    <row r="876" spans="5:5" ht="12.75">
      <c r="E876" s="3"/>
    </row>
    <row r="877" spans="5:5" ht="12.75">
      <c r="E877" s="3"/>
    </row>
    <row r="878" spans="5:5" ht="12.75">
      <c r="E878" s="3"/>
    </row>
    <row r="879" spans="5:5" ht="12.75">
      <c r="E879" s="3"/>
    </row>
    <row r="880" spans="5:5" ht="12.75">
      <c r="E880" s="3"/>
    </row>
    <row r="881" spans="5:5" ht="12.75">
      <c r="E881" s="3"/>
    </row>
    <row r="882" spans="5:5" ht="12.75">
      <c r="E882" s="3"/>
    </row>
    <row r="883" spans="5:5" ht="12.75">
      <c r="E883" s="3"/>
    </row>
    <row r="884" spans="5:5" ht="12.75">
      <c r="E884" s="3"/>
    </row>
    <row r="885" spans="5:5" ht="12.75">
      <c r="E885" s="3"/>
    </row>
    <row r="886" spans="5:5" ht="12.75">
      <c r="E886" s="3"/>
    </row>
    <row r="887" spans="5:5" ht="12.75">
      <c r="E887" s="3"/>
    </row>
    <row r="888" spans="5:5" ht="12.75">
      <c r="E888" s="3"/>
    </row>
    <row r="889" spans="5:5" ht="12.75">
      <c r="E889" s="3"/>
    </row>
    <row r="890" spans="5:5" ht="12.75">
      <c r="E890" s="3"/>
    </row>
    <row r="891" spans="5:5" ht="12.75">
      <c r="E891" s="3"/>
    </row>
    <row r="892" spans="5:5" ht="12.75">
      <c r="E892" s="3"/>
    </row>
    <row r="893" spans="5:5" ht="12.75">
      <c r="E893" s="3"/>
    </row>
    <row r="894" spans="5:5" ht="12.75">
      <c r="E894" s="3"/>
    </row>
    <row r="895" spans="5:5" ht="12.75">
      <c r="E895" s="3"/>
    </row>
    <row r="896" spans="5:5" ht="12.75">
      <c r="E896" s="3"/>
    </row>
    <row r="897" spans="5:5" ht="12.75">
      <c r="E897" s="3"/>
    </row>
    <row r="898" spans="5:5" ht="12.75">
      <c r="E898" s="3"/>
    </row>
    <row r="899" spans="5:5" ht="12.75">
      <c r="E899" s="3"/>
    </row>
    <row r="900" spans="5:5" ht="12.75">
      <c r="E900" s="3"/>
    </row>
    <row r="901" spans="5:5" ht="12.75">
      <c r="E901" s="3"/>
    </row>
    <row r="902" spans="5:5" ht="12.75">
      <c r="E902" s="3"/>
    </row>
    <row r="903" spans="5:5" ht="12.75">
      <c r="E903" s="3"/>
    </row>
    <row r="904" spans="5:5" ht="12.75">
      <c r="E904" s="3"/>
    </row>
    <row r="905" spans="5:5" ht="12.75">
      <c r="E905" s="3"/>
    </row>
    <row r="906" spans="5:5" ht="12.75">
      <c r="E906" s="3"/>
    </row>
    <row r="907" spans="5:5" ht="12.75">
      <c r="E907" s="3"/>
    </row>
    <row r="908" spans="5:5" ht="12.75">
      <c r="E908" s="3"/>
    </row>
    <row r="909" spans="5:5" ht="12.75">
      <c r="E909" s="3"/>
    </row>
    <row r="910" spans="5:5" ht="12.75">
      <c r="E910" s="3"/>
    </row>
    <row r="911" spans="5:5" ht="12.75">
      <c r="E911" s="3"/>
    </row>
    <row r="912" spans="5:5" ht="12.75">
      <c r="E912" s="3"/>
    </row>
    <row r="913" spans="5:5" ht="12.75">
      <c r="E913" s="3"/>
    </row>
    <row r="914" spans="5:5" ht="12.75">
      <c r="E914" s="3"/>
    </row>
    <row r="915" spans="5:5" ht="12.75">
      <c r="E915" s="3"/>
    </row>
    <row r="916" spans="5:5" ht="12.75">
      <c r="E916" s="3"/>
    </row>
    <row r="917" spans="5:5" ht="12.75">
      <c r="E917" s="3"/>
    </row>
    <row r="918" spans="5:5" ht="12.75">
      <c r="E918" s="3"/>
    </row>
    <row r="919" spans="5:5" ht="12.75">
      <c r="E919" s="3"/>
    </row>
    <row r="920" spans="5:5" ht="12.75">
      <c r="E920" s="3"/>
    </row>
    <row r="921" spans="5:5" ht="12.75">
      <c r="E921" s="3"/>
    </row>
    <row r="922" spans="5:5" ht="12.75">
      <c r="E922" s="3"/>
    </row>
    <row r="923" spans="5:5" ht="12.75">
      <c r="E923" s="3"/>
    </row>
    <row r="924" spans="5:5" ht="12.75">
      <c r="E924" s="3"/>
    </row>
    <row r="925" spans="5:5" ht="12.75">
      <c r="E925" s="3"/>
    </row>
    <row r="926" spans="5:5" ht="12.75">
      <c r="E926" s="3"/>
    </row>
    <row r="927" spans="5:5" ht="12.75">
      <c r="E927" s="3"/>
    </row>
    <row r="928" spans="5:5" ht="12.75">
      <c r="E928" s="3"/>
    </row>
    <row r="929" spans="5:5" ht="12.75">
      <c r="E929" s="3"/>
    </row>
    <row r="930" spans="5:5" ht="12.75">
      <c r="E930" s="3"/>
    </row>
    <row r="931" spans="5:5" ht="12.75">
      <c r="E931" s="3"/>
    </row>
    <row r="932" spans="5:5" ht="12.75">
      <c r="E932" s="3"/>
    </row>
    <row r="933" spans="5:5" ht="12.75">
      <c r="E933" s="3"/>
    </row>
    <row r="934" spans="5:5" ht="12.75">
      <c r="E934" s="3"/>
    </row>
    <row r="935" spans="5:5" ht="12.75">
      <c r="E935" s="3"/>
    </row>
    <row r="936" spans="5:5" ht="12.75">
      <c r="E936" s="3"/>
    </row>
    <row r="937" spans="5:5" ht="12.75">
      <c r="E937" s="3"/>
    </row>
    <row r="938" spans="5:5" ht="12.75">
      <c r="E938" s="3"/>
    </row>
    <row r="939" spans="5:5" ht="12.75">
      <c r="E939" s="3"/>
    </row>
    <row r="940" spans="5:5" ht="12.75">
      <c r="E940" s="3"/>
    </row>
    <row r="941" spans="5:5" ht="12.75">
      <c r="E941" s="3"/>
    </row>
    <row r="942" spans="5:5" ht="12.75">
      <c r="E942" s="3"/>
    </row>
    <row r="943" spans="5:5" ht="12.75">
      <c r="E943" s="3"/>
    </row>
    <row r="944" spans="5:5" ht="12.75">
      <c r="E944" s="3"/>
    </row>
    <row r="945" spans="5:5" ht="12.75">
      <c r="E945" s="3"/>
    </row>
    <row r="946" spans="5:5" ht="12.75">
      <c r="E946" s="3"/>
    </row>
    <row r="947" spans="5:5" ht="12.75">
      <c r="E947" s="3"/>
    </row>
    <row r="948" spans="5:5" ht="12.75">
      <c r="E948" s="3"/>
    </row>
    <row r="949" spans="5:5" ht="12.75">
      <c r="E949" s="3"/>
    </row>
    <row r="950" spans="5:5" ht="12.75">
      <c r="E950" s="3"/>
    </row>
    <row r="951" spans="5:5" ht="12.75">
      <c r="E951" s="3"/>
    </row>
    <row r="952" spans="5:5" ht="12.75">
      <c r="E952" s="3"/>
    </row>
    <row r="953" spans="5:5" ht="12.75">
      <c r="E953" s="3"/>
    </row>
    <row r="954" spans="5:5" ht="12.75">
      <c r="E954" s="3"/>
    </row>
    <row r="955" spans="5:5" ht="12.75">
      <c r="E955" s="3"/>
    </row>
    <row r="956" spans="5:5" ht="12.75">
      <c r="E956" s="3"/>
    </row>
    <row r="957" spans="5:5" ht="12.75">
      <c r="E957" s="3"/>
    </row>
    <row r="958" spans="5:5" ht="12.75">
      <c r="E958" s="3"/>
    </row>
    <row r="959" spans="5:5" ht="12.75">
      <c r="E959" s="3"/>
    </row>
    <row r="960" spans="5:5" ht="12.75">
      <c r="E960" s="3"/>
    </row>
    <row r="961" spans="5:5" ht="12.75">
      <c r="E961" s="3"/>
    </row>
    <row r="962" spans="5:5" ht="12.75">
      <c r="E962" s="3"/>
    </row>
    <row r="963" spans="5:5" ht="12.75">
      <c r="E963" s="3"/>
    </row>
    <row r="964" spans="5:5" ht="12.75">
      <c r="E964" s="3"/>
    </row>
    <row r="965" spans="5:5" ht="12.75">
      <c r="E965" s="3"/>
    </row>
    <row r="966" spans="5:5" ht="12.75">
      <c r="E966" s="3"/>
    </row>
    <row r="967" spans="5:5" ht="12.75">
      <c r="E967" s="3"/>
    </row>
    <row r="968" spans="5:5" ht="12.75">
      <c r="E968" s="3"/>
    </row>
    <row r="969" spans="5:5" ht="12.75">
      <c r="E969" s="3"/>
    </row>
    <row r="970" spans="5:5" ht="12.75">
      <c r="E970" s="3"/>
    </row>
    <row r="971" spans="5:5" ht="12.75">
      <c r="E971" s="3"/>
    </row>
    <row r="972" spans="5:5" ht="12.75">
      <c r="E972" s="3"/>
    </row>
    <row r="973" spans="5:5" ht="12.75">
      <c r="E973" s="3"/>
    </row>
    <row r="974" spans="5:5" ht="12.75">
      <c r="E974" s="3"/>
    </row>
    <row r="975" spans="5:5" ht="12.75">
      <c r="E975" s="3"/>
    </row>
    <row r="976" spans="5:5" ht="12.75">
      <c r="E976" s="3"/>
    </row>
    <row r="977" spans="5:5" ht="12.75">
      <c r="E977" s="3"/>
    </row>
    <row r="978" spans="5:5" ht="12.75">
      <c r="E978" s="3"/>
    </row>
    <row r="979" spans="5:5" ht="12.75">
      <c r="E979" s="3"/>
    </row>
    <row r="980" spans="5:5" ht="12.75">
      <c r="E980" s="3"/>
    </row>
    <row r="981" spans="5:5" ht="12.75">
      <c r="E981" s="3"/>
    </row>
    <row r="982" spans="5:5" ht="12.75">
      <c r="E982" s="3"/>
    </row>
    <row r="983" spans="5:5" ht="12.75">
      <c r="E983" s="3"/>
    </row>
    <row r="984" spans="5:5" ht="12.75">
      <c r="E984" s="3"/>
    </row>
    <row r="985" spans="5:5" ht="12.75">
      <c r="E985" s="3"/>
    </row>
    <row r="986" spans="5:5" ht="12.75">
      <c r="E986" s="3"/>
    </row>
    <row r="987" spans="5:5" ht="12.75">
      <c r="E987" s="3"/>
    </row>
    <row r="988" spans="5:5" ht="12.75">
      <c r="E988" s="3"/>
    </row>
    <row r="989" spans="5:5" ht="12.75">
      <c r="E989" s="3"/>
    </row>
    <row r="990" spans="5:5" ht="12.75">
      <c r="E990" s="3"/>
    </row>
    <row r="991" spans="5:5" ht="12.75">
      <c r="E991" s="3"/>
    </row>
    <row r="992" spans="5:5" ht="12.75">
      <c r="E992" s="3"/>
    </row>
    <row r="993" spans="5:5" ht="12.75">
      <c r="E993" s="3"/>
    </row>
    <row r="994" spans="5:5" ht="12.75">
      <c r="E994" s="3"/>
    </row>
    <row r="995" spans="5:5" ht="12.75">
      <c r="E995" s="3"/>
    </row>
    <row r="996" spans="5:5" ht="12.75">
      <c r="E996" s="3"/>
    </row>
    <row r="997" spans="5:5" ht="12.75">
      <c r="E997" s="3"/>
    </row>
    <row r="998" spans="5:5" ht="12.75">
      <c r="E998" s="3"/>
    </row>
    <row r="999" spans="5:5" ht="12.75">
      <c r="E999" s="3"/>
    </row>
  </sheetData>
  <autoFilter ref="A1:F999" xr:uid="{00000000-0001-0000-0400-000000000000}"/>
  <phoneticPr fontId="30" type="noConversion"/>
  <dataValidations count="1">
    <dataValidation type="list" allowBlank="1" showErrorMessage="1" sqref="E1:E999" xr:uid="{00000000-0002-0000-0400-000000000000}">
      <formula1>"幣別代碼,ARS,AUD,BDT,BND,BOB,BRL,CLP,CNY,COP,EGP,ETB,EUR,GBP,GHS,HKD,HNL,IDR,IDRK,INR,JPY,KES,KRW,LTC,MBTC,MMK,MXN,MYR,NGN,NOK,NPR,PEN,PHP,PKR,PYG,RUB,SGD,THB,TRY,TWD,TZS,UGX,USD,USDT,VND,VNDK,ZAR"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Q528"/>
  <sheetViews>
    <sheetView workbookViewId="0">
      <pane ySplit="1" topLeftCell="A2" activePane="bottomLeft" state="frozen"/>
      <selection pane="bottomLeft" activeCell="B20" sqref="B20"/>
    </sheetView>
  </sheetViews>
  <sheetFormatPr defaultColWidth="12.5703125" defaultRowHeight="15.75" customHeight="1"/>
  <cols>
    <col min="1" max="1" width="11" customWidth="1"/>
    <col min="2" max="2" width="7.5703125" customWidth="1"/>
    <col min="3" max="3" width="10.42578125" customWidth="1"/>
    <col min="4" max="4" width="22.140625" customWidth="1"/>
    <col min="5" max="5" width="11.28515625" customWidth="1"/>
    <col min="6" max="17" width="59.7109375" customWidth="1"/>
  </cols>
  <sheetData>
    <row r="1" spans="1:17">
      <c r="A1" s="1" t="str">
        <f ca="1">IFERROR(__xludf.DUMMYFUNCTION("IMPORTRANGE(""https://docs.google.com/spreadsheets/d/1y34neqGL52ey0dXJFYPoHp1eXuWAmMf5vwmP57L1UuE/"",""'幣別'!A:Z"")"),"幣別中文")</f>
        <v>幣別中文</v>
      </c>
      <c r="B1" s="1" t="str">
        <f ca="1">IFERROR(__xludf.DUMMYFUNCTION("""COMPUTED_VALUE"""),"幣別代碼")</f>
        <v>幣別代碼</v>
      </c>
      <c r="C1" s="1" t="str">
        <f ca="1">IFERROR(__xludf.DUMMYFUNCTION("""COMPUTED_VALUE"""),"幣別符號")</f>
        <v>幣別符號</v>
      </c>
      <c r="D1" s="1" t="str">
        <f ca="1">IFERROR(__xludf.DUMMYFUNCTION("""COMPUTED_VALUE"""),"公式用參數")</f>
        <v>公式用參數</v>
      </c>
      <c r="E1" s="12" t="str">
        <f ca="1">IFERROR(__xludf.DUMMYFUNCTION("""COMPUTED_VALUE"""),"實際幣值")</f>
        <v>實際幣值</v>
      </c>
      <c r="F1" s="1" t="str">
        <f ca="1">IFERROR(__xludf.DUMMYFUNCTION("""COMPUTED_VALUE"""),"幣值轉換
(人民幣基準)")</f>
        <v>幣值轉換
(人民幣基準)</v>
      </c>
      <c r="G1" s="1" t="str">
        <f ca="1">IFERROR(__xludf.DUMMYFUNCTION("""COMPUTED_VALUE"""),"代碼")</f>
        <v>代碼</v>
      </c>
      <c r="H1" s="1" t="str">
        <f ca="1">IFERROR(__xludf.DUMMYFUNCTION("""COMPUTED_VALUE"""),"參考資料")</f>
        <v>參考資料</v>
      </c>
      <c r="I1" s="1" t="str">
        <f ca="1">IFERROR(__xludf.DUMMYFUNCTION("""COMPUTED_VALUE"""),"連結")</f>
        <v>連結</v>
      </c>
      <c r="J1" s="1"/>
      <c r="K1" s="1"/>
      <c r="L1" s="1"/>
      <c r="M1" s="1"/>
      <c r="N1" s="1"/>
      <c r="O1" s="1"/>
      <c r="P1" s="1"/>
      <c r="Q1" s="1"/>
    </row>
    <row r="2" spans="1:17">
      <c r="A2" s="2" t="str">
        <f ca="1">IFERROR(__xludf.DUMMYFUNCTION("""COMPUTED_VALUE"""),"人民幣")</f>
        <v>人民幣</v>
      </c>
      <c r="B2" s="2" t="str">
        <f ca="1">IFERROR(__xludf.DUMMYFUNCTION("""COMPUTED_VALUE"""),"CNY")</f>
        <v>CNY</v>
      </c>
      <c r="C2" s="2" t="str">
        <f ca="1">IFERROR(__xludf.DUMMYFUNCTION("""COMPUTED_VALUE"""),"CN¥")</f>
        <v>CN¥</v>
      </c>
      <c r="D2" s="2"/>
      <c r="E2" s="13">
        <f ca="1">IFERROR(__xludf.DUMMYFUNCTION("""COMPUTED_VALUE"""),1)</f>
        <v>1</v>
      </c>
      <c r="F2" s="2">
        <f ca="1">IFERROR(__xludf.DUMMYFUNCTION("""COMPUTED_VALUE"""),1)</f>
        <v>1</v>
      </c>
      <c r="G2" s="2" t="str">
        <f ca="1">IFERROR(__xludf.DUMMYFUNCTION("""COMPUTED_VALUE"""),",('CNY', 1) -- 人民幣")</f>
        <v>,('CNY', 1) -- 人民幣</v>
      </c>
      <c r="H2" s="2" t="str">
        <f ca="1">IFERROR(__xludf.DUMMYFUNCTION("""COMPUTED_VALUE"""),"幣別代碼WIKI")</f>
        <v>幣別代碼WIKI</v>
      </c>
      <c r="I2" s="14" t="str">
        <f ca="1">IFERROR(__xludf.DUMMYFUNCTION("""COMPUTED_VALUE"""),"https://zh.wikipedia.org/zh-tw/ISO_4217")</f>
        <v>https://zh.wikipedia.org/zh-tw/ISO_4217</v>
      </c>
      <c r="J2" s="2"/>
      <c r="K2" s="2"/>
      <c r="L2" s="2"/>
      <c r="M2" s="2"/>
      <c r="N2" s="2"/>
      <c r="O2" s="2"/>
      <c r="P2" s="2"/>
      <c r="Q2" s="2"/>
    </row>
    <row r="3" spans="1:17">
      <c r="A3" s="2" t="str">
        <f ca="1">IFERROR(__xludf.DUMMYFUNCTION("""COMPUTED_VALUE"""),"新加坡元")</f>
        <v>新加坡元</v>
      </c>
      <c r="B3" s="2" t="str">
        <f ca="1">IFERROR(__xludf.DUMMYFUNCTION("""COMPUTED_VALUE"""),"SGD")</f>
        <v>SGD</v>
      </c>
      <c r="C3" s="2" t="str">
        <f ca="1">IFERROR(__xludf.DUMMYFUNCTION("""COMPUTED_VALUE"""),"S$")</f>
        <v>S$</v>
      </c>
      <c r="D3" s="2" t="str">
        <f ca="1">IFERROR(__xludf.DUMMYFUNCTION("""COMPUTED_VALUE"""),"CNYSGD")</f>
        <v>CNYSGD</v>
      </c>
      <c r="E3" s="13">
        <f ca="1">IFERROR(__xludf.DUMMYFUNCTION("""COMPUTED_VALUE"""),0.1859570908)</f>
        <v>0.1859570908</v>
      </c>
      <c r="F3" s="2">
        <f ca="1">IFERROR(__xludf.DUMMYFUNCTION("""COMPUTED_VALUE"""),1)</f>
        <v>1</v>
      </c>
      <c r="G3" s="2" t="str">
        <f ca="1">IFERROR(__xludf.DUMMYFUNCTION("""COMPUTED_VALUE"""),",('SGD', 1) -- 新加坡元")</f>
        <v>,('SGD', 1) -- 新加坡元</v>
      </c>
      <c r="H3" s="2" t="str">
        <f ca="1">IFERROR(__xludf.DUMMYFUNCTION("""COMPUTED_VALUE"""),"幣別轉換")</f>
        <v>幣別轉換</v>
      </c>
      <c r="I3" s="14" t="str">
        <f ca="1">IFERROR(__xludf.DUMMYFUNCTION("""COMPUTED_VALUE"""),"https://www.oanda.com/currency-converter/zh/?from=CNY&amp;to=MYR&amp;amount=1")</f>
        <v>https://www.oanda.com/currency-converter/zh/?from=CNY&amp;to=MYR&amp;amount=1</v>
      </c>
      <c r="J3" s="2"/>
      <c r="K3" s="2"/>
      <c r="L3" s="2"/>
      <c r="M3" s="2"/>
      <c r="N3" s="2"/>
      <c r="O3" s="2"/>
      <c r="P3" s="2"/>
      <c r="Q3" s="2"/>
    </row>
    <row r="4" spans="1:17">
      <c r="A4" s="2" t="str">
        <f ca="1">IFERROR(__xludf.DUMMYFUNCTION("""COMPUTED_VALUE"""),"馬來西亞令吉")</f>
        <v>馬來西亞令吉</v>
      </c>
      <c r="B4" s="2" t="str">
        <f ca="1">IFERROR(__xludf.DUMMYFUNCTION("""COMPUTED_VALUE"""),"MYR")</f>
        <v>MYR</v>
      </c>
      <c r="C4" s="2" t="str">
        <f ca="1">IFERROR(__xludf.DUMMYFUNCTION("""COMPUTED_VALUE"""),"RM")</f>
        <v>RM</v>
      </c>
      <c r="D4" s="2" t="str">
        <f ca="1">IFERROR(__xludf.DUMMYFUNCTION("""COMPUTED_VALUE"""),"CNYMYR")</f>
        <v>CNYMYR</v>
      </c>
      <c r="E4" s="13">
        <f ca="1">IFERROR(__xludf.DUMMYFUNCTION("""COMPUTED_VALUE"""),0.6565719)</f>
        <v>0.65657189999999999</v>
      </c>
      <c r="F4" s="2">
        <f ca="1">IFERROR(__xludf.DUMMYFUNCTION("""COMPUTED_VALUE"""),1)</f>
        <v>1</v>
      </c>
      <c r="G4" s="2" t="str">
        <f ca="1">IFERROR(__xludf.DUMMYFUNCTION("""COMPUTED_VALUE"""),",('MYR', 1) -- 馬來西亞令吉")</f>
        <v>,('MYR', 1) -- 馬來西亞令吉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tr">
        <f ca="1">IFERROR(__xludf.DUMMYFUNCTION("""COMPUTED_VALUE"""),"港幣")</f>
        <v>港幣</v>
      </c>
      <c r="B5" s="2" t="str">
        <f ca="1">IFERROR(__xludf.DUMMYFUNCTION("""COMPUTED_VALUE"""),"HKD")</f>
        <v>HKD</v>
      </c>
      <c r="C5" s="2" t="str">
        <f ca="1">IFERROR(__xludf.DUMMYFUNCTION("""COMPUTED_VALUE"""),"HK$")</f>
        <v>HK$</v>
      </c>
      <c r="D5" s="2" t="str">
        <f ca="1">IFERROR(__xludf.DUMMYFUNCTION("""COMPUTED_VALUE"""),"CNYHKD")</f>
        <v>CNYHKD</v>
      </c>
      <c r="E5" s="13">
        <f ca="1">IFERROR(__xludf.DUMMYFUNCTION("""COMPUTED_VALUE"""),1.083158564)</f>
        <v>1.0831585640000001</v>
      </c>
      <c r="F5" s="2">
        <f ca="1">IFERROR(__xludf.DUMMYFUNCTION("""COMPUTED_VALUE"""),1)</f>
        <v>1</v>
      </c>
      <c r="G5" s="2" t="str">
        <f ca="1">IFERROR(__xludf.DUMMYFUNCTION("""COMPUTED_VALUE"""),",('HKD', 1) -- 港幣")</f>
        <v>,('HKD', 1) -- 港幣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tr">
        <f ca="1">IFERROR(__xludf.DUMMYFUNCTION("""COMPUTED_VALUE"""),"日圓")</f>
        <v>日圓</v>
      </c>
      <c r="B6" s="2" t="str">
        <f ca="1">IFERROR(__xludf.DUMMYFUNCTION("""COMPUTED_VALUE"""),"JPY")</f>
        <v>JPY</v>
      </c>
      <c r="C6" s="2" t="str">
        <f ca="1">IFERROR(__xludf.DUMMYFUNCTION("""COMPUTED_VALUE"""),"JP¥")</f>
        <v>JP¥</v>
      </c>
      <c r="D6" s="2" t="str">
        <f ca="1">IFERROR(__xludf.DUMMYFUNCTION("""COMPUTED_VALUE"""),"CNYJPY")</f>
        <v>CNYJPY</v>
      </c>
      <c r="E6" s="13">
        <f ca="1">IFERROR(__xludf.DUMMYFUNCTION("""COMPUTED_VALUE"""),20.98662548)</f>
        <v>20.986625480000001</v>
      </c>
      <c r="F6" s="2">
        <f ca="1">IFERROR(__xludf.DUMMYFUNCTION("""COMPUTED_VALUE"""),20)</f>
        <v>20</v>
      </c>
      <c r="G6" s="2" t="str">
        <f ca="1">IFERROR(__xludf.DUMMYFUNCTION("""COMPUTED_VALUE"""),",('JPY', 20) -- 日圓")</f>
        <v>,('JPY', 20) -- 日圓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tr">
        <f ca="1">IFERROR(__xludf.DUMMYFUNCTION("""COMPUTED_VALUE"""),"澳洲元")</f>
        <v>澳洲元</v>
      </c>
      <c r="B7" s="2" t="str">
        <f ca="1">IFERROR(__xludf.DUMMYFUNCTION("""COMPUTED_VALUE"""),"AUD")</f>
        <v>AUD</v>
      </c>
      <c r="C7" s="2" t="str">
        <f ca="1">IFERROR(__xludf.DUMMYFUNCTION("""COMPUTED_VALUE"""),"A$")</f>
        <v>A$</v>
      </c>
      <c r="D7" s="2" t="str">
        <f ca="1">IFERROR(__xludf.DUMMYFUNCTION("""COMPUTED_VALUE"""),"CNYAUD")</f>
        <v>CNYAUD</v>
      </c>
      <c r="E7" s="13">
        <f ca="1">IFERROR(__xludf.DUMMYFUNCTION("""COMPUTED_VALUE"""),0.2087850317)</f>
        <v>0.20878503170000001</v>
      </c>
      <c r="F7" s="2">
        <f ca="1">IFERROR(__xludf.DUMMYFUNCTION("""COMPUTED_VALUE"""),1)</f>
        <v>1</v>
      </c>
      <c r="G7" s="2" t="str">
        <f ca="1">IFERROR(__xludf.DUMMYFUNCTION("""COMPUTED_VALUE"""),",('AUD', 1) -- 澳洲元")</f>
        <v>,('AUD', 1) -- 澳洲元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 t="str">
        <f ca="1">IFERROR(__xludf.DUMMYFUNCTION("""COMPUTED_VALUE"""),"美元")</f>
        <v>美元</v>
      </c>
      <c r="B8" s="2" t="str">
        <f ca="1">IFERROR(__xludf.DUMMYFUNCTION("""COMPUTED_VALUE"""),"USD")</f>
        <v>USD</v>
      </c>
      <c r="C8" s="2" t="str">
        <f ca="1">IFERROR(__xludf.DUMMYFUNCTION("""COMPUTED_VALUE"""),"$")</f>
        <v>$</v>
      </c>
      <c r="D8" s="2" t="str">
        <f ca="1">IFERROR(__xludf.DUMMYFUNCTION("""COMPUTED_VALUE"""),"CNYUSD")</f>
        <v>CNYUSD</v>
      </c>
      <c r="E8" s="13">
        <f ca="1">IFERROR(__xludf.DUMMYFUNCTION("""COMPUTED_VALUE"""),0.13829919)</f>
        <v>0.13829918999999999</v>
      </c>
      <c r="F8" s="2">
        <f ca="1">IFERROR(__xludf.DUMMYFUNCTION("""COMPUTED_VALUE"""),1)</f>
        <v>1</v>
      </c>
      <c r="G8" s="2" t="str">
        <f ca="1">IFERROR(__xludf.DUMMYFUNCTION("""COMPUTED_VALUE"""),",('USD', 1) -- 美元")</f>
        <v>,('USD', 1) -- 美元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 t="str">
        <f ca="1">IFERROR(__xludf.DUMMYFUNCTION("""COMPUTED_VALUE"""),"韓圓")</f>
        <v>韓圓</v>
      </c>
      <c r="B9" s="2" t="str">
        <f ca="1">IFERROR(__xludf.DUMMYFUNCTION("""COMPUTED_VALUE"""),"KRW")</f>
        <v>KRW</v>
      </c>
      <c r="C9" s="2" t="str">
        <f ca="1">IFERROR(__xludf.DUMMYFUNCTION("""COMPUTED_VALUE"""),"₩")</f>
        <v>₩</v>
      </c>
      <c r="D9" s="2" t="str">
        <f ca="1">IFERROR(__xludf.DUMMYFUNCTION("""COMPUTED_VALUE"""),"CNYKRW")</f>
        <v>CNYKRW</v>
      </c>
      <c r="E9" s="13">
        <f ca="1">IFERROR(__xludf.DUMMYFUNCTION("""COMPUTED_VALUE"""),186.519277)</f>
        <v>186.51927699999999</v>
      </c>
      <c r="F9" s="2">
        <f ca="1">IFERROR(__xludf.DUMMYFUNCTION("""COMPUTED_VALUE"""),200)</f>
        <v>200</v>
      </c>
      <c r="G9" s="2" t="str">
        <f ca="1">IFERROR(__xludf.DUMMYFUNCTION("""COMPUTED_VALUE"""),",('KRW', 200) -- 韓圓")</f>
        <v>,('KRW', 200) -- 韓圓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 t="str">
        <f ca="1">IFERROR(__xludf.DUMMYFUNCTION("""COMPUTED_VALUE"""),"泰銖")</f>
        <v>泰銖</v>
      </c>
      <c r="B10" s="2" t="str">
        <f ca="1">IFERROR(__xludf.DUMMYFUNCTION("""COMPUTED_VALUE"""),"THB")</f>
        <v>THB</v>
      </c>
      <c r="C10" s="2" t="str">
        <f ca="1">IFERROR(__xludf.DUMMYFUNCTION("""COMPUTED_VALUE"""),"฿")</f>
        <v>฿</v>
      </c>
      <c r="D10" s="2" t="str">
        <f ca="1">IFERROR(__xludf.DUMMYFUNCTION("""COMPUTED_VALUE"""),"CNYTHB")</f>
        <v>CNYTHB</v>
      </c>
      <c r="E10" s="13">
        <f ca="1">IFERROR(__xludf.DUMMYFUNCTION("""COMPUTED_VALUE"""),5.0197074)</f>
        <v>5.0197073999999997</v>
      </c>
      <c r="F10" s="2">
        <f ca="1">IFERROR(__xludf.DUMMYFUNCTION("""COMPUTED_VALUE"""),5)</f>
        <v>5</v>
      </c>
      <c r="G10" s="2" t="str">
        <f ca="1">IFERROR(__xludf.DUMMYFUNCTION("""COMPUTED_VALUE"""),",('THB', 5) -- 泰銖")</f>
        <v>,('THB', 5) -- 泰銖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tr">
        <f ca="1">IFERROR(__xludf.DUMMYFUNCTION("""COMPUTED_VALUE"""),"新西蘭元")</f>
        <v>新西蘭元</v>
      </c>
      <c r="B11" s="2" t="str">
        <f ca="1">IFERROR(__xludf.DUMMYFUNCTION("""COMPUTED_VALUE"""),"NZD")</f>
        <v>NZD</v>
      </c>
      <c r="C11" s="2" t="str">
        <f ca="1">IFERROR(__xludf.DUMMYFUNCTION("""COMPUTED_VALUE"""),"NZ$")</f>
        <v>NZ$</v>
      </c>
      <c r="D11" s="2" t="str">
        <f ca="1">IFERROR(__xludf.DUMMYFUNCTION("""COMPUTED_VALUE"""),"CNYNZD")</f>
        <v>CNYNZD</v>
      </c>
      <c r="E11" s="13">
        <f ca="1">IFERROR(__xludf.DUMMYFUNCTION("""COMPUTED_VALUE"""),0.2276473816)</f>
        <v>0.2276473816</v>
      </c>
      <c r="F11" s="2">
        <f ca="1">IFERROR(__xludf.DUMMYFUNCTION("""COMPUTED_VALUE"""),1)</f>
        <v>1</v>
      </c>
      <c r="G11" s="2" t="str">
        <f ca="1">IFERROR(__xludf.DUMMYFUNCTION("""COMPUTED_VALUE"""),",('NZD', 1) -- 新西蘭元")</f>
        <v>,('NZD', 1) -- 新西蘭元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 t="str">
        <f ca="1">IFERROR(__xludf.DUMMYFUNCTION("""COMPUTED_VALUE"""),"印度盧比")</f>
        <v>印度盧比</v>
      </c>
      <c r="B12" s="2" t="str">
        <f ca="1">IFERROR(__xludf.DUMMYFUNCTION("""COMPUTED_VALUE"""),"INR")</f>
        <v>INR</v>
      </c>
      <c r="C12" s="2" t="str">
        <f ca="1">IFERROR(__xludf.DUMMYFUNCTION("""COMPUTED_VALUE"""),"₹")</f>
        <v>₹</v>
      </c>
      <c r="D12" s="2" t="str">
        <f ca="1">IFERROR(__xludf.DUMMYFUNCTION("""COMPUTED_VALUE"""),"CNYINR")</f>
        <v>CNYINR</v>
      </c>
      <c r="E12" s="13">
        <f ca="1">IFERROR(__xludf.DUMMYFUNCTION("""COMPUTED_VALUE"""),11.50628515)</f>
        <v>11.50628515</v>
      </c>
      <c r="F12" s="2">
        <f ca="1">IFERROR(__xludf.DUMMYFUNCTION("""COMPUTED_VALUE"""),10)</f>
        <v>10</v>
      </c>
      <c r="G12" s="2" t="str">
        <f ca="1">IFERROR(__xludf.DUMMYFUNCTION("""COMPUTED_VALUE"""),",('INR', 10) -- 印度盧比")</f>
        <v>,('INR', 10) -- 印度盧比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 t="str">
        <f ca="1">IFERROR(__xludf.DUMMYFUNCTION("""COMPUTED_VALUE"""),"汶萊元")</f>
        <v>汶萊元</v>
      </c>
      <c r="B13" s="2" t="str">
        <f ca="1">IFERROR(__xludf.DUMMYFUNCTION("""COMPUTED_VALUE"""),"BND")</f>
        <v>BND</v>
      </c>
      <c r="C13" s="2" t="str">
        <f ca="1">IFERROR(__xludf.DUMMYFUNCTION("""COMPUTED_VALUE"""),"B$")</f>
        <v>B$</v>
      </c>
      <c r="D13" s="2" t="str">
        <f ca="1">IFERROR(__xludf.DUMMYFUNCTION("""COMPUTED_VALUE"""),"CNYBND")</f>
        <v>CNYBND</v>
      </c>
      <c r="E13" s="13">
        <f ca="1">IFERROR(__xludf.DUMMYFUNCTION("""COMPUTED_VALUE"""),0.1863188815)</f>
        <v>0.18631888150000001</v>
      </c>
      <c r="F13" s="2">
        <f ca="1">IFERROR(__xludf.DUMMYFUNCTION("""COMPUTED_VALUE"""),1)</f>
        <v>1</v>
      </c>
      <c r="G13" s="2" t="str">
        <f ca="1">IFERROR(__xludf.DUMMYFUNCTION("""COMPUTED_VALUE"""),",('BND', 1) -- 汶萊元")</f>
        <v>,('BND', 1) -- 汶萊元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 t="str">
        <f ca="1">IFERROR(__xludf.DUMMYFUNCTION("""COMPUTED_VALUE"""),"英鎊")</f>
        <v>英鎊</v>
      </c>
      <c r="B14" s="2" t="str">
        <f ca="1">IFERROR(__xludf.DUMMYFUNCTION("""COMPUTED_VALUE"""),"GBP")</f>
        <v>GBP</v>
      </c>
      <c r="C14" s="2" t="str">
        <f ca="1">IFERROR(__xludf.DUMMYFUNCTION("""COMPUTED_VALUE"""),"£")</f>
        <v>£</v>
      </c>
      <c r="D14" s="2" t="str">
        <f ca="1">IFERROR(__xludf.DUMMYFUNCTION("""COMPUTED_VALUE"""),"CNYGBP")</f>
        <v>CNYGBP</v>
      </c>
      <c r="E14" s="13">
        <f ca="1">IFERROR(__xludf.DUMMYFUNCTION("""COMPUTED_VALUE"""),0.109095933)</f>
        <v>0.10909593300000001</v>
      </c>
      <c r="F14" s="2">
        <f ca="1">IFERROR(__xludf.DUMMYFUNCTION("""COMPUTED_VALUE"""),1)</f>
        <v>1</v>
      </c>
      <c r="G14" s="2" t="str">
        <f ca="1">IFERROR(__xludf.DUMMYFUNCTION("""COMPUTED_VALUE"""),",('GBP', 1) -- 英鎊")</f>
        <v>,('GBP', 1) -- 英鎊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 t="str">
        <f ca="1">IFERROR(__xludf.DUMMYFUNCTION("""COMPUTED_VALUE"""),"歐元")</f>
        <v>歐元</v>
      </c>
      <c r="B15" s="2" t="str">
        <f ca="1">IFERROR(__xludf.DUMMYFUNCTION("""COMPUTED_VALUE"""),"EUR")</f>
        <v>EUR</v>
      </c>
      <c r="C15" s="2" t="str">
        <f ca="1">IFERROR(__xludf.DUMMYFUNCTION("""COMPUTED_VALUE"""),"€")</f>
        <v>€</v>
      </c>
      <c r="D15" s="2" t="str">
        <f ca="1">IFERROR(__xludf.DUMMYFUNCTION("""COMPUTED_VALUE"""),"CNYEUR")</f>
        <v>CNYEUR</v>
      </c>
      <c r="E15" s="13">
        <f ca="1">IFERROR(__xludf.DUMMYFUNCTION("""COMPUTED_VALUE"""),0.1274164267)</f>
        <v>0.1274164267</v>
      </c>
      <c r="F15" s="2">
        <f ca="1">IFERROR(__xludf.DUMMYFUNCTION("""COMPUTED_VALUE"""),1)</f>
        <v>1</v>
      </c>
      <c r="G15" s="2" t="str">
        <f ca="1">IFERROR(__xludf.DUMMYFUNCTION("""COMPUTED_VALUE"""),",('EUR', 1) -- 歐元")</f>
        <v>,('EUR', 1) -- 歐元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 t="str">
        <f ca="1">IFERROR(__xludf.DUMMYFUNCTION("""COMPUTED_VALUE"""),"菲律賓披索")</f>
        <v>菲律賓披索</v>
      </c>
      <c r="B16" s="2" t="str">
        <f ca="1">IFERROR(__xludf.DUMMYFUNCTION("""COMPUTED_VALUE"""),"PHP")</f>
        <v>PHP</v>
      </c>
      <c r="C16" s="2" t="str">
        <f ca="1">IFERROR(__xludf.DUMMYFUNCTION("""COMPUTED_VALUE"""),"₱")</f>
        <v>₱</v>
      </c>
      <c r="D16" s="2" t="str">
        <f ca="1">IFERROR(__xludf.DUMMYFUNCTION("""COMPUTED_VALUE"""),"CNYPHP")</f>
        <v>CNYPHP</v>
      </c>
      <c r="E16" s="13">
        <f ca="1">IFERROR(__xludf.DUMMYFUNCTION("""COMPUTED_VALUE"""),7.774973013)</f>
        <v>7.7749730130000003</v>
      </c>
      <c r="F16" s="2">
        <f ca="1">IFERROR(__xludf.DUMMYFUNCTION("""COMPUTED_VALUE"""),10)</f>
        <v>10</v>
      </c>
      <c r="G16" s="2" t="str">
        <f ca="1">IFERROR(__xludf.DUMMYFUNCTION("""COMPUTED_VALUE"""),",('PHP', 10) -- 菲律賓披索")</f>
        <v>,('PHP', 10) -- 菲律賓披索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 t="str">
        <f ca="1">IFERROR(__xludf.DUMMYFUNCTION("""COMPUTED_VALUE"""),"瑞典克朗")</f>
        <v>瑞典克朗</v>
      </c>
      <c r="B17" s="2" t="str">
        <f ca="1">IFERROR(__xludf.DUMMYFUNCTION("""COMPUTED_VALUE"""),"SEK")</f>
        <v>SEK</v>
      </c>
      <c r="C17" s="2" t="str">
        <f ca="1">IFERROR(__xludf.DUMMYFUNCTION("""COMPUTED_VALUE"""),"kr")</f>
        <v>kr</v>
      </c>
      <c r="D17" s="2" t="str">
        <f ca="1">IFERROR(__xludf.DUMMYFUNCTION("""COMPUTED_VALUE"""),"CNYSEK")</f>
        <v>CNYSEK</v>
      </c>
      <c r="E17" s="13">
        <f ca="1">IFERROR(__xludf.DUMMYFUNCTION("""COMPUTED_VALUE"""),1.459413266)</f>
        <v>1.4594132660000001</v>
      </c>
      <c r="F17" s="2">
        <f ca="1">IFERROR(__xludf.DUMMYFUNCTION("""COMPUTED_VALUE"""),2)</f>
        <v>2</v>
      </c>
      <c r="G17" s="2" t="str">
        <f ca="1">IFERROR(__xludf.DUMMYFUNCTION("""COMPUTED_VALUE"""),",('SEK', 2) -- 瑞典克朗")</f>
        <v>,('SEK', 2) -- 瑞典克朗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 t="str">
        <f ca="1">IFERROR(__xludf.DUMMYFUNCTION("""COMPUTED_VALUE"""),"南非蘭特")</f>
        <v>南非蘭特</v>
      </c>
      <c r="B18" s="2" t="str">
        <f ca="1">IFERROR(__xludf.DUMMYFUNCTION("""COMPUTED_VALUE"""),"ZAR")</f>
        <v>ZAR</v>
      </c>
      <c r="C18" s="2" t="str">
        <f ca="1">IFERROR(__xludf.DUMMYFUNCTION("""COMPUTED_VALUE"""),"R")</f>
        <v>R</v>
      </c>
      <c r="D18" s="2" t="str">
        <f ca="1">IFERROR(__xludf.DUMMYFUNCTION("""COMPUTED_VALUE"""),"CNYZAR")</f>
        <v>CNYZAR</v>
      </c>
      <c r="E18" s="13">
        <f ca="1">IFERROR(__xludf.DUMMYFUNCTION("""COMPUTED_VALUE"""),2.550195573)</f>
        <v>2.5501955729999999</v>
      </c>
      <c r="F18" s="2">
        <f ca="1">IFERROR(__xludf.DUMMYFUNCTION("""COMPUTED_VALUE"""),2)</f>
        <v>2</v>
      </c>
      <c r="G18" s="2" t="str">
        <f ca="1">IFERROR(__xludf.DUMMYFUNCTION("""COMPUTED_VALUE"""),",('ZAR', 2) -- 南非蘭特")</f>
        <v>,('ZAR', 2) -- 南非蘭特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 t="str">
        <f ca="1">IFERROR(__xludf.DUMMYFUNCTION("""COMPUTED_VALUE"""),"新台幣")</f>
        <v>新台幣</v>
      </c>
      <c r="B19" s="2" t="str">
        <f ca="1">IFERROR(__xludf.DUMMYFUNCTION("""COMPUTED_VALUE"""),"NTD")</f>
        <v>NTD</v>
      </c>
      <c r="C19" s="2" t="str">
        <f ca="1">IFERROR(__xludf.DUMMYFUNCTION("""COMPUTED_VALUE"""),"NT$")</f>
        <v>NT$</v>
      </c>
      <c r="D19" s="2" t="str">
        <f ca="1">IFERROR(__xludf.DUMMYFUNCTION("""COMPUTED_VALUE"""),"CNYTWD")</f>
        <v>CNYTWD</v>
      </c>
      <c r="E19" s="13">
        <f ca="1">IFERROR(__xludf.DUMMYFUNCTION("""COMPUTED_VALUE"""),4.421355954)</f>
        <v>4.421355954</v>
      </c>
      <c r="F19" s="2">
        <f ca="1">IFERROR(__xludf.DUMMYFUNCTION("""COMPUTED_VALUE"""),5)</f>
        <v>5</v>
      </c>
      <c r="G19" s="2" t="str">
        <f ca="1">IFERROR(__xludf.DUMMYFUNCTION("""COMPUTED_VALUE"""),",('NTD', 5) -- 新台幣")</f>
        <v>,('NTD', 5) -- 新台幣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 t="str">
        <f ca="1">IFERROR(__xludf.DUMMYFUNCTION("""COMPUTED_VALUE"""),"印尼盾")</f>
        <v>印尼盾</v>
      </c>
      <c r="B20" s="2" t="str">
        <f ca="1">IFERROR(__xludf.DUMMYFUNCTION("""COMPUTED_VALUE"""),"IDR")</f>
        <v>IDR</v>
      </c>
      <c r="C20" s="2" t="str">
        <f ca="1">IFERROR(__xludf.DUMMYFUNCTION("""COMPUTED_VALUE"""),"Rp")</f>
        <v>Rp</v>
      </c>
      <c r="D20" s="2" t="str">
        <f ca="1">IFERROR(__xludf.DUMMYFUNCTION("""COMPUTED_VALUE"""),"CNYIDR")</f>
        <v>CNYIDR</v>
      </c>
      <c r="E20" s="13">
        <f ca="1">IFERROR(__xludf.DUMMYFUNCTION("""COMPUTED_VALUE"""),2190.36874099999)</f>
        <v>2190.3687409999902</v>
      </c>
      <c r="F20" s="2">
        <f ca="1">IFERROR(__xludf.DUMMYFUNCTION("""COMPUTED_VALUE"""),2000)</f>
        <v>2000</v>
      </c>
      <c r="G20" s="2" t="str">
        <f ca="1">IFERROR(__xludf.DUMMYFUNCTION("""COMPUTED_VALUE"""),",('IDR', 2000) -- 印尼盾")</f>
        <v>,('IDR', 2000) -- 印尼盾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 t="str">
        <f ca="1">IFERROR(__xludf.DUMMYFUNCTION("""COMPUTED_VALUE"""),"印尼盾(1:1000)")</f>
        <v>印尼盾(1:1000)</v>
      </c>
      <c r="B21" s="2" t="str">
        <f ca="1">IFERROR(__xludf.DUMMYFUNCTION("""COMPUTED_VALUE"""),"IDRK")</f>
        <v>IDRK</v>
      </c>
      <c r="C21" s="2" t="str">
        <f ca="1">IFERROR(__xludf.DUMMYFUNCTION("""COMPUTED_VALUE"""),"Rp")</f>
        <v>Rp</v>
      </c>
      <c r="D21" s="2" t="str">
        <f ca="1">IFERROR(__xludf.DUMMYFUNCTION("""COMPUTED_VALUE"""),"CNYIDRK")</f>
        <v>CNYIDRK</v>
      </c>
      <c r="E21" s="13">
        <f ca="1">IFERROR(__xludf.DUMMYFUNCTION("""COMPUTED_VALUE"""),2.190368741)</f>
        <v>2.1903687409999999</v>
      </c>
      <c r="F21" s="2"/>
      <c r="G21" s="2" t="str">
        <f ca="1">IFERROR(__xludf.DUMMYFUNCTION("""COMPUTED_VALUE"""),",('IDRK', ) -- 印尼盾(1:1000)")</f>
        <v>,('IDRK', ) -- 印尼盾(1:1000)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 t="str">
        <f ca="1">IFERROR(__xludf.DUMMYFUNCTION("""COMPUTED_VALUE"""),"越南盾")</f>
        <v>越南盾</v>
      </c>
      <c r="B22" s="2" t="str">
        <f ca="1">IFERROR(__xludf.DUMMYFUNCTION("""COMPUTED_VALUE"""),"VND")</f>
        <v>VND</v>
      </c>
      <c r="C22" s="2" t="str">
        <f ca="1">IFERROR(__xludf.DUMMYFUNCTION("""COMPUTED_VALUE"""),"₫")</f>
        <v>₫</v>
      </c>
      <c r="D22" s="2" t="str">
        <f ca="1">IFERROR(__xludf.DUMMYFUNCTION("""COMPUTED_VALUE"""),"CNYVND")</f>
        <v>CNYVND</v>
      </c>
      <c r="E22" s="13">
        <f ca="1">IFERROR(__xludf.DUMMYFUNCTION("""COMPUTED_VALUE"""),3450.841388)</f>
        <v>3450.8413879999998</v>
      </c>
      <c r="F22" s="2">
        <f ca="1">IFERROR(__xludf.DUMMYFUNCTION("""COMPUTED_VALUE"""),3000)</f>
        <v>3000</v>
      </c>
      <c r="G22" s="2" t="str">
        <f ca="1">IFERROR(__xludf.DUMMYFUNCTION("""COMPUTED_VALUE"""),",('VND', 3000) -- 越南盾")</f>
        <v>,('VND', 3000) -- 越南盾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 t="str">
        <f ca="1">IFERROR(__xludf.DUMMYFUNCTION("""COMPUTED_VALUE"""),"越南盾(1:1000)")</f>
        <v>越南盾(1:1000)</v>
      </c>
      <c r="B23" s="2" t="str">
        <f ca="1">IFERROR(__xludf.DUMMYFUNCTION("""COMPUTED_VALUE"""),"VNDK")</f>
        <v>VNDK</v>
      </c>
      <c r="C23" s="2" t="str">
        <f ca="1">IFERROR(__xludf.DUMMYFUNCTION("""COMPUTED_VALUE"""),"₫")</f>
        <v>₫</v>
      </c>
      <c r="D23" s="2" t="str">
        <f ca="1">IFERROR(__xludf.DUMMYFUNCTION("""COMPUTED_VALUE"""),"CNYVND")</f>
        <v>CNYVND</v>
      </c>
      <c r="E23" s="13">
        <f ca="1">IFERROR(__xludf.DUMMYFUNCTION("""COMPUTED_VALUE"""),3.45084138799999)</f>
        <v>3.45084138799999</v>
      </c>
      <c r="F23" s="2"/>
      <c r="G23" s="2" t="str">
        <f ca="1">IFERROR(__xludf.DUMMYFUNCTION("""COMPUTED_VALUE"""),",('VNDK', ) -- 越南盾(1:1000)")</f>
        <v>,('VNDK', ) -- 越南盾(1:1000)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 t="str">
        <f ca="1">IFERROR(__xludf.DUMMYFUNCTION("""COMPUTED_VALUE"""),"緬元")</f>
        <v>緬元</v>
      </c>
      <c r="B24" s="2" t="str">
        <f ca="1">IFERROR(__xludf.DUMMYFUNCTION("""COMPUTED_VALUE"""),"MMK")</f>
        <v>MMK</v>
      </c>
      <c r="C24" s="2" t="str">
        <f ca="1">IFERROR(__xludf.DUMMYFUNCTION("""COMPUTED_VALUE"""),"MMK")</f>
        <v>MMK</v>
      </c>
      <c r="D24" s="2" t="str">
        <f ca="1">IFERROR(__xludf.DUMMYFUNCTION("""COMPUTED_VALUE"""),"CNYMMK")</f>
        <v>CNYMMK</v>
      </c>
      <c r="E24" s="13">
        <f ca="1">IFERROR(__xludf.DUMMYFUNCTION("""COMPUTED_VALUE"""),290.737121)</f>
        <v>290.737121</v>
      </c>
      <c r="F24" s="2">
        <f ca="1">IFERROR(__xludf.DUMMYFUNCTION("""COMPUTED_VALUE"""),300)</f>
        <v>300</v>
      </c>
      <c r="G24" s="2" t="str">
        <f ca="1">IFERROR(__xludf.DUMMYFUNCTION("""COMPUTED_VALUE"""),",('MMK', 300) -- 緬元")</f>
        <v>,('MMK', 300) -- 緬元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 t="str">
        <f ca="1">IFERROR(__xludf.DUMMYFUNCTION("""COMPUTED_VALUE"""),"寮國基普")</f>
        <v>寮國基普</v>
      </c>
      <c r="B25" s="2" t="str">
        <f ca="1">IFERROR(__xludf.DUMMYFUNCTION("""COMPUTED_VALUE"""),"LAK")</f>
        <v>LAK</v>
      </c>
      <c r="C25" s="2" t="str">
        <f ca="1">IFERROR(__xludf.DUMMYFUNCTION("""COMPUTED_VALUE"""),"₭")</f>
        <v>₭</v>
      </c>
      <c r="D25" s="2" t="str">
        <f ca="1">IFERROR(__xludf.DUMMYFUNCTION("""COMPUTED_VALUE"""),"CNYLAK")</f>
        <v>CNYLAK</v>
      </c>
      <c r="E25" s="13">
        <f ca="1">IFERROR(__xludf.DUMMYFUNCTION("""COMPUTED_VALUE"""),2929.08556599999)</f>
        <v>2929.0855659999902</v>
      </c>
      <c r="F25" s="2">
        <f ca="1">IFERROR(__xludf.DUMMYFUNCTION("""COMPUTED_VALUE"""),2000)</f>
        <v>2000</v>
      </c>
      <c r="G25" s="2" t="str">
        <f ca="1">IFERROR(__xludf.DUMMYFUNCTION("""COMPUTED_VALUE"""),",('LAK', 2000) -- 寮國基普")</f>
        <v>,('LAK', 2000) -- 寮國基普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 t="str">
        <f ca="1">IFERROR(__xludf.DUMMYFUNCTION("""COMPUTED_VALUE"""),"虛擬美金")</f>
        <v>虛擬美金</v>
      </c>
      <c r="B26" s="2" t="str">
        <f ca="1">IFERROR(__xludf.DUMMYFUNCTION("""COMPUTED_VALUE"""),"USDT")</f>
        <v>USDT</v>
      </c>
      <c r="C26" s="2" t="str">
        <f ca="1">IFERROR(__xludf.DUMMYFUNCTION("""COMPUTED_VALUE"""),"₮")</f>
        <v>₮</v>
      </c>
      <c r="D26" s="2" t="str">
        <f ca="1">IFERROR(__xludf.DUMMYFUNCTION("""COMPUTED_VALUE"""),"CNYUSD")</f>
        <v>CNYUSD</v>
      </c>
      <c r="E26" s="13">
        <f ca="1">IFERROR(__xludf.DUMMYFUNCTION("""COMPUTED_VALUE"""),0.13829919)</f>
        <v>0.13829918999999999</v>
      </c>
      <c r="F26" s="2">
        <f ca="1">IFERROR(__xludf.DUMMYFUNCTION("""COMPUTED_VALUE"""),1)</f>
        <v>1</v>
      </c>
      <c r="G26" s="2" t="str">
        <f ca="1">IFERROR(__xludf.DUMMYFUNCTION("""COMPUTED_VALUE"""),",('USDT', 1) -- 虛擬美金")</f>
        <v>,('USDT', 1) -- 虛擬美金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 t="str">
        <f ca="1">IFERROR(__xludf.DUMMYFUNCTION("""COMPUTED_VALUE"""),"巴西雷亞爾")</f>
        <v>巴西雷亞爾</v>
      </c>
      <c r="B27" s="2" t="str">
        <f ca="1">IFERROR(__xludf.DUMMYFUNCTION("""COMPUTED_VALUE"""),"BRL")</f>
        <v>BRL</v>
      </c>
      <c r="C27" s="2" t="str">
        <f ca="1">IFERROR(__xludf.DUMMYFUNCTION("""COMPUTED_VALUE"""),"R$")</f>
        <v>R$</v>
      </c>
      <c r="D27" s="2" t="str">
        <f ca="1">IFERROR(__xludf.DUMMYFUNCTION("""COMPUTED_VALUE"""),"CNYBRL")</f>
        <v>CNYBRL</v>
      </c>
      <c r="E27" s="13">
        <f ca="1">IFERROR(__xludf.DUMMYFUNCTION("""COMPUTED_VALUE"""),0.6927544726)</f>
        <v>0.6927544726</v>
      </c>
      <c r="F27" s="2">
        <f ca="1">IFERROR(__xludf.DUMMYFUNCTION("""COMPUTED_VALUE"""),1)</f>
        <v>1</v>
      </c>
      <c r="G27" s="2" t="str">
        <f ca="1">IFERROR(__xludf.DUMMYFUNCTION("""COMPUTED_VALUE"""),",('BRL', 1) -- 巴西雷亞爾")</f>
        <v>,('BRL', 1) -- 巴西雷亞爾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 t="str">
        <f ca="1">IFERROR(__xludf.DUMMYFUNCTION("""COMPUTED_VALUE"""),"尼日利亞奈拉")</f>
        <v>尼日利亞奈拉</v>
      </c>
      <c r="B28" s="2" t="str">
        <f ca="1">IFERROR(__xludf.DUMMYFUNCTION("""COMPUTED_VALUE"""),"NGN")</f>
        <v>NGN</v>
      </c>
      <c r="C28" s="2" t="str">
        <f ca="1">IFERROR(__xludf.DUMMYFUNCTION("""COMPUTED_VALUE"""),"₦")</f>
        <v>₦</v>
      </c>
      <c r="D28" s="2" t="str">
        <f ca="1">IFERROR(__xludf.DUMMYFUNCTION("""COMPUTED_VALUE"""),"CNYNGN")</f>
        <v>CNYNGN</v>
      </c>
      <c r="E28" s="13">
        <f ca="1">IFERROR(__xludf.DUMMYFUNCTION("""COMPUTED_VALUE"""),172.313875699999)</f>
        <v>172.31387569999899</v>
      </c>
      <c r="F28" s="2">
        <f ca="1">IFERROR(__xludf.DUMMYFUNCTION("""COMPUTED_VALUE"""),105.377)</f>
        <v>105.377</v>
      </c>
      <c r="G28" s="2" t="str">
        <f ca="1">IFERROR(__xludf.DUMMYFUNCTION("""COMPUTED_VALUE"""),",('NGN', 105.377) -- 尼日利亞奈拉")</f>
        <v>,('NGN', 105.377) -- 尼日利亞奈拉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 t="str">
        <f ca="1">IFERROR(__xludf.DUMMYFUNCTION("""COMPUTED_VALUE"""),"俄羅斯盧布")</f>
        <v>俄羅斯盧布</v>
      </c>
      <c r="B29" s="2" t="str">
        <f ca="1">IFERROR(__xludf.DUMMYFUNCTION("""COMPUTED_VALUE"""),"RUB")</f>
        <v>RUB</v>
      </c>
      <c r="C29" s="2" t="str">
        <f ca="1">IFERROR(__xludf.DUMMYFUNCTION("""COMPUTED_VALUE"""),"₽")</f>
        <v>₽</v>
      </c>
      <c r="D29" s="2" t="str">
        <f ca="1">IFERROR(__xludf.DUMMYFUNCTION("""COMPUTED_VALUE"""),"CNYRUB")</f>
        <v>CNYRUB</v>
      </c>
      <c r="E29" s="13">
        <f ca="1">IFERROR(__xludf.DUMMYFUNCTION("""COMPUTED_VALUE"""),12.84799475)</f>
        <v>12.84799475</v>
      </c>
      <c r="F29" s="2">
        <f ca="1">IFERROR(__xludf.DUMMYFUNCTION("""COMPUTED_VALUE"""),13.8728)</f>
        <v>13.8728</v>
      </c>
      <c r="G29" s="2" t="str">
        <f ca="1">IFERROR(__xludf.DUMMYFUNCTION("""COMPUTED_VALUE"""),",('RUB', 13.8728) -- 俄羅斯盧布")</f>
        <v>,('RUB', 13.8728) -- 俄羅斯盧布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 t="str">
        <f ca="1">IFERROR(__xludf.DUMMYFUNCTION("""COMPUTED_VALUE"""),"墨西哥披索")</f>
        <v>墨西哥披索</v>
      </c>
      <c r="B30" s="2" t="str">
        <f ca="1">IFERROR(__xludf.DUMMYFUNCTION("""COMPUTED_VALUE"""),"MXN")</f>
        <v>MXN</v>
      </c>
      <c r="C30" s="2" t="str">
        <f ca="1">IFERROR(__xludf.DUMMYFUNCTION("""COMPUTED_VALUE"""),"Mex$")</f>
        <v>Mex$</v>
      </c>
      <c r="D30" s="2" t="str">
        <f ca="1">IFERROR(__xludf.DUMMYFUNCTION("""COMPUTED_VALUE"""),"CNYMXN")</f>
        <v>CNYMXN</v>
      </c>
      <c r="E30" s="13">
        <f ca="1">IFERROR(__xludf.DUMMYFUNCTION("""COMPUTED_VALUE"""),2.264950728)</f>
        <v>2.2649507280000001</v>
      </c>
      <c r="F30" s="2">
        <f ca="1">IFERROR(__xludf.DUMMYFUNCTION("""COMPUTED_VALUE"""),2)</f>
        <v>2</v>
      </c>
      <c r="G30" s="2" t="str">
        <f ca="1">IFERROR(__xludf.DUMMYFUNCTION("""COMPUTED_VALUE"""),",('MXN', 2) -- 墨西哥披索")</f>
        <v>,('MXN', 2) -- 墨西哥披索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 t="str">
        <f ca="1">IFERROR(__xludf.DUMMYFUNCTION("""COMPUTED_VALUE"""),"孟加拉塔卡")</f>
        <v>孟加拉塔卡</v>
      </c>
      <c r="B31" s="2" t="str">
        <f ca="1">IFERROR(__xludf.DUMMYFUNCTION("""COMPUTED_VALUE"""),"BDT")</f>
        <v>BDT</v>
      </c>
      <c r="C31" s="2" t="str">
        <f ca="1">IFERROR(__xludf.DUMMYFUNCTION("""COMPUTED_VALUE"""),"৳")</f>
        <v>৳</v>
      </c>
      <c r="D31" s="2" t="str">
        <f ca="1">IFERROR(__xludf.DUMMYFUNCTION("""COMPUTED_VALUE"""),"CNYBDT")</f>
        <v>CNYBDT</v>
      </c>
      <c r="E31" s="13">
        <f ca="1">IFERROR(__xludf.DUMMYFUNCTION("""COMPUTED_VALUE"""),15.19591392)</f>
        <v>15.195913920000001</v>
      </c>
      <c r="F31" s="2">
        <f ca="1">IFERROR(__xludf.DUMMYFUNCTION("""COMPUTED_VALUE"""),16)</f>
        <v>16</v>
      </c>
      <c r="G31" s="2" t="str">
        <f ca="1">IFERROR(__xludf.DUMMYFUNCTION("""COMPUTED_VALUE"""),",('BDT', 16) -- 孟加拉塔卡")</f>
        <v>,('BDT', 16) -- 孟加拉塔卡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 t="str">
        <f ca="1">IFERROR(__xludf.DUMMYFUNCTION("""COMPUTED_VALUE"""),"土耳其里拉")</f>
        <v>土耳其里拉</v>
      </c>
      <c r="B32" s="2" t="str">
        <f ca="1">IFERROR(__xludf.DUMMYFUNCTION("""COMPUTED_VALUE"""),"TRY")</f>
        <v>TRY</v>
      </c>
      <c r="C32" s="2" t="str">
        <f ca="1">IFERROR(__xludf.DUMMYFUNCTION("""COMPUTED_VALUE"""),"₺")</f>
        <v>₺</v>
      </c>
      <c r="D32" s="2" t="str">
        <f ca="1">IFERROR(__xludf.DUMMYFUNCTION("""COMPUTED_VALUE"""),"CNYTRY")</f>
        <v>CNYTRY</v>
      </c>
      <c r="E32" s="13">
        <f ca="1">IFERROR(__xludf.DUMMYFUNCTION("""COMPUTED_VALUE"""),4.461601018)</f>
        <v>4.4616010179999996</v>
      </c>
      <c r="F32" s="2">
        <f ca="1">IFERROR(__xludf.DUMMYFUNCTION("""COMPUTED_VALUE"""),4)</f>
        <v>4</v>
      </c>
      <c r="G32" s="2" t="str">
        <f ca="1">IFERROR(__xludf.DUMMYFUNCTION("""COMPUTED_VALUE"""),",('TRY', 4) -- 土耳其里拉")</f>
        <v>,('TRY', 4) -- 土耳其里拉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 t="str">
        <f ca="1">IFERROR(__xludf.DUMMYFUNCTION("""COMPUTED_VALUE"""),"尼泊爾盧比")</f>
        <v>尼泊爾盧比</v>
      </c>
      <c r="B33" s="2" t="str">
        <f ca="1">IFERROR(__xludf.DUMMYFUNCTION("""COMPUTED_VALUE"""),"NPR")</f>
        <v>NPR</v>
      </c>
      <c r="C33" s="2" t="str">
        <f ca="1">IFERROR(__xludf.DUMMYFUNCTION("""COMPUTED_VALUE"""),"रू")</f>
        <v>रू</v>
      </c>
      <c r="D33" s="2" t="str">
        <f ca="1">IFERROR(__xludf.DUMMYFUNCTION("""COMPUTED_VALUE"""),"CNYNPR")</f>
        <v>CNYNPR</v>
      </c>
      <c r="E33" s="13">
        <f ca="1">IFERROR(__xludf.DUMMYFUNCTION("""COMPUTED_VALUE"""),18.41182648)</f>
        <v>18.411826479999998</v>
      </c>
      <c r="F33" s="2">
        <f ca="1">IFERROR(__xludf.DUMMYFUNCTION("""COMPUTED_VALUE"""),20)</f>
        <v>20</v>
      </c>
      <c r="G33" s="2" t="str">
        <f ca="1">IFERROR(__xludf.DUMMYFUNCTION("""COMPUTED_VALUE"""),",('NPR', 20) -- 尼泊爾盧比")</f>
        <v>,('NPR', 20) -- 尼泊爾盧比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 t="str">
        <f ca="1">IFERROR(__xludf.DUMMYFUNCTION("""COMPUTED_VALUE"""),"萊特幣")</f>
        <v>萊特幣</v>
      </c>
      <c r="B34" s="2" t="str">
        <f ca="1">IFERROR(__xludf.DUMMYFUNCTION("""COMPUTED_VALUE"""),"LTC")</f>
        <v>LTC</v>
      </c>
      <c r="C34" s="2" t="str">
        <f ca="1">IFERROR(__xludf.DUMMYFUNCTION("""COMPUTED_VALUE"""),"Ł")</f>
        <v>Ł</v>
      </c>
      <c r="D34" s="2" t="str">
        <f ca="1">IFERROR(__xludf.DUMMYFUNCTION("""COMPUTED_VALUE"""),"CNYLTC")</f>
        <v>CNYLTC</v>
      </c>
      <c r="E34" s="13">
        <f ca="1">IFERROR(__xludf.DUMMYFUNCTION("""COMPUTED_VALUE"""),0.001424882724)</f>
        <v>1.4248827240000001E-3</v>
      </c>
      <c r="F34" s="2">
        <f ca="1">IFERROR(__xludf.DUMMYFUNCTION("""COMPUTED_VALUE"""),1)</f>
        <v>1</v>
      </c>
      <c r="G34" s="2" t="str">
        <f ca="1">IFERROR(__xludf.DUMMYFUNCTION("""COMPUTED_VALUE"""),",('LTC', 1) -- 萊特幣")</f>
        <v>,('LTC', 1) -- 萊特幣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2" t="str">
        <f ca="1">IFERROR(__xludf.DUMMYFUNCTION("""COMPUTED_VALUE"""),"千分之一比特幣")</f>
        <v>千分之一比特幣</v>
      </c>
      <c r="B35" s="2" t="str">
        <f ca="1">IFERROR(__xludf.DUMMYFUNCTION("""COMPUTED_VALUE"""),"MBTC")</f>
        <v>MBTC</v>
      </c>
      <c r="C35" s="2" t="str">
        <f ca="1">IFERROR(__xludf.DUMMYFUNCTION("""COMPUTED_VALUE"""),"₿")</f>
        <v>₿</v>
      </c>
      <c r="D35" s="2" t="str">
        <f ca="1">IFERROR(__xludf.DUMMYFUNCTION("""COMPUTED_VALUE"""),"CNYMBTC")</f>
        <v>CNYMBTC</v>
      </c>
      <c r="E35" s="13">
        <f ca="1">IFERROR(__xludf.DUMMYFUNCTION("""COMPUTED_VALUE"""),0.002003132382)</f>
        <v>2.0031323820000001E-3</v>
      </c>
      <c r="F35" s="2">
        <f ca="1">IFERROR(__xludf.DUMMYFUNCTION("""COMPUTED_VALUE"""),1)</f>
        <v>1</v>
      </c>
      <c r="G35" s="2" t="str">
        <f ca="1">IFERROR(__xludf.DUMMYFUNCTION("""COMPUTED_VALUE"""),",('MBTC', 1) -- 千分之一比特幣")</f>
        <v>,('MBTC', 1) -- 千分之一比特幣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 t="str">
        <f ca="1">IFERROR(__xludf.DUMMYFUNCTION("""COMPUTED_VALUE"""),"阿根廷比索")</f>
        <v>阿根廷比索</v>
      </c>
      <c r="B36" s="2" t="str">
        <f ca="1">IFERROR(__xludf.DUMMYFUNCTION("""COMPUTED_VALUE"""),"ARS")</f>
        <v>ARS</v>
      </c>
      <c r="C36" s="2" t="str">
        <f ca="1">IFERROR(__xludf.DUMMYFUNCTION("""COMPUTED_VALUE"""),"$")</f>
        <v>$</v>
      </c>
      <c r="D36" s="2" t="str">
        <f ca="1">IFERROR(__xludf.DUMMYFUNCTION("""COMPUTED_VALUE"""),"CNYARS")</f>
        <v>CNYARS</v>
      </c>
      <c r="E36" s="13">
        <f ca="1">IFERROR(__xludf.DUMMYFUNCTION("""COMPUTED_VALUE"""),119.593685099999)</f>
        <v>119.59368509999901</v>
      </c>
      <c r="F36" s="2"/>
      <c r="G36" s="2" t="str">
        <f ca="1">IFERROR(__xludf.DUMMYFUNCTION("""COMPUTED_VALUE"""),",('ARS', ) -- 阿根廷比索")</f>
        <v>,('ARS', ) -- 阿根廷比索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>
      <c r="A37" s="2" t="str">
        <f ca="1">IFERROR(__xludf.DUMMYFUNCTION("""COMPUTED_VALUE"""),"埃塞俄比亚比尔")</f>
        <v>埃塞俄比亚比尔</v>
      </c>
      <c r="B37" s="2" t="str">
        <f ca="1">IFERROR(__xludf.DUMMYFUNCTION("""COMPUTED_VALUE"""),"ETB")</f>
        <v>ETB</v>
      </c>
      <c r="C37" s="2" t="str">
        <f ca="1">IFERROR(__xludf.DUMMYFUNCTION("""COMPUTED_VALUE"""),"Br")</f>
        <v>Br</v>
      </c>
      <c r="D37" s="2" t="str">
        <f ca="1">IFERROR(__xludf.DUMMYFUNCTION("""COMPUTED_VALUE"""),"CNYETB")</f>
        <v>CNYETB</v>
      </c>
      <c r="E37" s="13">
        <f ca="1">IFERROR(__xludf.DUMMYFUNCTION("""COMPUTED_VALUE"""),7.87367991)</f>
        <v>7.8736799099999999</v>
      </c>
      <c r="F37" s="2"/>
      <c r="G37" s="2" t="str">
        <f ca="1">IFERROR(__xludf.DUMMYFUNCTION("""COMPUTED_VALUE"""),",('ETB', ) -- 埃塞俄比亚比尔")</f>
        <v>,('ETB', ) -- 埃塞俄比亚比尔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 t="str">
        <f ca="1">IFERROR(__xludf.DUMMYFUNCTION("""COMPUTED_VALUE"""),"加纳塞地")</f>
        <v>加纳塞地</v>
      </c>
      <c r="B38" s="2" t="str">
        <f ca="1">IFERROR(__xludf.DUMMYFUNCTION("""COMPUTED_VALUE"""),"GHS")</f>
        <v>GHS</v>
      </c>
      <c r="C38" s="2" t="str">
        <f ca="1">IFERROR(__xludf.DUMMYFUNCTION("""COMPUTED_VALUE"""),"GH₵")</f>
        <v>GH₵</v>
      </c>
      <c r="D38" s="2" t="str">
        <f ca="1">IFERROR(__xludf.DUMMYFUNCTION("""COMPUTED_VALUE"""),"CNYGHS")</f>
        <v>CNYGHS</v>
      </c>
      <c r="E38" s="13">
        <f ca="1">IFERROR(__xludf.DUMMYFUNCTION("""COMPUTED_VALUE"""),1.85506927)</f>
        <v>1.85506927</v>
      </c>
      <c r="F38" s="2"/>
      <c r="G38" s="2" t="str">
        <f ca="1">IFERROR(__xludf.DUMMYFUNCTION("""COMPUTED_VALUE"""),",('GHS', ) -- 加纳塞地")</f>
        <v>,('GHS', ) -- 加纳塞地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 t="str">
        <f ca="1">IFERROR(__xludf.DUMMYFUNCTION("""COMPUTED_VALUE"""),"挪威克朗")</f>
        <v>挪威克朗</v>
      </c>
      <c r="B39" s="2" t="str">
        <f ca="1">IFERROR(__xludf.DUMMYFUNCTION("""COMPUTED_VALUE"""),"NOK")</f>
        <v>NOK</v>
      </c>
      <c r="C39" s="2" t="str">
        <f ca="1">IFERROR(__xludf.DUMMYFUNCTION("""COMPUTED_VALUE"""),"kr")</f>
        <v>kr</v>
      </c>
      <c r="D39" s="2" t="str">
        <f ca="1">IFERROR(__xludf.DUMMYFUNCTION("""COMPUTED_VALUE"""),"CNYNOK")</f>
        <v>CNYNOK</v>
      </c>
      <c r="E39" s="13">
        <f ca="1">IFERROR(__xludf.DUMMYFUNCTION("""COMPUTED_VALUE"""),1.475339801)</f>
        <v>1.4753398010000001</v>
      </c>
      <c r="F39" s="2"/>
      <c r="G39" s="2" t="str">
        <f ca="1">IFERROR(__xludf.DUMMYFUNCTION("""COMPUTED_VALUE"""),",('NOK', ) -- 挪威克朗")</f>
        <v>,('NOK', ) -- 挪威克朗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 t="str">
        <f ca="1">IFERROR(__xludf.DUMMYFUNCTION("""COMPUTED_VALUE"""),"哥伦比亚比索")</f>
        <v>哥伦比亚比索</v>
      </c>
      <c r="B40" s="2" t="str">
        <f ca="1">IFERROR(__xludf.DUMMYFUNCTION("""COMPUTED_VALUE"""),"COP")</f>
        <v>COP</v>
      </c>
      <c r="C40" s="2" t="str">
        <f ca="1">IFERROR(__xludf.DUMMYFUNCTION("""COMPUTED_VALUE"""),"$")</f>
        <v>$</v>
      </c>
      <c r="D40" s="2" t="str">
        <f ca="1">IFERROR(__xludf.DUMMYFUNCTION("""COMPUTED_VALUE"""),"CNYCOP")</f>
        <v>CNYCOP</v>
      </c>
      <c r="E40" s="13">
        <f ca="1">IFERROR(__xludf.DUMMYFUNCTION("""COMPUTED_VALUE"""),521.404542199999)</f>
        <v>521.40454219999901</v>
      </c>
      <c r="F40" s="2"/>
      <c r="G40" s="2" t="str">
        <f ca="1">IFERROR(__xludf.DUMMYFUNCTION("""COMPUTED_VALUE"""),",('COP', ) -- 哥伦比亚比索")</f>
        <v>,('COP', ) -- 哥伦比亚比索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 t="str">
        <f ca="1">IFERROR(__xludf.DUMMYFUNCTION("""COMPUTED_VALUE"""),"智利比索")</f>
        <v>智利比索</v>
      </c>
      <c r="B41" s="2" t="str">
        <f ca="1">IFERROR(__xludf.DUMMYFUNCTION("""COMPUTED_VALUE"""),"CLP")</f>
        <v>CLP</v>
      </c>
      <c r="C41" s="2" t="str">
        <f ca="1">IFERROR(__xludf.DUMMYFUNCTION("""COMPUTED_VALUE"""),"$")</f>
        <v>$</v>
      </c>
      <c r="D41" s="2" t="str">
        <f ca="1">IFERROR(__xludf.DUMMYFUNCTION("""COMPUTED_VALUE"""),"CNYCLP")</f>
        <v>CNYCLP</v>
      </c>
      <c r="E41" s="13">
        <f ca="1">IFERROR(__xludf.DUMMYFUNCTION("""COMPUTED_VALUE"""),130.192091399999)</f>
        <v>130.19209139999899</v>
      </c>
      <c r="F41" s="2"/>
      <c r="G41" s="2" t="str">
        <f ca="1">IFERROR(__xludf.DUMMYFUNCTION("""COMPUTED_VALUE"""),",('CLP', ) -- 智利比索")</f>
        <v>,('CLP', ) -- 智利比索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 t="str">
        <f ca="1">IFERROR(__xludf.DUMMYFUNCTION("""COMPUTED_VALUE"""),"秘鲁新索尔")</f>
        <v>秘鲁新索尔</v>
      </c>
      <c r="B42" s="2" t="str">
        <f ca="1">IFERROR(__xludf.DUMMYFUNCTION("""COMPUTED_VALUE"""),"PEN")</f>
        <v>PEN</v>
      </c>
      <c r="C42" s="2" t="str">
        <f ca="1">IFERROR(__xludf.DUMMYFUNCTION("""COMPUTED_VALUE"""),"S/。")</f>
        <v>S/。</v>
      </c>
      <c r="D42" s="2" t="str">
        <f ca="1">IFERROR(__xludf.DUMMYFUNCTION("""COMPUTED_VALUE"""),"CNYPEN")</f>
        <v>CNYPEN</v>
      </c>
      <c r="E42" s="13">
        <f ca="1">IFERROR(__xludf.DUMMYFUNCTION("""COMPUTED_VALUE"""),0.5110134325)</f>
        <v>0.51101343249999998</v>
      </c>
      <c r="F42" s="2"/>
      <c r="G42" s="2" t="str">
        <f ca="1">IFERROR(__xludf.DUMMYFUNCTION("""COMPUTED_VALUE"""),",('PEN', ) -- 秘鲁新索尔")</f>
        <v>,('PEN', ) -- 秘鲁新索尔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2" t="str">
        <f ca="1">IFERROR(__xludf.DUMMYFUNCTION("""COMPUTED_VALUE"""),"巴基斯坦卢比")</f>
        <v>巴基斯坦卢比</v>
      </c>
      <c r="B43" s="2" t="str">
        <f ca="1">IFERROR(__xludf.DUMMYFUNCTION("""COMPUTED_VALUE"""),"PKR")</f>
        <v>PKR</v>
      </c>
      <c r="C43" s="2" t="str">
        <f ca="1">IFERROR(__xludf.DUMMYFUNCTION("""COMPUTED_VALUE"""),"Rs")</f>
        <v>Rs</v>
      </c>
      <c r="D43" s="2" t="str">
        <f ca="1">IFERROR(__xludf.DUMMYFUNCTION("""COMPUTED_VALUE"""),"CNYPKR")</f>
        <v>CNYPKR</v>
      </c>
      <c r="E43" s="13">
        <f ca="1">IFERROR(__xludf.DUMMYFUNCTION("""COMPUTED_VALUE"""),38.480173)</f>
        <v>38.480173000000001</v>
      </c>
      <c r="F43" s="2"/>
      <c r="G43" s="2" t="str">
        <f ca="1">IFERROR(__xludf.DUMMYFUNCTION("""COMPUTED_VALUE"""),",('PKR', ) -- 巴基斯坦卢比")</f>
        <v>,('PKR', ) -- 巴基斯坦卢比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 t="str">
        <f ca="1">IFERROR(__xludf.DUMMYFUNCTION("""COMPUTED_VALUE"""),"洪都拉斯伦皮拉")</f>
        <v>洪都拉斯伦皮拉</v>
      </c>
      <c r="B44" s="2" t="str">
        <f ca="1">IFERROR(__xludf.DUMMYFUNCTION("""COMPUTED_VALUE"""),"HNL")</f>
        <v>HNL</v>
      </c>
      <c r="C44" s="2" t="str">
        <f ca="1">IFERROR(__xludf.DUMMYFUNCTION("""COMPUTED_VALUE"""),"L")</f>
        <v>L</v>
      </c>
      <c r="D44" s="2" t="str">
        <f ca="1">IFERROR(__xludf.DUMMYFUNCTION("""COMPUTED_VALUE"""),"CNYHNL")</f>
        <v>CNYHNL</v>
      </c>
      <c r="E44" s="13">
        <f ca="1">IFERROR(__xludf.DUMMYFUNCTION("""COMPUTED_VALUE"""),3.41732458)</f>
        <v>3.4173245799999998</v>
      </c>
      <c r="F44" s="2"/>
      <c r="G44" s="2" t="str">
        <f ca="1">IFERROR(__xludf.DUMMYFUNCTION("""COMPUTED_VALUE"""),",('HNL', ) -- 洪都拉斯伦皮拉")</f>
        <v>,('HNL', ) -- 洪都拉斯伦皮拉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 t="str">
        <f ca="1">IFERROR(__xludf.DUMMYFUNCTION("""COMPUTED_VALUE"""),"肯尼亚先令")</f>
        <v>肯尼亚先令</v>
      </c>
      <c r="B45" s="2" t="str">
        <f ca="1">IFERROR(__xludf.DUMMYFUNCTION("""COMPUTED_VALUE"""),"KES")</f>
        <v>KES</v>
      </c>
      <c r="C45" s="2" t="str">
        <f ca="1">IFERROR(__xludf.DUMMYFUNCTION("""COMPUTED_VALUE"""),"KSh")</f>
        <v>KSh</v>
      </c>
      <c r="D45" s="2" t="str">
        <f ca="1">IFERROR(__xludf.DUMMYFUNCTION("""COMPUTED_VALUE"""),"CNYKES")</f>
        <v>CNYKES</v>
      </c>
      <c r="E45" s="13">
        <f ca="1">IFERROR(__xludf.DUMMYFUNCTION("""COMPUTED_VALUE"""),17.99825658)</f>
        <v>17.99825658</v>
      </c>
      <c r="F45" s="2"/>
      <c r="G45" s="2" t="str">
        <f ca="1">IFERROR(__xludf.DUMMYFUNCTION("""COMPUTED_VALUE"""),",('KES', ) -- 肯尼亚先令")</f>
        <v>,('KES', ) -- 肯尼亚先令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 t="str">
        <f ca="1">IFERROR(__xludf.DUMMYFUNCTION("""COMPUTED_VALUE"""),"玻利维亚诺")</f>
        <v>玻利维亚诺</v>
      </c>
      <c r="B46" s="2" t="str">
        <f ca="1">IFERROR(__xludf.DUMMYFUNCTION("""COMPUTED_VALUE"""),"BOB")</f>
        <v>BOB</v>
      </c>
      <c r="C46" s="2" t="str">
        <f ca="1">IFERROR(__xludf.DUMMYFUNCTION("""COMPUTED_VALUE"""),"Bs。")</f>
        <v>Bs。</v>
      </c>
      <c r="D46" s="2" t="str">
        <f ca="1">IFERROR(__xludf.DUMMYFUNCTION("""COMPUTED_VALUE"""),"CNYBOB")</f>
        <v>CNYBOB</v>
      </c>
      <c r="E46" s="13">
        <f ca="1">IFERROR(__xludf.DUMMYFUNCTION("""COMPUTED_VALUE"""),0.9566379016)</f>
        <v>0.95663790159999995</v>
      </c>
      <c r="F46" s="2"/>
      <c r="G46" s="2" t="str">
        <f ca="1">IFERROR(__xludf.DUMMYFUNCTION("""COMPUTED_VALUE"""),",('BOB', ) -- 玻利维亚诺")</f>
        <v>,('BOB', ) -- 玻利维亚诺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 t="str">
        <f ca="1">IFERROR(__xludf.DUMMYFUNCTION("""COMPUTED_VALUE"""),"新台币")</f>
        <v>新台币</v>
      </c>
      <c r="B47" s="2" t="str">
        <f ca="1">IFERROR(__xludf.DUMMYFUNCTION("""COMPUTED_VALUE"""),"TWD")</f>
        <v>TWD</v>
      </c>
      <c r="C47" s="2" t="str">
        <f ca="1">IFERROR(__xludf.DUMMYFUNCTION("""COMPUTED_VALUE"""),"NT$")</f>
        <v>NT$</v>
      </c>
      <c r="D47" s="2" t="str">
        <f ca="1">IFERROR(__xludf.DUMMYFUNCTION("""COMPUTED_VALUE"""),"CNYTWD")</f>
        <v>CNYTWD</v>
      </c>
      <c r="E47" s="13">
        <f ca="1">IFERROR(__xludf.DUMMYFUNCTION("""COMPUTED_VALUE"""),4.421355954)</f>
        <v>4.421355954</v>
      </c>
      <c r="F47" s="2"/>
      <c r="G47" s="2" t="str">
        <f ca="1">IFERROR(__xludf.DUMMYFUNCTION("""COMPUTED_VALUE"""),",('TWD', ) -- 新台币")</f>
        <v>,('TWD', ) -- 新台币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 t="str">
        <f ca="1">IFERROR(__xludf.DUMMYFUNCTION("""COMPUTED_VALUE"""),"乌干达先令")</f>
        <v>乌干达先令</v>
      </c>
      <c r="B48" s="2" t="str">
        <f ca="1">IFERROR(__xludf.DUMMYFUNCTION("""COMPUTED_VALUE"""),"UGX")</f>
        <v>UGX</v>
      </c>
      <c r="C48" s="2" t="str">
        <f ca="1">IFERROR(__xludf.DUMMYFUNCTION("""COMPUTED_VALUE"""),"USh")</f>
        <v>USh</v>
      </c>
      <c r="D48" s="2" t="str">
        <f ca="1">IFERROR(__xludf.DUMMYFUNCTION("""COMPUTED_VALUE"""),"CNYUGX")</f>
        <v>CNYUGX</v>
      </c>
      <c r="E48" s="13">
        <f ca="1">IFERROR(__xludf.DUMMYFUNCTION("""COMPUTED_VALUE"""),525.1254819)</f>
        <v>525.12548189999995</v>
      </c>
      <c r="F48" s="2"/>
      <c r="G48" s="2" t="str">
        <f ca="1">IFERROR(__xludf.DUMMYFUNCTION("""COMPUTED_VALUE"""),",('UGX', ) -- 乌干达先令")</f>
        <v>,('UGX', ) -- 乌干达先令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 t="str">
        <f ca="1">IFERROR(__xludf.DUMMYFUNCTION("""COMPUTED_VALUE"""),"埃及镑")</f>
        <v>埃及镑</v>
      </c>
      <c r="B49" s="2" t="str">
        <f ca="1">IFERROR(__xludf.DUMMYFUNCTION("""COMPUTED_VALUE"""),"EGP")</f>
        <v>EGP</v>
      </c>
      <c r="C49" s="2" t="str">
        <f ca="1">IFERROR(__xludf.DUMMYFUNCTION("""COMPUTED_VALUE"""),"E£")</f>
        <v>E£</v>
      </c>
      <c r="D49" s="2" t="str">
        <f ca="1">IFERROR(__xludf.DUMMYFUNCTION("""COMPUTED_VALUE"""),"CNYEGP")</f>
        <v>CNYEGP</v>
      </c>
      <c r="E49" s="13">
        <f ca="1">IFERROR(__xludf.DUMMYFUNCTION("""COMPUTED_VALUE"""),6.575614777)</f>
        <v>6.5756147770000002</v>
      </c>
      <c r="F49" s="2"/>
      <c r="G49" s="2" t="str">
        <f ca="1">IFERROR(__xludf.DUMMYFUNCTION("""COMPUTED_VALUE"""),",('EGP', ) -- 埃及镑")</f>
        <v>,('EGP', ) -- 埃及镑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 t="str">
        <f ca="1">IFERROR(__xludf.DUMMYFUNCTION("""COMPUTED_VALUE"""),"巴拉圭瓜拉尼")</f>
        <v>巴拉圭瓜拉尼</v>
      </c>
      <c r="B50" s="2" t="str">
        <f ca="1">IFERROR(__xludf.DUMMYFUNCTION("""COMPUTED_VALUE"""),"PYG")</f>
        <v>PYG</v>
      </c>
      <c r="C50" s="2" t="str">
        <f ca="1">IFERROR(__xludf.DUMMYFUNCTION("""COMPUTED_VALUE"""),"₲")</f>
        <v>₲</v>
      </c>
      <c r="D50" s="2" t="str">
        <f ca="1">IFERROR(__xludf.DUMMYFUNCTION("""COMPUTED_VALUE"""),"CNYPYG")</f>
        <v>CNYPYG</v>
      </c>
      <c r="E50" s="13">
        <f ca="1">IFERROR(__xludf.DUMMYFUNCTION("""COMPUTED_VALUE"""),1020.159549)</f>
        <v>1020.159549</v>
      </c>
      <c r="F50" s="2"/>
      <c r="G50" s="2" t="str">
        <f ca="1">IFERROR(__xludf.DUMMYFUNCTION("""COMPUTED_VALUE"""),",('PYG', ) -- 巴拉圭瓜拉尼")</f>
        <v>,('PYG', ) -- 巴拉圭瓜拉尼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 t="str">
        <f ca="1">IFERROR(__xludf.DUMMYFUNCTION("""COMPUTED_VALUE"""),"坦桑尼亚先令")</f>
        <v>坦桑尼亚先令</v>
      </c>
      <c r="B51" s="2" t="str">
        <f ca="1">IFERROR(__xludf.DUMMYFUNCTION("""COMPUTED_VALUE"""),"TZS")</f>
        <v>TZS</v>
      </c>
      <c r="C51" s="2" t="str">
        <f ca="1">IFERROR(__xludf.DUMMYFUNCTION("""COMPUTED_VALUE"""),"TSh")</f>
        <v>TSh</v>
      </c>
      <c r="D51" s="2" t="str">
        <f ca="1">IFERROR(__xludf.DUMMYFUNCTION("""COMPUTED_VALUE"""),"CNYTZS")</f>
        <v>CNYTZS</v>
      </c>
      <c r="E51" s="13">
        <f ca="1">IFERROR(__xludf.DUMMYFUNCTION("""COMPUTED_VALUE"""),356.8119102)</f>
        <v>356.8119102</v>
      </c>
      <c r="F51" s="2"/>
      <c r="G51" s="2" t="str">
        <f ca="1">IFERROR(__xludf.DUMMYFUNCTION("""COMPUTED_VALUE"""),",('TZS', ) -- 坦桑尼亚先令")</f>
        <v>,('TZS', ) -- 坦桑尼亚先令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 t="str">
        <f ca="1">IFERROR(__xludf.DUMMYFUNCTION("""COMPUTED_VALUE"""),"")</f>
        <v/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 t="str">
        <f ca="1">IFERROR(__xludf.DUMMYFUNCTION("""COMPUTED_VALUE"""),"")</f>
        <v/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 t="str">
        <f ca="1">IFERROR(__xludf.DUMMYFUNCTION("""COMPUTED_VALUE"""),"")</f>
        <v/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 t="str">
        <f ca="1">IFERROR(__xludf.DUMMYFUNCTION("""COMPUTED_VALUE"""),"")</f>
        <v/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</sheetData>
  <phoneticPr fontId="30" type="noConversion"/>
  <hyperlinks>
    <hyperlink ref="I2" r:id="rId1" display="https://zh.wikipedia.org/zh-tw/ISO_4217" xr:uid="{00000000-0004-0000-0500-000000000000}"/>
    <hyperlink ref="I3" r:id="rId2" display="https://www.oanda.com/currency-converter/zh/?from=CNY&amp;to=MYR&amp;amount=1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66666"/>
    <outlinePr summaryBelow="0" summaryRight="0"/>
  </sheetPr>
  <dimension ref="A1:N36"/>
  <sheetViews>
    <sheetView workbookViewId="0"/>
  </sheetViews>
  <sheetFormatPr defaultColWidth="12.5703125" defaultRowHeight="15.75" customHeight="1"/>
  <cols>
    <col min="2" max="2" width="37.85546875" customWidth="1"/>
    <col min="4" max="4" width="15.28515625" customWidth="1"/>
    <col min="5" max="5" width="13.42578125" customWidth="1"/>
    <col min="6" max="6" width="15.28515625" customWidth="1"/>
    <col min="7" max="7" width="10.28515625" customWidth="1"/>
    <col min="9" max="10" width="10.42578125" customWidth="1"/>
    <col min="11" max="11" width="10.28515625" customWidth="1"/>
    <col min="12" max="12" width="30.42578125" customWidth="1"/>
    <col min="13" max="13" width="42" customWidth="1"/>
  </cols>
  <sheetData>
    <row r="1" spans="1:14" ht="14.25">
      <c r="A1" s="15" t="s">
        <v>663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4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4.25">
      <c r="A3" s="71" t="s">
        <v>664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ht="14.25">
      <c r="A4" s="65" t="s">
        <v>665</v>
      </c>
      <c r="B4" s="65" t="s">
        <v>666</v>
      </c>
      <c r="C4" s="65" t="s">
        <v>667</v>
      </c>
      <c r="D4" s="65" t="s">
        <v>668</v>
      </c>
      <c r="E4" s="65" t="s">
        <v>669</v>
      </c>
      <c r="F4" s="65" t="s">
        <v>670</v>
      </c>
      <c r="G4" s="72" t="s">
        <v>671</v>
      </c>
      <c r="H4" s="73"/>
      <c r="I4" s="73"/>
      <c r="J4" s="73"/>
      <c r="K4" s="73"/>
      <c r="L4" s="73"/>
      <c r="M4" s="73"/>
      <c r="N4" s="68"/>
    </row>
    <row r="5" spans="1:14" ht="14.25">
      <c r="A5" s="69"/>
      <c r="B5" s="69"/>
      <c r="C5" s="69"/>
      <c r="D5" s="69"/>
      <c r="E5" s="69"/>
      <c r="F5" s="69"/>
      <c r="G5" s="65" t="s">
        <v>672</v>
      </c>
      <c r="H5" s="65" t="s">
        <v>673</v>
      </c>
      <c r="I5" s="67" t="s">
        <v>674</v>
      </c>
      <c r="J5" s="68"/>
      <c r="K5" s="17" t="s">
        <v>675</v>
      </c>
      <c r="L5" s="72" t="s">
        <v>676</v>
      </c>
      <c r="M5" s="68"/>
      <c r="N5" s="18" t="s">
        <v>677</v>
      </c>
    </row>
    <row r="6" spans="1:14" ht="14.25">
      <c r="A6" s="66"/>
      <c r="B6" s="66"/>
      <c r="C6" s="66"/>
      <c r="D6" s="66"/>
      <c r="E6" s="66"/>
      <c r="F6" s="66"/>
      <c r="G6" s="66"/>
      <c r="H6" s="66"/>
      <c r="I6" s="19" t="s">
        <v>678</v>
      </c>
      <c r="J6" s="19" t="s">
        <v>679</v>
      </c>
      <c r="K6" s="19" t="s">
        <v>680</v>
      </c>
      <c r="L6" s="19" t="s">
        <v>681</v>
      </c>
      <c r="M6" s="19" t="s">
        <v>682</v>
      </c>
      <c r="N6" s="19"/>
    </row>
    <row r="7" spans="1:14" ht="14.25">
      <c r="A7" s="61" t="s">
        <v>683</v>
      </c>
      <c r="B7" s="63" t="s">
        <v>684</v>
      </c>
      <c r="C7" s="70" t="s">
        <v>685</v>
      </c>
      <c r="D7" s="20" t="s">
        <v>686</v>
      </c>
      <c r="E7" s="20"/>
      <c r="F7" s="15" t="s">
        <v>687</v>
      </c>
      <c r="G7" s="20" t="s">
        <v>688</v>
      </c>
      <c r="H7" s="20" t="s">
        <v>689</v>
      </c>
      <c r="I7" s="20"/>
      <c r="J7" s="20" t="s">
        <v>690</v>
      </c>
      <c r="K7" s="20">
        <v>211</v>
      </c>
      <c r="L7" s="20" t="s">
        <v>691</v>
      </c>
      <c r="M7" s="21" t="s">
        <v>692</v>
      </c>
      <c r="N7" s="22" t="s">
        <v>693</v>
      </c>
    </row>
    <row r="8" spans="1:14" ht="14.25">
      <c r="A8" s="62"/>
      <c r="B8" s="62"/>
      <c r="C8" s="62"/>
      <c r="D8" s="20" t="s">
        <v>694</v>
      </c>
      <c r="E8" s="20"/>
      <c r="F8" s="15" t="s">
        <v>687</v>
      </c>
      <c r="G8" s="20" t="s">
        <v>688</v>
      </c>
      <c r="H8" s="20" t="s">
        <v>689</v>
      </c>
      <c r="I8" s="20"/>
      <c r="J8" s="20" t="s">
        <v>690</v>
      </c>
      <c r="K8" s="20">
        <v>211</v>
      </c>
      <c r="L8" s="15" t="s">
        <v>695</v>
      </c>
      <c r="M8" s="21" t="s">
        <v>692</v>
      </c>
      <c r="N8" s="22" t="s">
        <v>696</v>
      </c>
    </row>
    <row r="9" spans="1:14" ht="14.25">
      <c r="A9" s="62"/>
      <c r="B9" s="62"/>
      <c r="C9" s="62"/>
      <c r="D9" s="20" t="s">
        <v>38</v>
      </c>
      <c r="E9" s="20"/>
      <c r="F9" s="15" t="s">
        <v>687</v>
      </c>
      <c r="G9" s="20" t="s">
        <v>688</v>
      </c>
      <c r="H9" s="20" t="s">
        <v>697</v>
      </c>
      <c r="I9" s="20"/>
      <c r="J9" s="20" t="s">
        <v>690</v>
      </c>
      <c r="K9" s="20">
        <v>214</v>
      </c>
      <c r="L9" s="20" t="s">
        <v>37</v>
      </c>
      <c r="M9" s="21" t="s">
        <v>698</v>
      </c>
      <c r="N9" s="15" t="s">
        <v>699</v>
      </c>
    </row>
    <row r="10" spans="1:14" ht="14.25">
      <c r="A10" s="62"/>
      <c r="B10" s="62"/>
      <c r="C10" s="20" t="s">
        <v>700</v>
      </c>
      <c r="D10" s="20" t="s">
        <v>40</v>
      </c>
      <c r="E10" s="20"/>
      <c r="F10" s="15" t="s">
        <v>687</v>
      </c>
      <c r="G10" s="20" t="s">
        <v>688</v>
      </c>
      <c r="H10" s="20" t="s">
        <v>689</v>
      </c>
      <c r="I10" s="20"/>
      <c r="J10" s="20" t="s">
        <v>690</v>
      </c>
      <c r="K10" s="20">
        <v>1001</v>
      </c>
      <c r="L10" s="20" t="s">
        <v>701</v>
      </c>
      <c r="M10" s="21" t="s">
        <v>692</v>
      </c>
      <c r="N10" s="15" t="s">
        <v>699</v>
      </c>
    </row>
    <row r="11" spans="1:14" ht="14.25">
      <c r="A11" s="62"/>
      <c r="B11" s="62"/>
      <c r="C11" s="20" t="s">
        <v>702</v>
      </c>
      <c r="D11" s="20" t="s">
        <v>703</v>
      </c>
      <c r="E11" s="20"/>
      <c r="F11" s="15" t="s">
        <v>687</v>
      </c>
      <c r="G11" s="20" t="s">
        <v>688</v>
      </c>
      <c r="H11" s="20" t="s">
        <v>689</v>
      </c>
      <c r="I11" s="20"/>
      <c r="J11" s="20" t="s">
        <v>690</v>
      </c>
      <c r="K11" s="20">
        <v>1002</v>
      </c>
      <c r="L11" s="20" t="s">
        <v>704</v>
      </c>
      <c r="M11" s="21" t="s">
        <v>692</v>
      </c>
      <c r="N11" s="15" t="s">
        <v>699</v>
      </c>
    </row>
    <row r="12" spans="1:14" ht="14.25">
      <c r="A12" s="62"/>
      <c r="B12" s="62"/>
      <c r="C12" s="20" t="s">
        <v>705</v>
      </c>
      <c r="D12" s="20" t="s">
        <v>705</v>
      </c>
      <c r="E12" s="20"/>
      <c r="F12" s="15" t="s">
        <v>687</v>
      </c>
      <c r="G12" s="20" t="s">
        <v>688</v>
      </c>
      <c r="H12" s="20" t="s">
        <v>689</v>
      </c>
      <c r="I12" s="20"/>
      <c r="J12" s="20" t="s">
        <v>690</v>
      </c>
      <c r="K12" s="20">
        <v>4002</v>
      </c>
      <c r="L12" s="3" t="s">
        <v>706</v>
      </c>
      <c r="M12" s="21" t="s">
        <v>707</v>
      </c>
      <c r="N12" s="15" t="s">
        <v>699</v>
      </c>
    </row>
    <row r="13" spans="1:14" ht="14.25">
      <c r="A13" s="62"/>
      <c r="B13" s="62"/>
      <c r="C13" s="20" t="s">
        <v>708</v>
      </c>
      <c r="D13" s="20" t="s">
        <v>709</v>
      </c>
      <c r="E13" s="20"/>
      <c r="F13" s="15" t="s">
        <v>687</v>
      </c>
      <c r="G13" s="20" t="s">
        <v>688</v>
      </c>
      <c r="H13" s="20" t="s">
        <v>689</v>
      </c>
      <c r="I13" s="20"/>
      <c r="J13" s="20" t="s">
        <v>690</v>
      </c>
      <c r="K13" s="20">
        <v>4003</v>
      </c>
      <c r="L13" s="20" t="s">
        <v>710</v>
      </c>
      <c r="M13" s="21" t="s">
        <v>692</v>
      </c>
      <c r="N13" s="22" t="s">
        <v>711</v>
      </c>
    </row>
    <row r="14" spans="1:14" ht="14.25">
      <c r="A14" s="62"/>
      <c r="B14" s="62"/>
      <c r="C14" s="23" t="s">
        <v>712</v>
      </c>
      <c r="D14" s="23" t="s">
        <v>45</v>
      </c>
      <c r="E14" s="8"/>
      <c r="F14" s="15" t="s">
        <v>687</v>
      </c>
      <c r="G14" s="20" t="s">
        <v>688</v>
      </c>
      <c r="H14" s="23" t="s">
        <v>697</v>
      </c>
      <c r="I14" s="8"/>
      <c r="J14" s="23" t="s">
        <v>690</v>
      </c>
      <c r="K14" s="24">
        <v>5008</v>
      </c>
      <c r="L14" s="23" t="s">
        <v>44</v>
      </c>
      <c r="M14" s="25" t="s">
        <v>698</v>
      </c>
      <c r="N14" s="15" t="s">
        <v>699</v>
      </c>
    </row>
    <row r="15" spans="1:14" ht="14.25">
      <c r="A15" s="62"/>
      <c r="B15" s="62"/>
      <c r="C15" s="23" t="s">
        <v>713</v>
      </c>
      <c r="D15" s="23" t="s">
        <v>714</v>
      </c>
      <c r="E15" s="8"/>
      <c r="F15" s="15" t="s">
        <v>687</v>
      </c>
      <c r="G15" s="20" t="s">
        <v>688</v>
      </c>
      <c r="H15" s="23" t="s">
        <v>697</v>
      </c>
      <c r="I15" s="8"/>
      <c r="J15" s="23" t="s">
        <v>690</v>
      </c>
      <c r="K15" s="24">
        <v>5009</v>
      </c>
      <c r="L15" s="23" t="s">
        <v>46</v>
      </c>
      <c r="M15" s="25" t="s">
        <v>698</v>
      </c>
      <c r="N15" s="15" t="s">
        <v>699</v>
      </c>
    </row>
    <row r="16" spans="1:14" ht="14.25">
      <c r="A16" s="62"/>
      <c r="B16" s="62"/>
      <c r="C16" s="23" t="s">
        <v>715</v>
      </c>
      <c r="D16" s="23" t="s">
        <v>49</v>
      </c>
      <c r="E16" s="8"/>
      <c r="F16" s="15" t="s">
        <v>687</v>
      </c>
      <c r="G16" s="20" t="s">
        <v>688</v>
      </c>
      <c r="H16" s="23" t="s">
        <v>697</v>
      </c>
      <c r="I16" s="8"/>
      <c r="J16" s="23" t="s">
        <v>690</v>
      </c>
      <c r="K16" s="24">
        <v>5010</v>
      </c>
      <c r="L16" s="23" t="s">
        <v>48</v>
      </c>
      <c r="M16" s="25" t="s">
        <v>698</v>
      </c>
      <c r="N16" s="15" t="s">
        <v>699</v>
      </c>
    </row>
    <row r="17" spans="1:14" ht="14.25">
      <c r="A17" s="62"/>
      <c r="B17" s="62"/>
      <c r="C17" s="20"/>
    </row>
    <row r="18" spans="1:14" ht="14.25">
      <c r="A18" s="62"/>
      <c r="B18" s="62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2"/>
    </row>
    <row r="19" spans="1:14" ht="14.25">
      <c r="A19" s="61" t="s">
        <v>716</v>
      </c>
      <c r="B19" s="63" t="s">
        <v>717</v>
      </c>
      <c r="C19" s="20" t="s">
        <v>700</v>
      </c>
      <c r="D19" s="20" t="s">
        <v>40</v>
      </c>
      <c r="E19" s="20"/>
      <c r="F19" s="15" t="s">
        <v>687</v>
      </c>
      <c r="G19" s="20" t="s">
        <v>688</v>
      </c>
      <c r="H19" s="20" t="s">
        <v>697</v>
      </c>
      <c r="I19" s="20"/>
      <c r="J19" s="20" t="s">
        <v>70</v>
      </c>
      <c r="K19" s="20">
        <v>5001</v>
      </c>
      <c r="L19" s="20" t="s">
        <v>39</v>
      </c>
      <c r="M19" s="21" t="s">
        <v>698</v>
      </c>
      <c r="N19" s="22"/>
    </row>
    <row r="20" spans="1:14" ht="14.25">
      <c r="A20" s="62"/>
      <c r="B20" s="62"/>
      <c r="C20" s="20" t="s">
        <v>708</v>
      </c>
      <c r="D20" s="20" t="s">
        <v>709</v>
      </c>
      <c r="E20" s="20"/>
      <c r="F20" s="15" t="s">
        <v>687</v>
      </c>
      <c r="G20" s="20" t="s">
        <v>688</v>
      </c>
      <c r="H20" s="20" t="s">
        <v>697</v>
      </c>
      <c r="I20" s="20"/>
      <c r="J20" s="20" t="s">
        <v>70</v>
      </c>
      <c r="K20" s="20">
        <v>5003</v>
      </c>
      <c r="L20" s="20" t="s">
        <v>41</v>
      </c>
      <c r="M20" s="21" t="s">
        <v>698</v>
      </c>
      <c r="N20" s="22" t="s">
        <v>718</v>
      </c>
    </row>
    <row r="21" spans="1:14" ht="14.25">
      <c r="A21" s="62"/>
      <c r="B21" s="62"/>
      <c r="C21" s="20" t="s">
        <v>702</v>
      </c>
      <c r="D21" s="20" t="s">
        <v>703</v>
      </c>
      <c r="E21" s="20"/>
      <c r="F21" s="15" t="s">
        <v>687</v>
      </c>
      <c r="G21" s="20" t="s">
        <v>688</v>
      </c>
      <c r="H21" s="20" t="s">
        <v>697</v>
      </c>
      <c r="I21" s="20"/>
      <c r="J21" s="20" t="s">
        <v>70</v>
      </c>
      <c r="K21" s="20">
        <v>5004</v>
      </c>
      <c r="L21" s="20" t="s">
        <v>42</v>
      </c>
      <c r="M21" s="21" t="s">
        <v>698</v>
      </c>
      <c r="N21" s="22" t="s">
        <v>719</v>
      </c>
    </row>
    <row r="22" spans="1:14" ht="14.25">
      <c r="A22" s="62"/>
      <c r="B22" s="62"/>
      <c r="C22" s="64" t="s">
        <v>720</v>
      </c>
      <c r="D22" s="20" t="s">
        <v>686</v>
      </c>
      <c r="E22" s="20"/>
      <c r="F22" s="15" t="s">
        <v>687</v>
      </c>
      <c r="G22" s="20" t="s">
        <v>688</v>
      </c>
      <c r="H22" s="20" t="s">
        <v>697</v>
      </c>
      <c r="I22" s="20"/>
      <c r="J22" s="20" t="s">
        <v>70</v>
      </c>
      <c r="K22" s="20">
        <v>211</v>
      </c>
      <c r="L22" s="20" t="s">
        <v>31</v>
      </c>
      <c r="M22" s="21" t="s">
        <v>698</v>
      </c>
      <c r="N22" s="22"/>
    </row>
    <row r="23" spans="1:14" ht="14.25">
      <c r="A23" s="62"/>
      <c r="B23" s="62"/>
      <c r="C23" s="62"/>
      <c r="D23" s="20" t="s">
        <v>721</v>
      </c>
      <c r="E23" s="20"/>
      <c r="F23" s="15" t="s">
        <v>687</v>
      </c>
      <c r="G23" s="20" t="s">
        <v>688</v>
      </c>
      <c r="H23" s="20" t="s">
        <v>697</v>
      </c>
      <c r="I23" s="20"/>
      <c r="J23" s="20" t="s">
        <v>70</v>
      </c>
      <c r="K23" s="20">
        <v>212</v>
      </c>
      <c r="L23" s="20" t="s">
        <v>33</v>
      </c>
      <c r="M23" s="21" t="s">
        <v>698</v>
      </c>
      <c r="N23" s="22"/>
    </row>
    <row r="24" spans="1:14" ht="14.25">
      <c r="A24" s="62"/>
      <c r="B24" s="62"/>
      <c r="C24" s="62"/>
      <c r="D24" s="20" t="s">
        <v>722</v>
      </c>
      <c r="E24" s="20"/>
      <c r="F24" s="15" t="s">
        <v>687</v>
      </c>
      <c r="G24" s="20" t="s">
        <v>688</v>
      </c>
      <c r="H24" s="20" t="s">
        <v>697</v>
      </c>
      <c r="I24" s="20"/>
      <c r="J24" s="20" t="s">
        <v>70</v>
      </c>
      <c r="K24" s="20">
        <v>213</v>
      </c>
      <c r="L24" s="20" t="s">
        <v>35</v>
      </c>
      <c r="M24" s="21" t="s">
        <v>698</v>
      </c>
      <c r="N24" s="22"/>
    </row>
    <row r="25" spans="1:14" ht="15.75" customHeight="1">
      <c r="A25" s="62"/>
      <c r="B25" s="62"/>
    </row>
    <row r="26" spans="1:14" ht="14.25">
      <c r="A26" s="62"/>
      <c r="B26" s="6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2"/>
    </row>
    <row r="27" spans="1:14" ht="14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7"/>
    </row>
    <row r="28" spans="1:14" ht="14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4.25">
      <c r="A29" s="20" t="s">
        <v>723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4.25">
      <c r="B30" s="3" t="s">
        <v>724</v>
      </c>
      <c r="D30" s="20"/>
      <c r="E30" s="20"/>
      <c r="F30" s="20"/>
    </row>
    <row r="31" spans="1:14" ht="14.25">
      <c r="B31" s="3" t="s">
        <v>725</v>
      </c>
      <c r="F31" s="20"/>
    </row>
    <row r="32" spans="1:14" ht="14.25">
      <c r="B32" s="3" t="s">
        <v>726</v>
      </c>
      <c r="F32" s="20"/>
    </row>
    <row r="33" spans="1:6" ht="14.25">
      <c r="F33" s="20"/>
    </row>
    <row r="34" spans="1:6" ht="14.25">
      <c r="A34" s="3" t="s">
        <v>727</v>
      </c>
      <c r="F34" s="20"/>
    </row>
    <row r="35" spans="1:6" ht="12.75">
      <c r="B35" s="3" t="s">
        <v>728</v>
      </c>
    </row>
    <row r="36" spans="1:6" ht="12.75">
      <c r="B36" s="3" t="s">
        <v>729</v>
      </c>
    </row>
  </sheetData>
  <mergeCells count="18">
    <mergeCell ref="A3:N3"/>
    <mergeCell ref="A4:A6"/>
    <mergeCell ref="B4:B6"/>
    <mergeCell ref="C4:C6"/>
    <mergeCell ref="D4:D6"/>
    <mergeCell ref="E4:E6"/>
    <mergeCell ref="G4:N4"/>
    <mergeCell ref="L5:M5"/>
    <mergeCell ref="A19:A26"/>
    <mergeCell ref="B19:B26"/>
    <mergeCell ref="C22:C24"/>
    <mergeCell ref="H5:H6"/>
    <mergeCell ref="I5:J5"/>
    <mergeCell ref="F4:F6"/>
    <mergeCell ref="G5:G6"/>
    <mergeCell ref="A7:A18"/>
    <mergeCell ref="B7:B18"/>
    <mergeCell ref="C7:C9"/>
  </mergeCells>
  <phoneticPr fontId="30" type="noConversion"/>
  <hyperlinks>
    <hyperlink ref="B7" r:id="rId1" xr:uid="{00000000-0004-0000-0600-000000000000}"/>
    <hyperlink ref="M7" r:id="rId2" xr:uid="{00000000-0004-0000-0600-000001000000}"/>
    <hyperlink ref="M8" r:id="rId3" xr:uid="{00000000-0004-0000-0600-000002000000}"/>
    <hyperlink ref="M9" r:id="rId4" xr:uid="{00000000-0004-0000-0600-000003000000}"/>
    <hyperlink ref="M10" r:id="rId5" xr:uid="{00000000-0004-0000-0600-000004000000}"/>
    <hyperlink ref="M11" r:id="rId6" xr:uid="{00000000-0004-0000-0600-000005000000}"/>
    <hyperlink ref="M12" r:id="rId7" xr:uid="{00000000-0004-0000-0600-000006000000}"/>
    <hyperlink ref="M13" r:id="rId8" xr:uid="{00000000-0004-0000-0600-000007000000}"/>
    <hyperlink ref="M14" r:id="rId9" xr:uid="{00000000-0004-0000-0600-000008000000}"/>
    <hyperlink ref="M15" r:id="rId10" xr:uid="{00000000-0004-0000-0600-000009000000}"/>
    <hyperlink ref="M16" r:id="rId11" xr:uid="{00000000-0004-0000-0600-00000A000000}"/>
    <hyperlink ref="B19" r:id="rId12" xr:uid="{00000000-0004-0000-0600-00000B000000}"/>
    <hyperlink ref="M19" r:id="rId13" xr:uid="{00000000-0004-0000-0600-00000C000000}"/>
    <hyperlink ref="M20" r:id="rId14" xr:uid="{00000000-0004-0000-0600-00000D000000}"/>
    <hyperlink ref="M21" r:id="rId15" xr:uid="{00000000-0004-0000-0600-00000E000000}"/>
    <hyperlink ref="M22" r:id="rId16" xr:uid="{00000000-0004-0000-0600-00000F000000}"/>
    <hyperlink ref="M23" r:id="rId17" xr:uid="{00000000-0004-0000-0600-000010000000}"/>
    <hyperlink ref="M24" r:id="rId18" xr:uid="{00000000-0004-0000-06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66666"/>
    <outlinePr summaryBelow="0" summaryRight="0"/>
  </sheetPr>
  <dimension ref="A1:B5"/>
  <sheetViews>
    <sheetView workbookViewId="0"/>
  </sheetViews>
  <sheetFormatPr defaultColWidth="12.5703125" defaultRowHeight="15.75" customHeight="1"/>
  <cols>
    <col min="1" max="1" width="7.5703125" customWidth="1"/>
  </cols>
  <sheetData>
    <row r="1" spans="1:2">
      <c r="A1" s="3" t="s">
        <v>22</v>
      </c>
      <c r="B1" s="3" t="s">
        <v>20</v>
      </c>
    </row>
    <row r="2" spans="1:2">
      <c r="A2" s="3" t="s">
        <v>54</v>
      </c>
      <c r="B2" s="3" t="s">
        <v>70</v>
      </c>
    </row>
    <row r="3" spans="1:2">
      <c r="A3" s="3" t="s">
        <v>129</v>
      </c>
      <c r="B3" s="3" t="s">
        <v>52</v>
      </c>
    </row>
    <row r="4" spans="1:2">
      <c r="A4" s="3" t="s">
        <v>177</v>
      </c>
    </row>
    <row r="5" spans="1:2">
      <c r="A5" s="3" t="s">
        <v>29</v>
      </c>
    </row>
  </sheetData>
  <phoneticPr fontId="3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6666"/>
    <outlinePr summaryBelow="0" summaryRight="0"/>
  </sheetPr>
  <dimension ref="A1:AD52"/>
  <sheetViews>
    <sheetView workbookViewId="0"/>
  </sheetViews>
  <sheetFormatPr defaultColWidth="12.5703125" defaultRowHeight="15.75" customHeight="1"/>
  <cols>
    <col min="4" max="5" width="13.42578125" customWidth="1"/>
    <col min="6" max="6" width="15.28515625" customWidth="1"/>
    <col min="7" max="7" width="13.5703125" customWidth="1"/>
    <col min="9" max="10" width="10.42578125" customWidth="1"/>
    <col min="11" max="11" width="15.28515625" customWidth="1"/>
    <col min="12" max="12" width="28.85546875" customWidth="1"/>
    <col min="13" max="13" width="56.42578125" customWidth="1"/>
    <col min="14" max="18" width="18.85546875" customWidth="1"/>
  </cols>
  <sheetData>
    <row r="1" spans="1:30">
      <c r="A1" s="15" t="s">
        <v>663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30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30">
      <c r="A3" s="71" t="s">
        <v>730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pans="1:30">
      <c r="A4" s="65" t="s">
        <v>665</v>
      </c>
      <c r="B4" s="74" t="s">
        <v>731</v>
      </c>
      <c r="C4" s="65" t="s">
        <v>667</v>
      </c>
      <c r="D4" s="65" t="s">
        <v>668</v>
      </c>
      <c r="E4" s="65" t="s">
        <v>669</v>
      </c>
      <c r="F4" s="65" t="s">
        <v>670</v>
      </c>
      <c r="G4" s="72" t="s">
        <v>671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68"/>
    </row>
    <row r="5" spans="1:30">
      <c r="A5" s="69"/>
      <c r="B5" s="69"/>
      <c r="C5" s="69"/>
      <c r="D5" s="69"/>
      <c r="E5" s="69"/>
      <c r="F5" s="69"/>
      <c r="G5" s="65" t="s">
        <v>672</v>
      </c>
      <c r="H5" s="65" t="s">
        <v>673</v>
      </c>
      <c r="I5" s="67" t="s">
        <v>674</v>
      </c>
      <c r="J5" s="68"/>
      <c r="K5" s="17" t="s">
        <v>675</v>
      </c>
      <c r="L5" s="72" t="s">
        <v>676</v>
      </c>
      <c r="M5" s="68"/>
      <c r="N5" s="72" t="s">
        <v>732</v>
      </c>
      <c r="O5" s="68"/>
      <c r="P5" s="72" t="s">
        <v>733</v>
      </c>
      <c r="Q5" s="68"/>
      <c r="R5" s="18" t="s">
        <v>677</v>
      </c>
    </row>
    <row r="6" spans="1:30">
      <c r="A6" s="66"/>
      <c r="B6" s="66"/>
      <c r="C6" s="66"/>
      <c r="D6" s="66"/>
      <c r="E6" s="66"/>
      <c r="F6" s="66"/>
      <c r="G6" s="66"/>
      <c r="H6" s="66"/>
      <c r="I6" s="19" t="s">
        <v>678</v>
      </c>
      <c r="J6" s="19" t="s">
        <v>679</v>
      </c>
      <c r="K6" s="19" t="s">
        <v>680</v>
      </c>
      <c r="L6" s="19" t="s">
        <v>681</v>
      </c>
      <c r="M6" s="19" t="s">
        <v>682</v>
      </c>
      <c r="N6" s="19" t="s">
        <v>681</v>
      </c>
      <c r="O6" s="19" t="s">
        <v>682</v>
      </c>
      <c r="P6" s="19" t="s">
        <v>681</v>
      </c>
      <c r="Q6" s="19" t="s">
        <v>682</v>
      </c>
      <c r="R6" s="19"/>
    </row>
    <row r="7" spans="1:30">
      <c r="A7" s="61" t="s">
        <v>734</v>
      </c>
      <c r="B7" s="75" t="s">
        <v>735</v>
      </c>
      <c r="C7" s="76" t="s">
        <v>685</v>
      </c>
      <c r="D7" s="28" t="s">
        <v>736</v>
      </c>
      <c r="E7" s="29"/>
      <c r="F7" s="30" t="s">
        <v>687</v>
      </c>
      <c r="G7" s="30" t="s">
        <v>737</v>
      </c>
      <c r="H7" s="29" t="s">
        <v>697</v>
      </c>
      <c r="I7" s="29"/>
      <c r="J7" s="29" t="s">
        <v>690</v>
      </c>
      <c r="K7" s="29">
        <v>211</v>
      </c>
      <c r="L7" s="29" t="s">
        <v>738</v>
      </c>
      <c r="M7" s="31" t="s">
        <v>739</v>
      </c>
      <c r="N7" s="29" t="s">
        <v>740</v>
      </c>
      <c r="O7" s="29" t="s">
        <v>740</v>
      </c>
      <c r="P7" s="29" t="s">
        <v>740</v>
      </c>
      <c r="Q7" s="29" t="s">
        <v>740</v>
      </c>
      <c r="R7" s="32" t="s">
        <v>741</v>
      </c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>
      <c r="A8" s="62"/>
      <c r="B8" s="62"/>
      <c r="C8" s="62"/>
      <c r="D8" s="29" t="s">
        <v>742</v>
      </c>
      <c r="E8" s="29"/>
      <c r="F8" s="30" t="s">
        <v>687</v>
      </c>
      <c r="G8" s="30" t="s">
        <v>737</v>
      </c>
      <c r="H8" s="29" t="s">
        <v>697</v>
      </c>
      <c r="I8" s="29"/>
      <c r="J8" s="29" t="s">
        <v>70</v>
      </c>
      <c r="K8" s="29">
        <v>212</v>
      </c>
      <c r="L8" s="29" t="s">
        <v>743</v>
      </c>
      <c r="M8" s="31" t="s">
        <v>744</v>
      </c>
      <c r="N8" s="29" t="s">
        <v>740</v>
      </c>
      <c r="O8" s="29" t="s">
        <v>740</v>
      </c>
      <c r="P8" s="29" t="s">
        <v>740</v>
      </c>
      <c r="Q8" s="29" t="s">
        <v>740</v>
      </c>
      <c r="R8" s="29" t="s">
        <v>745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>
      <c r="A9" s="62"/>
      <c r="B9" s="62"/>
      <c r="C9" s="62"/>
      <c r="D9" s="33" t="s">
        <v>746</v>
      </c>
      <c r="E9" s="33"/>
      <c r="F9" s="30" t="s">
        <v>687</v>
      </c>
      <c r="G9" s="30" t="s">
        <v>737</v>
      </c>
      <c r="H9" s="29" t="s">
        <v>697</v>
      </c>
      <c r="I9" s="33"/>
      <c r="J9" s="29" t="s">
        <v>747</v>
      </c>
      <c r="K9" s="29">
        <v>227</v>
      </c>
      <c r="L9" s="33" t="s">
        <v>748</v>
      </c>
      <c r="M9" s="34" t="s">
        <v>749</v>
      </c>
      <c r="N9" s="29" t="s">
        <v>740</v>
      </c>
      <c r="O9" s="29" t="s">
        <v>740</v>
      </c>
      <c r="P9" s="29" t="s">
        <v>740</v>
      </c>
      <c r="Q9" s="29" t="s">
        <v>740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>
      <c r="A10" s="62"/>
      <c r="B10" s="62"/>
      <c r="C10" s="62"/>
      <c r="D10" s="35" t="s">
        <v>651</v>
      </c>
      <c r="E10" s="33"/>
      <c r="F10" s="30" t="s">
        <v>687</v>
      </c>
      <c r="G10" s="30" t="s">
        <v>737</v>
      </c>
      <c r="H10" s="29" t="s">
        <v>697</v>
      </c>
      <c r="I10" s="33"/>
      <c r="J10" s="29" t="s">
        <v>750</v>
      </c>
      <c r="K10" s="33">
        <v>5021</v>
      </c>
      <c r="L10" s="33" t="s">
        <v>751</v>
      </c>
      <c r="M10" s="36" t="s">
        <v>752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>
      <c r="A11" s="62"/>
      <c r="B11" s="62"/>
      <c r="C11" s="28"/>
      <c r="D11" s="29"/>
      <c r="E11" s="29"/>
      <c r="F11" s="30"/>
      <c r="G11" s="30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>
      <c r="A12" s="62"/>
      <c r="B12" s="62"/>
      <c r="C12" s="76" t="s">
        <v>736</v>
      </c>
      <c r="D12" s="29" t="s">
        <v>736</v>
      </c>
      <c r="E12" s="29"/>
      <c r="F12" s="30" t="s">
        <v>687</v>
      </c>
      <c r="G12" s="30" t="s">
        <v>737</v>
      </c>
      <c r="H12" s="29" t="s">
        <v>697</v>
      </c>
      <c r="I12" s="29"/>
      <c r="J12" s="29" t="s">
        <v>690</v>
      </c>
      <c r="K12" s="29">
        <v>1002</v>
      </c>
      <c r="L12" s="29" t="s">
        <v>753</v>
      </c>
      <c r="M12" s="31" t="s">
        <v>754</v>
      </c>
      <c r="N12" s="29" t="s">
        <v>755</v>
      </c>
      <c r="O12" s="31" t="s">
        <v>756</v>
      </c>
      <c r="P12" s="29" t="s">
        <v>612</v>
      </c>
      <c r="Q12" s="31" t="s">
        <v>757</v>
      </c>
      <c r="R12" s="32" t="s">
        <v>758</v>
      </c>
      <c r="S12" s="33"/>
      <c r="T12" s="33"/>
      <c r="U12" s="33" t="s">
        <v>759</v>
      </c>
      <c r="V12" s="33"/>
      <c r="W12" s="33"/>
      <c r="X12" s="33"/>
      <c r="Y12" s="33"/>
      <c r="Z12" s="33"/>
      <c r="AA12" s="33"/>
      <c r="AB12" s="33"/>
      <c r="AC12" s="33"/>
      <c r="AD12" s="33"/>
    </row>
    <row r="13" spans="1:30">
      <c r="A13" s="62"/>
      <c r="B13" s="62"/>
      <c r="C13" s="62"/>
      <c r="D13" s="29" t="s">
        <v>760</v>
      </c>
      <c r="E13" s="29"/>
      <c r="F13" s="30" t="s">
        <v>761</v>
      </c>
      <c r="G13" s="30" t="s">
        <v>737</v>
      </c>
      <c r="H13" s="29" t="s">
        <v>697</v>
      </c>
      <c r="I13" s="29"/>
      <c r="J13" s="29" t="s">
        <v>690</v>
      </c>
      <c r="K13" s="29">
        <v>1003</v>
      </c>
      <c r="L13" s="29" t="s">
        <v>762</v>
      </c>
      <c r="M13" s="31" t="s">
        <v>763</v>
      </c>
      <c r="N13" s="29" t="s">
        <v>740</v>
      </c>
      <c r="O13" s="29" t="s">
        <v>740</v>
      </c>
      <c r="P13" s="29" t="s">
        <v>740</v>
      </c>
      <c r="Q13" s="29" t="s">
        <v>740</v>
      </c>
      <c r="R13" s="32" t="s">
        <v>761</v>
      </c>
      <c r="S13" s="33"/>
      <c r="T13" s="33"/>
      <c r="U13" s="33" t="s">
        <v>764</v>
      </c>
      <c r="V13" s="33"/>
      <c r="W13" s="33"/>
      <c r="X13" s="33"/>
      <c r="Y13" s="33"/>
      <c r="Z13" s="33"/>
      <c r="AA13" s="33"/>
      <c r="AB13" s="33"/>
      <c r="AC13" s="33"/>
      <c r="AD13" s="33"/>
    </row>
    <row r="14" spans="1:30">
      <c r="A14" s="62"/>
      <c r="B14" s="62"/>
      <c r="C14" s="62"/>
      <c r="D14" s="29" t="s">
        <v>742</v>
      </c>
      <c r="E14" s="29"/>
      <c r="F14" s="30" t="s">
        <v>687</v>
      </c>
      <c r="G14" s="30" t="s">
        <v>737</v>
      </c>
      <c r="H14" s="29" t="s">
        <v>697</v>
      </c>
      <c r="I14" s="29"/>
      <c r="J14" s="29" t="s">
        <v>70</v>
      </c>
      <c r="K14" s="29">
        <v>1005</v>
      </c>
      <c r="L14" s="29" t="s">
        <v>765</v>
      </c>
      <c r="M14" s="31" t="s">
        <v>766</v>
      </c>
      <c r="N14" s="29" t="s">
        <v>767</v>
      </c>
      <c r="O14" s="31" t="s">
        <v>768</v>
      </c>
      <c r="P14" s="29" t="s">
        <v>618</v>
      </c>
      <c r="Q14" s="31" t="s">
        <v>769</v>
      </c>
      <c r="R14" s="32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>
      <c r="A15" s="62"/>
      <c r="B15" s="62"/>
      <c r="C15" s="62"/>
      <c r="D15" s="29" t="s">
        <v>770</v>
      </c>
      <c r="E15" s="29"/>
      <c r="F15" s="30" t="s">
        <v>761</v>
      </c>
      <c r="G15" s="30" t="s">
        <v>737</v>
      </c>
      <c r="H15" s="29" t="s">
        <v>697</v>
      </c>
      <c r="I15" s="29"/>
      <c r="J15" s="29" t="s">
        <v>771</v>
      </c>
      <c r="K15" s="29">
        <v>2004</v>
      </c>
      <c r="L15" s="29" t="s">
        <v>772</v>
      </c>
      <c r="M15" s="31" t="s">
        <v>773</v>
      </c>
      <c r="N15" s="29" t="s">
        <v>774</v>
      </c>
      <c r="O15" s="31" t="s">
        <v>775</v>
      </c>
      <c r="P15" s="29" t="s">
        <v>646</v>
      </c>
      <c r="Q15" s="31" t="s">
        <v>776</v>
      </c>
      <c r="R15" s="32" t="s">
        <v>761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>
      <c r="A16" s="62"/>
      <c r="B16" s="62"/>
      <c r="C16" s="62"/>
      <c r="D16" s="29" t="s">
        <v>777</v>
      </c>
      <c r="E16" s="29"/>
      <c r="F16" s="30" t="s">
        <v>687</v>
      </c>
      <c r="G16" s="30" t="s">
        <v>737</v>
      </c>
      <c r="H16" s="29" t="s">
        <v>697</v>
      </c>
      <c r="I16" s="29"/>
      <c r="J16" s="29" t="s">
        <v>52</v>
      </c>
      <c r="K16" s="29">
        <v>1026</v>
      </c>
      <c r="L16" s="29" t="s">
        <v>778</v>
      </c>
      <c r="M16" s="37" t="s">
        <v>779</v>
      </c>
      <c r="N16" s="29"/>
      <c r="O16" s="29"/>
      <c r="P16" s="29"/>
      <c r="Q16" s="29"/>
      <c r="R16" s="32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>
      <c r="A17" s="62"/>
      <c r="B17" s="62"/>
      <c r="C17" s="35" t="s">
        <v>746</v>
      </c>
      <c r="D17" s="35" t="s">
        <v>746</v>
      </c>
      <c r="E17" s="35"/>
      <c r="F17" s="38" t="s">
        <v>687</v>
      </c>
      <c r="G17" s="30" t="s">
        <v>737</v>
      </c>
      <c r="H17" s="38" t="s">
        <v>697</v>
      </c>
      <c r="I17" s="35"/>
      <c r="J17" s="38" t="s">
        <v>747</v>
      </c>
      <c r="K17" s="39">
        <v>1027</v>
      </c>
      <c r="L17" s="35" t="s">
        <v>780</v>
      </c>
      <c r="M17" s="40" t="s">
        <v>781</v>
      </c>
      <c r="N17" s="41" t="s">
        <v>782</v>
      </c>
      <c r="O17" s="42" t="s">
        <v>783</v>
      </c>
      <c r="P17" s="35"/>
      <c r="Q17" s="32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>
      <c r="A18" s="62"/>
      <c r="B18" s="62"/>
      <c r="C18" s="33"/>
      <c r="D18" s="35" t="s">
        <v>651</v>
      </c>
      <c r="E18" s="33"/>
      <c r="F18" s="38" t="s">
        <v>687</v>
      </c>
      <c r="G18" s="30" t="s">
        <v>737</v>
      </c>
      <c r="H18" s="38" t="s">
        <v>697</v>
      </c>
      <c r="I18" s="33"/>
      <c r="J18" s="29" t="s">
        <v>750</v>
      </c>
      <c r="K18" s="33">
        <v>5020</v>
      </c>
      <c r="L18" s="33" t="s">
        <v>784</v>
      </c>
      <c r="M18" s="34" t="s">
        <v>785</v>
      </c>
      <c r="N18" s="33" t="s">
        <v>786</v>
      </c>
      <c r="O18" s="34" t="s">
        <v>787</v>
      </c>
      <c r="P18" s="33" t="s">
        <v>650</v>
      </c>
      <c r="Q18" s="34" t="s">
        <v>788</v>
      </c>
      <c r="R18" s="33" t="s">
        <v>789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>
      <c r="A19" s="62"/>
      <c r="B19" s="62"/>
      <c r="C19" s="33"/>
      <c r="D19" s="33"/>
      <c r="E19" s="33"/>
      <c r="F19" s="33"/>
      <c r="G19" s="33"/>
      <c r="H19" s="33"/>
      <c r="I19" s="33"/>
      <c r="J19" s="33"/>
      <c r="K19" s="29"/>
      <c r="L19" s="29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>
      <c r="A20" s="62"/>
      <c r="B20" s="79" t="s">
        <v>790</v>
      </c>
      <c r="C20" s="77" t="s">
        <v>685</v>
      </c>
      <c r="D20" s="43" t="s">
        <v>637</v>
      </c>
      <c r="E20" s="43"/>
      <c r="F20" s="44" t="s">
        <v>687</v>
      </c>
      <c r="G20" s="44" t="s">
        <v>791</v>
      </c>
      <c r="H20" s="45" t="s">
        <v>697</v>
      </c>
      <c r="I20" s="43"/>
      <c r="J20" s="43" t="s">
        <v>792</v>
      </c>
      <c r="K20" s="45">
        <v>218</v>
      </c>
      <c r="L20" s="43" t="s">
        <v>793</v>
      </c>
      <c r="M20" s="46" t="s">
        <v>794</v>
      </c>
      <c r="N20" s="45" t="s">
        <v>740</v>
      </c>
      <c r="O20" s="45" t="s">
        <v>740</v>
      </c>
      <c r="P20" s="45" t="s">
        <v>740</v>
      </c>
      <c r="Q20" s="45" t="s">
        <v>740</v>
      </c>
      <c r="R20" s="43" t="s">
        <v>795</v>
      </c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spans="1:30">
      <c r="A21" s="62"/>
      <c r="B21" s="62"/>
      <c r="C21" s="62"/>
      <c r="D21" s="43" t="s">
        <v>796</v>
      </c>
      <c r="E21" s="43"/>
      <c r="F21" s="44" t="s">
        <v>687</v>
      </c>
      <c r="G21" s="44" t="s">
        <v>791</v>
      </c>
      <c r="H21" s="45" t="s">
        <v>697</v>
      </c>
      <c r="I21" s="43"/>
      <c r="J21" s="45" t="s">
        <v>797</v>
      </c>
      <c r="K21" s="45">
        <v>219</v>
      </c>
      <c r="L21" s="43" t="s">
        <v>798</v>
      </c>
      <c r="M21" s="46" t="s">
        <v>799</v>
      </c>
      <c r="N21" s="45" t="s">
        <v>740</v>
      </c>
      <c r="O21" s="45" t="s">
        <v>740</v>
      </c>
      <c r="P21" s="45" t="s">
        <v>740</v>
      </c>
      <c r="Q21" s="45" t="s">
        <v>740</v>
      </c>
      <c r="R21" s="43" t="s">
        <v>800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spans="1:30">
      <c r="A22" s="62"/>
      <c r="B22" s="62"/>
      <c r="C22" s="62"/>
      <c r="D22" s="43" t="s">
        <v>801</v>
      </c>
      <c r="E22" s="43"/>
      <c r="F22" s="44" t="s">
        <v>687</v>
      </c>
      <c r="G22" s="44" t="s">
        <v>791</v>
      </c>
      <c r="H22" s="45" t="s">
        <v>697</v>
      </c>
      <c r="I22" s="43"/>
      <c r="J22" s="45" t="s">
        <v>802</v>
      </c>
      <c r="K22" s="45">
        <v>220</v>
      </c>
      <c r="L22" s="43" t="s">
        <v>803</v>
      </c>
      <c r="M22" s="46" t="s">
        <v>804</v>
      </c>
      <c r="N22" s="45" t="s">
        <v>740</v>
      </c>
      <c r="O22" s="45" t="s">
        <v>740</v>
      </c>
      <c r="P22" s="45" t="s">
        <v>740</v>
      </c>
      <c r="Q22" s="45" t="s">
        <v>740</v>
      </c>
      <c r="R22" s="43" t="s">
        <v>805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spans="1:30">
      <c r="A23" s="62"/>
      <c r="B23" s="62"/>
      <c r="C23" s="6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1:30">
      <c r="A24" s="62"/>
      <c r="B24" s="62"/>
      <c r="C24" s="43" t="s">
        <v>637</v>
      </c>
      <c r="D24" s="43" t="s">
        <v>637</v>
      </c>
      <c r="E24" s="43"/>
      <c r="F24" s="44" t="s">
        <v>687</v>
      </c>
      <c r="G24" s="44" t="s">
        <v>791</v>
      </c>
      <c r="H24" s="45" t="s">
        <v>697</v>
      </c>
      <c r="I24" s="43"/>
      <c r="J24" s="45" t="s">
        <v>792</v>
      </c>
      <c r="K24" s="45">
        <v>1018</v>
      </c>
      <c r="L24" s="45" t="s">
        <v>806</v>
      </c>
      <c r="M24" s="47" t="s">
        <v>807</v>
      </c>
      <c r="N24" s="43" t="s">
        <v>808</v>
      </c>
      <c r="O24" s="47" t="s">
        <v>809</v>
      </c>
      <c r="P24" s="45" t="s">
        <v>636</v>
      </c>
      <c r="Q24" s="46" t="s">
        <v>810</v>
      </c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1:30">
      <c r="A25" s="62"/>
      <c r="B25" s="62"/>
      <c r="C25" s="43" t="s">
        <v>796</v>
      </c>
      <c r="D25" s="43" t="s">
        <v>796</v>
      </c>
      <c r="E25" s="43"/>
      <c r="F25" s="44" t="s">
        <v>687</v>
      </c>
      <c r="G25" s="44" t="s">
        <v>791</v>
      </c>
      <c r="H25" s="45" t="s">
        <v>697</v>
      </c>
      <c r="I25" s="43"/>
      <c r="J25" s="45" t="s">
        <v>797</v>
      </c>
      <c r="K25" s="45">
        <v>1019</v>
      </c>
      <c r="L25" s="45" t="s">
        <v>811</v>
      </c>
      <c r="M25" s="47" t="s">
        <v>812</v>
      </c>
      <c r="N25" s="43" t="s">
        <v>813</v>
      </c>
      <c r="O25" s="47" t="s">
        <v>814</v>
      </c>
      <c r="P25" s="43" t="s">
        <v>638</v>
      </c>
      <c r="Q25" s="46" t="s">
        <v>815</v>
      </c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1:30">
      <c r="A26" s="62"/>
      <c r="B26" s="62"/>
      <c r="C26" s="43" t="s">
        <v>801</v>
      </c>
      <c r="D26" s="43" t="s">
        <v>801</v>
      </c>
      <c r="E26" s="43"/>
      <c r="F26" s="44" t="s">
        <v>687</v>
      </c>
      <c r="G26" s="44" t="s">
        <v>791</v>
      </c>
      <c r="H26" s="45" t="s">
        <v>697</v>
      </c>
      <c r="I26" s="43"/>
      <c r="J26" s="45" t="s">
        <v>802</v>
      </c>
      <c r="K26" s="45">
        <v>1020</v>
      </c>
      <c r="L26" s="45" t="s">
        <v>816</v>
      </c>
      <c r="M26" s="47" t="s">
        <v>817</v>
      </c>
      <c r="N26" s="43" t="s">
        <v>818</v>
      </c>
      <c r="O26" s="47" t="s">
        <v>819</v>
      </c>
      <c r="P26" s="43" t="s">
        <v>640</v>
      </c>
      <c r="Q26" s="46" t="s">
        <v>820</v>
      </c>
      <c r="R26" s="46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1:30">
      <c r="A27" s="62"/>
      <c r="B27" s="62"/>
      <c r="C27" s="43"/>
      <c r="D27" s="43"/>
      <c r="E27" s="43"/>
      <c r="F27" s="43"/>
      <c r="G27" s="43"/>
      <c r="H27" s="43"/>
      <c r="I27" s="43"/>
      <c r="J27" s="43"/>
      <c r="K27" s="45"/>
      <c r="L27" s="45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>
      <c r="A28" s="62"/>
      <c r="B28" s="80" t="s">
        <v>821</v>
      </c>
      <c r="C28" s="81" t="s">
        <v>685</v>
      </c>
      <c r="D28" s="48" t="s">
        <v>822</v>
      </c>
      <c r="E28" s="48"/>
      <c r="F28" s="49" t="s">
        <v>761</v>
      </c>
      <c r="G28" s="48" t="s">
        <v>823</v>
      </c>
      <c r="H28" s="48" t="s">
        <v>697</v>
      </c>
      <c r="I28" s="48"/>
      <c r="J28" s="48" t="s">
        <v>690</v>
      </c>
      <c r="K28" s="48">
        <v>211</v>
      </c>
      <c r="L28" s="48" t="s">
        <v>824</v>
      </c>
      <c r="M28" s="50" t="s">
        <v>825</v>
      </c>
      <c r="N28" s="48" t="s">
        <v>740</v>
      </c>
      <c r="O28" s="48" t="s">
        <v>740</v>
      </c>
      <c r="P28" s="48" t="s">
        <v>740</v>
      </c>
      <c r="Q28" s="48" t="s">
        <v>740</v>
      </c>
      <c r="R28" s="48" t="s">
        <v>826</v>
      </c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spans="1:30">
      <c r="A29" s="62"/>
      <c r="B29" s="62"/>
      <c r="C29" s="62"/>
      <c r="D29" s="48" t="s">
        <v>827</v>
      </c>
      <c r="E29" s="48"/>
      <c r="F29" s="49" t="s">
        <v>761</v>
      </c>
      <c r="G29" s="48" t="s">
        <v>823</v>
      </c>
      <c r="H29" s="48" t="s">
        <v>697</v>
      </c>
      <c r="I29" s="48"/>
      <c r="J29" s="48" t="s">
        <v>52</v>
      </c>
      <c r="K29" s="48">
        <v>213</v>
      </c>
      <c r="L29" s="48" t="s">
        <v>828</v>
      </c>
      <c r="M29" s="50" t="s">
        <v>829</v>
      </c>
      <c r="N29" s="48" t="s">
        <v>740</v>
      </c>
      <c r="O29" s="48" t="s">
        <v>740</v>
      </c>
      <c r="P29" s="48" t="s">
        <v>740</v>
      </c>
      <c r="Q29" s="48" t="s">
        <v>740</v>
      </c>
      <c r="R29" s="48" t="s">
        <v>830</v>
      </c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</row>
    <row r="30" spans="1:30">
      <c r="A30" s="62"/>
      <c r="B30" s="62"/>
      <c r="C30" s="62"/>
      <c r="D30" s="48" t="s">
        <v>831</v>
      </c>
      <c r="E30" s="48"/>
      <c r="F30" s="49" t="s">
        <v>687</v>
      </c>
      <c r="G30" s="48" t="s">
        <v>823</v>
      </c>
      <c r="H30" s="48" t="s">
        <v>697</v>
      </c>
      <c r="I30" s="48"/>
      <c r="J30" s="48" t="s">
        <v>832</v>
      </c>
      <c r="K30" s="48">
        <v>214</v>
      </c>
      <c r="L30" s="48" t="s">
        <v>833</v>
      </c>
      <c r="M30" s="52" t="s">
        <v>834</v>
      </c>
      <c r="N30" s="48" t="s">
        <v>740</v>
      </c>
      <c r="O30" s="48" t="s">
        <v>740</v>
      </c>
      <c r="P30" s="48" t="s">
        <v>740</v>
      </c>
      <c r="Q30" s="48" t="s">
        <v>740</v>
      </c>
      <c r="R30" s="48" t="s">
        <v>835</v>
      </c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</row>
    <row r="31" spans="1:30">
      <c r="A31" s="62"/>
      <c r="B31" s="62"/>
      <c r="C31" s="62"/>
      <c r="D31" s="48" t="s">
        <v>836</v>
      </c>
      <c r="E31" s="48"/>
      <c r="F31" s="49" t="s">
        <v>761</v>
      </c>
      <c r="G31" s="48" t="s">
        <v>823</v>
      </c>
      <c r="H31" s="48" t="s">
        <v>697</v>
      </c>
      <c r="I31" s="48"/>
      <c r="J31" s="48" t="s">
        <v>837</v>
      </c>
      <c r="K31" s="48">
        <v>215</v>
      </c>
      <c r="L31" s="48" t="s">
        <v>838</v>
      </c>
      <c r="M31" s="52" t="s">
        <v>839</v>
      </c>
      <c r="N31" s="48" t="s">
        <v>740</v>
      </c>
      <c r="O31" s="48" t="s">
        <v>740</v>
      </c>
      <c r="P31" s="48" t="s">
        <v>740</v>
      </c>
      <c r="Q31" s="48" t="s">
        <v>740</v>
      </c>
      <c r="R31" s="48" t="s">
        <v>840</v>
      </c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 spans="1:30">
      <c r="A32" s="62"/>
      <c r="B32" s="62"/>
      <c r="C32" s="62"/>
      <c r="D32" s="48" t="s">
        <v>633</v>
      </c>
      <c r="E32" s="48"/>
      <c r="F32" s="49" t="s">
        <v>761</v>
      </c>
      <c r="G32" s="48" t="s">
        <v>823</v>
      </c>
      <c r="H32" s="48" t="s">
        <v>697</v>
      </c>
      <c r="I32" s="48"/>
      <c r="J32" s="48" t="s">
        <v>841</v>
      </c>
      <c r="K32" s="48">
        <v>216</v>
      </c>
      <c r="L32" s="48" t="s">
        <v>842</v>
      </c>
      <c r="M32" s="52" t="s">
        <v>843</v>
      </c>
      <c r="N32" s="48" t="s">
        <v>740</v>
      </c>
      <c r="O32" s="48" t="s">
        <v>740</v>
      </c>
      <c r="P32" s="48" t="s">
        <v>740</v>
      </c>
      <c r="Q32" s="48" t="s">
        <v>740</v>
      </c>
      <c r="R32" s="48" t="s">
        <v>844</v>
      </c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</row>
    <row r="33" spans="1:30">
      <c r="A33" s="62"/>
      <c r="B33" s="62"/>
      <c r="C33" s="62"/>
      <c r="D33" s="48" t="s">
        <v>845</v>
      </c>
      <c r="E33" s="48"/>
      <c r="F33" s="49" t="s">
        <v>761</v>
      </c>
      <c r="G33" s="48" t="s">
        <v>823</v>
      </c>
      <c r="H33" s="48" t="s">
        <v>697</v>
      </c>
      <c r="I33" s="48"/>
      <c r="J33" s="48" t="s">
        <v>846</v>
      </c>
      <c r="K33" s="48">
        <v>217</v>
      </c>
      <c r="L33" s="48" t="s">
        <v>847</v>
      </c>
      <c r="M33" s="52" t="s">
        <v>848</v>
      </c>
      <c r="N33" s="48" t="s">
        <v>740</v>
      </c>
      <c r="O33" s="48" t="s">
        <v>740</v>
      </c>
      <c r="P33" s="48" t="s">
        <v>740</v>
      </c>
      <c r="Q33" s="48" t="s">
        <v>740</v>
      </c>
      <c r="R33" s="48" t="s">
        <v>849</v>
      </c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</row>
    <row r="34" spans="1:30">
      <c r="A34" s="62"/>
      <c r="B34" s="62"/>
      <c r="C34" s="62"/>
      <c r="D34" s="51" t="s">
        <v>850</v>
      </c>
      <c r="E34" s="51"/>
      <c r="F34" s="49" t="s">
        <v>687</v>
      </c>
      <c r="G34" s="48" t="s">
        <v>823</v>
      </c>
      <c r="H34" s="48" t="s">
        <v>697</v>
      </c>
      <c r="I34" s="51"/>
      <c r="J34" s="48" t="s">
        <v>851</v>
      </c>
      <c r="K34" s="48">
        <v>221</v>
      </c>
      <c r="L34" s="51" t="s">
        <v>852</v>
      </c>
      <c r="M34" s="53" t="s">
        <v>853</v>
      </c>
      <c r="N34" s="48" t="s">
        <v>740</v>
      </c>
      <c r="O34" s="48" t="s">
        <v>740</v>
      </c>
      <c r="P34" s="48" t="s">
        <v>740</v>
      </c>
      <c r="Q34" s="48" t="s">
        <v>740</v>
      </c>
      <c r="R34" s="51" t="s">
        <v>854</v>
      </c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1:30">
      <c r="A35" s="62"/>
      <c r="B35" s="62"/>
      <c r="C35" s="62"/>
      <c r="D35" s="51" t="s">
        <v>855</v>
      </c>
      <c r="E35" s="51"/>
      <c r="F35" s="49" t="s">
        <v>687</v>
      </c>
      <c r="G35" s="48" t="s">
        <v>823</v>
      </c>
      <c r="H35" s="48" t="s">
        <v>697</v>
      </c>
      <c r="I35" s="51"/>
      <c r="J35" s="48" t="s">
        <v>856</v>
      </c>
      <c r="K35" s="48">
        <v>224</v>
      </c>
      <c r="L35" s="51" t="s">
        <v>857</v>
      </c>
      <c r="M35" s="53" t="s">
        <v>858</v>
      </c>
      <c r="N35" s="48" t="s">
        <v>740</v>
      </c>
      <c r="O35" s="48" t="s">
        <v>740</v>
      </c>
      <c r="P35" s="48" t="s">
        <v>740</v>
      </c>
      <c r="Q35" s="48" t="s">
        <v>740</v>
      </c>
      <c r="R35" s="51" t="s">
        <v>859</v>
      </c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</row>
    <row r="36" spans="1:30">
      <c r="A36" s="62"/>
      <c r="B36" s="62"/>
      <c r="C36" s="62"/>
      <c r="D36" s="51" t="s">
        <v>860</v>
      </c>
      <c r="E36" s="51"/>
      <c r="F36" s="49" t="s">
        <v>687</v>
      </c>
      <c r="G36" s="48" t="s">
        <v>823</v>
      </c>
      <c r="H36" s="48" t="s">
        <v>697</v>
      </c>
      <c r="I36" s="51"/>
      <c r="J36" s="48" t="s">
        <v>861</v>
      </c>
      <c r="K36" s="48">
        <v>225</v>
      </c>
      <c r="L36" s="51" t="s">
        <v>862</v>
      </c>
      <c r="M36" s="53" t="s">
        <v>863</v>
      </c>
      <c r="N36" s="48" t="s">
        <v>740</v>
      </c>
      <c r="O36" s="48" t="s">
        <v>740</v>
      </c>
      <c r="P36" s="48" t="s">
        <v>740</v>
      </c>
      <c r="Q36" s="48" t="s">
        <v>740</v>
      </c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</row>
    <row r="37" spans="1:30">
      <c r="A37" s="62"/>
      <c r="B37" s="62"/>
      <c r="C37" s="62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 spans="1:30">
      <c r="A38" s="62"/>
      <c r="B38" s="62"/>
      <c r="C38" s="81" t="s">
        <v>736</v>
      </c>
      <c r="D38" s="48" t="s">
        <v>822</v>
      </c>
      <c r="E38" s="48"/>
      <c r="F38" s="49" t="s">
        <v>761</v>
      </c>
      <c r="G38" s="48" t="s">
        <v>823</v>
      </c>
      <c r="H38" s="48" t="s">
        <v>697</v>
      </c>
      <c r="I38" s="48"/>
      <c r="J38" s="48" t="s">
        <v>864</v>
      </c>
      <c r="K38" s="48">
        <v>1009</v>
      </c>
      <c r="L38" s="48" t="s">
        <v>865</v>
      </c>
      <c r="M38" s="50" t="s">
        <v>866</v>
      </c>
      <c r="N38" s="48" t="s">
        <v>620</v>
      </c>
      <c r="O38" s="50" t="s">
        <v>867</v>
      </c>
      <c r="P38" s="48" t="s">
        <v>868</v>
      </c>
      <c r="Q38" s="50" t="s">
        <v>869</v>
      </c>
      <c r="R38" s="54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</row>
    <row r="39" spans="1:30">
      <c r="A39" s="62"/>
      <c r="B39" s="62"/>
      <c r="C39" s="62"/>
      <c r="D39" s="48" t="s">
        <v>827</v>
      </c>
      <c r="E39" s="48"/>
      <c r="F39" s="49" t="s">
        <v>761</v>
      </c>
      <c r="G39" s="48" t="s">
        <v>823</v>
      </c>
      <c r="H39" s="48" t="s">
        <v>697</v>
      </c>
      <c r="I39" s="48"/>
      <c r="J39" s="48" t="s">
        <v>52</v>
      </c>
      <c r="K39" s="48">
        <v>1010</v>
      </c>
      <c r="L39" s="48" t="s">
        <v>870</v>
      </c>
      <c r="M39" s="50" t="s">
        <v>829</v>
      </c>
      <c r="N39" s="48" t="s">
        <v>871</v>
      </c>
      <c r="O39" s="50" t="s">
        <v>872</v>
      </c>
      <c r="P39" s="48" t="s">
        <v>622</v>
      </c>
      <c r="Q39" s="50" t="s">
        <v>873</v>
      </c>
      <c r="R39" s="54" t="s">
        <v>761</v>
      </c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</row>
    <row r="40" spans="1:30">
      <c r="A40" s="62"/>
      <c r="B40" s="62"/>
      <c r="C40" s="48" t="s">
        <v>874</v>
      </c>
      <c r="D40" s="48" t="s">
        <v>875</v>
      </c>
      <c r="E40" s="48"/>
      <c r="F40" s="49" t="s">
        <v>687</v>
      </c>
      <c r="G40" s="48" t="s">
        <v>823</v>
      </c>
      <c r="H40" s="48" t="s">
        <v>697</v>
      </c>
      <c r="I40" s="48"/>
      <c r="J40" s="48" t="s">
        <v>832</v>
      </c>
      <c r="K40" s="48">
        <v>1011</v>
      </c>
      <c r="L40" s="48" t="s">
        <v>876</v>
      </c>
      <c r="M40" s="50" t="s">
        <v>877</v>
      </c>
      <c r="N40" s="48" t="s">
        <v>878</v>
      </c>
      <c r="O40" s="50" t="s">
        <v>879</v>
      </c>
      <c r="P40" s="48" t="s">
        <v>624</v>
      </c>
      <c r="Q40" s="50" t="s">
        <v>880</v>
      </c>
      <c r="R40" s="54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</row>
    <row r="41" spans="1:30">
      <c r="A41" s="62"/>
      <c r="B41" s="62"/>
      <c r="C41" s="78" t="s">
        <v>881</v>
      </c>
      <c r="D41" s="48" t="s">
        <v>882</v>
      </c>
      <c r="E41" s="48"/>
      <c r="F41" s="49" t="s">
        <v>761</v>
      </c>
      <c r="G41" s="48" t="s">
        <v>823</v>
      </c>
      <c r="H41" s="48" t="s">
        <v>883</v>
      </c>
      <c r="I41" s="48"/>
      <c r="J41" s="48" t="s">
        <v>884</v>
      </c>
      <c r="K41" s="48">
        <v>1012</v>
      </c>
      <c r="L41" s="48"/>
      <c r="M41" s="48"/>
      <c r="N41" s="48" t="s">
        <v>885</v>
      </c>
      <c r="O41" s="50" t="s">
        <v>886</v>
      </c>
      <c r="P41" s="48" t="s">
        <v>626</v>
      </c>
      <c r="Q41" s="50" t="s">
        <v>887</v>
      </c>
      <c r="R41" s="54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</row>
    <row r="42" spans="1:30">
      <c r="A42" s="62"/>
      <c r="B42" s="62"/>
      <c r="C42" s="62"/>
      <c r="D42" s="48" t="s">
        <v>836</v>
      </c>
      <c r="E42" s="48"/>
      <c r="F42" s="49" t="s">
        <v>761</v>
      </c>
      <c r="G42" s="48" t="s">
        <v>823</v>
      </c>
      <c r="H42" s="48" t="s">
        <v>697</v>
      </c>
      <c r="I42" s="48"/>
      <c r="J42" s="48" t="s">
        <v>837</v>
      </c>
      <c r="K42" s="48">
        <v>1014</v>
      </c>
      <c r="L42" s="48" t="s">
        <v>888</v>
      </c>
      <c r="M42" s="50" t="s">
        <v>889</v>
      </c>
      <c r="N42" s="48" t="s">
        <v>890</v>
      </c>
      <c r="O42" s="50" t="s">
        <v>891</v>
      </c>
      <c r="P42" s="48" t="s">
        <v>630</v>
      </c>
      <c r="Q42" s="50" t="s">
        <v>892</v>
      </c>
      <c r="R42" s="54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</row>
    <row r="43" spans="1:30">
      <c r="A43" s="62"/>
      <c r="B43" s="62"/>
      <c r="C43" s="48" t="s">
        <v>893</v>
      </c>
      <c r="D43" s="48" t="s">
        <v>893</v>
      </c>
      <c r="E43" s="48"/>
      <c r="F43" s="49" t="s">
        <v>761</v>
      </c>
      <c r="G43" s="48" t="s">
        <v>823</v>
      </c>
      <c r="H43" s="49" t="s">
        <v>883</v>
      </c>
      <c r="I43" s="48"/>
      <c r="J43" s="48" t="s">
        <v>894</v>
      </c>
      <c r="K43" s="48">
        <v>1013</v>
      </c>
      <c r="L43" s="48"/>
      <c r="M43" s="48"/>
      <c r="N43" s="48"/>
      <c r="O43" s="48"/>
      <c r="P43" s="48" t="s">
        <v>628</v>
      </c>
      <c r="Q43" s="50" t="s">
        <v>895</v>
      </c>
      <c r="R43" s="54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1:30">
      <c r="A44" s="62"/>
      <c r="B44" s="62"/>
      <c r="C44" s="48" t="s">
        <v>633</v>
      </c>
      <c r="D44" s="48" t="s">
        <v>633</v>
      </c>
      <c r="E44" s="48"/>
      <c r="F44" s="49" t="s">
        <v>687</v>
      </c>
      <c r="G44" s="48" t="s">
        <v>823</v>
      </c>
      <c r="H44" s="48" t="s">
        <v>697</v>
      </c>
      <c r="I44" s="48"/>
      <c r="J44" s="48" t="s">
        <v>841</v>
      </c>
      <c r="K44" s="48">
        <v>1016</v>
      </c>
      <c r="L44" s="48" t="s">
        <v>896</v>
      </c>
      <c r="M44" s="50" t="s">
        <v>897</v>
      </c>
      <c r="N44" s="48" t="s">
        <v>898</v>
      </c>
      <c r="O44" s="50" t="s">
        <v>899</v>
      </c>
      <c r="P44" s="48" t="s">
        <v>632</v>
      </c>
      <c r="Q44" s="50" t="s">
        <v>900</v>
      </c>
      <c r="R44" s="54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</row>
    <row r="45" spans="1:30">
      <c r="A45" s="62"/>
      <c r="B45" s="62"/>
      <c r="C45" s="48" t="s">
        <v>845</v>
      </c>
      <c r="D45" s="48" t="s">
        <v>845</v>
      </c>
      <c r="E45" s="48"/>
      <c r="F45" s="49" t="s">
        <v>687</v>
      </c>
      <c r="G45" s="48" t="s">
        <v>823</v>
      </c>
      <c r="H45" s="48" t="s">
        <v>697</v>
      </c>
      <c r="I45" s="48"/>
      <c r="J45" s="48" t="s">
        <v>846</v>
      </c>
      <c r="K45" s="48">
        <v>1017</v>
      </c>
      <c r="L45" s="48" t="s">
        <v>901</v>
      </c>
      <c r="M45" s="50" t="s">
        <v>902</v>
      </c>
      <c r="N45" s="48" t="s">
        <v>903</v>
      </c>
      <c r="O45" s="50" t="s">
        <v>904</v>
      </c>
      <c r="P45" s="48" t="s">
        <v>634</v>
      </c>
      <c r="Q45" s="52" t="s">
        <v>848</v>
      </c>
      <c r="R45" s="54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 spans="1:30">
      <c r="A46" s="62"/>
      <c r="B46" s="62"/>
      <c r="C46" s="51" t="s">
        <v>850</v>
      </c>
      <c r="D46" s="51" t="s">
        <v>850</v>
      </c>
      <c r="E46" s="51"/>
      <c r="F46" s="49" t="s">
        <v>687</v>
      </c>
      <c r="G46" s="48" t="s">
        <v>823</v>
      </c>
      <c r="H46" s="48" t="s">
        <v>697</v>
      </c>
      <c r="I46" s="51"/>
      <c r="J46" s="48" t="s">
        <v>851</v>
      </c>
      <c r="K46" s="48">
        <v>1021</v>
      </c>
      <c r="L46" s="48" t="s">
        <v>905</v>
      </c>
      <c r="M46" s="55" t="s">
        <v>906</v>
      </c>
      <c r="N46" s="51" t="s">
        <v>907</v>
      </c>
      <c r="O46" s="52" t="s">
        <v>908</v>
      </c>
      <c r="P46" s="51" t="s">
        <v>642</v>
      </c>
      <c r="Q46" s="52" t="s">
        <v>909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1:30">
      <c r="A47" s="62"/>
      <c r="B47" s="62"/>
      <c r="C47" s="51" t="s">
        <v>910</v>
      </c>
      <c r="D47" s="51" t="s">
        <v>910</v>
      </c>
      <c r="E47" s="51"/>
      <c r="F47" s="49" t="s">
        <v>687</v>
      </c>
      <c r="G47" s="48" t="s">
        <v>823</v>
      </c>
      <c r="H47" s="48" t="s">
        <v>697</v>
      </c>
      <c r="I47" s="51"/>
      <c r="J47" s="48" t="s">
        <v>911</v>
      </c>
      <c r="K47" s="48">
        <v>1022</v>
      </c>
      <c r="L47" s="48" t="s">
        <v>912</v>
      </c>
      <c r="M47" s="55" t="s">
        <v>913</v>
      </c>
      <c r="N47" s="51" t="s">
        <v>740</v>
      </c>
      <c r="O47" s="56" t="s">
        <v>740</v>
      </c>
      <c r="P47" s="56" t="s">
        <v>740</v>
      </c>
      <c r="Q47" s="56" t="s">
        <v>740</v>
      </c>
      <c r="R47" s="51" t="s">
        <v>914</v>
      </c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1:30">
      <c r="A48" s="62"/>
      <c r="B48" s="62"/>
      <c r="C48" s="51" t="s">
        <v>915</v>
      </c>
      <c r="D48" s="51" t="s">
        <v>915</v>
      </c>
      <c r="E48" s="51"/>
      <c r="F48" s="49" t="s">
        <v>687</v>
      </c>
      <c r="G48" s="48" t="s">
        <v>823</v>
      </c>
      <c r="H48" s="48" t="s">
        <v>697</v>
      </c>
      <c r="I48" s="51"/>
      <c r="J48" s="48" t="s">
        <v>916</v>
      </c>
      <c r="K48" s="48">
        <v>1023</v>
      </c>
      <c r="L48" s="48"/>
      <c r="M48" s="51"/>
      <c r="N48" s="51" t="s">
        <v>917</v>
      </c>
      <c r="O48" s="53" t="s">
        <v>918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spans="1:30">
      <c r="A49" s="62"/>
      <c r="B49" s="62"/>
      <c r="C49" s="51" t="s">
        <v>919</v>
      </c>
      <c r="D49" s="51" t="s">
        <v>919</v>
      </c>
      <c r="E49" s="51"/>
      <c r="F49" s="49" t="s">
        <v>687</v>
      </c>
      <c r="G49" s="48" t="s">
        <v>823</v>
      </c>
      <c r="H49" s="48" t="s">
        <v>697</v>
      </c>
      <c r="I49" s="51"/>
      <c r="J49" s="48" t="s">
        <v>856</v>
      </c>
      <c r="K49" s="48">
        <v>1024</v>
      </c>
      <c r="L49" s="48" t="s">
        <v>920</v>
      </c>
      <c r="M49" s="55" t="s">
        <v>921</v>
      </c>
      <c r="N49" s="51" t="s">
        <v>922</v>
      </c>
      <c r="O49" s="53" t="s">
        <v>923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1:30">
      <c r="A50" s="62"/>
      <c r="B50" s="62"/>
      <c r="C50" s="51" t="s">
        <v>924</v>
      </c>
      <c r="D50" s="51" t="s">
        <v>924</v>
      </c>
      <c r="E50" s="51"/>
      <c r="F50" s="49" t="s">
        <v>687</v>
      </c>
      <c r="G50" s="48" t="s">
        <v>823</v>
      </c>
      <c r="H50" s="48" t="s">
        <v>697</v>
      </c>
      <c r="I50" s="51"/>
      <c r="J50" s="48" t="s">
        <v>861</v>
      </c>
      <c r="K50" s="48">
        <v>1025</v>
      </c>
      <c r="L50" s="51" t="s">
        <v>925</v>
      </c>
      <c r="M50" s="53" t="s">
        <v>926</v>
      </c>
      <c r="N50" s="48" t="s">
        <v>927</v>
      </c>
      <c r="O50" s="53" t="s">
        <v>928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</row>
    <row r="51" spans="1:30">
      <c r="A51" s="62"/>
      <c r="B51" s="62"/>
      <c r="C51" s="51"/>
      <c r="D51" s="51"/>
      <c r="E51" s="51"/>
      <c r="F51" s="51"/>
      <c r="G51" s="51"/>
      <c r="H51" s="51"/>
      <c r="I51" s="51"/>
      <c r="J51" s="51"/>
      <c r="K51" s="48"/>
      <c r="L51" s="48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</row>
    <row r="52" spans="1:30">
      <c r="F52" s="20"/>
    </row>
  </sheetData>
  <mergeCells count="24">
    <mergeCell ref="A7:A51"/>
    <mergeCell ref="B7:B19"/>
    <mergeCell ref="C7:C10"/>
    <mergeCell ref="C12:C16"/>
    <mergeCell ref="C20:C23"/>
    <mergeCell ref="C41:C42"/>
    <mergeCell ref="B20:B27"/>
    <mergeCell ref="B28:B51"/>
    <mergeCell ref="C28:C37"/>
    <mergeCell ref="C38:C39"/>
    <mergeCell ref="A3:R3"/>
    <mergeCell ref="A4:A6"/>
    <mergeCell ref="B4:B6"/>
    <mergeCell ref="C4:C6"/>
    <mergeCell ref="D4:D6"/>
    <mergeCell ref="E4:E6"/>
    <mergeCell ref="G4:R4"/>
    <mergeCell ref="P5:Q5"/>
    <mergeCell ref="G5:G6"/>
    <mergeCell ref="F4:F6"/>
    <mergeCell ref="H5:H6"/>
    <mergeCell ref="I5:J5"/>
    <mergeCell ref="L5:M5"/>
    <mergeCell ref="N5:O5"/>
  </mergeCells>
  <phoneticPr fontId="30" type="noConversion"/>
  <hyperlinks>
    <hyperlink ref="M7" r:id="rId1" xr:uid="{00000000-0004-0000-0800-000000000000}"/>
    <hyperlink ref="M8" r:id="rId2" xr:uid="{00000000-0004-0000-0800-000001000000}"/>
    <hyperlink ref="M9" r:id="rId3" xr:uid="{00000000-0004-0000-0800-000002000000}"/>
    <hyperlink ref="M10" r:id="rId4" xr:uid="{00000000-0004-0000-0800-000003000000}"/>
    <hyperlink ref="M12" r:id="rId5" xr:uid="{00000000-0004-0000-0800-000004000000}"/>
    <hyperlink ref="O12" r:id="rId6" xr:uid="{00000000-0004-0000-0800-000005000000}"/>
    <hyperlink ref="Q12" r:id="rId7" xr:uid="{00000000-0004-0000-0800-000006000000}"/>
    <hyperlink ref="M13" r:id="rId8" xr:uid="{00000000-0004-0000-0800-000007000000}"/>
    <hyperlink ref="M14" r:id="rId9" xr:uid="{00000000-0004-0000-0800-000008000000}"/>
    <hyperlink ref="O14" r:id="rId10" xr:uid="{00000000-0004-0000-0800-000009000000}"/>
    <hyperlink ref="Q14" r:id="rId11" xr:uid="{00000000-0004-0000-0800-00000A000000}"/>
    <hyperlink ref="M15" r:id="rId12" xr:uid="{00000000-0004-0000-0800-00000B000000}"/>
    <hyperlink ref="O15" r:id="rId13" xr:uid="{00000000-0004-0000-0800-00000C000000}"/>
    <hyperlink ref="Q15" r:id="rId14" xr:uid="{00000000-0004-0000-0800-00000D000000}"/>
    <hyperlink ref="M16" r:id="rId15" xr:uid="{00000000-0004-0000-0800-00000E000000}"/>
    <hyperlink ref="M17" r:id="rId16" xr:uid="{00000000-0004-0000-0800-00000F000000}"/>
    <hyperlink ref="N17" r:id="rId17" xr:uid="{00000000-0004-0000-0800-000010000000}"/>
    <hyperlink ref="O17" r:id="rId18" xr:uid="{00000000-0004-0000-0800-000011000000}"/>
    <hyperlink ref="M18" r:id="rId19" xr:uid="{00000000-0004-0000-0800-000012000000}"/>
    <hyperlink ref="O18" r:id="rId20" xr:uid="{00000000-0004-0000-0800-000013000000}"/>
    <hyperlink ref="Q18" r:id="rId21" xr:uid="{00000000-0004-0000-0800-000014000000}"/>
    <hyperlink ref="M20" r:id="rId22" xr:uid="{00000000-0004-0000-0800-000015000000}"/>
    <hyperlink ref="M21" r:id="rId23" xr:uid="{00000000-0004-0000-0800-000016000000}"/>
    <hyperlink ref="M22" r:id="rId24" xr:uid="{00000000-0004-0000-0800-000017000000}"/>
    <hyperlink ref="M24" r:id="rId25" xr:uid="{00000000-0004-0000-0800-000018000000}"/>
    <hyperlink ref="O24" r:id="rId26" xr:uid="{00000000-0004-0000-0800-000019000000}"/>
    <hyperlink ref="Q24" r:id="rId27" xr:uid="{00000000-0004-0000-0800-00001A000000}"/>
    <hyperlink ref="M25" r:id="rId28" xr:uid="{00000000-0004-0000-0800-00001B000000}"/>
    <hyperlink ref="O25" r:id="rId29" xr:uid="{00000000-0004-0000-0800-00001C000000}"/>
    <hyperlink ref="Q25" r:id="rId30" xr:uid="{00000000-0004-0000-0800-00001D000000}"/>
    <hyperlink ref="M26" r:id="rId31" xr:uid="{00000000-0004-0000-0800-00001E000000}"/>
    <hyperlink ref="O26" r:id="rId32" xr:uid="{00000000-0004-0000-0800-00001F000000}"/>
    <hyperlink ref="Q26" r:id="rId33" xr:uid="{00000000-0004-0000-0800-000020000000}"/>
    <hyperlink ref="M28" r:id="rId34" xr:uid="{00000000-0004-0000-0800-000021000000}"/>
    <hyperlink ref="M29" r:id="rId35" xr:uid="{00000000-0004-0000-0800-000022000000}"/>
    <hyperlink ref="M30" r:id="rId36" xr:uid="{00000000-0004-0000-0800-000023000000}"/>
    <hyperlink ref="M31" r:id="rId37" xr:uid="{00000000-0004-0000-0800-000024000000}"/>
    <hyperlink ref="M32" r:id="rId38" xr:uid="{00000000-0004-0000-0800-000025000000}"/>
    <hyperlink ref="M33" r:id="rId39" xr:uid="{00000000-0004-0000-0800-000026000000}"/>
    <hyperlink ref="M34" r:id="rId40" xr:uid="{00000000-0004-0000-0800-000027000000}"/>
    <hyperlink ref="M35" r:id="rId41" xr:uid="{00000000-0004-0000-0800-000028000000}"/>
    <hyperlink ref="M36" r:id="rId42" xr:uid="{00000000-0004-0000-0800-000029000000}"/>
    <hyperlink ref="M38" r:id="rId43" xr:uid="{00000000-0004-0000-0800-00002A000000}"/>
    <hyperlink ref="O38" r:id="rId44" xr:uid="{00000000-0004-0000-0800-00002B000000}"/>
    <hyperlink ref="Q38" r:id="rId45" xr:uid="{00000000-0004-0000-0800-00002C000000}"/>
    <hyperlink ref="M39" r:id="rId46" xr:uid="{00000000-0004-0000-0800-00002D000000}"/>
    <hyperlink ref="O39" r:id="rId47" xr:uid="{00000000-0004-0000-0800-00002E000000}"/>
    <hyperlink ref="Q39" r:id="rId48" xr:uid="{00000000-0004-0000-0800-00002F000000}"/>
    <hyperlink ref="M40" r:id="rId49" xr:uid="{00000000-0004-0000-0800-000030000000}"/>
    <hyperlink ref="O40" r:id="rId50" xr:uid="{00000000-0004-0000-0800-000031000000}"/>
    <hyperlink ref="Q40" r:id="rId51" xr:uid="{00000000-0004-0000-0800-000032000000}"/>
    <hyperlink ref="O41" r:id="rId52" xr:uid="{00000000-0004-0000-0800-000033000000}"/>
    <hyperlink ref="Q41" r:id="rId53" xr:uid="{00000000-0004-0000-0800-000034000000}"/>
    <hyperlink ref="M42" r:id="rId54" xr:uid="{00000000-0004-0000-0800-000035000000}"/>
    <hyperlink ref="O42" r:id="rId55" xr:uid="{00000000-0004-0000-0800-000036000000}"/>
    <hyperlink ref="Q42" r:id="rId56" xr:uid="{00000000-0004-0000-0800-000037000000}"/>
    <hyperlink ref="Q43" r:id="rId57" xr:uid="{00000000-0004-0000-0800-000038000000}"/>
    <hyperlink ref="M44" r:id="rId58" xr:uid="{00000000-0004-0000-0800-000039000000}"/>
    <hyperlink ref="O44" r:id="rId59" xr:uid="{00000000-0004-0000-0800-00003A000000}"/>
    <hyperlink ref="Q44" r:id="rId60" xr:uid="{00000000-0004-0000-0800-00003B000000}"/>
    <hyperlink ref="M45" r:id="rId61" xr:uid="{00000000-0004-0000-0800-00003C000000}"/>
    <hyperlink ref="O45" r:id="rId62" xr:uid="{00000000-0004-0000-0800-00003D000000}"/>
    <hyperlink ref="Q45" r:id="rId63" xr:uid="{00000000-0004-0000-0800-00003E000000}"/>
    <hyperlink ref="M46" r:id="rId64" xr:uid="{00000000-0004-0000-0800-00003F000000}"/>
    <hyperlink ref="O46" r:id="rId65" xr:uid="{00000000-0004-0000-0800-000040000000}"/>
    <hyperlink ref="Q46" r:id="rId66" xr:uid="{00000000-0004-0000-0800-000041000000}"/>
    <hyperlink ref="M47" r:id="rId67" xr:uid="{00000000-0004-0000-0800-000042000000}"/>
    <hyperlink ref="O48" r:id="rId68" xr:uid="{00000000-0004-0000-0800-000043000000}"/>
    <hyperlink ref="M49" r:id="rId69" xr:uid="{00000000-0004-0000-0800-000044000000}"/>
    <hyperlink ref="O49" r:id="rId70" xr:uid="{00000000-0004-0000-0800-000045000000}"/>
    <hyperlink ref="M50" r:id="rId71" xr:uid="{00000000-0004-0000-0800-000046000000}"/>
    <hyperlink ref="O50" r:id="rId72" xr:uid="{00000000-0004-0000-0800-000047000000}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</vt:lpstr>
      <vt:lpstr>正式服API公司列表</vt:lpstr>
      <vt:lpstr>工作表1</vt:lpstr>
      <vt:lpstr>測試服API公司列表</vt:lpstr>
      <vt:lpstr>正式服過濾皮膚表</vt:lpstr>
      <vt:lpstr>公司幣別表</vt:lpstr>
      <vt:lpstr>幣別</vt:lpstr>
      <vt:lpstr>舊資訊API</vt:lpstr>
      <vt:lpstr>參考資訊</vt:lpstr>
      <vt:lpstr>舊包网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2024-04-10T03:58:08Z</dcterms:created>
  <dcterms:modified xsi:type="dcterms:W3CDTF">2024-07-04T12:49:55Z</dcterms:modified>
</cp:coreProperties>
</file>