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lyMurzun/Desktop/"/>
    </mc:Choice>
  </mc:AlternateContent>
  <xr:revisionPtr revIDLastSave="0" documentId="13_ncr:1_{623FBA3D-4B90-AF46-AAA4-AFB6C2BEC099}" xr6:coauthVersionLast="45" xr6:coauthVersionMax="45" xr10:uidLastSave="{00000000-0000-0000-0000-000000000000}"/>
  <bookViews>
    <workbookView xWindow="16800" yWindow="3340" windowWidth="32340" windowHeight="20340" activeTab="4" xr2:uid="{DF90768E-28EC-454C-B955-E756A9C128DD}"/>
  </bookViews>
  <sheets>
    <sheet name="№1-3" sheetId="1" r:id="rId1"/>
    <sheet name="№4-6" sheetId="2" r:id="rId2"/>
    <sheet name="№7-9" sheetId="3" r:id="rId3"/>
    <sheet name="№10-12" sheetId="4" r:id="rId4"/>
    <sheet name="№13-15" sheetId="5" r:id="rId5"/>
    <sheet name="№16-17" sheetId="6" r:id="rId6"/>
  </sheets>
  <definedNames>
    <definedName name="_xlnm._FilterDatabase" localSheetId="5" hidden="1">'№16-17'!$G$6:$G$5465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6" l="1"/>
  <c r="C39" i="6" s="1"/>
  <c r="B38" i="6"/>
  <c r="B37" i="6"/>
  <c r="C37" i="6" s="1"/>
  <c r="B36" i="6"/>
  <c r="D4" i="6"/>
  <c r="E6" i="6"/>
  <c r="D6" i="6"/>
  <c r="J3" i="6"/>
  <c r="K3" i="6" s="1"/>
  <c r="L3" i="6" s="1"/>
  <c r="E4" i="6"/>
  <c r="C9" i="6"/>
  <c r="C7" i="6"/>
  <c r="C8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6" i="6"/>
  <c r="V5" i="5"/>
  <c r="V4" i="5"/>
  <c r="U8" i="5" s="1"/>
  <c r="U6" i="5"/>
  <c r="U5" i="5"/>
  <c r="U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24" i="5"/>
  <c r="B24" i="5"/>
  <c r="B125" i="5"/>
  <c r="B25" i="5"/>
  <c r="B26" i="5"/>
  <c r="C25" i="5" s="1"/>
  <c r="B27" i="5"/>
  <c r="C26" i="5" s="1"/>
  <c r="B28" i="5"/>
  <c r="C27" i="5" s="1"/>
  <c r="B29" i="5"/>
  <c r="C28" i="5" s="1"/>
  <c r="B30" i="5"/>
  <c r="C29" i="5" s="1"/>
  <c r="B31" i="5"/>
  <c r="C30" i="5" s="1"/>
  <c r="B32" i="5"/>
  <c r="C31" i="5" s="1"/>
  <c r="B33" i="5"/>
  <c r="C32" i="5" s="1"/>
  <c r="B34" i="5"/>
  <c r="C33" i="5" s="1"/>
  <c r="B35" i="5"/>
  <c r="C34" i="5" s="1"/>
  <c r="B36" i="5"/>
  <c r="C35" i="5" s="1"/>
  <c r="B37" i="5"/>
  <c r="C36" i="5" s="1"/>
  <c r="B38" i="5"/>
  <c r="C37" i="5" s="1"/>
  <c r="B39" i="5"/>
  <c r="C38" i="5" s="1"/>
  <c r="B40" i="5"/>
  <c r="C39" i="5" s="1"/>
  <c r="B41" i="5"/>
  <c r="C40" i="5" s="1"/>
  <c r="B42" i="5"/>
  <c r="C41" i="5" s="1"/>
  <c r="B43" i="5"/>
  <c r="C42" i="5" s="1"/>
  <c r="B44" i="5"/>
  <c r="C43" i="5" s="1"/>
  <c r="B45" i="5"/>
  <c r="C44" i="5" s="1"/>
  <c r="B46" i="5"/>
  <c r="C45" i="5" s="1"/>
  <c r="B47" i="5"/>
  <c r="C46" i="5" s="1"/>
  <c r="B48" i="5"/>
  <c r="C47" i="5" s="1"/>
  <c r="B49" i="5"/>
  <c r="C48" i="5" s="1"/>
  <c r="B50" i="5"/>
  <c r="C49" i="5" s="1"/>
  <c r="B51" i="5"/>
  <c r="C50" i="5" s="1"/>
  <c r="B52" i="5"/>
  <c r="C51" i="5" s="1"/>
  <c r="B53" i="5"/>
  <c r="C52" i="5" s="1"/>
  <c r="B54" i="5"/>
  <c r="C53" i="5" s="1"/>
  <c r="B55" i="5"/>
  <c r="C54" i="5" s="1"/>
  <c r="B56" i="5"/>
  <c r="C55" i="5" s="1"/>
  <c r="B57" i="5"/>
  <c r="C56" i="5" s="1"/>
  <c r="B58" i="5"/>
  <c r="C57" i="5" s="1"/>
  <c r="B59" i="5"/>
  <c r="C58" i="5" s="1"/>
  <c r="B60" i="5"/>
  <c r="C59" i="5" s="1"/>
  <c r="B61" i="5"/>
  <c r="C60" i="5" s="1"/>
  <c r="B62" i="5"/>
  <c r="C61" i="5" s="1"/>
  <c r="B63" i="5"/>
  <c r="C62" i="5" s="1"/>
  <c r="B64" i="5"/>
  <c r="C63" i="5" s="1"/>
  <c r="B65" i="5"/>
  <c r="C64" i="5" s="1"/>
  <c r="B66" i="5"/>
  <c r="C65" i="5" s="1"/>
  <c r="B67" i="5"/>
  <c r="C66" i="5" s="1"/>
  <c r="B68" i="5"/>
  <c r="C67" i="5" s="1"/>
  <c r="B69" i="5"/>
  <c r="C68" i="5" s="1"/>
  <c r="B70" i="5"/>
  <c r="C69" i="5" s="1"/>
  <c r="B71" i="5"/>
  <c r="C70" i="5" s="1"/>
  <c r="B72" i="5"/>
  <c r="C71" i="5" s="1"/>
  <c r="B73" i="5"/>
  <c r="C72" i="5" s="1"/>
  <c r="B74" i="5"/>
  <c r="C73" i="5" s="1"/>
  <c r="B75" i="5"/>
  <c r="C74" i="5" s="1"/>
  <c r="B76" i="5"/>
  <c r="C75" i="5" s="1"/>
  <c r="B77" i="5"/>
  <c r="C76" i="5" s="1"/>
  <c r="B78" i="5"/>
  <c r="C77" i="5" s="1"/>
  <c r="B79" i="5"/>
  <c r="C78" i="5" s="1"/>
  <c r="B80" i="5"/>
  <c r="C79" i="5" s="1"/>
  <c r="B81" i="5"/>
  <c r="C80" i="5" s="1"/>
  <c r="B82" i="5"/>
  <c r="C81" i="5" s="1"/>
  <c r="B83" i="5"/>
  <c r="C82" i="5" s="1"/>
  <c r="B84" i="5"/>
  <c r="C83" i="5" s="1"/>
  <c r="B85" i="5"/>
  <c r="C84" i="5" s="1"/>
  <c r="B86" i="5"/>
  <c r="C85" i="5" s="1"/>
  <c r="B87" i="5"/>
  <c r="C86" i="5" s="1"/>
  <c r="B88" i="5"/>
  <c r="C87" i="5" s="1"/>
  <c r="B89" i="5"/>
  <c r="C88" i="5" s="1"/>
  <c r="B90" i="5"/>
  <c r="C89" i="5" s="1"/>
  <c r="B91" i="5"/>
  <c r="C90" i="5" s="1"/>
  <c r="B92" i="5"/>
  <c r="C91" i="5" s="1"/>
  <c r="B93" i="5"/>
  <c r="C92" i="5" s="1"/>
  <c r="B94" i="5"/>
  <c r="C93" i="5" s="1"/>
  <c r="B95" i="5"/>
  <c r="C94" i="5" s="1"/>
  <c r="B96" i="5"/>
  <c r="C95" i="5" s="1"/>
  <c r="B97" i="5"/>
  <c r="C96" i="5" s="1"/>
  <c r="B98" i="5"/>
  <c r="C97" i="5" s="1"/>
  <c r="B99" i="5"/>
  <c r="C98" i="5" s="1"/>
  <c r="B100" i="5"/>
  <c r="C99" i="5" s="1"/>
  <c r="B101" i="5"/>
  <c r="C100" i="5" s="1"/>
  <c r="B102" i="5"/>
  <c r="C101" i="5" s="1"/>
  <c r="B103" i="5"/>
  <c r="C102" i="5" s="1"/>
  <c r="B104" i="5"/>
  <c r="C103" i="5" s="1"/>
  <c r="B105" i="5"/>
  <c r="C104" i="5" s="1"/>
  <c r="B106" i="5"/>
  <c r="C105" i="5" s="1"/>
  <c r="B107" i="5"/>
  <c r="C106" i="5" s="1"/>
  <c r="B108" i="5"/>
  <c r="C107" i="5" s="1"/>
  <c r="B109" i="5"/>
  <c r="C108" i="5" s="1"/>
  <c r="B110" i="5"/>
  <c r="C109" i="5" s="1"/>
  <c r="B111" i="5"/>
  <c r="C110" i="5" s="1"/>
  <c r="B112" i="5"/>
  <c r="C111" i="5" s="1"/>
  <c r="B113" i="5"/>
  <c r="C112" i="5" s="1"/>
  <c r="B114" i="5"/>
  <c r="C113" i="5" s="1"/>
  <c r="B115" i="5"/>
  <c r="C114" i="5" s="1"/>
  <c r="B116" i="5"/>
  <c r="C115" i="5" s="1"/>
  <c r="B117" i="5"/>
  <c r="C116" i="5" s="1"/>
  <c r="B118" i="5"/>
  <c r="C117" i="5" s="1"/>
  <c r="B119" i="5"/>
  <c r="C118" i="5" s="1"/>
  <c r="B120" i="5"/>
  <c r="C119" i="5" s="1"/>
  <c r="B121" i="5"/>
  <c r="C120" i="5" s="1"/>
  <c r="B122" i="5"/>
  <c r="C121" i="5" s="1"/>
  <c r="B123" i="5"/>
  <c r="C122" i="5" s="1"/>
  <c r="B124" i="5"/>
  <c r="C36" i="6" l="1"/>
  <c r="D37" i="6" s="1"/>
  <c r="E37" i="6" s="1"/>
  <c r="F37" i="6" s="1"/>
  <c r="G39" i="6" s="1"/>
  <c r="G37" i="6" s="1"/>
  <c r="H37" i="6" s="1"/>
  <c r="C38" i="6"/>
  <c r="D39" i="6" s="1"/>
  <c r="E39" i="6" s="1"/>
  <c r="V10" i="5"/>
  <c r="U11" i="5"/>
  <c r="W10" i="5"/>
  <c r="U10" i="5"/>
  <c r="V11" i="5"/>
  <c r="C24" i="5"/>
  <c r="C123" i="5"/>
  <c r="D8" i="6"/>
  <c r="G19" i="6" s="1"/>
  <c r="M3" i="6"/>
  <c r="G7" i="6"/>
  <c r="G11" i="6"/>
  <c r="G15" i="6"/>
  <c r="G27" i="6"/>
  <c r="G8" i="6"/>
  <c r="G20" i="6"/>
  <c r="G24" i="6"/>
  <c r="G9" i="6"/>
  <c r="G13" i="6"/>
  <c r="G17" i="6"/>
  <c r="G25" i="6"/>
  <c r="G29" i="6"/>
  <c r="G10" i="6"/>
  <c r="G18" i="6"/>
  <c r="G22" i="6"/>
  <c r="G26" i="6"/>
  <c r="C124" i="5"/>
  <c r="I37" i="6" l="1"/>
  <c r="J37" i="6" s="1"/>
  <c r="H39" i="6"/>
  <c r="G16" i="6"/>
  <c r="G23" i="6"/>
  <c r="G6" i="6"/>
  <c r="G14" i="6"/>
  <c r="G21" i="6"/>
  <c r="G28" i="6"/>
  <c r="G12" i="6"/>
  <c r="U14" i="5"/>
  <c r="B5" i="5"/>
  <c r="B6" i="5"/>
  <c r="B7" i="5"/>
  <c r="B8" i="5"/>
  <c r="B9" i="5"/>
  <c r="B10" i="5"/>
  <c r="B11" i="5"/>
  <c r="B12" i="5"/>
  <c r="B13" i="5"/>
  <c r="B4" i="5"/>
  <c r="J3" i="4" l="1"/>
  <c r="I3" i="4"/>
  <c r="K3" i="4" s="1"/>
  <c r="J6" i="4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" i="4"/>
  <c r="C26" i="4" l="1"/>
  <c r="D26" i="4" s="1"/>
  <c r="C25" i="4"/>
  <c r="D25" i="4" s="1"/>
  <c r="B25" i="4"/>
  <c r="A25" i="4"/>
  <c r="A26" i="4" s="1"/>
  <c r="A19" i="4"/>
  <c r="A20" i="4" s="1"/>
  <c r="A21" i="4" s="1"/>
  <c r="B21" i="4" s="1"/>
  <c r="C19" i="4"/>
  <c r="D19" i="4" s="1"/>
  <c r="D7" i="4"/>
  <c r="C7" i="4"/>
  <c r="C8" i="4" s="1"/>
  <c r="A7" i="4"/>
  <c r="B7" i="4" s="1"/>
  <c r="B26" i="4" l="1"/>
  <c r="A27" i="4"/>
  <c r="B27" i="4" s="1"/>
  <c r="C9" i="4"/>
  <c r="D8" i="4"/>
  <c r="C20" i="4"/>
  <c r="B19" i="4"/>
  <c r="C27" i="4"/>
  <c r="A8" i="4"/>
  <c r="B20" i="4"/>
  <c r="A17" i="3"/>
  <c r="A19" i="3" s="1"/>
  <c r="C10" i="4" l="1"/>
  <c r="D9" i="4"/>
  <c r="B8" i="4"/>
  <c r="A9" i="4"/>
  <c r="C28" i="4"/>
  <c r="D28" i="4" s="1"/>
  <c r="D27" i="4"/>
  <c r="E25" i="4" s="1"/>
  <c r="C21" i="4"/>
  <c r="D20" i="4"/>
  <c r="E19" i="3"/>
  <c r="D19" i="3"/>
  <c r="C19" i="3"/>
  <c r="B19" i="3"/>
  <c r="D17" i="3"/>
  <c r="E17" i="3"/>
  <c r="B17" i="3"/>
  <c r="F17" i="3"/>
  <c r="C17" i="3"/>
  <c r="A10" i="4" l="1"/>
  <c r="B9" i="4"/>
  <c r="C22" i="4"/>
  <c r="D22" i="4" s="1"/>
  <c r="D21" i="4"/>
  <c r="E19" i="4" s="1"/>
  <c r="C24" i="3"/>
  <c r="B24" i="3"/>
  <c r="A30" i="3" s="1"/>
  <c r="C22" i="3"/>
  <c r="C25" i="3"/>
  <c r="B25" i="3"/>
  <c r="B22" i="3"/>
  <c r="A28" i="3" s="1"/>
  <c r="B23" i="3"/>
  <c r="C23" i="3"/>
  <c r="C11" i="4"/>
  <c r="D10" i="4"/>
  <c r="B40" i="3"/>
  <c r="B41" i="3"/>
  <c r="B42" i="3"/>
  <c r="B43" i="3"/>
  <c r="B44" i="3"/>
  <c r="B45" i="3"/>
  <c r="B46" i="3"/>
  <c r="B47" i="3"/>
  <c r="B48" i="3"/>
  <c r="B39" i="3"/>
  <c r="A9" i="3"/>
  <c r="D31" i="2"/>
  <c r="K3" i="3"/>
  <c r="K2" i="3"/>
  <c r="J3" i="3"/>
  <c r="J2" i="3"/>
  <c r="E38" i="2"/>
  <c r="F38" i="2" s="1"/>
  <c r="E39" i="2"/>
  <c r="F39" i="2" s="1"/>
  <c r="E40" i="2"/>
  <c r="F40" i="2" s="1"/>
  <c r="E37" i="2"/>
  <c r="F37" i="2" s="1"/>
  <c r="D38" i="2"/>
  <c r="G38" i="2" s="1"/>
  <c r="D39" i="2"/>
  <c r="G39" i="2" s="1"/>
  <c r="D40" i="2"/>
  <c r="G40" i="2" s="1"/>
  <c r="D37" i="2"/>
  <c r="G37" i="2" s="1"/>
  <c r="H38" i="2"/>
  <c r="H39" i="2"/>
  <c r="H40" i="2"/>
  <c r="H37" i="2"/>
  <c r="C38" i="2"/>
  <c r="C39" i="2"/>
  <c r="C40" i="2"/>
  <c r="C37" i="2"/>
  <c r="D25" i="2"/>
  <c r="C25" i="2"/>
  <c r="B25" i="2"/>
  <c r="B5" i="2"/>
  <c r="B4" i="2"/>
  <c r="Y8" i="1"/>
  <c r="Y5" i="1"/>
  <c r="Y6" i="1"/>
  <c r="Y7" i="1"/>
  <c r="Y4" i="1"/>
  <c r="X5" i="1"/>
  <c r="X6" i="1"/>
  <c r="X7" i="1"/>
  <c r="X8" i="1"/>
  <c r="X4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13" i="1"/>
  <c r="A29" i="3" l="1"/>
  <c r="A7" i="3"/>
  <c r="A11" i="3" s="1"/>
  <c r="E31" i="2"/>
  <c r="C31" i="2" s="1"/>
  <c r="C12" i="4"/>
  <c r="D11" i="4"/>
  <c r="A31" i="3"/>
  <c r="A11" i="4"/>
  <c r="B10" i="4"/>
  <c r="C13" i="4" l="1"/>
  <c r="D12" i="4"/>
  <c r="A12" i="4"/>
  <c r="B11" i="4"/>
  <c r="B31" i="2"/>
  <c r="C5" i="1"/>
  <c r="D5" i="1"/>
  <c r="B5" i="1"/>
  <c r="A8" i="1" l="1"/>
  <c r="A13" i="4"/>
  <c r="B13" i="4" s="1"/>
  <c r="B12" i="4"/>
  <c r="C14" i="4"/>
  <c r="D13" i="4"/>
  <c r="D14" i="4" l="1"/>
  <c r="C15" i="4"/>
  <c r="D15" i="4" l="1"/>
  <c r="E7" i="4" s="1"/>
  <c r="C16" i="4"/>
  <c r="D16" i="4" s="1"/>
</calcChain>
</file>

<file path=xl/sharedStrings.xml><?xml version="1.0" encoding="utf-8"?>
<sst xmlns="http://schemas.openxmlformats.org/spreadsheetml/2006/main" count="530" uniqueCount="266">
  <si>
    <t>Состояние</t>
  </si>
  <si>
    <t>A</t>
  </si>
  <si>
    <t>B</t>
  </si>
  <si>
    <t>C</t>
  </si>
  <si>
    <t>№1</t>
  </si>
  <si>
    <t>Вероятность</t>
  </si>
  <si>
    <r>
      <t>Количество информации I = log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(1/p)</t>
    </r>
  </si>
  <si>
    <t>I(бит)</t>
  </si>
  <si>
    <r>
      <t xml:space="preserve"> Среднее количество информации I</t>
    </r>
    <r>
      <rPr>
        <vertAlign val="subscript"/>
        <sz val="12"/>
        <color theme="1"/>
        <rFont val="Calibri (Основной текст)"/>
        <charset val="204"/>
      </rPr>
      <t>ср</t>
    </r>
    <r>
      <rPr>
        <sz val="12"/>
        <color theme="1"/>
        <rFont val="Calibri (Основной текст)"/>
        <charset val="204"/>
      </rPr>
      <t xml:space="preserve"> = </t>
    </r>
    <r>
      <rPr>
        <sz val="12"/>
        <color theme="1"/>
        <rFont val="Calibri"/>
        <family val="2"/>
        <charset val="204"/>
        <scheme val="minor"/>
      </rPr>
      <t>p</t>
    </r>
    <r>
      <rPr>
        <vertAlign val="subscript"/>
        <sz val="12"/>
        <color theme="1"/>
        <rFont val="Calibri (Основной текст)"/>
        <charset val="204"/>
      </rPr>
      <t>1</t>
    </r>
    <r>
      <rPr>
        <sz val="12"/>
        <color theme="1"/>
        <rFont val="Calibri (Основной текст)"/>
        <charset val="204"/>
      </rPr>
      <t>*log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(1/p</t>
    </r>
    <r>
      <rPr>
        <vertAlign val="subscript"/>
        <sz val="12"/>
        <color theme="1"/>
        <rFont val="Calibri (Основной текст)"/>
        <charset val="204"/>
      </rPr>
      <t>1</t>
    </r>
    <r>
      <rPr>
        <sz val="12"/>
        <color theme="1"/>
        <rFont val="Calibri (Основной текст)"/>
        <charset val="204"/>
      </rPr>
      <t>)+p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*log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(1/p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)+…+p</t>
    </r>
    <r>
      <rPr>
        <vertAlign val="subscript"/>
        <sz val="12"/>
        <color theme="1"/>
        <rFont val="Calibri (Основной текст)"/>
        <charset val="204"/>
      </rPr>
      <t>i</t>
    </r>
    <r>
      <rPr>
        <sz val="12"/>
        <color theme="1"/>
        <rFont val="Calibri (Основной текст)"/>
        <charset val="204"/>
      </rPr>
      <t>*log</t>
    </r>
    <r>
      <rPr>
        <vertAlign val="sub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(1/p</t>
    </r>
    <r>
      <rPr>
        <vertAlign val="subscript"/>
        <sz val="12"/>
        <color theme="1"/>
        <rFont val="Calibri (Основной текст)"/>
        <charset val="204"/>
      </rPr>
      <t>i</t>
    </r>
    <r>
      <rPr>
        <sz val="12"/>
        <color theme="1"/>
        <rFont val="Calibri (Основной текст)"/>
        <charset val="204"/>
      </rPr>
      <t>)</t>
    </r>
  </si>
  <si>
    <r>
      <t>I</t>
    </r>
    <r>
      <rPr>
        <vertAlign val="subscript"/>
        <sz val="12"/>
        <color theme="1"/>
        <rFont val="Calibri (Основной текст)"/>
        <charset val="204"/>
      </rPr>
      <t>ср</t>
    </r>
  </si>
  <si>
    <t>№2</t>
  </si>
  <si>
    <t>t(сек)</t>
  </si>
  <si>
    <t>Среднее значение</t>
  </si>
  <si>
    <t>Среднеквадратичноеотклонение</t>
  </si>
  <si>
    <t>Плотность распределения</t>
  </si>
  <si>
    <t>P(4&lt;=t&lt;=5)</t>
  </si>
  <si>
    <t>№3</t>
  </si>
  <si>
    <t xml:space="preserve"> Результаты измерений систолического давления x (в мм рт. ст.) у группы жителей города N</t>
  </si>
  <si>
    <t>Границы интервалов</t>
  </si>
  <si>
    <t>Середины интервалов</t>
  </si>
  <si>
    <t>Частоты</t>
  </si>
  <si>
    <t>№4</t>
  </si>
  <si>
    <t>Рост, см</t>
  </si>
  <si>
    <t>Вес, кг</t>
  </si>
  <si>
    <t>Коэф. Корреляции</t>
  </si>
  <si>
    <t>№5</t>
  </si>
  <si>
    <t>Предсказание</t>
  </si>
  <si>
    <t>МОК</t>
  </si>
  <si>
    <t>Среднее</t>
  </si>
  <si>
    <t>Дисперсия</t>
  </si>
  <si>
    <t>Среднеквадр. Отклонение</t>
  </si>
  <si>
    <t>Левая граница</t>
  </si>
  <si>
    <t>Правая Граница</t>
  </si>
  <si>
    <t>№6</t>
  </si>
  <si>
    <t>Коэф. Стьюдента</t>
  </si>
  <si>
    <t>Полуширина доверительного интервала</t>
  </si>
  <si>
    <t>X</t>
  </si>
  <si>
    <t>Y</t>
  </si>
  <si>
    <t>Тожд. Ложь</t>
  </si>
  <si>
    <t>Дизъюнкция</t>
  </si>
  <si>
    <t>Конъюнкция</t>
  </si>
  <si>
    <t>Стрелка Пирса</t>
  </si>
  <si>
    <t>Штрих Шеффера</t>
  </si>
  <si>
    <t>Тожд. Истина</t>
  </si>
  <si>
    <t>№7</t>
  </si>
  <si>
    <t>Район А</t>
  </si>
  <si>
    <t>Район B</t>
  </si>
  <si>
    <t>Уровень Значимости</t>
  </si>
  <si>
    <t>Критерий Значимости</t>
  </si>
  <si>
    <t>Критерий Стьюдента</t>
  </si>
  <si>
    <t>Вероятность Ошибки</t>
  </si>
  <si>
    <t>№8</t>
  </si>
  <si>
    <t>n</t>
  </si>
  <si>
    <t>#тута любая ваша функция</t>
  </si>
  <si>
    <t>F(n)=(2n-1)/(n+1)</t>
  </si>
  <si>
    <t>№9</t>
  </si>
  <si>
    <t>Комплексное Число</t>
  </si>
  <si>
    <t>Вещественная Часть</t>
  </si>
  <si>
    <t>Мнимая часть</t>
  </si>
  <si>
    <t>Модуль</t>
  </si>
  <si>
    <t>Аргумент</t>
  </si>
  <si>
    <t>Комплексно сопр</t>
  </si>
  <si>
    <t>4-ая степень</t>
  </si>
  <si>
    <t>k</t>
  </si>
  <si>
    <t>Корни</t>
  </si>
  <si>
    <t>№10</t>
  </si>
  <si>
    <t>DEC</t>
  </si>
  <si>
    <t>BIN</t>
  </si>
  <si>
    <t>OCT</t>
  </si>
  <si>
    <t>Число</t>
  </si>
  <si>
    <t>HEX (Если число больше 15, то меняйте на буквы условием)</t>
  </si>
  <si>
    <t>№11</t>
  </si>
  <si>
    <t>x</t>
  </si>
  <si>
    <r>
      <t>f(x)=x</t>
    </r>
    <r>
      <rPr>
        <vertAlign val="superscript"/>
        <sz val="12"/>
        <color theme="1"/>
        <rFont val="Calibri (Основной текст)"/>
        <charset val="204"/>
      </rPr>
      <t>2</t>
    </r>
  </si>
  <si>
    <t>b</t>
  </si>
  <si>
    <t>a</t>
  </si>
  <si>
    <t>b-a</t>
  </si>
  <si>
    <t>Приближенное значение интеграла</t>
  </si>
  <si>
    <t>№12</t>
  </si>
  <si>
    <t>МНН</t>
  </si>
  <si>
    <t>Торговое наименование лекарственного препарата</t>
  </si>
  <si>
    <t>Владелец РУ/производитель/упаковщик/Выпускающий контроль</t>
  </si>
  <si>
    <t>Коли-
чество в потреб. упаков-
ке</t>
  </si>
  <si>
    <t>Предельная цена руб. без НДС</t>
  </si>
  <si>
    <t>Страна</t>
  </si>
  <si>
    <t>Абакавир</t>
  </si>
  <si>
    <t>Зиаген</t>
  </si>
  <si>
    <t>ГлаксоСмитКляйн Инк</t>
  </si>
  <si>
    <t>Канада</t>
  </si>
  <si>
    <t xml:space="preserve">ЗАО "ГлаксоСмитКляйн Трейдинг" </t>
  </si>
  <si>
    <t>Россия</t>
  </si>
  <si>
    <t>ГлаксоСмитКляйн Инк - Канада</t>
  </si>
  <si>
    <t>Абакавир+Ламивудин+Зидовудин</t>
  </si>
  <si>
    <t>Тризивир</t>
  </si>
  <si>
    <t>Глаксо Вэллком Оперэйшенс</t>
  </si>
  <si>
    <t>Великобритания</t>
  </si>
  <si>
    <t>Адеметионин</t>
  </si>
  <si>
    <t>Гептор</t>
  </si>
  <si>
    <t>ООО "ЛЭНС-Фарм"</t>
  </si>
  <si>
    <t>ОАО "Верофарм"</t>
  </si>
  <si>
    <t>Гептрал</t>
  </si>
  <si>
    <t>Хоспира С.п.А.</t>
  </si>
  <si>
    <t>Италия</t>
  </si>
  <si>
    <t>Азатиоприн</t>
  </si>
  <si>
    <t>ОАО "Мосхимфармпрепараты им.Н.А.Семашко"</t>
  </si>
  <si>
    <t>Азитромицин</t>
  </si>
  <si>
    <t>Азивок</t>
  </si>
  <si>
    <t>Вокхард Лтд</t>
  </si>
  <si>
    <t>Индия</t>
  </si>
  <si>
    <t>Азимицин</t>
  </si>
  <si>
    <t>Микро Лабс Лимитед</t>
  </si>
  <si>
    <t>Азитрал</t>
  </si>
  <si>
    <t>Шрея Лайф Саенсиз Пвт.Лтд</t>
  </si>
  <si>
    <t>Азитрокс</t>
  </si>
  <si>
    <t>ОАО "Фармстандарт-Лексредства"</t>
  </si>
  <si>
    <t>ООО "Озон" - Россия</t>
  </si>
  <si>
    <t>ЗАО "Вертекс" - Россия</t>
  </si>
  <si>
    <t>ЗАО "Березовский фармацевтический завод"</t>
  </si>
  <si>
    <t>АзитРус</t>
  </si>
  <si>
    <t>ОАО "Синтез" - Россия</t>
  </si>
  <si>
    <t>АзитРус форте</t>
  </si>
  <si>
    <t>Азицид</t>
  </si>
  <si>
    <t>Зентива а.с.</t>
  </si>
  <si>
    <t>Чехия</t>
  </si>
  <si>
    <t>Зитролид</t>
  </si>
  <si>
    <t>ОАО "Валента Фармацевтика"</t>
  </si>
  <si>
    <t>Зитролид форте</t>
  </si>
  <si>
    <t>Зитроцин</t>
  </si>
  <si>
    <t>Юник Фармасьютикал Лабораториз</t>
  </si>
  <si>
    <t>Зи-фактор</t>
  </si>
  <si>
    <t>Сумазид</t>
  </si>
  <si>
    <t>ЗАО "Брынцалов-А"</t>
  </si>
  <si>
    <t>Сумамед</t>
  </si>
  <si>
    <t>Плива Хрватска д.о.о.</t>
  </si>
  <si>
    <t>Хорватия</t>
  </si>
  <si>
    <t>Сумамед форте</t>
  </si>
  <si>
    <t>Сумамецин</t>
  </si>
  <si>
    <t>ЗАО "Фармацевтическое предприятие "Оболенское"</t>
  </si>
  <si>
    <t>Сумамокс</t>
  </si>
  <si>
    <t>Оксфорд Лабораториз Пвт.Лтд</t>
  </si>
  <si>
    <t>Хемомицин</t>
  </si>
  <si>
    <t>Хемофарм А.Д.</t>
  </si>
  <si>
    <t>Сербия</t>
  </si>
  <si>
    <t>Азоксимера бромид</t>
  </si>
  <si>
    <t>Полиоксидоний</t>
  </si>
  <si>
    <t>ООО "НПО Петровакс Фарм"</t>
  </si>
  <si>
    <t>Активированный уголь</t>
  </si>
  <si>
    <t>Карбопект</t>
  </si>
  <si>
    <t>ЗАО "Медисорб"</t>
  </si>
  <si>
    <t>Уголь активированный</t>
  </si>
  <si>
    <t>ООО "Асфарма"</t>
  </si>
  <si>
    <t>ОАО "Ирбитский химико-фармацевтический завод"</t>
  </si>
  <si>
    <t>ОАО "Фармстандарт-Лексредства" - Россия</t>
  </si>
  <si>
    <t>Уголь активированный МС</t>
  </si>
  <si>
    <t>ЗАО "Вифитех"</t>
  </si>
  <si>
    <t>Уголь активированный-УБФ</t>
  </si>
  <si>
    <t>ОАО "Уралбиофарм"</t>
  </si>
  <si>
    <t>Алендроновая кислота</t>
  </si>
  <si>
    <t>Алендронат</t>
  </si>
  <si>
    <t>ЗАО "Канонфарма продакшн"</t>
  </si>
  <si>
    <t>ЗАО "Канонфарма продакшн" - Россия</t>
  </si>
  <si>
    <t>Осталон</t>
  </si>
  <si>
    <t>Остерепар</t>
  </si>
  <si>
    <t>Фармацевтический завод "Польфарма" АО</t>
  </si>
  <si>
    <t>Польша</t>
  </si>
  <si>
    <t>Теванат</t>
  </si>
  <si>
    <t>Тева Фармацевтические Предприятия Лтд</t>
  </si>
  <si>
    <t>Израиль</t>
  </si>
  <si>
    <t>Фороза</t>
  </si>
  <si>
    <t>Лек д.д.</t>
  </si>
  <si>
    <t>Словения</t>
  </si>
  <si>
    <t>Фосамакс</t>
  </si>
  <si>
    <t>Мерк Шарп и Доум Б.В.</t>
  </si>
  <si>
    <t>Нидерланды</t>
  </si>
  <si>
    <t>Аллерген бактерий [Туберкулезный рекомбинантный]</t>
  </si>
  <si>
    <t>Диаскинтест</t>
  </si>
  <si>
    <t>ЗАО "Фармацевтическая фирма "ЛЕККО"</t>
  </si>
  <si>
    <t>Аллопуринол</t>
  </si>
  <si>
    <t>ОАО "Органика"</t>
  </si>
  <si>
    <t>Аллопуринол-Эгис</t>
  </si>
  <si>
    <t>ОАО "Фармацевтический завод Эгис"</t>
  </si>
  <si>
    <t>Венгрия</t>
  </si>
  <si>
    <t>Алпростадил</t>
  </si>
  <si>
    <t>Алпростан</t>
  </si>
  <si>
    <t>Вазапростан</t>
  </si>
  <si>
    <t>Шварц Фарма Продукционс ГмбХ</t>
  </si>
  <si>
    <t>Германия</t>
  </si>
  <si>
    <t>ВАП 20</t>
  </si>
  <si>
    <t>БЭГ Хеалф Кэр ГмбХ</t>
  </si>
  <si>
    <t>ВАП 500</t>
  </si>
  <si>
    <t>Алтеплаза</t>
  </si>
  <si>
    <t>Актилизе</t>
  </si>
  <si>
    <t>Берингер Ингельхайм Фарма ГмбХ и Ко</t>
  </si>
  <si>
    <t>Альбумин человека</t>
  </si>
  <si>
    <t>Альбумин</t>
  </si>
  <si>
    <t>ГУЗ "Самарская областная клиническая станция переливания крови"</t>
  </si>
  <si>
    <t>ФГУП "Кировский НИИ гематологии и переливания крови" ФМБА</t>
  </si>
  <si>
    <t>ГУЗ "Брянская областная станция переливания крови"</t>
  </si>
  <si>
    <t>ГУЗ "Липецкая областная станция переливания крови"</t>
  </si>
  <si>
    <t>ГУЗ "Свердловская областная станция переливания крови"</t>
  </si>
  <si>
    <t>Областное ГУП "Челябинская областная станция переливания крови"</t>
  </si>
  <si>
    <t>ГУЗ Свердловской области "Станция переливания крови № 2 "Сангвис"</t>
  </si>
  <si>
    <t>ФГУП "НПО "Микроген" МЗ РФ</t>
  </si>
  <si>
    <t>Плазбумин 20</t>
  </si>
  <si>
    <t>Талекрис Биотерапьютикс Инк</t>
  </si>
  <si>
    <t>США</t>
  </si>
  <si>
    <t>ГУЗ "Ивановская областная станция переливания крови"</t>
  </si>
  <si>
    <t>ГУЗ "Тамбовская областная станция переливания крови"</t>
  </si>
  <si>
    <t>ГУЗ "Свердловская областная станция переливания крови" - Россия</t>
  </si>
  <si>
    <t>Уман альбумин</t>
  </si>
  <si>
    <t>Кедрион С.п.А.</t>
  </si>
  <si>
    <t>Альбумин человеческий</t>
  </si>
  <si>
    <t>Октафарма Фармацевтика Продуктионсгес м.б.Х</t>
  </si>
  <si>
    <t>Австрия</t>
  </si>
  <si>
    <t>Альбумин человеческий 20%</t>
  </si>
  <si>
    <t>Бакстер АГ</t>
  </si>
  <si>
    <t>Зенальб-20</t>
  </si>
  <si>
    <t>Био Продактс Лаборатори</t>
  </si>
  <si>
    <t>Амантадин</t>
  </si>
  <si>
    <t>Мидантан</t>
  </si>
  <si>
    <t xml:space="preserve">РУП "Борисовский завод медицинских препаратов" - Республика </t>
  </si>
  <si>
    <t>Беларусь</t>
  </si>
  <si>
    <t>№13</t>
  </si>
  <si>
    <t>#тута любая ваша последовательность</t>
  </si>
  <si>
    <t>a(n)=(n+1)/n</t>
  </si>
  <si>
    <t>№14</t>
  </si>
  <si>
    <t>f(x)=3x^3</t>
  </si>
  <si>
    <t>f'(x)=Δf/Δx</t>
  </si>
  <si>
    <t>Δx</t>
  </si>
  <si>
    <t>f'(x)=9x^2</t>
  </si>
  <si>
    <t>№15</t>
  </si>
  <si>
    <t>Текст для кодировки</t>
  </si>
  <si>
    <t>текст</t>
  </si>
  <si>
    <t>Шифрование</t>
  </si>
  <si>
    <t>Закодированный текст</t>
  </si>
  <si>
    <t>Дешифрование</t>
  </si>
  <si>
    <t>Дешифрованный текст</t>
  </si>
  <si>
    <t>№16</t>
  </si>
  <si>
    <t>Открытый ключ</t>
  </si>
  <si>
    <t>e</t>
  </si>
  <si>
    <t>Простые числа до 100</t>
  </si>
  <si>
    <t>Остаток</t>
  </si>
  <si>
    <t>p</t>
  </si>
  <si>
    <t>q</t>
  </si>
  <si>
    <t>(p-1)*(q-1)</t>
  </si>
  <si>
    <t>Возможные d</t>
  </si>
  <si>
    <t>ed mod(efunc)</t>
  </si>
  <si>
    <t>Закрытый Ключ</t>
  </si>
  <si>
    <t>d</t>
  </si>
  <si>
    <t>Число для Шифрования</t>
  </si>
  <si>
    <t>x^e</t>
  </si>
  <si>
    <t>Зашифрованное Число</t>
  </si>
  <si>
    <t>x^d</t>
  </si>
  <si>
    <t>Расшифрованное</t>
  </si>
  <si>
    <t>№17</t>
  </si>
  <si>
    <t>Сообщение</t>
  </si>
  <si>
    <t>СИМВОЛЫ</t>
  </si>
  <si>
    <r>
      <t>КОД</t>
    </r>
    <r>
      <rPr>
        <vertAlign val="subscript"/>
        <sz val="12"/>
        <color theme="1"/>
        <rFont val="Calibri (Основной текст)"/>
        <charset val="204"/>
      </rPr>
      <t>16</t>
    </r>
  </si>
  <si>
    <r>
      <t>СЛОВА</t>
    </r>
    <r>
      <rPr>
        <vertAlign val="subscript"/>
        <sz val="12"/>
        <color theme="1"/>
        <rFont val="Calibri (Основной текст)"/>
        <charset val="204"/>
      </rPr>
      <t>16</t>
    </r>
  </si>
  <si>
    <r>
      <t>СЛОВА</t>
    </r>
    <r>
      <rPr>
        <vertAlign val="subscript"/>
        <sz val="12"/>
        <color theme="1"/>
        <rFont val="Calibri (Основной текст)"/>
        <charset val="204"/>
      </rPr>
      <t>10</t>
    </r>
  </si>
  <si>
    <r>
      <t>СУММА</t>
    </r>
    <r>
      <rPr>
        <vertAlign val="subscript"/>
        <sz val="12"/>
        <color theme="1"/>
        <rFont val="Calibri (Основной текст)"/>
        <charset val="204"/>
      </rPr>
      <t>16</t>
    </r>
  </si>
  <si>
    <r>
      <t>ДВА БАЙТА</t>
    </r>
    <r>
      <rPr>
        <vertAlign val="subscript"/>
        <sz val="12"/>
        <color theme="1"/>
        <rFont val="Calibri (Основной текст)"/>
        <charset val="204"/>
      </rPr>
      <t>10</t>
    </r>
  </si>
  <si>
    <r>
      <t>ДВА БАЙТА</t>
    </r>
    <r>
      <rPr>
        <vertAlign val="subscript"/>
        <sz val="12"/>
        <color theme="1"/>
        <rFont val="Calibri (Основной текст)"/>
        <charset val="204"/>
      </rPr>
      <t>16</t>
    </r>
  </si>
  <si>
    <r>
      <t>КОНТРОЛЬНАЯ СУММА</t>
    </r>
    <r>
      <rPr>
        <vertAlign val="subscript"/>
        <sz val="12"/>
        <color theme="1"/>
        <rFont val="Calibri (Основной текст)"/>
        <charset val="204"/>
      </rPr>
      <t>16</t>
    </r>
  </si>
  <si>
    <r>
      <t>КОНТРОЛЬНАЯ СУММА</t>
    </r>
    <r>
      <rPr>
        <vertAlign val="subscript"/>
        <sz val="12"/>
        <color theme="1"/>
        <rFont val="Calibri (Основной текст)"/>
        <charset val="204"/>
      </rPr>
      <t>10</t>
    </r>
  </si>
  <si>
    <t>ОЛЕГ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</si>
</sst>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19]###\ ###"/>
    <numFmt numFmtId="165" formatCode="[$-10419]###\ ###\ ##0.00"/>
  </numFmts>
  <fonts count="6" x14ac:knownFonts="1"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vertAlign val="superscript"/>
      <sz val="12"/>
      <color theme="1"/>
      <name val="Calibri (Основной текст)"/>
      <charset val="204"/>
    </font>
    <font>
      <b/>
      <sz val="8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/>
    <xf numFmtId="0" fontId="4" fillId="2" borderId="8" xfId="0" applyFont="1" applyFill="1" applyBorder="1" applyAlignment="1" applyProtection="1">
      <alignment horizontal="center" vertical="center" wrapText="1" readingOrder="1"/>
      <protection locked="0"/>
    </xf>
    <xf numFmtId="0" fontId="4" fillId="2" borderId="9" xfId="0" applyFont="1" applyFill="1" applyBorder="1" applyAlignment="1" applyProtection="1">
      <alignment horizontal="center" vertical="center" wrapText="1" readingOrder="1"/>
      <protection locked="0"/>
    </xf>
    <xf numFmtId="0" fontId="5" fillId="0" borderId="8" xfId="0" applyFont="1" applyBorder="1" applyAlignment="1" applyProtection="1">
      <alignment horizontal="left" vertical="top" wrapText="1" readingOrder="1"/>
      <protection locked="0"/>
    </xf>
    <xf numFmtId="0" fontId="5" fillId="0" borderId="9" xfId="0" applyFont="1" applyBorder="1" applyAlignment="1" applyProtection="1">
      <alignment vertical="top" wrapText="1" readingOrder="1"/>
      <protection locked="0"/>
    </xf>
    <xf numFmtId="164" fontId="5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9" xfId="0" applyNumberFormat="1" applyFont="1" applyBorder="1" applyAlignment="1" applyProtection="1">
      <alignment vertical="top" wrapText="1" readingOrder="1"/>
      <protection locked="0"/>
    </xf>
    <xf numFmtId="0" fontId="5" fillId="0" borderId="9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Кривая Распределения плотности вероятности дыхательного цикла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'№1-3'!$A$13:$A$63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cat>
          <c:val>
            <c:numRef>
              <c:f>'№1-3'!$D$13:$D$63</c:f>
              <c:numCache>
                <c:formatCode>General</c:formatCode>
                <c:ptCount val="51"/>
                <c:pt idx="0">
                  <c:v>1.4867195147342977E-6</c:v>
                </c:pt>
                <c:pt idx="1">
                  <c:v>3.9612990910320753E-6</c:v>
                </c:pt>
                <c:pt idx="2">
                  <c:v>1.0140852065486758E-5</c:v>
                </c:pt>
                <c:pt idx="3">
                  <c:v>2.4942471290053535E-5</c:v>
                </c:pt>
                <c:pt idx="4">
                  <c:v>5.8943067756539855E-5</c:v>
                </c:pt>
                <c:pt idx="5">
                  <c:v>1.3383022576488537E-4</c:v>
                </c:pt>
                <c:pt idx="6">
                  <c:v>2.9194692579146027E-4</c:v>
                </c:pt>
                <c:pt idx="7">
                  <c:v>6.1190193011377298E-4</c:v>
                </c:pt>
                <c:pt idx="8">
                  <c:v>1.2322191684730199E-3</c:v>
                </c:pt>
                <c:pt idx="9">
                  <c:v>2.3840882014648404E-3</c:v>
                </c:pt>
                <c:pt idx="10">
                  <c:v>4.4318484119380075E-3</c:v>
                </c:pt>
                <c:pt idx="11">
                  <c:v>7.9154515829799686E-3</c:v>
                </c:pt>
                <c:pt idx="12">
                  <c:v>1.3582969233685634E-2</c:v>
                </c:pt>
                <c:pt idx="13">
                  <c:v>2.2394530294842899E-2</c:v>
                </c:pt>
                <c:pt idx="14">
                  <c:v>3.5474592846231459E-2</c:v>
                </c:pt>
                <c:pt idx="15">
                  <c:v>5.3990966513188063E-2</c:v>
                </c:pt>
                <c:pt idx="16">
                  <c:v>7.8950158300894177E-2</c:v>
                </c:pt>
                <c:pt idx="17">
                  <c:v>0.11092083467945563</c:v>
                </c:pt>
                <c:pt idx="18">
                  <c:v>0.14972746563574488</c:v>
                </c:pt>
                <c:pt idx="19">
                  <c:v>0.19418605498321304</c:v>
                </c:pt>
                <c:pt idx="20">
                  <c:v>0.24197072451914337</c:v>
                </c:pt>
                <c:pt idx="21">
                  <c:v>0.28969155276148278</c:v>
                </c:pt>
                <c:pt idx="22">
                  <c:v>0.33322460289179973</c:v>
                </c:pt>
                <c:pt idx="23">
                  <c:v>0.36827014030332339</c:v>
                </c:pt>
                <c:pt idx="24">
                  <c:v>0.39104269397545599</c:v>
                </c:pt>
                <c:pt idx="25">
                  <c:v>0.3989422804014327</c:v>
                </c:pt>
                <c:pt idx="26">
                  <c:v>0.39104269397545588</c:v>
                </c:pt>
                <c:pt idx="27">
                  <c:v>0.36827014030332328</c:v>
                </c:pt>
                <c:pt idx="28">
                  <c:v>0.33322460289179956</c:v>
                </c:pt>
                <c:pt idx="29">
                  <c:v>0.28969155276148256</c:v>
                </c:pt>
                <c:pt idx="30">
                  <c:v>0.24197072451914337</c:v>
                </c:pt>
                <c:pt idx="31">
                  <c:v>0.19418605498321292</c:v>
                </c:pt>
                <c:pt idx="32">
                  <c:v>0.14972746563574479</c:v>
                </c:pt>
                <c:pt idx="33">
                  <c:v>0.11092083467945546</c:v>
                </c:pt>
                <c:pt idx="34">
                  <c:v>7.8950158300894066E-2</c:v>
                </c:pt>
                <c:pt idx="35">
                  <c:v>5.3990966513188063E-2</c:v>
                </c:pt>
                <c:pt idx="36">
                  <c:v>3.5474592846231424E-2</c:v>
                </c:pt>
                <c:pt idx="37">
                  <c:v>2.2394530294842882E-2</c:v>
                </c:pt>
                <c:pt idx="38">
                  <c:v>1.3582969233685602E-2</c:v>
                </c:pt>
                <c:pt idx="39">
                  <c:v>7.915451582979946E-3</c:v>
                </c:pt>
                <c:pt idx="40">
                  <c:v>4.4318484119380075E-3</c:v>
                </c:pt>
                <c:pt idx="41">
                  <c:v>2.3840882014648343E-3</c:v>
                </c:pt>
                <c:pt idx="42">
                  <c:v>1.2322191684730175E-3</c:v>
                </c:pt>
                <c:pt idx="43">
                  <c:v>6.1190193011377298E-4</c:v>
                </c:pt>
                <c:pt idx="44">
                  <c:v>2.9194692579145951E-4</c:v>
                </c:pt>
                <c:pt idx="45">
                  <c:v>1.3383022576488537E-4</c:v>
                </c:pt>
                <c:pt idx="46">
                  <c:v>5.8943067756539645E-5</c:v>
                </c:pt>
                <c:pt idx="47">
                  <c:v>2.4942471290053535E-5</c:v>
                </c:pt>
                <c:pt idx="48">
                  <c:v>1.014085206548667E-5</c:v>
                </c:pt>
                <c:pt idx="49">
                  <c:v>3.9612990910320609E-6</c:v>
                </c:pt>
                <c:pt idx="50">
                  <c:v>1.4867195147342977E-6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5-2843-BB9A-4F9324FD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18367"/>
        <c:axId val="342286975"/>
      </c:lineChart>
      <c:catAx>
        <c:axId val="34221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86975"/>
        <c:crosses val="autoZero"/>
        <c:auto val="1"/>
        <c:lblAlgn val="ctr"/>
        <c:lblOffset val="100"/>
        <c:noMultiLvlLbl val="0"/>
      </c:catAx>
      <c:valAx>
        <c:axId val="3422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2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 частот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2DB-7E41-91B1-1343F817B61C}"/>
              </c:ext>
            </c:extLst>
          </c:dPt>
          <c:cat>
            <c:numRef>
              <c:f>'№1-3'!$X$4:$X$8</c:f>
              <c:numCache>
                <c:formatCode>General</c:formatCode>
                <c:ptCount val="5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</c:numCache>
            </c:numRef>
          </c:cat>
          <c:val>
            <c:numRef>
              <c:f>'№1-3'!$Y$4:$Y$8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B-7E41-91B1-1343F817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8"/>
        <c:axId val="367412255"/>
        <c:axId val="330800927"/>
      </c:barChart>
      <c:catAx>
        <c:axId val="36741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значение интервала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800927"/>
        <c:crosses val="autoZero"/>
        <c:auto val="1"/>
        <c:lblAlgn val="ctr"/>
        <c:lblOffset val="100"/>
        <c:noMultiLvlLbl val="0"/>
      </c:catAx>
      <c:valAx>
        <c:axId val="3308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412255"/>
        <c:crosses val="autoZero"/>
        <c:crossBetween val="between"/>
      </c:valAx>
      <c:spPr>
        <a:noFill/>
        <a:ln w="9525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Оценка роста и веса мужчин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938429571303588"/>
                  <c:y val="1.717337416156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'№4-6'!$B$2:$K$2</c:f>
              <c:numCache>
                <c:formatCode>General</c:formatCode>
                <c:ptCount val="10"/>
                <c:pt idx="0">
                  <c:v>156</c:v>
                </c:pt>
                <c:pt idx="1">
                  <c:v>166</c:v>
                </c:pt>
                <c:pt idx="2">
                  <c:v>158</c:v>
                </c:pt>
                <c:pt idx="3">
                  <c:v>177</c:v>
                </c:pt>
                <c:pt idx="4">
                  <c:v>191</c:v>
                </c:pt>
                <c:pt idx="5">
                  <c:v>159</c:v>
                </c:pt>
                <c:pt idx="6">
                  <c:v>172</c:v>
                </c:pt>
                <c:pt idx="7">
                  <c:v>186</c:v>
                </c:pt>
                <c:pt idx="8">
                  <c:v>165</c:v>
                </c:pt>
                <c:pt idx="9">
                  <c:v>169</c:v>
                </c:pt>
              </c:numCache>
            </c:numRef>
          </c:xVal>
          <c:yVal>
            <c:numRef>
              <c:f>'№4-6'!$B$3:$K$3</c:f>
              <c:numCache>
                <c:formatCode>General</c:formatCode>
                <c:ptCount val="10"/>
                <c:pt idx="0">
                  <c:v>62</c:v>
                </c:pt>
                <c:pt idx="1">
                  <c:v>68</c:v>
                </c:pt>
                <c:pt idx="2">
                  <c:v>61</c:v>
                </c:pt>
                <c:pt idx="3">
                  <c:v>86</c:v>
                </c:pt>
                <c:pt idx="4">
                  <c:v>94</c:v>
                </c:pt>
                <c:pt idx="5">
                  <c:v>65</c:v>
                </c:pt>
                <c:pt idx="6">
                  <c:v>72</c:v>
                </c:pt>
                <c:pt idx="7">
                  <c:v>90</c:v>
                </c:pt>
                <c:pt idx="8">
                  <c:v>69</c:v>
                </c:pt>
                <c:pt idx="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C-B147-B37C-DC8879EC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4303"/>
        <c:axId val="301714543"/>
      </c:scatterChart>
      <c:valAx>
        <c:axId val="365864303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Рост,</a:t>
                </a:r>
                <a:r>
                  <a:rPr lang="ru-RU" baseline="0"/>
                  <a:t> см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14543"/>
        <c:crosses val="autoZero"/>
        <c:crossBetween val="midCat"/>
        <c:majorUnit val="5"/>
        <c:minorUnit val="1"/>
      </c:valAx>
      <c:valAx>
        <c:axId val="30171454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Вес,</a:t>
                </a:r>
                <a:r>
                  <a:rPr lang="ru-RU" baseline="0"/>
                  <a:t> кг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86430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'№7-9'!$B$38</c:f>
              <c:strCache>
                <c:ptCount val="1"/>
                <c:pt idx="0">
                  <c:v>F(n)=(2n-1)/(n+1)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'№7-9'!$A$39:$A$48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'№7-9'!$B$39:$B$48</c:f>
              <c:numCache>
                <c:formatCode>General</c:formatCode>
                <c:ptCount val="10"/>
                <c:pt idx="0">
                  <c:v>0.5</c:v>
                </c:pt>
                <c:pt idx="1">
                  <c:v>1.7272727272727273</c:v>
                </c:pt>
                <c:pt idx="2">
                  <c:v>1.9702970297029703</c:v>
                </c:pt>
                <c:pt idx="3">
                  <c:v>1.997002997002997</c:v>
                </c:pt>
                <c:pt idx="4">
                  <c:v>1.9997000299970003</c:v>
                </c:pt>
                <c:pt idx="5">
                  <c:v>1.9999700002999969</c:v>
                </c:pt>
                <c:pt idx="6">
                  <c:v>1.9999970000030001</c:v>
                </c:pt>
                <c:pt idx="7">
                  <c:v>1.99999970000003</c:v>
                </c:pt>
                <c:pt idx="8">
                  <c:v>1.9999999700000004</c:v>
                </c:pt>
                <c:pt idx="9">
                  <c:v>1.999999997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E-FB49-966F-CA68A3A7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7103"/>
        <c:axId val="386766623"/>
      </c:lineChart>
      <c:catAx>
        <c:axId val="38690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66623"/>
        <c:crosses val="autoZero"/>
        <c:auto val="1"/>
        <c:lblAlgn val="ctr"/>
        <c:lblOffset val="100"/>
        <c:noMultiLvlLbl val="0"/>
      </c:catAx>
      <c:valAx>
        <c:axId val="3867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'№13-15'!$B$3</c:f>
              <c:strCache>
                <c:ptCount val="1"/>
                <c:pt idx="0">
                  <c:v>a(n)=(n+1)/n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'№13-15'!$A$4:$A$13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'№13-15'!$B$4:$B$13</c:f>
              <c:numCache>
                <c:formatCode>General</c:formatCode>
                <c:ptCount val="10"/>
                <c:pt idx="0">
                  <c:v>2</c:v>
                </c:pt>
                <c:pt idx="1">
                  <c:v>1.1000000000000001</c:v>
                </c:pt>
                <c:pt idx="2">
                  <c:v>1.01</c:v>
                </c:pt>
                <c:pt idx="3">
                  <c:v>1.0009999999999999</c:v>
                </c:pt>
                <c:pt idx="4">
                  <c:v>1.0001</c:v>
                </c:pt>
                <c:pt idx="5">
                  <c:v>1.0000100000000001</c:v>
                </c:pt>
                <c:pt idx="6">
                  <c:v>1.0000009999999999</c:v>
                </c:pt>
                <c:pt idx="7">
                  <c:v>1.0000001000000001</c:v>
                </c:pt>
                <c:pt idx="8">
                  <c:v>1.0000000099999999</c:v>
                </c:pt>
                <c:pt idx="9">
                  <c:v>1.0000000010000001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9-8E48-BFF9-68471448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02543"/>
        <c:axId val="387694079"/>
      </c:lineChart>
      <c:catAx>
        <c:axId val="4093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694079"/>
        <c:crosses val="autoZero"/>
        <c:auto val="1"/>
        <c:lblAlgn val="ctr"/>
        <c:lblOffset val="100"/>
        <c:noMultiLvlLbl val="0"/>
      </c:catAx>
      <c:valAx>
        <c:axId val="3876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3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f'(x) - прибд.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'№13-15'!$A$24:$A$124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-3.5999999999999996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-3.0999999999999996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-2.6999999999999997</c:v>
                </c:pt>
                <c:pt idx="24">
                  <c:v>-2.5999999999999996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-2.1999999999999997</c:v>
                </c:pt>
                <c:pt idx="29">
                  <c:v>-2.0999999999999996</c:v>
                </c:pt>
                <c:pt idx="30">
                  <c:v>-2</c:v>
                </c:pt>
                <c:pt idx="31">
                  <c:v>-1.9</c:v>
                </c:pt>
                <c:pt idx="32">
                  <c:v>-1.7999999999999998</c:v>
                </c:pt>
                <c:pt idx="33">
                  <c:v>-1.6999999999999997</c:v>
                </c:pt>
                <c:pt idx="34">
                  <c:v>-1.5999999999999996</c:v>
                </c:pt>
                <c:pt idx="35">
                  <c:v>-1.5</c:v>
                </c:pt>
                <c:pt idx="36">
                  <c:v>-1.4</c:v>
                </c:pt>
                <c:pt idx="37">
                  <c:v>-1.2999999999999998</c:v>
                </c:pt>
                <c:pt idx="38">
                  <c:v>-1.1999999999999997</c:v>
                </c:pt>
                <c:pt idx="39">
                  <c:v>-1.0999999999999996</c:v>
                </c:pt>
                <c:pt idx="40">
                  <c:v>-1</c:v>
                </c:pt>
                <c:pt idx="41">
                  <c:v>-0.89999999999999947</c:v>
                </c:pt>
                <c:pt idx="42">
                  <c:v>-0.79999999999999982</c:v>
                </c:pt>
                <c:pt idx="43">
                  <c:v>-0.70000000000000018</c:v>
                </c:pt>
                <c:pt idx="44">
                  <c:v>-0.59999999999999964</c:v>
                </c:pt>
                <c:pt idx="45">
                  <c:v>-0.5</c:v>
                </c:pt>
                <c:pt idx="46">
                  <c:v>-0.39999999999999947</c:v>
                </c:pt>
                <c:pt idx="47">
                  <c:v>-0.29999999999999982</c:v>
                </c:pt>
                <c:pt idx="48">
                  <c:v>-0.19999999999999929</c:v>
                </c:pt>
                <c:pt idx="49">
                  <c:v>-9.9999999999999645E-2</c:v>
                </c:pt>
                <c:pt idx="50">
                  <c:v>0</c:v>
                </c:pt>
                <c:pt idx="51">
                  <c:v>0.10000000000000053</c:v>
                </c:pt>
                <c:pt idx="52">
                  <c:v>0.20000000000000018</c:v>
                </c:pt>
                <c:pt idx="53">
                  <c:v>0.30000000000000071</c:v>
                </c:pt>
                <c:pt idx="54">
                  <c:v>0.40000000000000036</c:v>
                </c:pt>
                <c:pt idx="55">
                  <c:v>0.5</c:v>
                </c:pt>
                <c:pt idx="56">
                  <c:v>0.60000000000000053</c:v>
                </c:pt>
                <c:pt idx="57">
                  <c:v>0.70000000000000018</c:v>
                </c:pt>
                <c:pt idx="58">
                  <c:v>0.80000000000000071</c:v>
                </c:pt>
                <c:pt idx="59">
                  <c:v>0.90000000000000036</c:v>
                </c:pt>
                <c:pt idx="60">
                  <c:v>1</c:v>
                </c:pt>
                <c:pt idx="61">
                  <c:v>1.1000000000000005</c:v>
                </c:pt>
                <c:pt idx="62">
                  <c:v>1.2000000000000002</c:v>
                </c:pt>
                <c:pt idx="63">
                  <c:v>1.3000000000000007</c:v>
                </c:pt>
                <c:pt idx="64">
                  <c:v>1.4000000000000004</c:v>
                </c:pt>
                <c:pt idx="65">
                  <c:v>1.5</c:v>
                </c:pt>
                <c:pt idx="66">
                  <c:v>1.6000000000000005</c:v>
                </c:pt>
                <c:pt idx="67">
                  <c:v>1.7000000000000002</c:v>
                </c:pt>
                <c:pt idx="68">
                  <c:v>1.8000000000000007</c:v>
                </c:pt>
                <c:pt idx="69">
                  <c:v>1.9000000000000004</c:v>
                </c:pt>
                <c:pt idx="70">
                  <c:v>2</c:v>
                </c:pt>
                <c:pt idx="71">
                  <c:v>2.1000000000000005</c:v>
                </c:pt>
                <c:pt idx="72">
                  <c:v>2.2000000000000002</c:v>
                </c:pt>
                <c:pt idx="73">
                  <c:v>2.3000000000000007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2.6000000000000005</c:v>
                </c:pt>
                <c:pt idx="77">
                  <c:v>2.7</c:v>
                </c:pt>
                <c:pt idx="78">
                  <c:v>2.8000000000000007</c:v>
                </c:pt>
                <c:pt idx="79">
                  <c:v>2.9000000000000004</c:v>
                </c:pt>
                <c:pt idx="80">
                  <c:v>3</c:v>
                </c:pt>
                <c:pt idx="81">
                  <c:v>3.0999999999999996</c:v>
                </c:pt>
                <c:pt idx="82">
                  <c:v>3.2000000000000011</c:v>
                </c:pt>
                <c:pt idx="83">
                  <c:v>3.3000000000000007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3.5999999999999996</c:v>
                </c:pt>
                <c:pt idx="87">
                  <c:v>3.7000000000000011</c:v>
                </c:pt>
                <c:pt idx="88">
                  <c:v>3.8000000000000007</c:v>
                </c:pt>
                <c:pt idx="89">
                  <c:v>3.9000000000000004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4.6000000000000014</c:v>
                </c:pt>
                <c:pt idx="97">
                  <c:v>4.7000000000000011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cat>
          <c:val>
            <c:numRef>
              <c:f>'№13-15'!$C$24:$C$124</c:f>
              <c:numCache>
                <c:formatCode>General</c:formatCode>
                <c:ptCount val="101"/>
                <c:pt idx="0">
                  <c:v>220.52999999999884</c:v>
                </c:pt>
                <c:pt idx="1">
                  <c:v>211.71000000000106</c:v>
                </c:pt>
                <c:pt idx="2">
                  <c:v>203.0699999999996</c:v>
                </c:pt>
                <c:pt idx="3">
                  <c:v>194.61000000000126</c:v>
                </c:pt>
                <c:pt idx="4">
                  <c:v>186.32999999999925</c:v>
                </c:pt>
                <c:pt idx="5">
                  <c:v>178.22999999999922</c:v>
                </c:pt>
                <c:pt idx="6">
                  <c:v>170.3100000000012</c:v>
                </c:pt>
                <c:pt idx="7">
                  <c:v>162.56999999999948</c:v>
                </c:pt>
                <c:pt idx="8">
                  <c:v>155.01000000000033</c:v>
                </c:pt>
                <c:pt idx="9">
                  <c:v>147.62999999999977</c:v>
                </c:pt>
                <c:pt idx="10">
                  <c:v>140.43000000000006</c:v>
                </c:pt>
                <c:pt idx="11">
                  <c:v>133.41000000000008</c:v>
                </c:pt>
                <c:pt idx="12">
                  <c:v>126.56999999999982</c:v>
                </c:pt>
                <c:pt idx="13">
                  <c:v>119.91000000000042</c:v>
                </c:pt>
                <c:pt idx="14">
                  <c:v>113.42999999999961</c:v>
                </c:pt>
                <c:pt idx="15">
                  <c:v>107.13000000000022</c:v>
                </c:pt>
                <c:pt idx="16">
                  <c:v>101.00999999999985</c:v>
                </c:pt>
                <c:pt idx="17">
                  <c:v>95.069999999999624</c:v>
                </c:pt>
                <c:pt idx="18">
                  <c:v>89.310000000000684</c:v>
                </c:pt>
                <c:pt idx="19">
                  <c:v>83.72999999999962</c:v>
                </c:pt>
                <c:pt idx="20">
                  <c:v>78.329999999999984</c:v>
                </c:pt>
                <c:pt idx="21">
                  <c:v>73.110000000000213</c:v>
                </c:pt>
                <c:pt idx="22">
                  <c:v>68.070000000000022</c:v>
                </c:pt>
                <c:pt idx="23">
                  <c:v>63.20999999999998</c:v>
                </c:pt>
                <c:pt idx="24">
                  <c:v>58.529999999999802</c:v>
                </c:pt>
                <c:pt idx="25">
                  <c:v>54.029999999999987</c:v>
                </c:pt>
                <c:pt idx="26">
                  <c:v>49.710000000000107</c:v>
                </c:pt>
                <c:pt idx="27">
                  <c:v>45.570000000000022</c:v>
                </c:pt>
                <c:pt idx="28">
                  <c:v>41.610000000000014</c:v>
                </c:pt>
                <c:pt idx="29">
                  <c:v>37.82999999999987</c:v>
                </c:pt>
                <c:pt idx="30">
                  <c:v>34.230000000000018</c:v>
                </c:pt>
                <c:pt idx="31">
                  <c:v>30.810000000000031</c:v>
                </c:pt>
                <c:pt idx="32">
                  <c:v>27.570000000000014</c:v>
                </c:pt>
                <c:pt idx="33">
                  <c:v>24.510000000000005</c:v>
                </c:pt>
                <c:pt idx="34">
                  <c:v>21.629999999999932</c:v>
                </c:pt>
                <c:pt idx="35">
                  <c:v>18.930000000000025</c:v>
                </c:pt>
                <c:pt idx="36">
                  <c:v>16.41</c:v>
                </c:pt>
                <c:pt idx="37">
                  <c:v>14.070000000000018</c:v>
                </c:pt>
                <c:pt idx="38">
                  <c:v>11.909999999999989</c:v>
                </c:pt>
                <c:pt idx="39">
                  <c:v>9.9299999999999677</c:v>
                </c:pt>
                <c:pt idx="40">
                  <c:v>8.1300000000000363</c:v>
                </c:pt>
                <c:pt idx="41">
                  <c:v>6.5099999999999714</c:v>
                </c:pt>
                <c:pt idx="42">
                  <c:v>5.0699999999999834</c:v>
                </c:pt>
                <c:pt idx="43">
                  <c:v>3.8100000000000187</c:v>
                </c:pt>
                <c:pt idx="44">
                  <c:v>2.7299999999999889</c:v>
                </c:pt>
                <c:pt idx="45">
                  <c:v>1.8300000000000074</c:v>
                </c:pt>
                <c:pt idx="46">
                  <c:v>1.1099999999999939</c:v>
                </c:pt>
                <c:pt idx="47">
                  <c:v>0.57000000000000117</c:v>
                </c:pt>
                <c:pt idx="48">
                  <c:v>0.20999999999999774</c:v>
                </c:pt>
                <c:pt idx="49">
                  <c:v>2.999999999999968E-2</c:v>
                </c:pt>
                <c:pt idx="50">
                  <c:v>3.0000000000000478E-2</c:v>
                </c:pt>
                <c:pt idx="51">
                  <c:v>0.21000000000000013</c:v>
                </c:pt>
                <c:pt idx="52">
                  <c:v>0.57000000000000506</c:v>
                </c:pt>
                <c:pt idx="53">
                  <c:v>1.1099999999999992</c:v>
                </c:pt>
                <c:pt idx="54">
                  <c:v>1.829999999999995</c:v>
                </c:pt>
                <c:pt idx="55">
                  <c:v>2.7300000000000169</c:v>
                </c:pt>
                <c:pt idx="56">
                  <c:v>3.8099999999999912</c:v>
                </c:pt>
                <c:pt idx="57">
                  <c:v>5.0700000000000323</c:v>
                </c:pt>
                <c:pt idx="58">
                  <c:v>6.5099999999999847</c:v>
                </c:pt>
                <c:pt idx="59">
                  <c:v>8.1299999999999741</c:v>
                </c:pt>
                <c:pt idx="60">
                  <c:v>9.9300000000000512</c:v>
                </c:pt>
                <c:pt idx="61">
                  <c:v>11.909999999999966</c:v>
                </c:pt>
                <c:pt idx="62">
                  <c:v>14.070000000000089</c:v>
                </c:pt>
                <c:pt idx="63">
                  <c:v>16.409999999999954</c:v>
                </c:pt>
                <c:pt idx="64">
                  <c:v>18.929999999999936</c:v>
                </c:pt>
                <c:pt idx="65">
                  <c:v>21.630000000000145</c:v>
                </c:pt>
                <c:pt idx="66">
                  <c:v>24.509999999999899</c:v>
                </c:pt>
                <c:pt idx="67">
                  <c:v>27.570000000000157</c:v>
                </c:pt>
                <c:pt idx="68">
                  <c:v>30.809999999999924</c:v>
                </c:pt>
                <c:pt idx="69">
                  <c:v>34.229999999999876</c:v>
                </c:pt>
                <c:pt idx="70">
                  <c:v>37.83000000000019</c:v>
                </c:pt>
                <c:pt idx="71">
                  <c:v>41.609999999999907</c:v>
                </c:pt>
                <c:pt idx="72">
                  <c:v>45.570000000000235</c:v>
                </c:pt>
                <c:pt idx="73">
                  <c:v>49.709999999999823</c:v>
                </c:pt>
                <c:pt idx="74">
                  <c:v>54.029999999999845</c:v>
                </c:pt>
                <c:pt idx="75">
                  <c:v>58.530000000000371</c:v>
                </c:pt>
                <c:pt idx="76">
                  <c:v>63.209999999999695</c:v>
                </c:pt>
                <c:pt idx="77">
                  <c:v>68.070000000000448</c:v>
                </c:pt>
                <c:pt idx="78">
                  <c:v>73.109999999999786</c:v>
                </c:pt>
                <c:pt idx="79">
                  <c:v>78.3299999999997</c:v>
                </c:pt>
                <c:pt idx="80">
                  <c:v>83.72999999999962</c:v>
                </c:pt>
                <c:pt idx="81">
                  <c:v>89.310000000001537</c:v>
                </c:pt>
                <c:pt idx="82">
                  <c:v>95.069999999999482</c:v>
                </c:pt>
                <c:pt idx="83">
                  <c:v>101.00999999999971</c:v>
                </c:pt>
                <c:pt idx="84">
                  <c:v>107.12999999999965</c:v>
                </c:pt>
                <c:pt idx="85">
                  <c:v>113.42999999999961</c:v>
                </c:pt>
                <c:pt idx="86">
                  <c:v>119.91000000000184</c:v>
                </c:pt>
                <c:pt idx="87">
                  <c:v>126.56999999999954</c:v>
                </c:pt>
                <c:pt idx="88">
                  <c:v>133.40999999999951</c:v>
                </c:pt>
                <c:pt idx="89">
                  <c:v>140.4299999999995</c:v>
                </c:pt>
                <c:pt idx="90">
                  <c:v>147.62999999999977</c:v>
                </c:pt>
                <c:pt idx="91">
                  <c:v>155.01000000000175</c:v>
                </c:pt>
                <c:pt idx="92">
                  <c:v>162.56999999999948</c:v>
                </c:pt>
                <c:pt idx="93">
                  <c:v>170.30999999999977</c:v>
                </c:pt>
                <c:pt idx="94">
                  <c:v>178.22999999999922</c:v>
                </c:pt>
                <c:pt idx="95">
                  <c:v>186.33000000000266</c:v>
                </c:pt>
                <c:pt idx="96">
                  <c:v>194.60999999999956</c:v>
                </c:pt>
                <c:pt idx="97">
                  <c:v>203.06999999999903</c:v>
                </c:pt>
                <c:pt idx="98">
                  <c:v>211.70999999999992</c:v>
                </c:pt>
                <c:pt idx="99">
                  <c:v>220.52999999999884</c:v>
                </c:pt>
                <c:pt idx="100">
                  <c:v>229.52999999999975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0-354F-84E5-3BFF0ADBA951}"/>
            </c:ext>
          </c:extLst>
        </c:ser>
        <c:ser>
          <c:idx val="1"/>
          <c:order val="1"/>
          <c:tx>
            <c:v>f'(x) - точн.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'№13-15'!$A$24:$A$124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-3.5999999999999996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-3.0999999999999996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-2.6999999999999997</c:v>
                </c:pt>
                <c:pt idx="24">
                  <c:v>-2.5999999999999996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-2.1999999999999997</c:v>
                </c:pt>
                <c:pt idx="29">
                  <c:v>-2.0999999999999996</c:v>
                </c:pt>
                <c:pt idx="30">
                  <c:v>-2</c:v>
                </c:pt>
                <c:pt idx="31">
                  <c:v>-1.9</c:v>
                </c:pt>
                <c:pt idx="32">
                  <c:v>-1.7999999999999998</c:v>
                </c:pt>
                <c:pt idx="33">
                  <c:v>-1.6999999999999997</c:v>
                </c:pt>
                <c:pt idx="34">
                  <c:v>-1.5999999999999996</c:v>
                </c:pt>
                <c:pt idx="35">
                  <c:v>-1.5</c:v>
                </c:pt>
                <c:pt idx="36">
                  <c:v>-1.4</c:v>
                </c:pt>
                <c:pt idx="37">
                  <c:v>-1.2999999999999998</c:v>
                </c:pt>
                <c:pt idx="38">
                  <c:v>-1.1999999999999997</c:v>
                </c:pt>
                <c:pt idx="39">
                  <c:v>-1.0999999999999996</c:v>
                </c:pt>
                <c:pt idx="40">
                  <c:v>-1</c:v>
                </c:pt>
                <c:pt idx="41">
                  <c:v>-0.89999999999999947</c:v>
                </c:pt>
                <c:pt idx="42">
                  <c:v>-0.79999999999999982</c:v>
                </c:pt>
                <c:pt idx="43">
                  <c:v>-0.70000000000000018</c:v>
                </c:pt>
                <c:pt idx="44">
                  <c:v>-0.59999999999999964</c:v>
                </c:pt>
                <c:pt idx="45">
                  <c:v>-0.5</c:v>
                </c:pt>
                <c:pt idx="46">
                  <c:v>-0.39999999999999947</c:v>
                </c:pt>
                <c:pt idx="47">
                  <c:v>-0.29999999999999982</c:v>
                </c:pt>
                <c:pt idx="48">
                  <c:v>-0.19999999999999929</c:v>
                </c:pt>
                <c:pt idx="49">
                  <c:v>-9.9999999999999645E-2</c:v>
                </c:pt>
                <c:pt idx="50">
                  <c:v>0</c:v>
                </c:pt>
                <c:pt idx="51">
                  <c:v>0.10000000000000053</c:v>
                </c:pt>
                <c:pt idx="52">
                  <c:v>0.20000000000000018</c:v>
                </c:pt>
                <c:pt idx="53">
                  <c:v>0.30000000000000071</c:v>
                </c:pt>
                <c:pt idx="54">
                  <c:v>0.40000000000000036</c:v>
                </c:pt>
                <c:pt idx="55">
                  <c:v>0.5</c:v>
                </c:pt>
                <c:pt idx="56">
                  <c:v>0.60000000000000053</c:v>
                </c:pt>
                <c:pt idx="57">
                  <c:v>0.70000000000000018</c:v>
                </c:pt>
                <c:pt idx="58">
                  <c:v>0.80000000000000071</c:v>
                </c:pt>
                <c:pt idx="59">
                  <c:v>0.90000000000000036</c:v>
                </c:pt>
                <c:pt idx="60">
                  <c:v>1</c:v>
                </c:pt>
                <c:pt idx="61">
                  <c:v>1.1000000000000005</c:v>
                </c:pt>
                <c:pt idx="62">
                  <c:v>1.2000000000000002</c:v>
                </c:pt>
                <c:pt idx="63">
                  <c:v>1.3000000000000007</c:v>
                </c:pt>
                <c:pt idx="64">
                  <c:v>1.4000000000000004</c:v>
                </c:pt>
                <c:pt idx="65">
                  <c:v>1.5</c:v>
                </c:pt>
                <c:pt idx="66">
                  <c:v>1.6000000000000005</c:v>
                </c:pt>
                <c:pt idx="67">
                  <c:v>1.7000000000000002</c:v>
                </c:pt>
                <c:pt idx="68">
                  <c:v>1.8000000000000007</c:v>
                </c:pt>
                <c:pt idx="69">
                  <c:v>1.9000000000000004</c:v>
                </c:pt>
                <c:pt idx="70">
                  <c:v>2</c:v>
                </c:pt>
                <c:pt idx="71">
                  <c:v>2.1000000000000005</c:v>
                </c:pt>
                <c:pt idx="72">
                  <c:v>2.2000000000000002</c:v>
                </c:pt>
                <c:pt idx="73">
                  <c:v>2.3000000000000007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2.6000000000000005</c:v>
                </c:pt>
                <c:pt idx="77">
                  <c:v>2.7</c:v>
                </c:pt>
                <c:pt idx="78">
                  <c:v>2.8000000000000007</c:v>
                </c:pt>
                <c:pt idx="79">
                  <c:v>2.9000000000000004</c:v>
                </c:pt>
                <c:pt idx="80">
                  <c:v>3</c:v>
                </c:pt>
                <c:pt idx="81">
                  <c:v>3.0999999999999996</c:v>
                </c:pt>
                <c:pt idx="82">
                  <c:v>3.2000000000000011</c:v>
                </c:pt>
                <c:pt idx="83">
                  <c:v>3.3000000000000007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3.5999999999999996</c:v>
                </c:pt>
                <c:pt idx="87">
                  <c:v>3.7000000000000011</c:v>
                </c:pt>
                <c:pt idx="88">
                  <c:v>3.8000000000000007</c:v>
                </c:pt>
                <c:pt idx="89">
                  <c:v>3.9000000000000004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4.6000000000000014</c:v>
                </c:pt>
                <c:pt idx="97">
                  <c:v>4.7000000000000011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cat>
          <c:val>
            <c:numRef>
              <c:f>'№13-15'!$E$24:$E$124</c:f>
              <c:numCache>
                <c:formatCode>General</c:formatCode>
                <c:ptCount val="101"/>
                <c:pt idx="0">
                  <c:v>225</c:v>
                </c:pt>
                <c:pt idx="1">
                  <c:v>216.09000000000003</c:v>
                </c:pt>
                <c:pt idx="2">
                  <c:v>207.35999999999999</c:v>
                </c:pt>
                <c:pt idx="3">
                  <c:v>198.81000000000003</c:v>
                </c:pt>
                <c:pt idx="4">
                  <c:v>190.43999999999997</c:v>
                </c:pt>
                <c:pt idx="5">
                  <c:v>182.25</c:v>
                </c:pt>
                <c:pt idx="6">
                  <c:v>174.24000000000004</c:v>
                </c:pt>
                <c:pt idx="7">
                  <c:v>166.41</c:v>
                </c:pt>
                <c:pt idx="8">
                  <c:v>158.76</c:v>
                </c:pt>
                <c:pt idx="9">
                  <c:v>151.29</c:v>
                </c:pt>
                <c:pt idx="10">
                  <c:v>144</c:v>
                </c:pt>
                <c:pt idx="11">
                  <c:v>136.88999999999999</c:v>
                </c:pt>
                <c:pt idx="12">
                  <c:v>129.96</c:v>
                </c:pt>
                <c:pt idx="13">
                  <c:v>123.21000000000001</c:v>
                </c:pt>
                <c:pt idx="14">
                  <c:v>116.63999999999997</c:v>
                </c:pt>
                <c:pt idx="15">
                  <c:v>110.25</c:v>
                </c:pt>
                <c:pt idx="16">
                  <c:v>104.03999999999999</c:v>
                </c:pt>
                <c:pt idx="17">
                  <c:v>98.009999999999991</c:v>
                </c:pt>
                <c:pt idx="18">
                  <c:v>92.160000000000025</c:v>
                </c:pt>
                <c:pt idx="19">
                  <c:v>86.489999999999981</c:v>
                </c:pt>
                <c:pt idx="20">
                  <c:v>81</c:v>
                </c:pt>
                <c:pt idx="21">
                  <c:v>75.69</c:v>
                </c:pt>
                <c:pt idx="22">
                  <c:v>70.559999999999988</c:v>
                </c:pt>
                <c:pt idx="23">
                  <c:v>65.609999999999985</c:v>
                </c:pt>
                <c:pt idx="24">
                  <c:v>60.839999999999982</c:v>
                </c:pt>
                <c:pt idx="25">
                  <c:v>56.25</c:v>
                </c:pt>
                <c:pt idx="26">
                  <c:v>51.839999999999996</c:v>
                </c:pt>
                <c:pt idx="27">
                  <c:v>47.609999999999992</c:v>
                </c:pt>
                <c:pt idx="28">
                  <c:v>43.559999999999988</c:v>
                </c:pt>
                <c:pt idx="29">
                  <c:v>39.689999999999984</c:v>
                </c:pt>
                <c:pt idx="30">
                  <c:v>36</c:v>
                </c:pt>
                <c:pt idx="31">
                  <c:v>32.49</c:v>
                </c:pt>
                <c:pt idx="32">
                  <c:v>29.159999999999993</c:v>
                </c:pt>
                <c:pt idx="33">
                  <c:v>26.009999999999994</c:v>
                </c:pt>
                <c:pt idx="34">
                  <c:v>23.039999999999988</c:v>
                </c:pt>
                <c:pt idx="35">
                  <c:v>20.25</c:v>
                </c:pt>
                <c:pt idx="36">
                  <c:v>17.639999999999997</c:v>
                </c:pt>
                <c:pt idx="37">
                  <c:v>15.209999999999996</c:v>
                </c:pt>
                <c:pt idx="38">
                  <c:v>12.959999999999994</c:v>
                </c:pt>
                <c:pt idx="39">
                  <c:v>10.889999999999993</c:v>
                </c:pt>
                <c:pt idx="40">
                  <c:v>9</c:v>
                </c:pt>
                <c:pt idx="41">
                  <c:v>7.2899999999999912</c:v>
                </c:pt>
                <c:pt idx="42">
                  <c:v>5.7599999999999971</c:v>
                </c:pt>
                <c:pt idx="43">
                  <c:v>4.4100000000000028</c:v>
                </c:pt>
                <c:pt idx="44">
                  <c:v>3.2399999999999962</c:v>
                </c:pt>
                <c:pt idx="45">
                  <c:v>2.25</c:v>
                </c:pt>
                <c:pt idx="46">
                  <c:v>1.4399999999999964</c:v>
                </c:pt>
                <c:pt idx="47">
                  <c:v>0.80999999999999905</c:v>
                </c:pt>
                <c:pt idx="48">
                  <c:v>0.35999999999999743</c:v>
                </c:pt>
                <c:pt idx="49">
                  <c:v>8.9999999999999358E-2</c:v>
                </c:pt>
                <c:pt idx="50">
                  <c:v>0</c:v>
                </c:pt>
                <c:pt idx="51">
                  <c:v>9.0000000000000954E-2</c:v>
                </c:pt>
                <c:pt idx="52">
                  <c:v>0.36000000000000065</c:v>
                </c:pt>
                <c:pt idx="53">
                  <c:v>0.81000000000000383</c:v>
                </c:pt>
                <c:pt idx="54">
                  <c:v>1.4400000000000026</c:v>
                </c:pt>
                <c:pt idx="55">
                  <c:v>2.25</c:v>
                </c:pt>
                <c:pt idx="56">
                  <c:v>3.240000000000006</c:v>
                </c:pt>
                <c:pt idx="57">
                  <c:v>4.4100000000000028</c:v>
                </c:pt>
                <c:pt idx="58">
                  <c:v>5.7600000000000104</c:v>
                </c:pt>
                <c:pt idx="59">
                  <c:v>7.2900000000000054</c:v>
                </c:pt>
                <c:pt idx="60">
                  <c:v>9</c:v>
                </c:pt>
                <c:pt idx="61">
                  <c:v>10.890000000000009</c:v>
                </c:pt>
                <c:pt idx="62">
                  <c:v>12.960000000000004</c:v>
                </c:pt>
                <c:pt idx="63">
                  <c:v>15.210000000000017</c:v>
                </c:pt>
                <c:pt idx="64">
                  <c:v>17.640000000000011</c:v>
                </c:pt>
                <c:pt idx="65">
                  <c:v>20.25</c:v>
                </c:pt>
                <c:pt idx="66">
                  <c:v>23.040000000000017</c:v>
                </c:pt>
                <c:pt idx="67">
                  <c:v>26.010000000000005</c:v>
                </c:pt>
                <c:pt idx="68">
                  <c:v>29.160000000000021</c:v>
                </c:pt>
                <c:pt idx="69">
                  <c:v>32.490000000000009</c:v>
                </c:pt>
                <c:pt idx="70">
                  <c:v>36</c:v>
                </c:pt>
                <c:pt idx="71">
                  <c:v>39.690000000000019</c:v>
                </c:pt>
                <c:pt idx="72">
                  <c:v>43.560000000000009</c:v>
                </c:pt>
                <c:pt idx="73">
                  <c:v>47.610000000000035</c:v>
                </c:pt>
                <c:pt idx="74">
                  <c:v>51.840000000000018</c:v>
                </c:pt>
                <c:pt idx="75">
                  <c:v>56.25</c:v>
                </c:pt>
                <c:pt idx="76">
                  <c:v>60.840000000000025</c:v>
                </c:pt>
                <c:pt idx="77">
                  <c:v>65.610000000000014</c:v>
                </c:pt>
                <c:pt idx="78">
                  <c:v>70.560000000000045</c:v>
                </c:pt>
                <c:pt idx="79">
                  <c:v>75.690000000000012</c:v>
                </c:pt>
                <c:pt idx="80">
                  <c:v>81</c:v>
                </c:pt>
                <c:pt idx="81">
                  <c:v>86.489999999999981</c:v>
                </c:pt>
                <c:pt idx="82">
                  <c:v>92.160000000000068</c:v>
                </c:pt>
                <c:pt idx="83">
                  <c:v>98.010000000000034</c:v>
                </c:pt>
                <c:pt idx="84">
                  <c:v>104.04000000000002</c:v>
                </c:pt>
                <c:pt idx="85">
                  <c:v>110.25</c:v>
                </c:pt>
                <c:pt idx="86">
                  <c:v>116.63999999999997</c:v>
                </c:pt>
                <c:pt idx="87">
                  <c:v>123.21000000000008</c:v>
                </c:pt>
                <c:pt idx="88">
                  <c:v>129.96000000000004</c:v>
                </c:pt>
                <c:pt idx="89">
                  <c:v>136.89000000000001</c:v>
                </c:pt>
                <c:pt idx="90">
                  <c:v>144</c:v>
                </c:pt>
                <c:pt idx="91">
                  <c:v>151.29</c:v>
                </c:pt>
                <c:pt idx="92">
                  <c:v>158.76000000000008</c:v>
                </c:pt>
                <c:pt idx="93">
                  <c:v>166.41000000000005</c:v>
                </c:pt>
                <c:pt idx="94">
                  <c:v>174.24000000000004</c:v>
                </c:pt>
                <c:pt idx="95">
                  <c:v>182.25</c:v>
                </c:pt>
                <c:pt idx="96">
                  <c:v>190.44000000000014</c:v>
                </c:pt>
                <c:pt idx="97">
                  <c:v>198.81000000000009</c:v>
                </c:pt>
                <c:pt idx="98">
                  <c:v>207.36000000000007</c:v>
                </c:pt>
                <c:pt idx="99">
                  <c:v>216.09000000000003</c:v>
                </c:pt>
                <c:pt idx="10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0-354F-84E5-3BFF0ADB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02543"/>
        <c:axId val="387694079"/>
      </c:lineChart>
      <c:catAx>
        <c:axId val="4093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694079"/>
        <c:crosses val="autoZero"/>
        <c:auto val="1"/>
        <c:lblAlgn val="ctr"/>
        <c:lblOffset val="100"/>
        <c:noMultiLvlLbl val="0"/>
      </c:catAx>
      <c:valAx>
        <c:axId val="3876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3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209062</xdr:colOff>
      <xdr:row>13</xdr:row>
      <xdr:rowOff>166075</xdr:rowOff>
    </xdr:from>
    <xdr:to>
      <xdr:col>11</xdr:col>
      <xdr:colOff>33216</xdr:colOff>
      <xdr:row>30</xdr:row>
      <xdr:rowOff>59591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1A8045-BF77-0046-B7A8-C0018E155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34192</xdr:colOff>
      <xdr:row>6</xdr:row>
      <xdr:rowOff>35169</xdr:rowOff>
    </xdr:from>
    <xdr:to>
      <xdr:col>19</xdr:col>
      <xdr:colOff>454269</xdr:colOff>
      <xdr:row>19</xdr:row>
      <xdr:rowOff>82061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A603743-1348-BD44-B7BD-25FF92BB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5</xdr:row>
      <xdr:rowOff>162168</xdr:rowOff>
    </xdr:from>
    <xdr:to>
      <xdr:col>5</xdr:col>
      <xdr:colOff>737577</xdr:colOff>
      <xdr:row>19</xdr:row>
      <xdr:rowOff>33214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3FF453-62DF-714E-9D10-2354D6C7E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112346</xdr:colOff>
      <xdr:row>35</xdr:row>
      <xdr:rowOff>191478</xdr:rowOff>
    </xdr:from>
    <xdr:to>
      <xdr:col>8</xdr:col>
      <xdr:colOff>532423</xdr:colOff>
      <xdr:row>49</xdr:row>
      <xdr:rowOff>62524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3779C8-5A64-E244-BAD3-A8C91E31C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307731</xdr:colOff>
      <xdr:row>3</xdr:row>
      <xdr:rowOff>152399</xdr:rowOff>
    </xdr:from>
    <xdr:to>
      <xdr:col>8</xdr:col>
      <xdr:colOff>727808</xdr:colOff>
      <xdr:row>17</xdr:row>
      <xdr:rowOff>23446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11D59F-E1C0-7448-A2B7-385A3E556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179917</xdr:colOff>
      <xdr:row>22</xdr:row>
      <xdr:rowOff>179918</xdr:rowOff>
    </xdr:from>
    <xdr:to>
      <xdr:col>17</xdr:col>
      <xdr:colOff>702853</xdr:colOff>
      <xdr:row>51</xdr:row>
      <xdr:rowOff>21167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F3FD70-3C86-E94A-A7A6-9CE383BDF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2638-0ADC-F947-884C-ED8C611E37F0}">
  <dimension ref="A1:Y63"/>
  <sheetViews>
    <sheetView topLeftCell="E23" zoomScaleNormal="100" workbookViewId="0">
      <selection activeCell="J45" sqref="J45"/>
    </sheetView>
  </sheetViews>
  <sheetFormatPr baseColWidth="10" defaultRowHeight="16" x14ac:dyDescent="0.2"/>
  <cols>
    <col min="1" max="1" width="17.1640625" customWidth="1"/>
    <col min="2" max="2" width="17.1640625" bestFit="1" customWidth="1"/>
    <col min="3" max="3" width="30.33203125" bestFit="1" customWidth="1"/>
    <col min="4" max="4" width="32" customWidth="1"/>
    <col min="23" max="23" width="19.33203125" bestFit="1" customWidth="1"/>
    <col min="24" max="24" width="20.6640625" bestFit="1" customWidth="1"/>
  </cols>
  <sheetData>
    <row r="1" spans="1:25" x14ac:dyDescent="0.2">
      <c r="A1" s="2" t="s">
        <v>4</v>
      </c>
      <c r="B1" s="1"/>
      <c r="C1" s="1"/>
      <c r="D1" s="6"/>
      <c r="M1" s="2" t="s">
        <v>16</v>
      </c>
    </row>
    <row r="2" spans="1:25" x14ac:dyDescent="0.2">
      <c r="A2" s="2" t="s">
        <v>0</v>
      </c>
      <c r="B2" s="2" t="s">
        <v>1</v>
      </c>
      <c r="C2" s="2" t="s">
        <v>2</v>
      </c>
      <c r="D2" s="2" t="s">
        <v>3</v>
      </c>
      <c r="M2" s="22" t="s">
        <v>17</v>
      </c>
      <c r="N2" s="21"/>
      <c r="O2" s="21"/>
      <c r="P2" s="21"/>
      <c r="Q2" s="21"/>
      <c r="R2" s="21"/>
      <c r="S2" s="21"/>
      <c r="T2" s="21"/>
      <c r="U2" s="21"/>
      <c r="V2" s="21"/>
      <c r="W2" s="2" t="s">
        <v>18</v>
      </c>
      <c r="X2" s="2" t="s">
        <v>19</v>
      </c>
      <c r="Y2" s="2" t="s">
        <v>20</v>
      </c>
    </row>
    <row r="3" spans="1:25" x14ac:dyDescent="0.2">
      <c r="A3" s="2" t="s">
        <v>5</v>
      </c>
      <c r="B3" s="2">
        <v>0.1</v>
      </c>
      <c r="C3" s="2">
        <v>0.3</v>
      </c>
      <c r="D3" s="2">
        <v>0.6</v>
      </c>
      <c r="M3" s="2">
        <v>158</v>
      </c>
      <c r="N3" s="2">
        <v>153</v>
      </c>
      <c r="O3" s="2">
        <v>168</v>
      </c>
      <c r="P3" s="2">
        <v>163</v>
      </c>
      <c r="Q3" s="2">
        <v>164</v>
      </c>
      <c r="R3" s="2">
        <v>153</v>
      </c>
      <c r="S3" s="2">
        <v>151</v>
      </c>
      <c r="T3" s="2">
        <v>155</v>
      </c>
      <c r="U3" s="2">
        <v>158</v>
      </c>
      <c r="V3" s="2">
        <v>146</v>
      </c>
      <c r="W3" s="4">
        <v>140</v>
      </c>
      <c r="X3" s="2"/>
      <c r="Y3" s="2"/>
    </row>
    <row r="4" spans="1:25" ht="18" x14ac:dyDescent="0.25">
      <c r="A4" s="21" t="s">
        <v>6</v>
      </c>
      <c r="B4" s="21"/>
      <c r="C4" s="21"/>
      <c r="D4" s="21"/>
      <c r="M4" s="2">
        <v>151</v>
      </c>
      <c r="N4" s="2">
        <v>141</v>
      </c>
      <c r="O4" s="2">
        <v>177</v>
      </c>
      <c r="P4" s="2">
        <v>154</v>
      </c>
      <c r="Q4" s="2">
        <v>162</v>
      </c>
      <c r="R4" s="2">
        <v>153</v>
      </c>
      <c r="S4" s="2">
        <v>162</v>
      </c>
      <c r="T4" s="2">
        <v>156</v>
      </c>
      <c r="U4" s="2">
        <v>143</v>
      </c>
      <c r="V4" s="2">
        <v>173</v>
      </c>
      <c r="W4" s="4">
        <v>150</v>
      </c>
      <c r="X4" s="2">
        <f>AVERAGE(W4,W3)</f>
        <v>145</v>
      </c>
      <c r="Y4" s="2">
        <f>COUNTIF($M$3:$V$5,"&gt;="&amp;$W3)-COUNTIF($M$3:$V$5,"&gt;="&amp;$W4)</f>
        <v>6</v>
      </c>
    </row>
    <row r="5" spans="1:25" x14ac:dyDescent="0.2">
      <c r="A5" s="4" t="s">
        <v>7</v>
      </c>
      <c r="B5" s="2">
        <f>LOG(1/B3,2)</f>
        <v>3.3219280948873626</v>
      </c>
      <c r="C5" s="2">
        <f t="shared" ref="C5:D5" si="0">LOG(1/C3,2)</f>
        <v>1.7369655941662063</v>
      </c>
      <c r="D5" s="2">
        <f t="shared" si="0"/>
        <v>0.73696559416620622</v>
      </c>
      <c r="M5" s="2">
        <v>145</v>
      </c>
      <c r="N5" s="2">
        <v>185</v>
      </c>
      <c r="O5" s="2">
        <v>162</v>
      </c>
      <c r="P5" s="2">
        <v>164</v>
      </c>
      <c r="Q5" s="2">
        <v>141</v>
      </c>
      <c r="R5" s="2">
        <v>187</v>
      </c>
      <c r="S5" s="2">
        <v>151</v>
      </c>
      <c r="T5" s="2">
        <v>165</v>
      </c>
      <c r="U5" s="2">
        <v>176</v>
      </c>
      <c r="V5" s="2">
        <v>143</v>
      </c>
      <c r="W5" s="4">
        <v>160</v>
      </c>
      <c r="X5" s="2">
        <f t="shared" ref="X5:X8" si="1">AVERAGE(W5,W4)</f>
        <v>155</v>
      </c>
      <c r="Y5" s="2">
        <f t="shared" ref="Y5:Y7" si="2">COUNTIF($M$3:$V$5,"&gt;="&amp;$W4)-COUNTIF($M$3:$V$5,"&gt;="&amp;$W5)</f>
        <v>11</v>
      </c>
    </row>
    <row r="6" spans="1:25" ht="18" x14ac:dyDescent="0.25">
      <c r="A6" s="21" t="s">
        <v>8</v>
      </c>
      <c r="B6" s="21"/>
      <c r="C6" s="21"/>
      <c r="D6" s="21"/>
      <c r="M6" s="3"/>
      <c r="W6" s="4">
        <v>170</v>
      </c>
      <c r="X6" s="2">
        <f t="shared" si="1"/>
        <v>165</v>
      </c>
      <c r="Y6" s="2">
        <f t="shared" si="2"/>
        <v>8</v>
      </c>
    </row>
    <row r="7" spans="1:25" ht="18" x14ac:dyDescent="0.25">
      <c r="A7" s="4" t="s">
        <v>9</v>
      </c>
      <c r="M7" s="3"/>
      <c r="W7" s="4">
        <v>180</v>
      </c>
      <c r="X7" s="2">
        <f t="shared" si="1"/>
        <v>175</v>
      </c>
      <c r="Y7" s="2">
        <f t="shared" si="2"/>
        <v>3</v>
      </c>
    </row>
    <row r="8" spans="1:25" x14ac:dyDescent="0.2">
      <c r="A8" s="2">
        <f>SUM(B5*B3,C5*C3,D5*D3)</f>
        <v>1.2954618442383219</v>
      </c>
      <c r="M8" s="3"/>
      <c r="W8" s="4">
        <v>190</v>
      </c>
      <c r="X8" s="2">
        <f t="shared" si="1"/>
        <v>185</v>
      </c>
      <c r="Y8" s="2">
        <f>COUNTIF($M$3:$V$5,"&gt;="&amp;$W7)-COUNTIF($M$3:$V$5,"&gt;="&amp;$W8)</f>
        <v>2</v>
      </c>
    </row>
    <row r="9" spans="1:25" ht="17" thickBot="1" x14ac:dyDescent="0.25">
      <c r="A9" s="5"/>
      <c r="B9" s="5"/>
      <c r="C9" s="5"/>
      <c r="D9" s="5"/>
      <c r="M9" s="3"/>
    </row>
    <row r="10" spans="1:25" x14ac:dyDescent="0.2">
      <c r="A10" s="6"/>
      <c r="B10" s="6"/>
      <c r="C10" s="6"/>
      <c r="D10" s="6"/>
      <c r="M10" s="3"/>
    </row>
    <row r="11" spans="1:25" x14ac:dyDescent="0.2">
      <c r="A11" s="2" t="s">
        <v>10</v>
      </c>
      <c r="M11" s="3"/>
    </row>
    <row r="12" spans="1:25" x14ac:dyDescent="0.2">
      <c r="A12" s="2" t="s">
        <v>11</v>
      </c>
      <c r="B12" s="8" t="s">
        <v>12</v>
      </c>
      <c r="C12" s="9" t="s">
        <v>13</v>
      </c>
      <c r="D12" s="2" t="s">
        <v>14</v>
      </c>
      <c r="E12" s="8" t="s">
        <v>15</v>
      </c>
      <c r="M12" s="6"/>
    </row>
    <row r="13" spans="1:25" x14ac:dyDescent="0.2">
      <c r="A13" s="2">
        <v>0</v>
      </c>
      <c r="B13" s="8">
        <v>5</v>
      </c>
      <c r="C13" s="9">
        <v>1</v>
      </c>
      <c r="D13" s="2">
        <f>_xlfn.NORM.DIST(A13,$B$13,$C$13,FALSE)</f>
        <v>1.4867195147342977E-6</v>
      </c>
      <c r="E13" s="8">
        <f>_xlfn.NORM.DIST(A38,$B$13,$C$13,TRUE)-_xlfn.NORM.DIST(A33,$B$13,$C$13,TRUE)</f>
        <v>0.34134474606854304</v>
      </c>
      <c r="M13" s="6"/>
    </row>
    <row r="14" spans="1:25" x14ac:dyDescent="0.2">
      <c r="A14" s="2">
        <v>0.2</v>
      </c>
      <c r="D14" s="2">
        <f t="shared" ref="D14:D63" si="3">_xlfn.NORM.DIST(A14,$B$13,$C$13,FALSE)</f>
        <v>3.9612990910320753E-6</v>
      </c>
    </row>
    <row r="15" spans="1:25" x14ac:dyDescent="0.2">
      <c r="A15" s="2">
        <v>0.4</v>
      </c>
      <c r="D15" s="2">
        <f t="shared" si="3"/>
        <v>1.0140852065486758E-5</v>
      </c>
    </row>
    <row r="16" spans="1:25" x14ac:dyDescent="0.2">
      <c r="A16" s="2">
        <v>0.60000000000000009</v>
      </c>
      <c r="D16" s="2">
        <f t="shared" si="3"/>
        <v>2.4942471290053535E-5</v>
      </c>
    </row>
    <row r="17" spans="1:4" x14ac:dyDescent="0.2">
      <c r="A17" s="2">
        <v>0.8</v>
      </c>
      <c r="D17" s="2">
        <f t="shared" si="3"/>
        <v>5.8943067756539855E-5</v>
      </c>
    </row>
    <row r="18" spans="1:4" x14ac:dyDescent="0.2">
      <c r="A18" s="2">
        <v>1</v>
      </c>
      <c r="D18" s="2">
        <f t="shared" si="3"/>
        <v>1.3383022576488537E-4</v>
      </c>
    </row>
    <row r="19" spans="1:4" x14ac:dyDescent="0.2">
      <c r="A19" s="2">
        <v>1.2000000000000002</v>
      </c>
      <c r="D19" s="2">
        <f t="shared" si="3"/>
        <v>2.9194692579146027E-4</v>
      </c>
    </row>
    <row r="20" spans="1:4" x14ac:dyDescent="0.2">
      <c r="A20" s="2">
        <v>1.4000000000000001</v>
      </c>
      <c r="D20" s="2">
        <f t="shared" si="3"/>
        <v>6.1190193011377298E-4</v>
      </c>
    </row>
    <row r="21" spans="1:4" x14ac:dyDescent="0.2">
      <c r="A21" s="2">
        <v>1.6</v>
      </c>
      <c r="D21" s="2">
        <f t="shared" si="3"/>
        <v>1.2322191684730199E-3</v>
      </c>
    </row>
    <row r="22" spans="1:4" x14ac:dyDescent="0.2">
      <c r="A22" s="2">
        <v>1.8</v>
      </c>
      <c r="D22" s="2">
        <f t="shared" si="3"/>
        <v>2.3840882014648404E-3</v>
      </c>
    </row>
    <row r="23" spans="1:4" x14ac:dyDescent="0.2">
      <c r="A23" s="2">
        <v>2</v>
      </c>
      <c r="D23" s="2">
        <f t="shared" si="3"/>
        <v>4.4318484119380075E-3</v>
      </c>
    </row>
    <row r="24" spans="1:4" x14ac:dyDescent="0.2">
      <c r="A24" s="2">
        <v>2.2000000000000002</v>
      </c>
      <c r="D24" s="2">
        <f t="shared" si="3"/>
        <v>7.9154515829799686E-3</v>
      </c>
    </row>
    <row r="25" spans="1:4" x14ac:dyDescent="0.2">
      <c r="A25" s="2">
        <v>2.4000000000000004</v>
      </c>
      <c r="D25" s="2">
        <f t="shared" si="3"/>
        <v>1.3582969233685634E-2</v>
      </c>
    </row>
    <row r="26" spans="1:4" x14ac:dyDescent="0.2">
      <c r="A26" s="2">
        <v>2.6</v>
      </c>
      <c r="D26" s="2">
        <f t="shared" si="3"/>
        <v>2.2394530294842899E-2</v>
      </c>
    </row>
    <row r="27" spans="1:4" x14ac:dyDescent="0.2">
      <c r="A27" s="2">
        <v>2.8000000000000003</v>
      </c>
      <c r="D27" s="2">
        <f t="shared" si="3"/>
        <v>3.5474592846231459E-2</v>
      </c>
    </row>
    <row r="28" spans="1:4" x14ac:dyDescent="0.2">
      <c r="A28" s="2">
        <v>3</v>
      </c>
      <c r="D28" s="2">
        <f t="shared" si="3"/>
        <v>5.3990966513188063E-2</v>
      </c>
    </row>
    <row r="29" spans="1:4" x14ac:dyDescent="0.2">
      <c r="A29" s="2">
        <v>3.2</v>
      </c>
      <c r="D29" s="2">
        <f t="shared" si="3"/>
        <v>7.8950158300894177E-2</v>
      </c>
    </row>
    <row r="30" spans="1:4" x14ac:dyDescent="0.2">
      <c r="A30" s="2">
        <v>3.4000000000000004</v>
      </c>
      <c r="D30" s="2">
        <f t="shared" si="3"/>
        <v>0.11092083467945563</v>
      </c>
    </row>
    <row r="31" spans="1:4" x14ac:dyDescent="0.2">
      <c r="A31" s="2">
        <v>3.6</v>
      </c>
      <c r="D31" s="2">
        <f t="shared" si="3"/>
        <v>0.14972746563574488</v>
      </c>
    </row>
    <row r="32" spans="1:4" x14ac:dyDescent="0.2">
      <c r="A32" s="2">
        <v>3.8000000000000003</v>
      </c>
      <c r="D32" s="2">
        <f t="shared" si="3"/>
        <v>0.19418605498321304</v>
      </c>
    </row>
    <row r="33" spans="1:4" x14ac:dyDescent="0.2">
      <c r="A33" s="2">
        <v>4</v>
      </c>
      <c r="D33" s="2">
        <f t="shared" si="3"/>
        <v>0.24197072451914337</v>
      </c>
    </row>
    <row r="34" spans="1:4" x14ac:dyDescent="0.2">
      <c r="A34" s="2">
        <v>4.2</v>
      </c>
      <c r="D34" s="2">
        <f t="shared" si="3"/>
        <v>0.28969155276148278</v>
      </c>
    </row>
    <row r="35" spans="1:4" x14ac:dyDescent="0.2">
      <c r="A35" s="2">
        <v>4.4000000000000004</v>
      </c>
      <c r="D35" s="2">
        <f t="shared" si="3"/>
        <v>0.33322460289179973</v>
      </c>
    </row>
    <row r="36" spans="1:4" x14ac:dyDescent="0.2">
      <c r="A36" s="2">
        <v>4.6000000000000005</v>
      </c>
      <c r="D36" s="2">
        <f t="shared" si="3"/>
        <v>0.36827014030332339</v>
      </c>
    </row>
    <row r="37" spans="1:4" x14ac:dyDescent="0.2">
      <c r="A37" s="2">
        <v>4.8000000000000007</v>
      </c>
      <c r="D37" s="2">
        <f t="shared" si="3"/>
        <v>0.39104269397545599</v>
      </c>
    </row>
    <row r="38" spans="1:4" x14ac:dyDescent="0.2">
      <c r="A38" s="2">
        <v>5</v>
      </c>
      <c r="D38" s="2">
        <f t="shared" si="3"/>
        <v>0.3989422804014327</v>
      </c>
    </row>
    <row r="39" spans="1:4" x14ac:dyDescent="0.2">
      <c r="A39" s="2">
        <v>5.2</v>
      </c>
      <c r="D39" s="2">
        <f t="shared" si="3"/>
        <v>0.39104269397545588</v>
      </c>
    </row>
    <row r="40" spans="1:4" x14ac:dyDescent="0.2">
      <c r="A40" s="2">
        <v>5.4</v>
      </c>
      <c r="D40" s="2">
        <f t="shared" si="3"/>
        <v>0.36827014030332328</v>
      </c>
    </row>
    <row r="41" spans="1:4" x14ac:dyDescent="0.2">
      <c r="A41" s="2">
        <v>5.6000000000000005</v>
      </c>
      <c r="D41" s="2">
        <f t="shared" si="3"/>
        <v>0.33322460289179956</v>
      </c>
    </row>
    <row r="42" spans="1:4" x14ac:dyDescent="0.2">
      <c r="A42" s="2">
        <v>5.8000000000000007</v>
      </c>
      <c r="D42" s="2">
        <f t="shared" si="3"/>
        <v>0.28969155276148256</v>
      </c>
    </row>
    <row r="43" spans="1:4" x14ac:dyDescent="0.2">
      <c r="A43" s="2">
        <v>6</v>
      </c>
      <c r="D43" s="2">
        <f t="shared" si="3"/>
        <v>0.24197072451914337</v>
      </c>
    </row>
    <row r="44" spans="1:4" x14ac:dyDescent="0.2">
      <c r="A44" s="2">
        <v>6.2</v>
      </c>
      <c r="D44" s="2">
        <f t="shared" si="3"/>
        <v>0.19418605498321292</v>
      </c>
    </row>
    <row r="45" spans="1:4" x14ac:dyDescent="0.2">
      <c r="A45" s="2">
        <v>6.4</v>
      </c>
      <c r="D45" s="2">
        <f t="shared" si="3"/>
        <v>0.14972746563574479</v>
      </c>
    </row>
    <row r="46" spans="1:4" x14ac:dyDescent="0.2">
      <c r="A46" s="2">
        <v>6.6000000000000005</v>
      </c>
      <c r="D46" s="2">
        <f t="shared" si="3"/>
        <v>0.11092083467945546</v>
      </c>
    </row>
    <row r="47" spans="1:4" x14ac:dyDescent="0.2">
      <c r="A47" s="2">
        <v>6.8000000000000007</v>
      </c>
      <c r="D47" s="2">
        <f t="shared" si="3"/>
        <v>7.8950158300894066E-2</v>
      </c>
    </row>
    <row r="48" spans="1:4" x14ac:dyDescent="0.2">
      <c r="A48" s="2">
        <v>7</v>
      </c>
      <c r="D48" s="2">
        <f t="shared" si="3"/>
        <v>5.3990966513188063E-2</v>
      </c>
    </row>
    <row r="49" spans="1:4" x14ac:dyDescent="0.2">
      <c r="A49" s="2">
        <v>7.2</v>
      </c>
      <c r="D49" s="2">
        <f t="shared" si="3"/>
        <v>3.5474592846231424E-2</v>
      </c>
    </row>
    <row r="50" spans="1:4" x14ac:dyDescent="0.2">
      <c r="A50" s="2">
        <v>7.4</v>
      </c>
      <c r="D50" s="2">
        <f t="shared" si="3"/>
        <v>2.2394530294842882E-2</v>
      </c>
    </row>
    <row r="51" spans="1:4" x14ac:dyDescent="0.2">
      <c r="A51" s="2">
        <v>7.6000000000000005</v>
      </c>
      <c r="D51" s="2">
        <f t="shared" si="3"/>
        <v>1.3582969233685602E-2</v>
      </c>
    </row>
    <row r="52" spans="1:4" x14ac:dyDescent="0.2">
      <c r="A52" s="2">
        <v>7.8000000000000007</v>
      </c>
      <c r="D52" s="2">
        <f t="shared" si="3"/>
        <v>7.915451582979946E-3</v>
      </c>
    </row>
    <row r="53" spans="1:4" x14ac:dyDescent="0.2">
      <c r="A53" s="2">
        <v>8</v>
      </c>
      <c r="D53" s="2">
        <f t="shared" si="3"/>
        <v>4.4318484119380075E-3</v>
      </c>
    </row>
    <row r="54" spans="1:4" x14ac:dyDescent="0.2">
      <c r="A54" s="2">
        <v>8.2000000000000011</v>
      </c>
      <c r="D54" s="2">
        <f t="shared" si="3"/>
        <v>2.3840882014648343E-3</v>
      </c>
    </row>
    <row r="55" spans="1:4" x14ac:dyDescent="0.2">
      <c r="A55" s="2">
        <v>8.4</v>
      </c>
      <c r="D55" s="2">
        <f t="shared" si="3"/>
        <v>1.2322191684730175E-3</v>
      </c>
    </row>
    <row r="56" spans="1:4" x14ac:dyDescent="0.2">
      <c r="A56" s="2">
        <v>8.6</v>
      </c>
      <c r="D56" s="2">
        <f t="shared" si="3"/>
        <v>6.1190193011377298E-4</v>
      </c>
    </row>
    <row r="57" spans="1:4" x14ac:dyDescent="0.2">
      <c r="A57" s="2">
        <v>8.8000000000000007</v>
      </c>
      <c r="D57" s="2">
        <f t="shared" si="3"/>
        <v>2.9194692579145951E-4</v>
      </c>
    </row>
    <row r="58" spans="1:4" x14ac:dyDescent="0.2">
      <c r="A58" s="2">
        <v>9</v>
      </c>
      <c r="D58" s="2">
        <f t="shared" si="3"/>
        <v>1.3383022576488537E-4</v>
      </c>
    </row>
    <row r="59" spans="1:4" x14ac:dyDescent="0.2">
      <c r="A59" s="2">
        <v>9.2000000000000011</v>
      </c>
      <c r="D59" s="2">
        <f t="shared" si="3"/>
        <v>5.8943067756539645E-5</v>
      </c>
    </row>
    <row r="60" spans="1:4" x14ac:dyDescent="0.2">
      <c r="A60" s="2">
        <v>9.4</v>
      </c>
      <c r="D60" s="2">
        <f t="shared" si="3"/>
        <v>2.4942471290053535E-5</v>
      </c>
    </row>
    <row r="61" spans="1:4" x14ac:dyDescent="0.2">
      <c r="A61" s="2">
        <v>9.6000000000000014</v>
      </c>
      <c r="D61" s="2">
        <f t="shared" si="3"/>
        <v>1.014085206548667E-5</v>
      </c>
    </row>
    <row r="62" spans="1:4" x14ac:dyDescent="0.2">
      <c r="A62" s="2">
        <v>9.8000000000000007</v>
      </c>
      <c r="D62" s="2">
        <f t="shared" si="3"/>
        <v>3.9612990910320609E-6</v>
      </c>
    </row>
    <row r="63" spans="1:4" x14ac:dyDescent="0.2">
      <c r="A63" s="2">
        <v>10</v>
      </c>
      <c r="D63" s="2">
        <f t="shared" si="3"/>
        <v>1.4867195147342977E-6</v>
      </c>
    </row>
  </sheetData>
  <mergeCells count="3">
    <mergeCell ref="A4:D4"/>
    <mergeCell ref="A6:D6"/>
    <mergeCell ref="M2:V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CB14-BC68-B448-8CE9-F44AE9ACDCB3}">
  <dimension ref="A1:K40"/>
  <sheetViews>
    <sheetView topLeftCell="A19" zoomScale="130" zoomScaleNormal="130" workbookViewId="0">
      <selection activeCell="A35" sqref="A35"/>
    </sheetView>
  </sheetViews>
  <sheetFormatPr baseColWidth="10" defaultRowHeight="16" x14ac:dyDescent="0.2"/>
  <cols>
    <col min="1" max="1" width="17.1640625" bestFit="1" customWidth="1"/>
    <col min="2" max="2" width="13.6640625" bestFit="1" customWidth="1"/>
    <col min="3" max="3" width="14.83203125" bestFit="1" customWidth="1"/>
    <col min="4" max="4" width="15.6640625" bestFit="1" customWidth="1"/>
    <col min="5" max="5" width="13.6640625" customWidth="1"/>
    <col min="6" max="6" width="15.1640625" bestFit="1" customWidth="1"/>
    <col min="7" max="7" width="13.6640625" bestFit="1" customWidth="1"/>
    <col min="8" max="8" width="12.6640625" bestFit="1" customWidth="1"/>
  </cols>
  <sheetData>
    <row r="1" spans="1:11" x14ac:dyDescent="0.2">
      <c r="A1" s="2" t="s">
        <v>21</v>
      </c>
      <c r="B1" s="2"/>
    </row>
    <row r="2" spans="1:11" x14ac:dyDescent="0.2">
      <c r="A2" s="2" t="s">
        <v>22</v>
      </c>
      <c r="B2" s="2">
        <v>156</v>
      </c>
      <c r="C2" s="8">
        <v>166</v>
      </c>
      <c r="D2" s="2">
        <v>158</v>
      </c>
      <c r="E2" s="2">
        <v>177</v>
      </c>
      <c r="F2" s="2">
        <v>191</v>
      </c>
      <c r="G2" s="2">
        <v>159</v>
      </c>
      <c r="H2" s="2">
        <v>172</v>
      </c>
      <c r="I2" s="2">
        <v>186</v>
      </c>
      <c r="J2" s="2">
        <v>165</v>
      </c>
      <c r="K2" s="2">
        <v>169</v>
      </c>
    </row>
    <row r="3" spans="1:11" x14ac:dyDescent="0.2">
      <c r="A3" s="2" t="s">
        <v>23</v>
      </c>
      <c r="B3" s="2">
        <v>62</v>
      </c>
      <c r="C3" s="8">
        <v>68</v>
      </c>
      <c r="D3" s="2">
        <v>61</v>
      </c>
      <c r="E3" s="2">
        <v>86</v>
      </c>
      <c r="F3" s="2">
        <v>94</v>
      </c>
      <c r="G3" s="2">
        <v>65</v>
      </c>
      <c r="H3" s="2">
        <v>72</v>
      </c>
      <c r="I3" s="2">
        <v>90</v>
      </c>
      <c r="J3" s="2">
        <v>69</v>
      </c>
      <c r="K3" s="2">
        <v>71</v>
      </c>
    </row>
    <row r="4" spans="1:11" x14ac:dyDescent="0.2">
      <c r="A4" s="4" t="s">
        <v>24</v>
      </c>
      <c r="B4" s="2">
        <f>CORREL(B3:K3,B2:K2)</f>
        <v>0.97664823084398544</v>
      </c>
    </row>
    <row r="5" spans="1:11" x14ac:dyDescent="0.2">
      <c r="A5" s="4" t="s">
        <v>26</v>
      </c>
      <c r="B5" s="2">
        <f>FORECAST(190,B3:K3,B2:K2)</f>
        <v>93.545454545454518</v>
      </c>
    </row>
    <row r="21" spans="1:8" ht="17" thickBot="1" x14ac:dyDescent="0.25">
      <c r="A21" s="5"/>
      <c r="B21" s="5"/>
      <c r="C21" s="5"/>
      <c r="D21" s="5"/>
      <c r="E21" s="5"/>
      <c r="F21" s="5"/>
      <c r="G21" s="5"/>
      <c r="H21" s="5"/>
    </row>
    <row r="23" spans="1:8" x14ac:dyDescent="0.2">
      <c r="A23" s="2" t="s">
        <v>25</v>
      </c>
    </row>
    <row r="24" spans="1:8" x14ac:dyDescent="0.2">
      <c r="A24" s="2" t="s">
        <v>27</v>
      </c>
      <c r="B24" s="2" t="s">
        <v>28</v>
      </c>
      <c r="C24" s="2" t="s">
        <v>29</v>
      </c>
      <c r="D24" s="21" t="s">
        <v>30</v>
      </c>
      <c r="E24" s="21"/>
    </row>
    <row r="25" spans="1:8" x14ac:dyDescent="0.2">
      <c r="A25" s="2">
        <v>4.3</v>
      </c>
      <c r="B25" s="2">
        <f>AVERAGE(A25:A29)</f>
        <v>4.4000000000000004</v>
      </c>
      <c r="C25" s="2">
        <f>VAR(A25:A29)</f>
        <v>2.4999999999999956E-2</v>
      </c>
      <c r="D25" s="7">
        <f>STDEV(A25:A29)</f>
        <v>0.15811388300841883</v>
      </c>
    </row>
    <row r="26" spans="1:8" x14ac:dyDescent="0.2">
      <c r="A26" s="2">
        <v>4.4000000000000004</v>
      </c>
      <c r="B26" s="2"/>
      <c r="C26" s="2"/>
    </row>
    <row r="27" spans="1:8" x14ac:dyDescent="0.2">
      <c r="A27" s="2">
        <v>4.2</v>
      </c>
      <c r="B27" s="2"/>
      <c r="C27" s="2"/>
    </row>
    <row r="28" spans="1:8" x14ac:dyDescent="0.2">
      <c r="A28" s="2">
        <v>4.5</v>
      </c>
      <c r="B28" s="2"/>
      <c r="C28" s="2"/>
    </row>
    <row r="29" spans="1:8" x14ac:dyDescent="0.2">
      <c r="A29" s="10">
        <v>4.5999999999999996</v>
      </c>
      <c r="B29" s="10"/>
      <c r="C29" s="10"/>
    </row>
    <row r="30" spans="1:8" x14ac:dyDescent="0.2">
      <c r="A30" s="2" t="s">
        <v>5</v>
      </c>
      <c r="B30" s="2" t="s">
        <v>31</v>
      </c>
      <c r="C30" s="2" t="s">
        <v>32</v>
      </c>
      <c r="D30" s="4" t="s">
        <v>34</v>
      </c>
      <c r="E30" s="23" t="s">
        <v>35</v>
      </c>
      <c r="F30" s="23"/>
      <c r="G30" s="23"/>
    </row>
    <row r="31" spans="1:8" x14ac:dyDescent="0.2">
      <c r="A31" s="2">
        <v>0.95</v>
      </c>
      <c r="B31" s="2">
        <f>B25-E31</f>
        <v>4.2331227996399754</v>
      </c>
      <c r="C31" s="2">
        <f>B25+E31</f>
        <v>4.5668772003600253</v>
      </c>
      <c r="D31" s="2">
        <f>2.36</f>
        <v>2.36</v>
      </c>
      <c r="E31" s="2">
        <f>D31*D25/SQRT(5)</f>
        <v>0.16687720036002504</v>
      </c>
      <c r="F31" s="2"/>
      <c r="G31" s="2"/>
    </row>
    <row r="33" spans="1:8" ht="17" thickBot="1" x14ac:dyDescent="0.25">
      <c r="A33" s="5"/>
      <c r="B33" s="5"/>
      <c r="C33" s="5"/>
      <c r="D33" s="5"/>
      <c r="E33" s="5"/>
      <c r="F33" s="5"/>
      <c r="G33" s="5"/>
      <c r="H33" s="5"/>
    </row>
    <row r="35" spans="1:8" x14ac:dyDescent="0.2">
      <c r="A35" s="2" t="s">
        <v>33</v>
      </c>
    </row>
    <row r="36" spans="1:8" x14ac:dyDescent="0.2">
      <c r="A36" s="2" t="s">
        <v>36</v>
      </c>
      <c r="B36" s="2" t="s">
        <v>37</v>
      </c>
      <c r="C36" s="2" t="s">
        <v>38</v>
      </c>
      <c r="D36" s="2" t="s">
        <v>39</v>
      </c>
      <c r="E36" s="2" t="s">
        <v>40</v>
      </c>
      <c r="F36" s="2" t="s">
        <v>42</v>
      </c>
      <c r="G36" s="2" t="s">
        <v>41</v>
      </c>
      <c r="H36" s="2" t="s">
        <v>43</v>
      </c>
    </row>
    <row r="37" spans="1:8" x14ac:dyDescent="0.2">
      <c r="A37" s="2">
        <v>0</v>
      </c>
      <c r="B37" s="2">
        <v>0</v>
      </c>
      <c r="C37" s="2" t="b">
        <f>FALSE</f>
        <v>0</v>
      </c>
      <c r="D37" s="2" t="b">
        <f>OR(A37,B37)</f>
        <v>0</v>
      </c>
      <c r="E37" s="2" t="b">
        <f>AND(A37,B37)</f>
        <v>0</v>
      </c>
      <c r="F37" s="2" t="b">
        <f>NOT(E37)</f>
        <v>1</v>
      </c>
      <c r="G37" s="2" t="b">
        <f>NOT(D37)</f>
        <v>1</v>
      </c>
      <c r="H37" s="2" t="b">
        <f>TRUE</f>
        <v>1</v>
      </c>
    </row>
    <row r="38" spans="1:8" x14ac:dyDescent="0.2">
      <c r="A38" s="2">
        <v>0</v>
      </c>
      <c r="B38" s="2">
        <v>1</v>
      </c>
      <c r="C38" s="2" t="b">
        <f>FALSE</f>
        <v>0</v>
      </c>
      <c r="D38" s="2" t="b">
        <f t="shared" ref="D38:D40" si="0">OR(A38,B38)</f>
        <v>1</v>
      </c>
      <c r="E38" s="2" t="b">
        <f t="shared" ref="E38:E40" si="1">AND(A38,B38)</f>
        <v>0</v>
      </c>
      <c r="F38" s="2" t="b">
        <f t="shared" ref="F38:F40" si="2">NOT(E38)</f>
        <v>1</v>
      </c>
      <c r="G38" s="2" t="b">
        <f t="shared" ref="G38:G40" si="3">NOT(D38)</f>
        <v>0</v>
      </c>
      <c r="H38" s="2" t="b">
        <f>TRUE</f>
        <v>1</v>
      </c>
    </row>
    <row r="39" spans="1:8" x14ac:dyDescent="0.2">
      <c r="A39" s="2">
        <v>1</v>
      </c>
      <c r="B39" s="2">
        <v>0</v>
      </c>
      <c r="C39" s="2" t="b">
        <f>FALSE</f>
        <v>0</v>
      </c>
      <c r="D39" s="2" t="b">
        <f t="shared" si="0"/>
        <v>1</v>
      </c>
      <c r="E39" s="2" t="b">
        <f t="shared" si="1"/>
        <v>0</v>
      </c>
      <c r="F39" s="2" t="b">
        <f t="shared" si="2"/>
        <v>1</v>
      </c>
      <c r="G39" s="2" t="b">
        <f t="shared" si="3"/>
        <v>0</v>
      </c>
      <c r="H39" s="2" t="b">
        <f>TRUE</f>
        <v>1</v>
      </c>
    </row>
    <row r="40" spans="1:8" x14ac:dyDescent="0.2">
      <c r="A40" s="2">
        <v>1</v>
      </c>
      <c r="B40" s="2">
        <v>1</v>
      </c>
      <c r="C40" s="2" t="b">
        <f>FALSE</f>
        <v>0</v>
      </c>
      <c r="D40" s="2" t="b">
        <f t="shared" si="0"/>
        <v>1</v>
      </c>
      <c r="E40" s="2" t="b">
        <f t="shared" si="1"/>
        <v>1</v>
      </c>
      <c r="F40" s="2" t="b">
        <f t="shared" si="2"/>
        <v>0</v>
      </c>
      <c r="G40" s="2" t="b">
        <f t="shared" si="3"/>
        <v>0</v>
      </c>
      <c r="H40" s="2" t="b">
        <f>TRUE</f>
        <v>1</v>
      </c>
    </row>
  </sheetData>
  <mergeCells count="2">
    <mergeCell ref="D24:E24"/>
    <mergeCell ref="E30:G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B51C-74F5-BB4C-8FCE-4172051651B9}">
  <dimension ref="A1:K48"/>
  <sheetViews>
    <sheetView topLeftCell="A26" zoomScale="130" zoomScaleNormal="130" workbookViewId="0">
      <selection activeCell="A27" sqref="A27:A31"/>
    </sheetView>
  </sheetViews>
  <sheetFormatPr baseColWidth="10" defaultRowHeight="16" x14ac:dyDescent="0.2"/>
  <cols>
    <col min="1" max="1" width="23" bestFit="1" customWidth="1"/>
    <col min="2" max="2" width="24.5" bestFit="1" customWidth="1"/>
    <col min="3" max="3" width="13.1640625" bestFit="1" customWidth="1"/>
    <col min="6" max="6" width="16.1640625" bestFit="1" customWidth="1"/>
  </cols>
  <sheetData>
    <row r="1" spans="1:11" x14ac:dyDescent="0.2">
      <c r="A1" s="2" t="s">
        <v>44</v>
      </c>
      <c r="J1" s="2" t="s">
        <v>28</v>
      </c>
      <c r="K1" s="2" t="s">
        <v>29</v>
      </c>
    </row>
    <row r="2" spans="1:11" x14ac:dyDescent="0.2">
      <c r="A2" s="2" t="s">
        <v>45</v>
      </c>
      <c r="B2" s="8">
        <v>119</v>
      </c>
      <c r="C2" s="2">
        <v>110</v>
      </c>
      <c r="D2" s="2">
        <v>127</v>
      </c>
      <c r="E2" s="2">
        <v>124</v>
      </c>
      <c r="F2" s="2">
        <v>121</v>
      </c>
      <c r="G2" s="2">
        <v>131</v>
      </c>
      <c r="H2" s="2">
        <v>124</v>
      </c>
      <c r="I2" s="9">
        <v>113</v>
      </c>
      <c r="J2" s="2">
        <f>AVERAGE(B2:I2)</f>
        <v>121.125</v>
      </c>
      <c r="K2" s="2">
        <f>VAR(B2:I2)</f>
        <v>48.982142857142854</v>
      </c>
    </row>
    <row r="3" spans="1:11" x14ac:dyDescent="0.2">
      <c r="A3" s="2" t="s">
        <v>46</v>
      </c>
      <c r="B3" s="8">
        <v>123</v>
      </c>
      <c r="C3" s="2">
        <v>132</v>
      </c>
      <c r="D3" s="2">
        <v>126</v>
      </c>
      <c r="E3" s="2">
        <v>123</v>
      </c>
      <c r="F3" s="2">
        <v>133</v>
      </c>
      <c r="G3" s="2">
        <v>145</v>
      </c>
      <c r="H3" s="2">
        <v>132</v>
      </c>
      <c r="I3" s="9">
        <v>144</v>
      </c>
      <c r="J3" s="2">
        <f>AVERAGE(B3:I3)</f>
        <v>132.25</v>
      </c>
      <c r="K3" s="2">
        <f>VAR(B3:I3)</f>
        <v>73.071428571428569</v>
      </c>
    </row>
    <row r="4" spans="1:11" x14ac:dyDescent="0.2">
      <c r="A4" s="4" t="s">
        <v>47</v>
      </c>
    </row>
    <row r="5" spans="1:11" x14ac:dyDescent="0.2">
      <c r="A5" s="2">
        <v>0.05</v>
      </c>
    </row>
    <row r="6" spans="1:11" x14ac:dyDescent="0.2">
      <c r="A6" s="2" t="s">
        <v>48</v>
      </c>
    </row>
    <row r="7" spans="1:11" x14ac:dyDescent="0.2">
      <c r="A7" s="2">
        <f>ABS(J2-J3)/SQRT((K2+K3)/8)</f>
        <v>2.8481953115179861</v>
      </c>
    </row>
    <row r="8" spans="1:11" x14ac:dyDescent="0.2">
      <c r="A8" s="2" t="s">
        <v>49</v>
      </c>
    </row>
    <row r="9" spans="1:11" x14ac:dyDescent="0.2">
      <c r="A9" s="2">
        <f>TINV(A5,14)</f>
        <v>2.1447866879178044</v>
      </c>
    </row>
    <row r="10" spans="1:11" x14ac:dyDescent="0.2">
      <c r="A10" s="2" t="s">
        <v>50</v>
      </c>
    </row>
    <row r="11" spans="1:11" x14ac:dyDescent="0.2">
      <c r="A11" s="2">
        <f>TDIST(A7,14,2)</f>
        <v>1.2895746104944665E-2</v>
      </c>
    </row>
    <row r="13" spans="1:11" ht="17" thickBo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5" spans="1:11" x14ac:dyDescent="0.2">
      <c r="A15" s="2" t="s">
        <v>51</v>
      </c>
    </row>
    <row r="16" spans="1:11" x14ac:dyDescent="0.2">
      <c r="A16" s="2" t="s">
        <v>56</v>
      </c>
      <c r="B16" s="2" t="s">
        <v>57</v>
      </c>
      <c r="C16" s="2" t="s">
        <v>58</v>
      </c>
      <c r="D16" s="2" t="s">
        <v>59</v>
      </c>
      <c r="E16" s="2" t="s">
        <v>60</v>
      </c>
      <c r="F16" s="2" t="s">
        <v>61</v>
      </c>
    </row>
    <row r="17" spans="1:6" x14ac:dyDescent="0.2">
      <c r="A17" s="2" t="str">
        <f>COMPLEX(3,6)</f>
        <v>3+6i</v>
      </c>
      <c r="B17" s="2">
        <f>IMREAL(A17)</f>
        <v>3</v>
      </c>
      <c r="C17" s="2">
        <f>IMAGINARY(A17)</f>
        <v>6</v>
      </c>
      <c r="D17" s="2">
        <f>IMABS(A17)</f>
        <v>6.7082039324993694</v>
      </c>
      <c r="E17" s="2">
        <f>IMARGUMENT(A17)</f>
        <v>1.1071487177940904</v>
      </c>
      <c r="F17" s="2" t="str">
        <f>IMCONJUGATE(A17)</f>
        <v>3-6i</v>
      </c>
    </row>
    <row r="18" spans="1:6" x14ac:dyDescent="0.2">
      <c r="A18" s="20" t="s">
        <v>62</v>
      </c>
      <c r="B18" s="2"/>
      <c r="C18" s="2"/>
      <c r="D18" s="2"/>
      <c r="E18" s="2"/>
    </row>
    <row r="19" spans="1:6" x14ac:dyDescent="0.2">
      <c r="A19" s="2" t="str">
        <f>IMPOWER(A17,4)</f>
        <v>-567,000000000001-1944i</v>
      </c>
      <c r="B19" s="2">
        <f t="shared" ref="B19" si="0">IMREAL(A19)</f>
        <v>-567.00000000000102</v>
      </c>
      <c r="C19" s="2">
        <f t="shared" ref="C19" si="1">IMAGINARY(A19)</f>
        <v>-1944</v>
      </c>
      <c r="D19" s="2">
        <f t="shared" ref="D19" si="2">IMABS(A19)</f>
        <v>2025.0000000000002</v>
      </c>
      <c r="E19" s="2">
        <f t="shared" ref="E19" si="3">IMARGUMENT(A19)</f>
        <v>-1.8545904360032248</v>
      </c>
    </row>
    <row r="21" spans="1:6" x14ac:dyDescent="0.2">
      <c r="A21" s="2" t="s">
        <v>63</v>
      </c>
    </row>
    <row r="22" spans="1:6" x14ac:dyDescent="0.2">
      <c r="A22" s="2">
        <v>0</v>
      </c>
      <c r="B22" s="2">
        <f>POWER($D$19,1/4)*COS(($E$19+2*PI()*$A22)/4)</f>
        <v>5.9999999999999991</v>
      </c>
      <c r="C22" s="2">
        <f>POWER($D$19,1/4)*SIN(($E$19+2*PI()*$A22)/4)</f>
        <v>-3.0000000000000004</v>
      </c>
    </row>
    <row r="23" spans="1:6" x14ac:dyDescent="0.2">
      <c r="A23" s="2">
        <v>1</v>
      </c>
      <c r="B23" s="2">
        <f t="shared" ref="B23:B25" si="4">POWER($D$19,1/4)*COS(($E$19+2*PI()*$A23)/4)</f>
        <v>3.0000000000000004</v>
      </c>
      <c r="C23" s="2">
        <f t="shared" ref="C23:C25" si="5">POWER($D$19,1/4)*SIN(($E$19+2*PI()*$A23)/4)</f>
        <v>5.9999999999999991</v>
      </c>
    </row>
    <row r="24" spans="1:6" x14ac:dyDescent="0.2">
      <c r="A24" s="2">
        <v>2</v>
      </c>
      <c r="B24" s="2">
        <f t="shared" si="4"/>
        <v>-5.9999999999999991</v>
      </c>
      <c r="C24" s="2">
        <f t="shared" si="5"/>
        <v>3.0000000000000009</v>
      </c>
    </row>
    <row r="25" spans="1:6" x14ac:dyDescent="0.2">
      <c r="A25" s="2">
        <v>3</v>
      </c>
      <c r="B25" s="2">
        <f t="shared" si="4"/>
        <v>-3.0000000000000013</v>
      </c>
      <c r="C25" s="2">
        <f t="shared" si="5"/>
        <v>-5.9999999999999982</v>
      </c>
    </row>
    <row r="27" spans="1:6" x14ac:dyDescent="0.2">
      <c r="A27" s="2" t="s">
        <v>64</v>
      </c>
    </row>
    <row r="28" spans="1:6" x14ac:dyDescent="0.2">
      <c r="A28" s="2" t="str">
        <f>COMPLEX(B22,C22)</f>
        <v>6-3i</v>
      </c>
    </row>
    <row r="29" spans="1:6" x14ac:dyDescent="0.2">
      <c r="A29" s="2" t="str">
        <f t="shared" ref="A29:A31" si="6">COMPLEX(B23,C23)</f>
        <v>3+6i</v>
      </c>
    </row>
    <row r="30" spans="1:6" x14ac:dyDescent="0.2">
      <c r="A30" s="2" t="str">
        <f t="shared" si="6"/>
        <v>-6+3i</v>
      </c>
    </row>
    <row r="31" spans="1:6" x14ac:dyDescent="0.2">
      <c r="A31" s="2" t="str">
        <f t="shared" si="6"/>
        <v>-3-6i</v>
      </c>
    </row>
    <row r="33" spans="1:11" ht="17" thickBo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7" spans="1:11" x14ac:dyDescent="0.2">
      <c r="A37" s="2" t="s">
        <v>55</v>
      </c>
      <c r="B37" s="19" t="s">
        <v>53</v>
      </c>
      <c r="C37" s="11"/>
    </row>
    <row r="38" spans="1:11" x14ac:dyDescent="0.2">
      <c r="A38" s="2" t="s">
        <v>52</v>
      </c>
      <c r="B38" s="2" t="s">
        <v>54</v>
      </c>
    </row>
    <row r="39" spans="1:11" x14ac:dyDescent="0.2">
      <c r="A39" s="2">
        <v>1</v>
      </c>
      <c r="B39" s="2">
        <f>(2*A39-1)/(A39+1)</f>
        <v>0.5</v>
      </c>
    </row>
    <row r="40" spans="1:11" x14ac:dyDescent="0.2">
      <c r="A40" s="2">
        <v>10</v>
      </c>
      <c r="B40" s="2">
        <f t="shared" ref="B40:B48" si="7">(2*A40-1)/(A40+1)</f>
        <v>1.7272727272727273</v>
      </c>
    </row>
    <row r="41" spans="1:11" x14ac:dyDescent="0.2">
      <c r="A41" s="2">
        <v>100</v>
      </c>
      <c r="B41" s="2">
        <f t="shared" si="7"/>
        <v>1.9702970297029703</v>
      </c>
    </row>
    <row r="42" spans="1:11" x14ac:dyDescent="0.2">
      <c r="A42" s="2">
        <v>1000</v>
      </c>
      <c r="B42" s="2">
        <f t="shared" si="7"/>
        <v>1.997002997002997</v>
      </c>
    </row>
    <row r="43" spans="1:11" x14ac:dyDescent="0.2">
      <c r="A43" s="2">
        <v>10000</v>
      </c>
      <c r="B43" s="2">
        <f t="shared" si="7"/>
        <v>1.9997000299970003</v>
      </c>
    </row>
    <row r="44" spans="1:11" x14ac:dyDescent="0.2">
      <c r="A44" s="2">
        <v>100000</v>
      </c>
      <c r="B44" s="2">
        <f t="shared" si="7"/>
        <v>1.9999700002999969</v>
      </c>
    </row>
    <row r="45" spans="1:11" x14ac:dyDescent="0.2">
      <c r="A45" s="2">
        <v>1000000</v>
      </c>
      <c r="B45" s="2">
        <f t="shared" si="7"/>
        <v>1.9999970000030001</v>
      </c>
    </row>
    <row r="46" spans="1:11" x14ac:dyDescent="0.2">
      <c r="A46" s="2">
        <v>10000000</v>
      </c>
      <c r="B46" s="2">
        <f t="shared" si="7"/>
        <v>1.99999970000003</v>
      </c>
    </row>
    <row r="47" spans="1:11" x14ac:dyDescent="0.2">
      <c r="A47" s="2">
        <v>100000000</v>
      </c>
      <c r="B47" s="2">
        <f t="shared" si="7"/>
        <v>1.9999999700000004</v>
      </c>
    </row>
    <row r="48" spans="1:11" x14ac:dyDescent="0.2">
      <c r="A48" s="2">
        <v>1000000000</v>
      </c>
      <c r="B48" s="2">
        <f t="shared" si="7"/>
        <v>1.999999997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9764-97B9-8A47-A4E5-643F2BE5E1F4}">
  <dimension ref="A1:R100"/>
  <sheetViews>
    <sheetView topLeftCell="A20" zoomScale="140" zoomScaleNormal="140" workbookViewId="0">
      <selection activeCell="C28" sqref="C28:D28"/>
    </sheetView>
  </sheetViews>
  <sheetFormatPr baseColWidth="10" defaultRowHeight="16" x14ac:dyDescent="0.2"/>
  <cols>
    <col min="1" max="1" width="12.83203125" customWidth="1"/>
    <col min="2" max="2" width="15.33203125" customWidth="1"/>
    <col min="5" max="5" width="17.83203125" bestFit="1" customWidth="1"/>
    <col min="9" max="9" width="8.6640625" customWidth="1"/>
    <col min="10" max="10" width="14.1640625" customWidth="1"/>
    <col min="11" max="11" width="13.6640625" customWidth="1"/>
    <col min="13" max="13" width="27.33203125" customWidth="1"/>
    <col min="14" max="14" width="13.6640625" customWidth="1"/>
    <col min="15" max="15" width="24.33203125" customWidth="1"/>
    <col min="17" max="17" width="12" customWidth="1"/>
  </cols>
  <sheetData>
    <row r="1" spans="1:18" x14ac:dyDescent="0.2">
      <c r="A1" s="2" t="s">
        <v>65</v>
      </c>
      <c r="G1" s="2" t="s">
        <v>71</v>
      </c>
      <c r="M1" t="s">
        <v>78</v>
      </c>
    </row>
    <row r="2" spans="1:18" ht="48" x14ac:dyDescent="0.2">
      <c r="A2" s="2" t="s">
        <v>69</v>
      </c>
      <c r="G2" s="2" t="s">
        <v>72</v>
      </c>
      <c r="H2" s="2" t="s">
        <v>73</v>
      </c>
      <c r="I2" s="8" t="s">
        <v>74</v>
      </c>
      <c r="J2" s="2" t="s">
        <v>75</v>
      </c>
      <c r="K2" s="2" t="s">
        <v>76</v>
      </c>
      <c r="M2" s="12" t="s">
        <v>79</v>
      </c>
      <c r="N2" s="13" t="s">
        <v>80</v>
      </c>
      <c r="O2" s="13" t="s">
        <v>81</v>
      </c>
      <c r="P2" s="13" t="s">
        <v>82</v>
      </c>
      <c r="Q2" s="13" t="s">
        <v>83</v>
      </c>
      <c r="R2" s="13" t="s">
        <v>84</v>
      </c>
    </row>
    <row r="3" spans="1:18" x14ac:dyDescent="0.2">
      <c r="A3" s="2">
        <v>257.015625</v>
      </c>
      <c r="G3" s="2">
        <v>0</v>
      </c>
      <c r="H3" s="2">
        <f>POWER(G3,2)</f>
        <v>0</v>
      </c>
      <c r="I3" s="8">
        <f>G33</f>
        <v>3</v>
      </c>
      <c r="J3" s="2">
        <f>G3</f>
        <v>0</v>
      </c>
      <c r="K3" s="2">
        <f>I3-J3</f>
        <v>3</v>
      </c>
      <c r="M3" s="14" t="s">
        <v>105</v>
      </c>
      <c r="N3" s="15" t="s">
        <v>140</v>
      </c>
      <c r="O3" s="15" t="s">
        <v>141</v>
      </c>
      <c r="P3" s="16">
        <v>6</v>
      </c>
      <c r="Q3" s="17">
        <v>231.7</v>
      </c>
      <c r="R3" s="18" t="s">
        <v>142</v>
      </c>
    </row>
    <row r="4" spans="1:18" x14ac:dyDescent="0.2">
      <c r="G4" s="2">
        <v>0.1</v>
      </c>
      <c r="H4" s="2">
        <f t="shared" ref="H4:H33" si="0">POWER(G4,2)</f>
        <v>1.0000000000000002E-2</v>
      </c>
      <c r="M4" s="14" t="s">
        <v>105</v>
      </c>
      <c r="N4" s="15" t="s">
        <v>140</v>
      </c>
      <c r="O4" s="15" t="s">
        <v>141</v>
      </c>
      <c r="P4" s="16">
        <v>1</v>
      </c>
      <c r="Q4" s="17">
        <v>101.08</v>
      </c>
      <c r="R4" s="18" t="s">
        <v>142</v>
      </c>
    </row>
    <row r="5" spans="1:18" x14ac:dyDescent="0.2">
      <c r="G5" s="2">
        <v>0.2</v>
      </c>
      <c r="H5" s="2">
        <f t="shared" si="0"/>
        <v>4.0000000000000008E-2</v>
      </c>
      <c r="I5" s="21" t="s">
        <v>77</v>
      </c>
      <c r="J5" s="21"/>
      <c r="K5" s="21"/>
      <c r="M5" s="14" t="s">
        <v>105</v>
      </c>
      <c r="N5" s="15" t="s">
        <v>140</v>
      </c>
      <c r="O5" s="15" t="s">
        <v>141</v>
      </c>
      <c r="P5" s="16">
        <v>3</v>
      </c>
      <c r="Q5" s="17">
        <v>229.63</v>
      </c>
      <c r="R5" s="18" t="s">
        <v>142</v>
      </c>
    </row>
    <row r="6" spans="1:18" ht="32" x14ac:dyDescent="0.2">
      <c r="A6" s="2" t="s">
        <v>66</v>
      </c>
      <c r="B6" s="21" t="s">
        <v>67</v>
      </c>
      <c r="C6" s="21"/>
      <c r="D6" s="21"/>
      <c r="E6" s="21"/>
      <c r="G6" s="2">
        <v>0.30000000000000004</v>
      </c>
      <c r="H6" s="2">
        <f t="shared" si="0"/>
        <v>9.0000000000000024E-2</v>
      </c>
      <c r="J6" s="2">
        <f>AVERAGE(H3:H33)*K3</f>
        <v>9.1499999999999986</v>
      </c>
      <c r="M6" s="14" t="s">
        <v>157</v>
      </c>
      <c r="N6" s="15" t="s">
        <v>171</v>
      </c>
      <c r="O6" s="15" t="s">
        <v>172</v>
      </c>
      <c r="P6" s="16">
        <v>4</v>
      </c>
      <c r="Q6" s="17">
        <v>1454.15</v>
      </c>
      <c r="R6" s="18" t="s">
        <v>173</v>
      </c>
    </row>
    <row r="7" spans="1:18" x14ac:dyDescent="0.2">
      <c r="A7" s="2">
        <f>A3-INT(A3)</f>
        <v>1.5625E-2</v>
      </c>
      <c r="B7" s="2">
        <f>INT(A7*2)</f>
        <v>0</v>
      </c>
      <c r="C7" s="2">
        <f>INT(A3)</f>
        <v>257</v>
      </c>
      <c r="D7" s="2">
        <f>MOD(C7,2)</f>
        <v>1</v>
      </c>
      <c r="E7" s="2" t="str">
        <f>D15&amp;D14&amp;D13&amp;D12&amp;D11&amp;D10&amp;D9&amp;D8&amp;D7&amp;","&amp;B7&amp;B8&amp;B9&amp;B10&amp;B11&amp;B12</f>
        <v>100000001,000001</v>
      </c>
      <c r="G7" s="2">
        <v>0.4</v>
      </c>
      <c r="H7" s="2">
        <f t="shared" si="0"/>
        <v>0.16000000000000003</v>
      </c>
      <c r="M7" s="14" t="s">
        <v>157</v>
      </c>
      <c r="N7" s="15" t="s">
        <v>168</v>
      </c>
      <c r="O7" s="15" t="s">
        <v>169</v>
      </c>
      <c r="P7" s="16">
        <v>8</v>
      </c>
      <c r="Q7" s="17">
        <v>664.73</v>
      </c>
      <c r="R7" s="18" t="s">
        <v>170</v>
      </c>
    </row>
    <row r="8" spans="1:18" x14ac:dyDescent="0.2">
      <c r="A8" s="2">
        <f>A7*2-INT(A7*2)</f>
        <v>3.125E-2</v>
      </c>
      <c r="B8" s="2">
        <f>INT(A8*2)</f>
        <v>0</v>
      </c>
      <c r="C8" s="2">
        <f>QUOTIENT(C7,2)</f>
        <v>128</v>
      </c>
      <c r="D8" s="2">
        <f t="shared" ref="D8:D16" si="1">MOD(C8,2)</f>
        <v>0</v>
      </c>
      <c r="G8" s="2">
        <v>0.5</v>
      </c>
      <c r="H8" s="2">
        <f t="shared" si="0"/>
        <v>0.25</v>
      </c>
      <c r="M8" s="14" t="s">
        <v>157</v>
      </c>
      <c r="N8" s="15" t="s">
        <v>168</v>
      </c>
      <c r="O8" s="15" t="s">
        <v>169</v>
      </c>
      <c r="P8" s="16">
        <v>4</v>
      </c>
      <c r="Q8" s="17">
        <v>454.34</v>
      </c>
      <c r="R8" s="18" t="s">
        <v>170</v>
      </c>
    </row>
    <row r="9" spans="1:18" x14ac:dyDescent="0.2">
      <c r="A9" s="2">
        <f t="shared" ref="A9:A13" si="2">A8*2-INT(A8*2)</f>
        <v>6.25E-2</v>
      </c>
      <c r="B9" s="2">
        <f t="shared" ref="B9:B13" si="3">INT(A9*2)</f>
        <v>0</v>
      </c>
      <c r="C9" s="2">
        <f t="shared" ref="C9:C16" si="4">QUOTIENT(C8,2)</f>
        <v>64</v>
      </c>
      <c r="D9" s="2">
        <f t="shared" si="1"/>
        <v>0</v>
      </c>
      <c r="G9" s="2">
        <v>0.60000000000000009</v>
      </c>
      <c r="H9" s="2">
        <f t="shared" si="0"/>
        <v>0.3600000000000001</v>
      </c>
      <c r="M9" s="14" t="s">
        <v>193</v>
      </c>
      <c r="N9" s="15" t="s">
        <v>209</v>
      </c>
      <c r="O9" s="15" t="s">
        <v>210</v>
      </c>
      <c r="P9" s="16">
        <v>1</v>
      </c>
      <c r="Q9" s="17">
        <v>3900</v>
      </c>
      <c r="R9" s="18" t="s">
        <v>102</v>
      </c>
    </row>
    <row r="10" spans="1:18" x14ac:dyDescent="0.2">
      <c r="A10" s="2">
        <f t="shared" si="2"/>
        <v>0.125</v>
      </c>
      <c r="B10" s="2">
        <f>INT(A10*2)</f>
        <v>0</v>
      </c>
      <c r="C10" s="2">
        <f t="shared" si="4"/>
        <v>32</v>
      </c>
      <c r="D10" s="2">
        <f t="shared" si="1"/>
        <v>0</v>
      </c>
      <c r="G10" s="2">
        <v>0.70000000000000007</v>
      </c>
      <c r="H10" s="2">
        <f t="shared" si="0"/>
        <v>0.4900000000000001</v>
      </c>
      <c r="M10" s="14" t="s">
        <v>193</v>
      </c>
      <c r="N10" s="15" t="s">
        <v>209</v>
      </c>
      <c r="O10" s="15" t="s">
        <v>210</v>
      </c>
      <c r="P10" s="16">
        <v>1</v>
      </c>
      <c r="Q10" s="17">
        <v>1950</v>
      </c>
      <c r="R10" s="18" t="s">
        <v>102</v>
      </c>
    </row>
    <row r="11" spans="1:18" ht="48" x14ac:dyDescent="0.2">
      <c r="A11" s="2">
        <f t="shared" si="2"/>
        <v>0.25</v>
      </c>
      <c r="B11" s="2">
        <f t="shared" si="3"/>
        <v>0</v>
      </c>
      <c r="C11" s="2">
        <f t="shared" si="4"/>
        <v>16</v>
      </c>
      <c r="D11" s="2">
        <f t="shared" si="1"/>
        <v>0</v>
      </c>
      <c r="G11" s="2">
        <v>0.8</v>
      </c>
      <c r="H11" s="2">
        <f t="shared" si="0"/>
        <v>0.64000000000000012</v>
      </c>
      <c r="M11" s="14" t="s">
        <v>146</v>
      </c>
      <c r="N11" s="15" t="s">
        <v>155</v>
      </c>
      <c r="O11" s="15" t="s">
        <v>156</v>
      </c>
      <c r="P11" s="16">
        <v>10</v>
      </c>
      <c r="Q11" s="17">
        <v>4.22</v>
      </c>
      <c r="R11" s="18" t="s">
        <v>90</v>
      </c>
    </row>
    <row r="12" spans="1:18" ht="48" x14ac:dyDescent="0.2">
      <c r="A12" s="2">
        <f t="shared" si="2"/>
        <v>0.5</v>
      </c>
      <c r="B12" s="2">
        <f t="shared" si="3"/>
        <v>1</v>
      </c>
      <c r="C12" s="2">
        <f t="shared" si="4"/>
        <v>8</v>
      </c>
      <c r="D12" s="2">
        <f t="shared" si="1"/>
        <v>0</v>
      </c>
      <c r="G12" s="2">
        <v>0.9</v>
      </c>
      <c r="H12" s="2">
        <f t="shared" si="0"/>
        <v>0.81</v>
      </c>
      <c r="M12" s="14" t="s">
        <v>146</v>
      </c>
      <c r="N12" s="15" t="s">
        <v>153</v>
      </c>
      <c r="O12" s="15" t="s">
        <v>148</v>
      </c>
      <c r="P12" s="16">
        <v>10</v>
      </c>
      <c r="Q12" s="17">
        <v>4.3099999999999996</v>
      </c>
      <c r="R12" s="18" t="s">
        <v>90</v>
      </c>
    </row>
    <row r="13" spans="1:18" ht="48" x14ac:dyDescent="0.2">
      <c r="A13" s="2">
        <f t="shared" si="2"/>
        <v>0</v>
      </c>
      <c r="B13" s="2">
        <f t="shared" si="3"/>
        <v>0</v>
      </c>
      <c r="C13" s="2">
        <f t="shared" si="4"/>
        <v>4</v>
      </c>
      <c r="D13" s="2">
        <f t="shared" si="1"/>
        <v>0</v>
      </c>
      <c r="G13" s="2">
        <v>1</v>
      </c>
      <c r="H13" s="2">
        <f t="shared" si="0"/>
        <v>1</v>
      </c>
      <c r="M13" s="14" t="s">
        <v>146</v>
      </c>
      <c r="N13" s="15" t="s">
        <v>149</v>
      </c>
      <c r="O13" s="15" t="s">
        <v>114</v>
      </c>
      <c r="P13" s="16">
        <v>10</v>
      </c>
      <c r="Q13" s="17">
        <v>4.13</v>
      </c>
      <c r="R13" s="18" t="s">
        <v>90</v>
      </c>
    </row>
    <row r="14" spans="1:18" ht="48" x14ac:dyDescent="0.2">
      <c r="C14" s="2">
        <f t="shared" si="4"/>
        <v>2</v>
      </c>
      <c r="D14" s="2">
        <f t="shared" si="1"/>
        <v>0</v>
      </c>
      <c r="G14" s="2">
        <v>1.1000000000000001</v>
      </c>
      <c r="H14" s="2">
        <f t="shared" si="0"/>
        <v>1.2100000000000002</v>
      </c>
      <c r="M14" s="14" t="s">
        <v>146</v>
      </c>
      <c r="N14" s="15" t="s">
        <v>149</v>
      </c>
      <c r="O14" s="15" t="s">
        <v>150</v>
      </c>
      <c r="P14" s="16">
        <v>10</v>
      </c>
      <c r="Q14" s="17">
        <v>4.32</v>
      </c>
      <c r="R14" s="18" t="s">
        <v>90</v>
      </c>
    </row>
    <row r="15" spans="1:18" ht="48" x14ac:dyDescent="0.2">
      <c r="C15" s="2">
        <f t="shared" si="4"/>
        <v>1</v>
      </c>
      <c r="D15" s="2">
        <f t="shared" si="1"/>
        <v>1</v>
      </c>
      <c r="G15" s="2">
        <v>1.2000000000000002</v>
      </c>
      <c r="H15" s="2">
        <f t="shared" si="0"/>
        <v>1.4400000000000004</v>
      </c>
      <c r="M15" s="14" t="s">
        <v>146</v>
      </c>
      <c r="N15" s="15" t="s">
        <v>149</v>
      </c>
      <c r="O15" s="15" t="s">
        <v>151</v>
      </c>
      <c r="P15" s="16">
        <v>10</v>
      </c>
      <c r="Q15" s="17">
        <v>4.16</v>
      </c>
      <c r="R15" s="18" t="s">
        <v>90</v>
      </c>
    </row>
    <row r="16" spans="1:18" ht="48" x14ac:dyDescent="0.2">
      <c r="C16" s="2">
        <f t="shared" si="4"/>
        <v>0</v>
      </c>
      <c r="D16" s="2">
        <f t="shared" si="1"/>
        <v>0</v>
      </c>
      <c r="G16" s="2">
        <v>1.3</v>
      </c>
      <c r="H16" s="2">
        <f t="shared" si="0"/>
        <v>1.6900000000000002</v>
      </c>
      <c r="M16" s="14" t="s">
        <v>146</v>
      </c>
      <c r="N16" s="15" t="s">
        <v>149</v>
      </c>
      <c r="O16" s="15" t="s">
        <v>151</v>
      </c>
      <c r="P16" s="16">
        <v>5500</v>
      </c>
      <c r="Q16" s="17">
        <v>2286.9</v>
      </c>
      <c r="R16" s="18" t="s">
        <v>90</v>
      </c>
    </row>
    <row r="17" spans="1:18" ht="48" x14ac:dyDescent="0.2">
      <c r="G17" s="2">
        <v>1.4000000000000001</v>
      </c>
      <c r="H17" s="2">
        <f t="shared" si="0"/>
        <v>1.9600000000000004</v>
      </c>
      <c r="M17" s="14" t="s">
        <v>146</v>
      </c>
      <c r="N17" s="15" t="s">
        <v>149</v>
      </c>
      <c r="O17" s="15" t="s">
        <v>152</v>
      </c>
      <c r="P17" s="16">
        <v>50</v>
      </c>
      <c r="Q17" s="17">
        <v>28.08</v>
      </c>
      <c r="R17" s="18" t="s">
        <v>90</v>
      </c>
    </row>
    <row r="18" spans="1:18" ht="48" x14ac:dyDescent="0.2">
      <c r="A18" s="2" t="s">
        <v>66</v>
      </c>
      <c r="B18" s="21" t="s">
        <v>68</v>
      </c>
      <c r="C18" s="21"/>
      <c r="D18" s="21"/>
      <c r="E18" s="21"/>
      <c r="G18" s="2">
        <v>1.5</v>
      </c>
      <c r="H18" s="2">
        <f t="shared" si="0"/>
        <v>2.25</v>
      </c>
      <c r="M18" s="14" t="s">
        <v>146</v>
      </c>
      <c r="N18" s="15" t="s">
        <v>149</v>
      </c>
      <c r="O18" s="15" t="s">
        <v>151</v>
      </c>
      <c r="P18" s="16">
        <v>6</v>
      </c>
      <c r="Q18" s="17">
        <v>3.54</v>
      </c>
      <c r="R18" s="18" t="s">
        <v>90</v>
      </c>
    </row>
    <row r="19" spans="1:18" ht="48" x14ac:dyDescent="0.2">
      <c r="A19" s="2">
        <f>A3-INT(A3)</f>
        <v>1.5625E-2</v>
      </c>
      <c r="B19" s="2">
        <f>INT(A19*8)</f>
        <v>0</v>
      </c>
      <c r="C19" s="2">
        <f>INT(A3)</f>
        <v>257</v>
      </c>
      <c r="D19" s="2">
        <f>MOD(C19,8)</f>
        <v>1</v>
      </c>
      <c r="E19" s="2" t="str">
        <f>D21&amp;D20&amp;D19&amp;","&amp;B19&amp;B20</f>
        <v>401,01</v>
      </c>
      <c r="G19" s="2">
        <v>1.6</v>
      </c>
      <c r="H19" s="2">
        <f t="shared" si="0"/>
        <v>2.5600000000000005</v>
      </c>
      <c r="M19" s="14" t="s">
        <v>146</v>
      </c>
      <c r="N19" s="15" t="s">
        <v>149</v>
      </c>
      <c r="O19" s="15" t="s">
        <v>151</v>
      </c>
      <c r="P19" s="16">
        <v>6000</v>
      </c>
      <c r="Q19" s="17">
        <v>3542.4</v>
      </c>
      <c r="R19" s="18" t="s">
        <v>90</v>
      </c>
    </row>
    <row r="20" spans="1:18" ht="48" x14ac:dyDescent="0.2">
      <c r="A20" s="2">
        <f>A19*8-INT(A19*8)</f>
        <v>0.125</v>
      </c>
      <c r="B20" s="2">
        <f>INT(A20*8)</f>
        <v>1</v>
      </c>
      <c r="C20" s="2">
        <f>QUOTIENT(C19,8)</f>
        <v>32</v>
      </c>
      <c r="D20" s="2">
        <f t="shared" ref="D20:D22" si="5">MOD(C20,8)</f>
        <v>0</v>
      </c>
      <c r="G20" s="2">
        <v>1.7000000000000002</v>
      </c>
      <c r="H20" s="2">
        <f t="shared" si="0"/>
        <v>2.8900000000000006</v>
      </c>
      <c r="M20" s="14" t="s">
        <v>146</v>
      </c>
      <c r="N20" s="15" t="s">
        <v>149</v>
      </c>
      <c r="O20" s="15" t="s">
        <v>154</v>
      </c>
      <c r="P20" s="16">
        <v>10</v>
      </c>
      <c r="Q20" s="17">
        <v>4.8600000000000003</v>
      </c>
      <c r="R20" s="18" t="s">
        <v>90</v>
      </c>
    </row>
    <row r="21" spans="1:18" ht="32" x14ac:dyDescent="0.2">
      <c r="A21" s="2">
        <f t="shared" ref="A21" si="6">A20*8-INT(A20*8)</f>
        <v>0</v>
      </c>
      <c r="B21" s="2">
        <f t="shared" ref="B21" si="7">INT(A21*8)</f>
        <v>0</v>
      </c>
      <c r="C21" s="2">
        <f t="shared" ref="C21:C22" si="8">QUOTIENT(C20,8)</f>
        <v>4</v>
      </c>
      <c r="D21" s="2">
        <f t="shared" si="5"/>
        <v>4</v>
      </c>
      <c r="G21" s="2">
        <v>1.8</v>
      </c>
      <c r="H21" s="2">
        <f t="shared" si="0"/>
        <v>3.24</v>
      </c>
      <c r="M21" s="14" t="s">
        <v>92</v>
      </c>
      <c r="N21" s="15" t="s">
        <v>93</v>
      </c>
      <c r="O21" s="15" t="s">
        <v>94</v>
      </c>
      <c r="P21" s="16">
        <v>60</v>
      </c>
      <c r="Q21" s="17">
        <v>26100.31</v>
      </c>
      <c r="R21" s="18" t="s">
        <v>95</v>
      </c>
    </row>
    <row r="22" spans="1:18" ht="32" x14ac:dyDescent="0.2">
      <c r="C22" s="2">
        <f t="shared" si="8"/>
        <v>0</v>
      </c>
      <c r="D22" s="2">
        <f t="shared" si="5"/>
        <v>0</v>
      </c>
      <c r="G22" s="2">
        <v>1.9000000000000001</v>
      </c>
      <c r="H22" s="2">
        <f t="shared" si="0"/>
        <v>3.6100000000000003</v>
      </c>
      <c r="M22" s="14" t="s">
        <v>92</v>
      </c>
      <c r="N22" s="15" t="s">
        <v>93</v>
      </c>
      <c r="O22" s="15" t="s">
        <v>94</v>
      </c>
      <c r="P22" s="16">
        <v>60</v>
      </c>
      <c r="Q22" s="17">
        <v>26100.31</v>
      </c>
      <c r="R22" s="18" t="s">
        <v>95</v>
      </c>
    </row>
    <row r="23" spans="1:18" ht="32" x14ac:dyDescent="0.2">
      <c r="G23" s="2">
        <v>2</v>
      </c>
      <c r="H23" s="2">
        <f t="shared" si="0"/>
        <v>4</v>
      </c>
      <c r="M23" s="14" t="s">
        <v>157</v>
      </c>
      <c r="N23" s="15" t="s">
        <v>165</v>
      </c>
      <c r="O23" s="15" t="s">
        <v>166</v>
      </c>
      <c r="P23" s="16">
        <v>12</v>
      </c>
      <c r="Q23" s="17">
        <v>1760</v>
      </c>
      <c r="R23" s="18" t="s">
        <v>167</v>
      </c>
    </row>
    <row r="24" spans="1:18" ht="32" x14ac:dyDescent="0.2">
      <c r="A24" s="2" t="s">
        <v>66</v>
      </c>
      <c r="B24" s="21" t="s">
        <v>70</v>
      </c>
      <c r="C24" s="21"/>
      <c r="D24" s="21"/>
      <c r="E24" s="21"/>
      <c r="G24" s="2">
        <v>2.1</v>
      </c>
      <c r="H24" s="2">
        <f t="shared" si="0"/>
        <v>4.41</v>
      </c>
      <c r="M24" s="14" t="s">
        <v>157</v>
      </c>
      <c r="N24" s="15" t="s">
        <v>165</v>
      </c>
      <c r="O24" s="15" t="s">
        <v>166</v>
      </c>
      <c r="P24" s="16">
        <v>4</v>
      </c>
      <c r="Q24" s="17">
        <v>750.9</v>
      </c>
      <c r="R24" s="18" t="s">
        <v>167</v>
      </c>
    </row>
    <row r="25" spans="1:18" ht="32" x14ac:dyDescent="0.2">
      <c r="A25" s="2">
        <f>A3-INT(A3)</f>
        <v>1.5625E-2</v>
      </c>
      <c r="B25" s="2">
        <f>INT(A25*16)</f>
        <v>0</v>
      </c>
      <c r="C25" s="2">
        <f>INT(A3)</f>
        <v>257</v>
      </c>
      <c r="D25" s="2">
        <f>MOD(C25,16)</f>
        <v>1</v>
      </c>
      <c r="E25" s="2" t="str">
        <f>D27&amp;D26&amp;D25&amp;","&amp;B25&amp;B26</f>
        <v>101,04</v>
      </c>
      <c r="G25" s="2">
        <v>2.2000000000000002</v>
      </c>
      <c r="H25" s="2">
        <f t="shared" si="0"/>
        <v>4.8400000000000007</v>
      </c>
      <c r="M25" s="14" t="s">
        <v>105</v>
      </c>
      <c r="N25" s="15" t="s">
        <v>138</v>
      </c>
      <c r="O25" s="15" t="s">
        <v>139</v>
      </c>
      <c r="P25" s="16">
        <v>6</v>
      </c>
      <c r="Q25" s="17">
        <v>152.68</v>
      </c>
      <c r="R25" s="18" t="s">
        <v>108</v>
      </c>
    </row>
    <row r="26" spans="1:18" ht="32" x14ac:dyDescent="0.2">
      <c r="A26" s="2">
        <f>A25*16-INT(A25*16)</f>
        <v>0.25</v>
      </c>
      <c r="B26" s="2">
        <f t="shared" ref="B26:B27" si="9">INT(A26*16)</f>
        <v>4</v>
      </c>
      <c r="C26" s="2">
        <f>QUOTIENT(C25,16)</f>
        <v>16</v>
      </c>
      <c r="D26" s="2">
        <f t="shared" ref="D26:D28" si="10">MOD(C26,16)</f>
        <v>0</v>
      </c>
      <c r="G26" s="2">
        <v>2.3000000000000003</v>
      </c>
      <c r="H26" s="2">
        <f t="shared" si="0"/>
        <v>5.2900000000000009</v>
      </c>
      <c r="M26" s="14" t="s">
        <v>105</v>
      </c>
      <c r="N26" s="15" t="s">
        <v>138</v>
      </c>
      <c r="O26" s="15" t="s">
        <v>139</v>
      </c>
      <c r="P26" s="16">
        <v>3</v>
      </c>
      <c r="Q26" s="17">
        <v>152.68</v>
      </c>
      <c r="R26" s="18" t="s">
        <v>108</v>
      </c>
    </row>
    <row r="27" spans="1:18" ht="32" x14ac:dyDescent="0.2">
      <c r="A27" s="2">
        <f t="shared" ref="A27" si="11">A26*16-INT(A26*16)</f>
        <v>0</v>
      </c>
      <c r="B27" s="2">
        <f t="shared" si="9"/>
        <v>0</v>
      </c>
      <c r="C27" s="2">
        <f t="shared" ref="C27:C28" si="12">QUOTIENT(C26,16)</f>
        <v>1</v>
      </c>
      <c r="D27" s="2">
        <f t="shared" si="10"/>
        <v>1</v>
      </c>
      <c r="G27" s="2">
        <v>2.4000000000000004</v>
      </c>
      <c r="H27" s="2">
        <f t="shared" si="0"/>
        <v>5.7600000000000016</v>
      </c>
      <c r="M27" s="14" t="s">
        <v>105</v>
      </c>
      <c r="N27" s="15" t="s">
        <v>136</v>
      </c>
      <c r="O27" s="15" t="s">
        <v>137</v>
      </c>
      <c r="P27" s="16">
        <v>6</v>
      </c>
      <c r="Q27" s="17">
        <v>135.30000000000001</v>
      </c>
      <c r="R27" s="18" t="s">
        <v>90</v>
      </c>
    </row>
    <row r="28" spans="1:18" x14ac:dyDescent="0.2">
      <c r="C28" s="2">
        <f t="shared" si="12"/>
        <v>0</v>
      </c>
      <c r="D28" s="2">
        <f t="shared" si="10"/>
        <v>0</v>
      </c>
      <c r="G28" s="2">
        <v>2.5</v>
      </c>
      <c r="H28" s="2">
        <f t="shared" si="0"/>
        <v>6.25</v>
      </c>
      <c r="M28" s="14" t="s">
        <v>105</v>
      </c>
      <c r="N28" s="15" t="s">
        <v>135</v>
      </c>
      <c r="O28" s="15" t="s">
        <v>133</v>
      </c>
      <c r="P28" s="16">
        <v>1</v>
      </c>
      <c r="Q28" s="17">
        <v>270.49</v>
      </c>
      <c r="R28" s="18" t="s">
        <v>134</v>
      </c>
    </row>
    <row r="29" spans="1:18" x14ac:dyDescent="0.2">
      <c r="G29" s="2">
        <v>2.6</v>
      </c>
      <c r="H29" s="2">
        <f t="shared" si="0"/>
        <v>6.7600000000000007</v>
      </c>
      <c r="M29" s="14" t="s">
        <v>105</v>
      </c>
      <c r="N29" s="15" t="s">
        <v>132</v>
      </c>
      <c r="O29" s="15" t="s">
        <v>133</v>
      </c>
      <c r="P29" s="16">
        <v>6</v>
      </c>
      <c r="Q29" s="17">
        <v>370.77</v>
      </c>
      <c r="R29" s="18" t="s">
        <v>134</v>
      </c>
    </row>
    <row r="30" spans="1:18" x14ac:dyDescent="0.2">
      <c r="G30" s="2">
        <v>2.7</v>
      </c>
      <c r="H30" s="2">
        <f t="shared" si="0"/>
        <v>7.2900000000000009</v>
      </c>
      <c r="M30" s="14" t="s">
        <v>105</v>
      </c>
      <c r="N30" s="15" t="s">
        <v>132</v>
      </c>
      <c r="O30" s="15" t="s">
        <v>133</v>
      </c>
      <c r="P30" s="16">
        <v>5</v>
      </c>
      <c r="Q30" s="17">
        <v>1450.32</v>
      </c>
      <c r="R30" s="18" t="s">
        <v>134</v>
      </c>
    </row>
    <row r="31" spans="1:18" x14ac:dyDescent="0.2">
      <c r="G31" s="2">
        <v>2.8000000000000003</v>
      </c>
      <c r="H31" s="2">
        <f t="shared" si="0"/>
        <v>7.8400000000000016</v>
      </c>
      <c r="M31" s="14" t="s">
        <v>105</v>
      </c>
      <c r="N31" s="15" t="s">
        <v>132</v>
      </c>
      <c r="O31" s="15" t="s">
        <v>133</v>
      </c>
      <c r="P31" s="16">
        <v>1</v>
      </c>
      <c r="Q31" s="17">
        <v>162.85</v>
      </c>
      <c r="R31" s="18" t="s">
        <v>134</v>
      </c>
    </row>
    <row r="32" spans="1:18" x14ac:dyDescent="0.2">
      <c r="G32" s="2">
        <v>2.9000000000000004</v>
      </c>
      <c r="H32" s="2">
        <f t="shared" si="0"/>
        <v>8.4100000000000019</v>
      </c>
      <c r="M32" s="14" t="s">
        <v>105</v>
      </c>
      <c r="N32" s="15" t="s">
        <v>130</v>
      </c>
      <c r="O32" s="15" t="s">
        <v>131</v>
      </c>
      <c r="P32" s="16">
        <v>10</v>
      </c>
      <c r="Q32" s="17">
        <v>75.599999999999994</v>
      </c>
      <c r="R32" s="18" t="s">
        <v>90</v>
      </c>
    </row>
    <row r="33" spans="7:18" ht="32" x14ac:dyDescent="0.2">
      <c r="G33" s="2">
        <v>3</v>
      </c>
      <c r="H33" s="2">
        <f t="shared" si="0"/>
        <v>9</v>
      </c>
      <c r="M33" s="14" t="s">
        <v>143</v>
      </c>
      <c r="N33" s="15" t="s">
        <v>144</v>
      </c>
      <c r="O33" s="15" t="s">
        <v>145</v>
      </c>
      <c r="P33" s="16">
        <v>5</v>
      </c>
      <c r="Q33" s="17">
        <v>499.98</v>
      </c>
      <c r="R33" s="18" t="s">
        <v>90</v>
      </c>
    </row>
    <row r="34" spans="7:18" ht="32" x14ac:dyDescent="0.2">
      <c r="M34" s="14" t="s">
        <v>143</v>
      </c>
      <c r="N34" s="15" t="s">
        <v>144</v>
      </c>
      <c r="O34" s="15" t="s">
        <v>145</v>
      </c>
      <c r="P34" s="16">
        <v>10</v>
      </c>
      <c r="Q34" s="17">
        <v>547.80999999999995</v>
      </c>
      <c r="R34" s="18" t="s">
        <v>90</v>
      </c>
    </row>
    <row r="35" spans="7:18" ht="32" x14ac:dyDescent="0.2">
      <c r="M35" s="14" t="s">
        <v>193</v>
      </c>
      <c r="N35" s="15" t="s">
        <v>203</v>
      </c>
      <c r="O35" s="15" t="s">
        <v>204</v>
      </c>
      <c r="P35" s="16">
        <v>1</v>
      </c>
      <c r="Q35" s="17">
        <v>1040.74</v>
      </c>
      <c r="R35" s="18" t="s">
        <v>205</v>
      </c>
    </row>
    <row r="36" spans="7:18" ht="32" x14ac:dyDescent="0.2">
      <c r="M36" s="14" t="s">
        <v>193</v>
      </c>
      <c r="N36" s="15" t="s">
        <v>203</v>
      </c>
      <c r="O36" s="15" t="s">
        <v>204</v>
      </c>
      <c r="P36" s="16">
        <v>1</v>
      </c>
      <c r="Q36" s="17">
        <v>2081.4899999999998</v>
      </c>
      <c r="R36" s="18" t="s">
        <v>205</v>
      </c>
    </row>
    <row r="37" spans="7:18" ht="32" x14ac:dyDescent="0.2">
      <c r="M37" s="14" t="s">
        <v>157</v>
      </c>
      <c r="N37" s="15" t="s">
        <v>162</v>
      </c>
      <c r="O37" s="15" t="s">
        <v>163</v>
      </c>
      <c r="P37" s="16">
        <v>4</v>
      </c>
      <c r="Q37" s="17">
        <v>605.83000000000004</v>
      </c>
      <c r="R37" s="18" t="s">
        <v>164</v>
      </c>
    </row>
    <row r="38" spans="7:18" ht="32" x14ac:dyDescent="0.2">
      <c r="M38" s="14" t="s">
        <v>157</v>
      </c>
      <c r="N38" s="15" t="s">
        <v>161</v>
      </c>
      <c r="O38" s="15" t="s">
        <v>160</v>
      </c>
      <c r="P38" s="16">
        <v>4</v>
      </c>
      <c r="Q38" s="17">
        <v>874.59</v>
      </c>
      <c r="R38" s="18" t="s">
        <v>90</v>
      </c>
    </row>
    <row r="39" spans="7:18" ht="48" x14ac:dyDescent="0.2">
      <c r="M39" s="14" t="s">
        <v>218</v>
      </c>
      <c r="N39" s="15" t="s">
        <v>219</v>
      </c>
      <c r="O39" s="15" t="s">
        <v>220</v>
      </c>
      <c r="P39" s="16">
        <v>100</v>
      </c>
      <c r="Q39" s="17">
        <v>97.27</v>
      </c>
      <c r="R39" s="18" t="s">
        <v>221</v>
      </c>
    </row>
    <row r="40" spans="7:18" x14ac:dyDescent="0.2">
      <c r="M40" s="14" t="s">
        <v>146</v>
      </c>
      <c r="N40" s="15" t="s">
        <v>147</v>
      </c>
      <c r="O40" s="15" t="s">
        <v>148</v>
      </c>
      <c r="P40" s="16">
        <v>20</v>
      </c>
      <c r="Q40" s="17">
        <v>85.05</v>
      </c>
      <c r="R40" s="18" t="s">
        <v>90</v>
      </c>
    </row>
    <row r="41" spans="7:18" x14ac:dyDescent="0.2">
      <c r="M41" s="14" t="s">
        <v>146</v>
      </c>
      <c r="N41" s="15" t="s">
        <v>147</v>
      </c>
      <c r="O41" s="15" t="s">
        <v>148</v>
      </c>
      <c r="P41" s="16">
        <v>50</v>
      </c>
      <c r="Q41" s="17">
        <v>85.05</v>
      </c>
      <c r="R41" s="18" t="s">
        <v>90</v>
      </c>
    </row>
    <row r="42" spans="7:18" ht="32" x14ac:dyDescent="0.2">
      <c r="M42" s="14" t="s">
        <v>105</v>
      </c>
      <c r="N42" s="15" t="s">
        <v>127</v>
      </c>
      <c r="O42" s="15" t="s">
        <v>128</v>
      </c>
      <c r="P42" s="16">
        <v>6</v>
      </c>
      <c r="Q42" s="17">
        <v>81.260000000000005</v>
      </c>
      <c r="R42" s="18" t="s">
        <v>108</v>
      </c>
    </row>
    <row r="43" spans="7:18" ht="32" x14ac:dyDescent="0.2">
      <c r="M43" s="14" t="s">
        <v>105</v>
      </c>
      <c r="N43" s="15" t="s">
        <v>127</v>
      </c>
      <c r="O43" s="15" t="s">
        <v>128</v>
      </c>
      <c r="P43" s="16">
        <v>3</v>
      </c>
      <c r="Q43" s="17">
        <v>162.84</v>
      </c>
      <c r="R43" s="18" t="s">
        <v>108</v>
      </c>
    </row>
    <row r="44" spans="7:18" x14ac:dyDescent="0.2">
      <c r="M44" s="14" t="s">
        <v>105</v>
      </c>
      <c r="N44" s="15" t="s">
        <v>126</v>
      </c>
      <c r="O44" s="15" t="s">
        <v>125</v>
      </c>
      <c r="P44" s="16">
        <v>3</v>
      </c>
      <c r="Q44" s="17">
        <v>177.45</v>
      </c>
      <c r="R44" s="18" t="s">
        <v>90</v>
      </c>
    </row>
    <row r="45" spans="7:18" x14ac:dyDescent="0.2">
      <c r="M45" s="14" t="s">
        <v>105</v>
      </c>
      <c r="N45" s="15" t="s">
        <v>124</v>
      </c>
      <c r="O45" s="15" t="s">
        <v>125</v>
      </c>
      <c r="P45" s="16">
        <v>100</v>
      </c>
      <c r="Q45" s="17">
        <v>1936.74</v>
      </c>
      <c r="R45" s="18" t="s">
        <v>90</v>
      </c>
    </row>
    <row r="46" spans="7:18" x14ac:dyDescent="0.2">
      <c r="M46" s="14" t="s">
        <v>105</v>
      </c>
      <c r="N46" s="15" t="s">
        <v>124</v>
      </c>
      <c r="O46" s="15" t="s">
        <v>125</v>
      </c>
      <c r="P46" s="16">
        <v>6</v>
      </c>
      <c r="Q46" s="17">
        <v>176.67</v>
      </c>
      <c r="R46" s="18" t="s">
        <v>90</v>
      </c>
    </row>
    <row r="47" spans="7:18" x14ac:dyDescent="0.2">
      <c r="M47" s="14" t="s">
        <v>85</v>
      </c>
      <c r="N47" s="15" t="s">
        <v>86</v>
      </c>
      <c r="O47" s="15" t="s">
        <v>87</v>
      </c>
      <c r="P47" s="16">
        <v>1</v>
      </c>
      <c r="Q47" s="17">
        <v>2440.9699999999998</v>
      </c>
      <c r="R47" s="18" t="s">
        <v>88</v>
      </c>
    </row>
    <row r="48" spans="7:18" ht="32" x14ac:dyDescent="0.2">
      <c r="M48" s="14" t="s">
        <v>85</v>
      </c>
      <c r="N48" s="15" t="s">
        <v>86</v>
      </c>
      <c r="O48" s="15" t="s">
        <v>89</v>
      </c>
      <c r="P48" s="16">
        <v>60</v>
      </c>
      <c r="Q48" s="17">
        <v>4202.8999999999996</v>
      </c>
      <c r="R48" s="18" t="s">
        <v>90</v>
      </c>
    </row>
    <row r="49" spans="13:18" ht="32" x14ac:dyDescent="0.2">
      <c r="M49" s="14" t="s">
        <v>85</v>
      </c>
      <c r="N49" s="15" t="s">
        <v>86</v>
      </c>
      <c r="O49" s="15" t="s">
        <v>91</v>
      </c>
      <c r="P49" s="16">
        <v>1</v>
      </c>
      <c r="Q49" s="17">
        <v>2440.9699999999998</v>
      </c>
      <c r="R49" s="18" t="s">
        <v>88</v>
      </c>
    </row>
    <row r="50" spans="13:18" ht="32" x14ac:dyDescent="0.2">
      <c r="M50" s="14" t="s">
        <v>85</v>
      </c>
      <c r="N50" s="15" t="s">
        <v>86</v>
      </c>
      <c r="O50" s="15" t="s">
        <v>89</v>
      </c>
      <c r="P50" s="16">
        <v>60</v>
      </c>
      <c r="Q50" s="17">
        <v>4202.8999999999996</v>
      </c>
      <c r="R50" s="18" t="s">
        <v>90</v>
      </c>
    </row>
    <row r="51" spans="13:18" x14ac:dyDescent="0.2">
      <c r="M51" s="14" t="s">
        <v>105</v>
      </c>
      <c r="N51" s="15" t="s">
        <v>129</v>
      </c>
      <c r="O51" s="15" t="s">
        <v>99</v>
      </c>
      <c r="P51" s="16">
        <v>6</v>
      </c>
      <c r="Q51" s="17">
        <v>168.22</v>
      </c>
      <c r="R51" s="18" t="s">
        <v>90</v>
      </c>
    </row>
    <row r="52" spans="13:18" x14ac:dyDescent="0.2">
      <c r="M52" s="14" t="s">
        <v>105</v>
      </c>
      <c r="N52" s="15" t="s">
        <v>129</v>
      </c>
      <c r="O52" s="15" t="s">
        <v>99</v>
      </c>
      <c r="P52" s="16">
        <v>3</v>
      </c>
      <c r="Q52" s="17">
        <v>177.88</v>
      </c>
      <c r="R52" s="18" t="s">
        <v>90</v>
      </c>
    </row>
    <row r="53" spans="13:18" ht="32" x14ac:dyDescent="0.2">
      <c r="M53" s="14" t="s">
        <v>193</v>
      </c>
      <c r="N53" s="15" t="s">
        <v>216</v>
      </c>
      <c r="O53" s="15" t="s">
        <v>217</v>
      </c>
      <c r="P53" s="16">
        <v>1</v>
      </c>
      <c r="Q53" s="17">
        <v>3304.4</v>
      </c>
      <c r="R53" s="18" t="s">
        <v>95</v>
      </c>
    </row>
    <row r="54" spans="13:18" ht="48" x14ac:dyDescent="0.2">
      <c r="M54" s="14" t="s">
        <v>174</v>
      </c>
      <c r="N54" s="15" t="s">
        <v>175</v>
      </c>
      <c r="O54" s="15" t="s">
        <v>176</v>
      </c>
      <c r="P54" s="16">
        <v>1</v>
      </c>
      <c r="Q54" s="17">
        <v>1296</v>
      </c>
      <c r="R54" s="18" t="s">
        <v>90</v>
      </c>
    </row>
    <row r="55" spans="13:18" ht="48" x14ac:dyDescent="0.2">
      <c r="M55" s="14" t="s">
        <v>174</v>
      </c>
      <c r="N55" s="15" t="s">
        <v>175</v>
      </c>
      <c r="O55" s="15" t="s">
        <v>176</v>
      </c>
      <c r="P55" s="16">
        <v>5</v>
      </c>
      <c r="Q55" s="17">
        <v>5934.32</v>
      </c>
      <c r="R55" s="18" t="s">
        <v>90</v>
      </c>
    </row>
    <row r="56" spans="13:18" x14ac:dyDescent="0.2">
      <c r="M56" s="14" t="s">
        <v>96</v>
      </c>
      <c r="N56" s="15" t="s">
        <v>100</v>
      </c>
      <c r="O56" s="15" t="s">
        <v>101</v>
      </c>
      <c r="P56" s="16">
        <v>5</v>
      </c>
      <c r="Q56" s="17">
        <v>1322.4</v>
      </c>
      <c r="R56" s="18" t="s">
        <v>102</v>
      </c>
    </row>
    <row r="57" spans="13:18" x14ac:dyDescent="0.2">
      <c r="M57" s="14" t="s">
        <v>96</v>
      </c>
      <c r="N57" s="15" t="s">
        <v>100</v>
      </c>
      <c r="O57" s="15" t="s">
        <v>101</v>
      </c>
      <c r="P57" s="16">
        <v>20</v>
      </c>
      <c r="Q57" s="17">
        <v>1306.23</v>
      </c>
      <c r="R57" s="18" t="s">
        <v>102</v>
      </c>
    </row>
    <row r="58" spans="13:18" x14ac:dyDescent="0.2">
      <c r="M58" s="14" t="s">
        <v>96</v>
      </c>
      <c r="N58" s="15" t="s">
        <v>97</v>
      </c>
      <c r="O58" s="15" t="s">
        <v>98</v>
      </c>
      <c r="P58" s="16">
        <v>5</v>
      </c>
      <c r="Q58" s="17">
        <v>916.46</v>
      </c>
      <c r="R58" s="18" t="s">
        <v>90</v>
      </c>
    </row>
    <row r="59" spans="13:18" x14ac:dyDescent="0.2">
      <c r="M59" s="14" t="s">
        <v>96</v>
      </c>
      <c r="N59" s="15" t="s">
        <v>97</v>
      </c>
      <c r="O59" s="15" t="s">
        <v>99</v>
      </c>
      <c r="P59" s="16">
        <v>20</v>
      </c>
      <c r="Q59" s="17">
        <v>757.03</v>
      </c>
      <c r="R59" s="18" t="s">
        <v>90</v>
      </c>
    </row>
    <row r="60" spans="13:18" x14ac:dyDescent="0.2">
      <c r="M60" s="14" t="s">
        <v>182</v>
      </c>
      <c r="N60" s="15" t="s">
        <v>189</v>
      </c>
      <c r="O60" s="15" t="s">
        <v>188</v>
      </c>
      <c r="P60" s="16">
        <v>10</v>
      </c>
      <c r="Q60" s="17">
        <v>23563.17</v>
      </c>
      <c r="R60" s="18" t="s">
        <v>186</v>
      </c>
    </row>
    <row r="61" spans="13:18" x14ac:dyDescent="0.2">
      <c r="M61" s="14" t="s">
        <v>182</v>
      </c>
      <c r="N61" s="15" t="s">
        <v>189</v>
      </c>
      <c r="O61" s="15" t="s">
        <v>188</v>
      </c>
      <c r="P61" s="16">
        <v>5</v>
      </c>
      <c r="Q61" s="17">
        <v>11781.58</v>
      </c>
      <c r="R61" s="18" t="s">
        <v>186</v>
      </c>
    </row>
    <row r="62" spans="13:18" x14ac:dyDescent="0.2">
      <c r="M62" s="14" t="s">
        <v>182</v>
      </c>
      <c r="N62" s="15" t="s">
        <v>187</v>
      </c>
      <c r="O62" s="15" t="s">
        <v>188</v>
      </c>
      <c r="P62" s="16">
        <v>10</v>
      </c>
      <c r="Q62" s="17">
        <v>5419.74</v>
      </c>
      <c r="R62" s="18" t="s">
        <v>186</v>
      </c>
    </row>
    <row r="63" spans="13:18" x14ac:dyDescent="0.2">
      <c r="M63" s="14" t="s">
        <v>182</v>
      </c>
      <c r="N63" s="15" t="s">
        <v>187</v>
      </c>
      <c r="O63" s="15" t="s">
        <v>188</v>
      </c>
      <c r="P63" s="16">
        <v>5</v>
      </c>
      <c r="Q63" s="17">
        <v>2709.66</v>
      </c>
      <c r="R63" s="18" t="s">
        <v>186</v>
      </c>
    </row>
    <row r="64" spans="13:18" ht="32" x14ac:dyDescent="0.2">
      <c r="M64" s="14" t="s">
        <v>182</v>
      </c>
      <c r="N64" s="15" t="s">
        <v>184</v>
      </c>
      <c r="O64" s="15" t="s">
        <v>185</v>
      </c>
      <c r="P64" s="16">
        <v>10</v>
      </c>
      <c r="Q64" s="17">
        <v>7676.76</v>
      </c>
      <c r="R64" s="18" t="s">
        <v>186</v>
      </c>
    </row>
    <row r="65" spans="13:18" ht="48" x14ac:dyDescent="0.2">
      <c r="M65" s="14" t="s">
        <v>193</v>
      </c>
      <c r="N65" s="15" t="s">
        <v>214</v>
      </c>
      <c r="O65" s="15" t="s">
        <v>215</v>
      </c>
      <c r="P65" s="16">
        <v>1</v>
      </c>
      <c r="Q65" s="17">
        <v>3674.7</v>
      </c>
      <c r="R65" s="18" t="s">
        <v>213</v>
      </c>
    </row>
    <row r="66" spans="13:18" ht="32" x14ac:dyDescent="0.2">
      <c r="M66" s="14" t="s">
        <v>193</v>
      </c>
      <c r="N66" s="15" t="s">
        <v>211</v>
      </c>
      <c r="O66" s="15" t="s">
        <v>212</v>
      </c>
      <c r="P66" s="16">
        <v>1</v>
      </c>
      <c r="Q66" s="17">
        <v>3920.85</v>
      </c>
      <c r="R66" s="18" t="s">
        <v>213</v>
      </c>
    </row>
    <row r="67" spans="13:18" ht="48" x14ac:dyDescent="0.2">
      <c r="M67" s="14" t="s">
        <v>193</v>
      </c>
      <c r="N67" s="15" t="s">
        <v>194</v>
      </c>
      <c r="O67" s="15" t="s">
        <v>195</v>
      </c>
      <c r="P67" s="16">
        <v>1</v>
      </c>
      <c r="Q67" s="17">
        <v>1200.42</v>
      </c>
      <c r="R67" s="18" t="s">
        <v>90</v>
      </c>
    </row>
    <row r="68" spans="13:18" ht="48" x14ac:dyDescent="0.2">
      <c r="M68" s="14" t="s">
        <v>193</v>
      </c>
      <c r="N68" s="15" t="s">
        <v>194</v>
      </c>
      <c r="O68" s="15" t="s">
        <v>196</v>
      </c>
      <c r="P68" s="16">
        <v>1</v>
      </c>
      <c r="Q68" s="17">
        <v>1188</v>
      </c>
      <c r="R68" s="18" t="s">
        <v>90</v>
      </c>
    </row>
    <row r="69" spans="13:18" ht="32" x14ac:dyDescent="0.2">
      <c r="M69" s="14" t="s">
        <v>193</v>
      </c>
      <c r="N69" s="15" t="s">
        <v>194</v>
      </c>
      <c r="O69" s="15" t="s">
        <v>197</v>
      </c>
      <c r="P69" s="16">
        <v>1</v>
      </c>
      <c r="Q69" s="17">
        <v>966.17</v>
      </c>
      <c r="R69" s="18" t="s">
        <v>90</v>
      </c>
    </row>
    <row r="70" spans="13:18" ht="32" x14ac:dyDescent="0.2">
      <c r="M70" s="14" t="s">
        <v>193</v>
      </c>
      <c r="N70" s="15" t="s">
        <v>194</v>
      </c>
      <c r="O70" s="15" t="s">
        <v>198</v>
      </c>
      <c r="P70" s="16">
        <v>1</v>
      </c>
      <c r="Q70" s="17">
        <v>1197.5</v>
      </c>
      <c r="R70" s="18" t="s">
        <v>90</v>
      </c>
    </row>
    <row r="71" spans="13:18" ht="32" x14ac:dyDescent="0.2">
      <c r="M71" s="14" t="s">
        <v>193</v>
      </c>
      <c r="N71" s="15" t="s">
        <v>194</v>
      </c>
      <c r="O71" s="15" t="s">
        <v>199</v>
      </c>
      <c r="P71" s="16">
        <v>10</v>
      </c>
      <c r="Q71" s="17">
        <v>1458</v>
      </c>
      <c r="R71" s="18" t="s">
        <v>90</v>
      </c>
    </row>
    <row r="72" spans="13:18" ht="48" x14ac:dyDescent="0.2">
      <c r="M72" s="14" t="s">
        <v>193</v>
      </c>
      <c r="N72" s="15" t="s">
        <v>194</v>
      </c>
      <c r="O72" s="15" t="s">
        <v>200</v>
      </c>
      <c r="P72" s="16">
        <v>10</v>
      </c>
      <c r="Q72" s="17">
        <v>1263.5999999999999</v>
      </c>
      <c r="R72" s="18" t="s">
        <v>90</v>
      </c>
    </row>
    <row r="73" spans="13:18" ht="48" x14ac:dyDescent="0.2">
      <c r="M73" s="14" t="s">
        <v>193</v>
      </c>
      <c r="N73" s="15" t="s">
        <v>194</v>
      </c>
      <c r="O73" s="15" t="s">
        <v>201</v>
      </c>
      <c r="P73" s="16">
        <v>10</v>
      </c>
      <c r="Q73" s="17">
        <v>1458</v>
      </c>
      <c r="R73" s="18" t="s">
        <v>90</v>
      </c>
    </row>
    <row r="74" spans="13:18" ht="32" x14ac:dyDescent="0.2">
      <c r="M74" s="14" t="s">
        <v>193</v>
      </c>
      <c r="N74" s="15" t="s">
        <v>194</v>
      </c>
      <c r="O74" s="15" t="s">
        <v>202</v>
      </c>
      <c r="P74" s="16">
        <v>1</v>
      </c>
      <c r="Q74" s="17">
        <v>1293.79</v>
      </c>
      <c r="R74" s="18" t="s">
        <v>90</v>
      </c>
    </row>
    <row r="75" spans="13:18" ht="32" x14ac:dyDescent="0.2">
      <c r="M75" s="14" t="s">
        <v>193</v>
      </c>
      <c r="N75" s="15" t="s">
        <v>194</v>
      </c>
      <c r="O75" s="15" t="s">
        <v>206</v>
      </c>
      <c r="P75" s="16">
        <v>1</v>
      </c>
      <c r="Q75" s="17">
        <v>896.4</v>
      </c>
      <c r="R75" s="18" t="s">
        <v>90</v>
      </c>
    </row>
    <row r="76" spans="13:18" ht="32" x14ac:dyDescent="0.2">
      <c r="M76" s="14" t="s">
        <v>193</v>
      </c>
      <c r="N76" s="15" t="s">
        <v>194</v>
      </c>
      <c r="O76" s="15" t="s">
        <v>207</v>
      </c>
      <c r="P76" s="16">
        <v>1</v>
      </c>
      <c r="Q76" s="17">
        <v>1019.25</v>
      </c>
      <c r="R76" s="18" t="s">
        <v>90</v>
      </c>
    </row>
    <row r="77" spans="13:18" ht="48" x14ac:dyDescent="0.2">
      <c r="M77" s="14" t="s">
        <v>193</v>
      </c>
      <c r="N77" s="15" t="s">
        <v>194</v>
      </c>
      <c r="O77" s="15" t="s">
        <v>200</v>
      </c>
      <c r="P77" s="16">
        <v>1</v>
      </c>
      <c r="Q77" s="17">
        <v>2246.4</v>
      </c>
      <c r="R77" s="18" t="s">
        <v>90</v>
      </c>
    </row>
    <row r="78" spans="13:18" ht="48" x14ac:dyDescent="0.2">
      <c r="M78" s="14" t="s">
        <v>193</v>
      </c>
      <c r="N78" s="15" t="s">
        <v>194</v>
      </c>
      <c r="O78" s="15" t="s">
        <v>208</v>
      </c>
      <c r="P78" s="16">
        <v>1</v>
      </c>
      <c r="Q78" s="17">
        <v>2084.4</v>
      </c>
      <c r="R78" s="18" t="s">
        <v>90</v>
      </c>
    </row>
    <row r="79" spans="13:18" ht="48" x14ac:dyDescent="0.2">
      <c r="M79" s="14" t="s">
        <v>193</v>
      </c>
      <c r="N79" s="15" t="s">
        <v>194</v>
      </c>
      <c r="O79" s="15" t="s">
        <v>201</v>
      </c>
      <c r="P79" s="16">
        <v>1</v>
      </c>
      <c r="Q79" s="17">
        <v>2592</v>
      </c>
      <c r="R79" s="18" t="s">
        <v>90</v>
      </c>
    </row>
    <row r="80" spans="13:18" x14ac:dyDescent="0.2">
      <c r="M80" s="14" t="s">
        <v>182</v>
      </c>
      <c r="N80" s="15" t="s">
        <v>183</v>
      </c>
      <c r="O80" s="15" t="s">
        <v>122</v>
      </c>
      <c r="P80" s="16">
        <v>10</v>
      </c>
      <c r="Q80" s="17">
        <v>4877.7299999999996</v>
      </c>
      <c r="R80" s="18" t="s">
        <v>123</v>
      </c>
    </row>
    <row r="81" spans="13:18" ht="32" x14ac:dyDescent="0.2">
      <c r="M81" s="14" t="s">
        <v>177</v>
      </c>
      <c r="N81" s="15" t="s">
        <v>179</v>
      </c>
      <c r="O81" s="15" t="s">
        <v>180</v>
      </c>
      <c r="P81" s="16">
        <v>50</v>
      </c>
      <c r="Q81" s="17">
        <v>68.95</v>
      </c>
      <c r="R81" s="18" t="s">
        <v>181</v>
      </c>
    </row>
    <row r="82" spans="13:18" ht="32" x14ac:dyDescent="0.2">
      <c r="M82" s="14" t="s">
        <v>177</v>
      </c>
      <c r="N82" s="15" t="s">
        <v>179</v>
      </c>
      <c r="O82" s="15" t="s">
        <v>180</v>
      </c>
      <c r="P82" s="16">
        <v>30</v>
      </c>
      <c r="Q82" s="17">
        <v>92.96</v>
      </c>
      <c r="R82" s="18" t="s">
        <v>181</v>
      </c>
    </row>
    <row r="83" spans="13:18" x14ac:dyDescent="0.2">
      <c r="M83" s="14" t="s">
        <v>177</v>
      </c>
      <c r="N83" s="15" t="s">
        <v>177</v>
      </c>
      <c r="O83" s="15" t="s">
        <v>178</v>
      </c>
      <c r="P83" s="16">
        <v>50</v>
      </c>
      <c r="Q83" s="17">
        <v>60.88</v>
      </c>
      <c r="R83" s="18" t="s">
        <v>90</v>
      </c>
    </row>
    <row r="84" spans="13:18" x14ac:dyDescent="0.2">
      <c r="M84" s="14" t="s">
        <v>157</v>
      </c>
      <c r="N84" s="15" t="s">
        <v>158</v>
      </c>
      <c r="O84" s="15" t="s">
        <v>159</v>
      </c>
      <c r="P84" s="16">
        <v>30</v>
      </c>
      <c r="Q84" s="17">
        <v>674.78</v>
      </c>
      <c r="R84" s="18" t="s">
        <v>90</v>
      </c>
    </row>
    <row r="85" spans="13:18" ht="32" x14ac:dyDescent="0.2">
      <c r="M85" s="14" t="s">
        <v>157</v>
      </c>
      <c r="N85" s="15" t="s">
        <v>158</v>
      </c>
      <c r="O85" s="15" t="s">
        <v>160</v>
      </c>
      <c r="P85" s="16">
        <v>4</v>
      </c>
      <c r="Q85" s="17">
        <v>677.81</v>
      </c>
      <c r="R85" s="18" t="s">
        <v>90</v>
      </c>
    </row>
    <row r="86" spans="13:18" ht="32" x14ac:dyDescent="0.2">
      <c r="M86" s="14" t="s">
        <v>190</v>
      </c>
      <c r="N86" s="15" t="s">
        <v>191</v>
      </c>
      <c r="O86" s="15" t="s">
        <v>192</v>
      </c>
      <c r="P86" s="16">
        <v>1</v>
      </c>
      <c r="Q86" s="17">
        <v>21717.42</v>
      </c>
      <c r="R86" s="18" t="s">
        <v>186</v>
      </c>
    </row>
    <row r="87" spans="13:18" x14ac:dyDescent="0.2">
      <c r="M87" s="14" t="s">
        <v>105</v>
      </c>
      <c r="N87" s="15" t="s">
        <v>121</v>
      </c>
      <c r="O87" s="15" t="s">
        <v>122</v>
      </c>
      <c r="P87" s="16">
        <v>6</v>
      </c>
      <c r="Q87" s="17">
        <v>221.02</v>
      </c>
      <c r="R87" s="18" t="s">
        <v>123</v>
      </c>
    </row>
    <row r="88" spans="13:18" x14ac:dyDescent="0.2">
      <c r="M88" s="14" t="s">
        <v>105</v>
      </c>
      <c r="N88" s="15" t="s">
        <v>120</v>
      </c>
      <c r="O88" s="15" t="s">
        <v>119</v>
      </c>
      <c r="P88" s="16">
        <v>3</v>
      </c>
      <c r="Q88" s="17">
        <v>78.349999999999994</v>
      </c>
      <c r="R88" s="18" t="s">
        <v>90</v>
      </c>
    </row>
    <row r="89" spans="13:18" x14ac:dyDescent="0.2">
      <c r="M89" s="14" t="s">
        <v>105</v>
      </c>
      <c r="N89" s="15" t="s">
        <v>118</v>
      </c>
      <c r="O89" s="15" t="s">
        <v>119</v>
      </c>
      <c r="P89" s="16">
        <v>6</v>
      </c>
      <c r="Q89" s="17">
        <v>80.97</v>
      </c>
      <c r="R89" s="18" t="s">
        <v>90</v>
      </c>
    </row>
    <row r="90" spans="13:18" x14ac:dyDescent="0.2">
      <c r="M90" s="14" t="s">
        <v>105</v>
      </c>
      <c r="N90" s="15" t="s">
        <v>118</v>
      </c>
      <c r="O90" s="15" t="s">
        <v>119</v>
      </c>
      <c r="P90" s="16">
        <v>3</v>
      </c>
      <c r="Q90" s="17">
        <v>24.36</v>
      </c>
      <c r="R90" s="18" t="s">
        <v>90</v>
      </c>
    </row>
    <row r="91" spans="13:18" ht="48" x14ac:dyDescent="0.2">
      <c r="M91" s="14" t="s">
        <v>105</v>
      </c>
      <c r="N91" s="15" t="s">
        <v>105</v>
      </c>
      <c r="O91" s="15" t="s">
        <v>104</v>
      </c>
      <c r="P91" s="16">
        <v>10</v>
      </c>
      <c r="Q91" s="17">
        <v>69.13</v>
      </c>
      <c r="R91" s="18" t="s">
        <v>90</v>
      </c>
    </row>
    <row r="92" spans="13:18" x14ac:dyDescent="0.2">
      <c r="M92" s="14" t="s">
        <v>105</v>
      </c>
      <c r="N92" s="15" t="s">
        <v>105</v>
      </c>
      <c r="O92" s="15" t="s">
        <v>115</v>
      </c>
      <c r="P92" s="16">
        <v>6</v>
      </c>
      <c r="Q92" s="17">
        <v>96.23</v>
      </c>
      <c r="R92" s="18" t="s">
        <v>90</v>
      </c>
    </row>
    <row r="93" spans="13:18" x14ac:dyDescent="0.2">
      <c r="M93" s="14" t="s">
        <v>105</v>
      </c>
      <c r="N93" s="15" t="s">
        <v>105</v>
      </c>
      <c r="O93" s="15" t="s">
        <v>116</v>
      </c>
      <c r="P93" s="16">
        <v>6</v>
      </c>
      <c r="Q93" s="17">
        <v>87.16</v>
      </c>
      <c r="R93" s="18" t="s">
        <v>90</v>
      </c>
    </row>
    <row r="94" spans="13:18" ht="48" x14ac:dyDescent="0.2">
      <c r="M94" s="14" t="s">
        <v>105</v>
      </c>
      <c r="N94" s="15" t="s">
        <v>105</v>
      </c>
      <c r="O94" s="15" t="s">
        <v>104</v>
      </c>
      <c r="P94" s="16">
        <v>6</v>
      </c>
      <c r="Q94" s="17">
        <v>64.8</v>
      </c>
      <c r="R94" s="18" t="s">
        <v>90</v>
      </c>
    </row>
    <row r="95" spans="13:18" ht="32" x14ac:dyDescent="0.2">
      <c r="M95" s="14" t="s">
        <v>105</v>
      </c>
      <c r="N95" s="15" t="s">
        <v>105</v>
      </c>
      <c r="O95" s="15" t="s">
        <v>117</v>
      </c>
      <c r="P95" s="16">
        <v>3</v>
      </c>
      <c r="Q95" s="17">
        <v>172.8</v>
      </c>
      <c r="R95" s="18" t="s">
        <v>90</v>
      </c>
    </row>
    <row r="96" spans="13:18" ht="32" x14ac:dyDescent="0.2">
      <c r="M96" s="14" t="s">
        <v>105</v>
      </c>
      <c r="N96" s="15" t="s">
        <v>113</v>
      </c>
      <c r="O96" s="15" t="s">
        <v>114</v>
      </c>
      <c r="P96" s="16">
        <v>6</v>
      </c>
      <c r="Q96" s="17">
        <v>193.34</v>
      </c>
      <c r="R96" s="18" t="s">
        <v>90</v>
      </c>
    </row>
    <row r="97" spans="13:18" x14ac:dyDescent="0.2">
      <c r="M97" s="14" t="s">
        <v>105</v>
      </c>
      <c r="N97" s="15" t="s">
        <v>111</v>
      </c>
      <c r="O97" s="15" t="s">
        <v>112</v>
      </c>
      <c r="P97" s="16">
        <v>6</v>
      </c>
      <c r="Q97" s="17">
        <v>215.17</v>
      </c>
      <c r="R97" s="18" t="s">
        <v>108</v>
      </c>
    </row>
    <row r="98" spans="13:18" x14ac:dyDescent="0.2">
      <c r="M98" s="14" t="s">
        <v>105</v>
      </c>
      <c r="N98" s="15" t="s">
        <v>109</v>
      </c>
      <c r="O98" s="15" t="s">
        <v>110</v>
      </c>
      <c r="P98" s="16">
        <v>6</v>
      </c>
      <c r="Q98" s="17">
        <v>253.03</v>
      </c>
      <c r="R98" s="18" t="s">
        <v>108</v>
      </c>
    </row>
    <row r="99" spans="13:18" x14ac:dyDescent="0.2">
      <c r="M99" s="14" t="s">
        <v>105</v>
      </c>
      <c r="N99" s="15" t="s">
        <v>106</v>
      </c>
      <c r="O99" s="15" t="s">
        <v>107</v>
      </c>
      <c r="P99" s="16">
        <v>6</v>
      </c>
      <c r="Q99" s="17">
        <v>152.06</v>
      </c>
      <c r="R99" s="18" t="s">
        <v>108</v>
      </c>
    </row>
    <row r="100" spans="13:18" ht="48" x14ac:dyDescent="0.2">
      <c r="M100" s="14" t="s">
        <v>103</v>
      </c>
      <c r="N100" s="15" t="s">
        <v>103</v>
      </c>
      <c r="O100" s="15" t="s">
        <v>104</v>
      </c>
      <c r="P100" s="16">
        <v>50</v>
      </c>
      <c r="Q100" s="17">
        <v>144.93</v>
      </c>
      <c r="R100" s="18" t="s">
        <v>90</v>
      </c>
    </row>
  </sheetData>
  <sortState xmlns:xlrd2="http://schemas.microsoft.com/office/spreadsheetml/2017/richdata2" ref="M3:R100">
    <sortCondition descending="1" ref="N3:N100"/>
  </sortState>
  <mergeCells count="4">
    <mergeCell ref="B6:E6"/>
    <mergeCell ref="B18:E18"/>
    <mergeCell ref="B24:E24"/>
    <mergeCell ref="I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46BB-5510-994C-ABA7-2C5FABD854F4}">
  <dimension ref="A1:W125"/>
  <sheetViews>
    <sheetView tabSelected="1" topLeftCell="A30" zoomScale="120" zoomScaleNormal="120" workbookViewId="0">
      <selection activeCell="U4" sqref="U4"/>
    </sheetView>
  </sheetViews>
  <sheetFormatPr baseColWidth="10" defaultRowHeight="16" x14ac:dyDescent="0.2"/>
  <cols>
    <col min="2" max="2" width="35.33203125" bestFit="1" customWidth="1"/>
    <col min="20" max="20" width="19.1640625" bestFit="1" customWidth="1"/>
  </cols>
  <sheetData>
    <row r="1" spans="1:23" x14ac:dyDescent="0.2">
      <c r="A1" s="2" t="s">
        <v>222</v>
      </c>
      <c r="B1" s="2"/>
      <c r="T1" s="2" t="s">
        <v>230</v>
      </c>
    </row>
    <row r="2" spans="1:23" x14ac:dyDescent="0.2">
      <c r="A2" s="2"/>
      <c r="B2" s="19" t="s">
        <v>223</v>
      </c>
      <c r="T2" s="2" t="s">
        <v>231</v>
      </c>
      <c r="U2" s="2" t="s">
        <v>232</v>
      </c>
    </row>
    <row r="3" spans="1:23" x14ac:dyDescent="0.2">
      <c r="A3" s="2" t="s">
        <v>52</v>
      </c>
      <c r="B3" s="2" t="s">
        <v>224</v>
      </c>
    </row>
    <row r="4" spans="1:23" x14ac:dyDescent="0.2">
      <c r="A4" s="2">
        <v>1</v>
      </c>
      <c r="B4" s="2">
        <f>(A4+1)/A4</f>
        <v>2</v>
      </c>
      <c r="T4" s="9" t="s">
        <v>233</v>
      </c>
      <c r="U4" s="2" t="str">
        <f>MID($U$2,1,1)</f>
        <v>т</v>
      </c>
      <c r="V4" s="2" t="str">
        <f>MID($U$2,4,1)</f>
        <v>с</v>
      </c>
    </row>
    <row r="5" spans="1:23" x14ac:dyDescent="0.2">
      <c r="A5" s="2">
        <v>10</v>
      </c>
      <c r="B5" s="2">
        <f t="shared" ref="B5:B13" si="0">(A5+1)/A5</f>
        <v>1.1000000000000001</v>
      </c>
      <c r="U5" s="2" t="str">
        <f>MID($U$2,2,1)</f>
        <v>е</v>
      </c>
      <c r="V5" s="2" t="str">
        <f>MID($U$2,5,1)</f>
        <v>т</v>
      </c>
    </row>
    <row r="6" spans="1:23" x14ac:dyDescent="0.2">
      <c r="A6" s="2">
        <v>100</v>
      </c>
      <c r="B6" s="2">
        <f t="shared" si="0"/>
        <v>1.01</v>
      </c>
      <c r="U6" s="2" t="str">
        <f>MID($U$2,3,1)</f>
        <v>к</v>
      </c>
      <c r="V6" s="2"/>
    </row>
    <row r="7" spans="1:23" x14ac:dyDescent="0.2">
      <c r="A7" s="2">
        <v>1000</v>
      </c>
      <c r="B7" s="2">
        <f t="shared" si="0"/>
        <v>1.0009999999999999</v>
      </c>
    </row>
    <row r="8" spans="1:23" x14ac:dyDescent="0.2">
      <c r="A8" s="2">
        <v>10000</v>
      </c>
      <c r="B8" s="2">
        <f t="shared" si="0"/>
        <v>1.0001</v>
      </c>
      <c r="T8" s="2" t="s">
        <v>234</v>
      </c>
      <c r="U8" s="2" t="str">
        <f>_xlfn.CONCAT(U4,V4,U5,V5,U6)</f>
        <v>тсетк</v>
      </c>
    </row>
    <row r="9" spans="1:23" x14ac:dyDescent="0.2">
      <c r="A9" s="2">
        <v>100000</v>
      </c>
      <c r="B9" s="2">
        <f t="shared" si="0"/>
        <v>1.0000100000000001</v>
      </c>
    </row>
    <row r="10" spans="1:23" x14ac:dyDescent="0.2">
      <c r="A10" s="2">
        <v>1000000</v>
      </c>
      <c r="B10" s="2">
        <f t="shared" si="0"/>
        <v>1.0000009999999999</v>
      </c>
      <c r="T10" s="9" t="s">
        <v>235</v>
      </c>
      <c r="U10" s="2" t="str">
        <f>MID($U$8,1,1)</f>
        <v>т</v>
      </c>
      <c r="V10" s="2" t="str">
        <f>MID($U$8,3,1)</f>
        <v>е</v>
      </c>
      <c r="W10" s="2" t="str">
        <f>MID($U$8,5,1)</f>
        <v>к</v>
      </c>
    </row>
    <row r="11" spans="1:23" x14ac:dyDescent="0.2">
      <c r="A11" s="2">
        <v>10000000</v>
      </c>
      <c r="B11" s="2">
        <f t="shared" si="0"/>
        <v>1.0000001000000001</v>
      </c>
      <c r="U11" s="2" t="str">
        <f>MID($U$8,2,1)</f>
        <v>с</v>
      </c>
      <c r="V11" s="2" t="str">
        <f>MID($U$8,4,1)</f>
        <v>т</v>
      </c>
      <c r="W11" s="2"/>
    </row>
    <row r="12" spans="1:23" x14ac:dyDescent="0.2">
      <c r="A12" s="2">
        <v>100000000</v>
      </c>
      <c r="B12" s="2">
        <f t="shared" si="0"/>
        <v>1.0000000099999999</v>
      </c>
    </row>
    <row r="13" spans="1:23" x14ac:dyDescent="0.2">
      <c r="A13" s="2">
        <v>1000000000</v>
      </c>
      <c r="B13" s="2">
        <f t="shared" si="0"/>
        <v>1.0000000010000001</v>
      </c>
    </row>
    <row r="14" spans="1:23" x14ac:dyDescent="0.2">
      <c r="T14" s="2" t="s">
        <v>236</v>
      </c>
      <c r="U14" s="2" t="str">
        <f>_xlfn.CONCAT(U10,V10,W10,U11,V11)</f>
        <v>текст</v>
      </c>
    </row>
    <row r="22" spans="1:5" x14ac:dyDescent="0.2">
      <c r="A22" s="2" t="s">
        <v>225</v>
      </c>
    </row>
    <row r="23" spans="1:5" x14ac:dyDescent="0.2">
      <c r="A23" s="2" t="s">
        <v>72</v>
      </c>
      <c r="B23" s="2" t="s">
        <v>226</v>
      </c>
      <c r="C23" s="2" t="s">
        <v>227</v>
      </c>
      <c r="D23" s="2" t="s">
        <v>228</v>
      </c>
      <c r="E23" s="2" t="s">
        <v>229</v>
      </c>
    </row>
    <row r="24" spans="1:5" x14ac:dyDescent="0.2">
      <c r="A24" s="2">
        <v>-5</v>
      </c>
      <c r="B24" s="2">
        <f>3*POWER(A24,3)</f>
        <v>-375</v>
      </c>
      <c r="C24" s="2">
        <f>(B25-B24)/$D$24</f>
        <v>220.52999999999884</v>
      </c>
      <c r="D24" s="2">
        <v>0.1</v>
      </c>
      <c r="E24" s="2">
        <f>9*POWER(A24,2)</f>
        <v>225</v>
      </c>
    </row>
    <row r="25" spans="1:5" x14ac:dyDescent="0.2">
      <c r="A25" s="2">
        <v>-4.9000000000000004</v>
      </c>
      <c r="B25" s="2">
        <f t="shared" ref="B25:B88" si="1">3*POWER(A25,3)</f>
        <v>-352.94700000000012</v>
      </c>
      <c r="C25" s="2">
        <f t="shared" ref="C25:C88" si="2">(B26-B25)/$D$24</f>
        <v>211.71000000000106</v>
      </c>
      <c r="D25" s="2"/>
      <c r="E25" s="2">
        <f t="shared" ref="E25:E88" si="3">9*POWER(A25,2)</f>
        <v>216.09000000000003</v>
      </c>
    </row>
    <row r="26" spans="1:5" x14ac:dyDescent="0.2">
      <c r="A26" s="2">
        <v>-4.8</v>
      </c>
      <c r="B26" s="2">
        <f t="shared" si="1"/>
        <v>-331.77600000000001</v>
      </c>
      <c r="C26" s="2">
        <f t="shared" si="2"/>
        <v>203.0699999999996</v>
      </c>
      <c r="D26" s="2"/>
      <c r="E26" s="2">
        <f t="shared" si="3"/>
        <v>207.35999999999999</v>
      </c>
    </row>
    <row r="27" spans="1:5" x14ac:dyDescent="0.2">
      <c r="A27" s="2">
        <v>-4.7</v>
      </c>
      <c r="B27" s="2">
        <f t="shared" si="1"/>
        <v>-311.46900000000005</v>
      </c>
      <c r="C27" s="2">
        <f t="shared" si="2"/>
        <v>194.61000000000126</v>
      </c>
      <c r="D27" s="2"/>
      <c r="E27" s="2">
        <f t="shared" si="3"/>
        <v>198.81000000000003</v>
      </c>
    </row>
    <row r="28" spans="1:5" x14ac:dyDescent="0.2">
      <c r="A28" s="2">
        <v>-4.5999999999999996</v>
      </c>
      <c r="B28" s="2">
        <f t="shared" si="1"/>
        <v>-292.00799999999992</v>
      </c>
      <c r="C28" s="2">
        <f t="shared" si="2"/>
        <v>186.32999999999925</v>
      </c>
      <c r="D28" s="2"/>
      <c r="E28" s="2">
        <f t="shared" si="3"/>
        <v>190.43999999999997</v>
      </c>
    </row>
    <row r="29" spans="1:5" x14ac:dyDescent="0.2">
      <c r="A29" s="2">
        <v>-4.5</v>
      </c>
      <c r="B29" s="2">
        <f t="shared" si="1"/>
        <v>-273.375</v>
      </c>
      <c r="C29" s="2">
        <f t="shared" si="2"/>
        <v>178.22999999999922</v>
      </c>
      <c r="D29" s="2"/>
      <c r="E29" s="2">
        <f t="shared" si="3"/>
        <v>182.25</v>
      </c>
    </row>
    <row r="30" spans="1:5" x14ac:dyDescent="0.2">
      <c r="A30" s="2">
        <v>-4.4000000000000004</v>
      </c>
      <c r="B30" s="2">
        <f t="shared" si="1"/>
        <v>-255.55200000000008</v>
      </c>
      <c r="C30" s="2">
        <f t="shared" si="2"/>
        <v>170.3100000000012</v>
      </c>
      <c r="D30" s="2"/>
      <c r="E30" s="2">
        <f t="shared" si="3"/>
        <v>174.24000000000004</v>
      </c>
    </row>
    <row r="31" spans="1:5" x14ac:dyDescent="0.2">
      <c r="A31" s="2">
        <v>-4.3</v>
      </c>
      <c r="B31" s="2">
        <f t="shared" si="1"/>
        <v>-238.52099999999996</v>
      </c>
      <c r="C31" s="2">
        <f t="shared" si="2"/>
        <v>162.56999999999948</v>
      </c>
      <c r="D31" s="2"/>
      <c r="E31" s="2">
        <f t="shared" si="3"/>
        <v>166.41</v>
      </c>
    </row>
    <row r="32" spans="1:5" x14ac:dyDescent="0.2">
      <c r="A32" s="2">
        <v>-4.2</v>
      </c>
      <c r="B32" s="2">
        <f t="shared" si="1"/>
        <v>-222.26400000000001</v>
      </c>
      <c r="C32" s="2">
        <f t="shared" si="2"/>
        <v>155.01000000000033</v>
      </c>
      <c r="D32" s="2"/>
      <c r="E32" s="2">
        <f t="shared" si="3"/>
        <v>158.76</v>
      </c>
    </row>
    <row r="33" spans="1:5" x14ac:dyDescent="0.2">
      <c r="A33" s="2">
        <v>-4.0999999999999996</v>
      </c>
      <c r="B33" s="2">
        <f t="shared" si="1"/>
        <v>-206.76299999999998</v>
      </c>
      <c r="C33" s="2">
        <f t="shared" si="2"/>
        <v>147.62999999999977</v>
      </c>
      <c r="D33" s="2"/>
      <c r="E33" s="2">
        <f t="shared" si="3"/>
        <v>151.29</v>
      </c>
    </row>
    <row r="34" spans="1:5" x14ac:dyDescent="0.2">
      <c r="A34" s="2">
        <v>-4</v>
      </c>
      <c r="B34" s="2">
        <f t="shared" si="1"/>
        <v>-192</v>
      </c>
      <c r="C34" s="2">
        <f t="shared" si="2"/>
        <v>140.43000000000006</v>
      </c>
      <c r="D34" s="2"/>
      <c r="E34" s="2">
        <f t="shared" si="3"/>
        <v>144</v>
      </c>
    </row>
    <row r="35" spans="1:5" x14ac:dyDescent="0.2">
      <c r="A35" s="2">
        <v>-3.9</v>
      </c>
      <c r="B35" s="2">
        <f t="shared" si="1"/>
        <v>-177.95699999999999</v>
      </c>
      <c r="C35" s="2">
        <f t="shared" si="2"/>
        <v>133.41000000000008</v>
      </c>
      <c r="D35" s="2"/>
      <c r="E35" s="2">
        <f t="shared" si="3"/>
        <v>136.88999999999999</v>
      </c>
    </row>
    <row r="36" spans="1:5" x14ac:dyDescent="0.2">
      <c r="A36" s="2">
        <v>-3.8</v>
      </c>
      <c r="B36" s="2">
        <f t="shared" si="1"/>
        <v>-164.61599999999999</v>
      </c>
      <c r="C36" s="2">
        <f t="shared" si="2"/>
        <v>126.56999999999982</v>
      </c>
      <c r="D36" s="2"/>
      <c r="E36" s="2">
        <f t="shared" si="3"/>
        <v>129.96</v>
      </c>
    </row>
    <row r="37" spans="1:5" x14ac:dyDescent="0.2">
      <c r="A37" s="2">
        <v>-3.7</v>
      </c>
      <c r="B37" s="2">
        <f t="shared" si="1"/>
        <v>-151.959</v>
      </c>
      <c r="C37" s="2">
        <f t="shared" si="2"/>
        <v>119.91000000000042</v>
      </c>
      <c r="D37" s="2"/>
      <c r="E37" s="2">
        <f t="shared" si="3"/>
        <v>123.21000000000001</v>
      </c>
    </row>
    <row r="38" spans="1:5" x14ac:dyDescent="0.2">
      <c r="A38" s="2">
        <v>-3.5999999999999996</v>
      </c>
      <c r="B38" s="2">
        <f t="shared" si="1"/>
        <v>-139.96799999999996</v>
      </c>
      <c r="C38" s="2">
        <f t="shared" si="2"/>
        <v>113.42999999999961</v>
      </c>
      <c r="D38" s="2"/>
      <c r="E38" s="2">
        <f t="shared" si="3"/>
        <v>116.63999999999997</v>
      </c>
    </row>
    <row r="39" spans="1:5" x14ac:dyDescent="0.2">
      <c r="A39" s="2">
        <v>-3.5</v>
      </c>
      <c r="B39" s="2">
        <f t="shared" si="1"/>
        <v>-128.625</v>
      </c>
      <c r="C39" s="2">
        <f t="shared" si="2"/>
        <v>107.13000000000022</v>
      </c>
      <c r="D39" s="2"/>
      <c r="E39" s="2">
        <f t="shared" si="3"/>
        <v>110.25</v>
      </c>
    </row>
    <row r="40" spans="1:5" x14ac:dyDescent="0.2">
      <c r="A40" s="2">
        <v>-3.4</v>
      </c>
      <c r="B40" s="2">
        <f t="shared" si="1"/>
        <v>-117.91199999999998</v>
      </c>
      <c r="C40" s="2">
        <f t="shared" si="2"/>
        <v>101.00999999999985</v>
      </c>
      <c r="D40" s="2"/>
      <c r="E40" s="2">
        <f t="shared" si="3"/>
        <v>104.03999999999999</v>
      </c>
    </row>
    <row r="41" spans="1:5" x14ac:dyDescent="0.2">
      <c r="A41" s="2">
        <v>-3.3</v>
      </c>
      <c r="B41" s="2">
        <f t="shared" si="1"/>
        <v>-107.81099999999999</v>
      </c>
      <c r="C41" s="2">
        <f t="shared" si="2"/>
        <v>95.069999999999624</v>
      </c>
      <c r="D41" s="2"/>
      <c r="E41" s="2">
        <f t="shared" si="3"/>
        <v>98.009999999999991</v>
      </c>
    </row>
    <row r="42" spans="1:5" x14ac:dyDescent="0.2">
      <c r="A42" s="2">
        <v>-3.2</v>
      </c>
      <c r="B42" s="2">
        <f t="shared" si="1"/>
        <v>-98.30400000000003</v>
      </c>
      <c r="C42" s="2">
        <f t="shared" si="2"/>
        <v>89.310000000000684</v>
      </c>
      <c r="D42" s="2"/>
      <c r="E42" s="2">
        <f t="shared" si="3"/>
        <v>92.160000000000025</v>
      </c>
    </row>
    <row r="43" spans="1:5" x14ac:dyDescent="0.2">
      <c r="A43" s="2">
        <v>-3.0999999999999996</v>
      </c>
      <c r="B43" s="2">
        <f t="shared" si="1"/>
        <v>-89.372999999999962</v>
      </c>
      <c r="C43" s="2">
        <f t="shared" si="2"/>
        <v>83.72999999999962</v>
      </c>
      <c r="D43" s="2"/>
      <c r="E43" s="2">
        <f t="shared" si="3"/>
        <v>86.489999999999981</v>
      </c>
    </row>
    <row r="44" spans="1:5" x14ac:dyDescent="0.2">
      <c r="A44" s="2">
        <v>-3</v>
      </c>
      <c r="B44" s="2">
        <f t="shared" si="1"/>
        <v>-81</v>
      </c>
      <c r="C44" s="2">
        <f t="shared" si="2"/>
        <v>78.329999999999984</v>
      </c>
      <c r="D44" s="2"/>
      <c r="E44" s="2">
        <f t="shared" si="3"/>
        <v>81</v>
      </c>
    </row>
    <row r="45" spans="1:5" x14ac:dyDescent="0.2">
      <c r="A45" s="2">
        <v>-2.9</v>
      </c>
      <c r="B45" s="2">
        <f t="shared" si="1"/>
        <v>-73.167000000000002</v>
      </c>
      <c r="C45" s="2">
        <f t="shared" si="2"/>
        <v>73.110000000000213</v>
      </c>
      <c r="D45" s="2"/>
      <c r="E45" s="2">
        <f t="shared" si="3"/>
        <v>75.69</v>
      </c>
    </row>
    <row r="46" spans="1:5" x14ac:dyDescent="0.2">
      <c r="A46" s="2">
        <v>-2.8</v>
      </c>
      <c r="B46" s="2">
        <f t="shared" si="1"/>
        <v>-65.85599999999998</v>
      </c>
      <c r="C46" s="2">
        <f t="shared" si="2"/>
        <v>68.070000000000022</v>
      </c>
      <c r="D46" s="2"/>
      <c r="E46" s="2">
        <f t="shared" si="3"/>
        <v>70.559999999999988</v>
      </c>
    </row>
    <row r="47" spans="1:5" x14ac:dyDescent="0.2">
      <c r="A47" s="2">
        <v>-2.6999999999999997</v>
      </c>
      <c r="B47" s="2">
        <f t="shared" si="1"/>
        <v>-59.048999999999978</v>
      </c>
      <c r="C47" s="2">
        <f t="shared" si="2"/>
        <v>63.20999999999998</v>
      </c>
      <c r="D47" s="2"/>
      <c r="E47" s="2">
        <f t="shared" si="3"/>
        <v>65.609999999999985</v>
      </c>
    </row>
    <row r="48" spans="1:5" x14ac:dyDescent="0.2">
      <c r="A48" s="2">
        <v>-2.5999999999999996</v>
      </c>
      <c r="B48" s="2">
        <f t="shared" si="1"/>
        <v>-52.72799999999998</v>
      </c>
      <c r="C48" s="2">
        <f t="shared" si="2"/>
        <v>58.529999999999802</v>
      </c>
      <c r="D48" s="2"/>
      <c r="E48" s="2">
        <f t="shared" si="3"/>
        <v>60.839999999999982</v>
      </c>
    </row>
    <row r="49" spans="1:5" x14ac:dyDescent="0.2">
      <c r="A49" s="2">
        <v>-2.5</v>
      </c>
      <c r="B49" s="2">
        <f t="shared" si="1"/>
        <v>-46.875</v>
      </c>
      <c r="C49" s="2">
        <f t="shared" si="2"/>
        <v>54.029999999999987</v>
      </c>
      <c r="D49" s="2"/>
      <c r="E49" s="2">
        <f t="shared" si="3"/>
        <v>56.25</v>
      </c>
    </row>
    <row r="50" spans="1:5" x14ac:dyDescent="0.2">
      <c r="A50" s="2">
        <v>-2.4</v>
      </c>
      <c r="B50" s="2">
        <f t="shared" si="1"/>
        <v>-41.472000000000001</v>
      </c>
      <c r="C50" s="2">
        <f t="shared" si="2"/>
        <v>49.710000000000107</v>
      </c>
      <c r="D50" s="2"/>
      <c r="E50" s="2">
        <f t="shared" si="3"/>
        <v>51.839999999999996</v>
      </c>
    </row>
    <row r="51" spans="1:5" x14ac:dyDescent="0.2">
      <c r="A51" s="2">
        <v>-2.2999999999999998</v>
      </c>
      <c r="B51" s="2">
        <f t="shared" si="1"/>
        <v>-36.500999999999991</v>
      </c>
      <c r="C51" s="2">
        <f t="shared" si="2"/>
        <v>45.570000000000022</v>
      </c>
      <c r="D51" s="2"/>
      <c r="E51" s="2">
        <f t="shared" si="3"/>
        <v>47.609999999999992</v>
      </c>
    </row>
    <row r="52" spans="1:5" x14ac:dyDescent="0.2">
      <c r="A52" s="2">
        <v>-2.1999999999999997</v>
      </c>
      <c r="B52" s="2">
        <f t="shared" si="1"/>
        <v>-31.943999999999988</v>
      </c>
      <c r="C52" s="2">
        <f t="shared" si="2"/>
        <v>41.610000000000014</v>
      </c>
      <c r="D52" s="2"/>
      <c r="E52" s="2">
        <f t="shared" si="3"/>
        <v>43.559999999999988</v>
      </c>
    </row>
    <row r="53" spans="1:5" x14ac:dyDescent="0.2">
      <c r="A53" s="2">
        <v>-2.0999999999999996</v>
      </c>
      <c r="B53" s="2">
        <f t="shared" si="1"/>
        <v>-27.782999999999987</v>
      </c>
      <c r="C53" s="2">
        <f t="shared" si="2"/>
        <v>37.82999999999987</v>
      </c>
      <c r="D53" s="2"/>
      <c r="E53" s="2">
        <f t="shared" si="3"/>
        <v>39.689999999999984</v>
      </c>
    </row>
    <row r="54" spans="1:5" x14ac:dyDescent="0.2">
      <c r="A54" s="2">
        <v>-2</v>
      </c>
      <c r="B54" s="2">
        <f t="shared" si="1"/>
        <v>-24</v>
      </c>
      <c r="C54" s="2">
        <f t="shared" si="2"/>
        <v>34.230000000000018</v>
      </c>
      <c r="D54" s="2"/>
      <c r="E54" s="2">
        <f t="shared" si="3"/>
        <v>36</v>
      </c>
    </row>
    <row r="55" spans="1:5" x14ac:dyDescent="0.2">
      <c r="A55" s="2">
        <v>-1.9</v>
      </c>
      <c r="B55" s="2">
        <f t="shared" si="1"/>
        <v>-20.576999999999998</v>
      </c>
      <c r="C55" s="2">
        <f t="shared" si="2"/>
        <v>30.810000000000031</v>
      </c>
      <c r="D55" s="2"/>
      <c r="E55" s="2">
        <f t="shared" si="3"/>
        <v>32.49</v>
      </c>
    </row>
    <row r="56" spans="1:5" x14ac:dyDescent="0.2">
      <c r="A56" s="2">
        <v>-1.7999999999999998</v>
      </c>
      <c r="B56" s="2">
        <f t="shared" si="1"/>
        <v>-17.495999999999995</v>
      </c>
      <c r="C56" s="2">
        <f t="shared" si="2"/>
        <v>27.570000000000014</v>
      </c>
      <c r="D56" s="2"/>
      <c r="E56" s="2">
        <f t="shared" si="3"/>
        <v>29.159999999999993</v>
      </c>
    </row>
    <row r="57" spans="1:5" x14ac:dyDescent="0.2">
      <c r="A57" s="2">
        <v>-1.6999999999999997</v>
      </c>
      <c r="B57" s="2">
        <f t="shared" si="1"/>
        <v>-14.738999999999994</v>
      </c>
      <c r="C57" s="2">
        <f t="shared" si="2"/>
        <v>24.510000000000005</v>
      </c>
      <c r="D57" s="2"/>
      <c r="E57" s="2">
        <f t="shared" si="3"/>
        <v>26.009999999999994</v>
      </c>
    </row>
    <row r="58" spans="1:5" x14ac:dyDescent="0.2">
      <c r="A58" s="2">
        <v>-1.5999999999999996</v>
      </c>
      <c r="B58" s="2">
        <f t="shared" si="1"/>
        <v>-12.287999999999993</v>
      </c>
      <c r="C58" s="2">
        <f t="shared" si="2"/>
        <v>21.629999999999932</v>
      </c>
      <c r="D58" s="2"/>
      <c r="E58" s="2">
        <f t="shared" si="3"/>
        <v>23.039999999999988</v>
      </c>
    </row>
    <row r="59" spans="1:5" x14ac:dyDescent="0.2">
      <c r="A59" s="2">
        <v>-1.5</v>
      </c>
      <c r="B59" s="2">
        <f t="shared" si="1"/>
        <v>-10.125</v>
      </c>
      <c r="C59" s="2">
        <f t="shared" si="2"/>
        <v>18.930000000000025</v>
      </c>
      <c r="D59" s="2"/>
      <c r="E59" s="2">
        <f t="shared" si="3"/>
        <v>20.25</v>
      </c>
    </row>
    <row r="60" spans="1:5" x14ac:dyDescent="0.2">
      <c r="A60" s="2">
        <v>-1.4</v>
      </c>
      <c r="B60" s="2">
        <f t="shared" si="1"/>
        <v>-8.2319999999999975</v>
      </c>
      <c r="C60" s="2">
        <f t="shared" si="2"/>
        <v>16.41</v>
      </c>
      <c r="D60" s="2"/>
      <c r="E60" s="2">
        <f t="shared" si="3"/>
        <v>17.639999999999997</v>
      </c>
    </row>
    <row r="61" spans="1:5" x14ac:dyDescent="0.2">
      <c r="A61" s="2">
        <v>-1.2999999999999998</v>
      </c>
      <c r="B61" s="2">
        <f t="shared" si="1"/>
        <v>-6.5909999999999975</v>
      </c>
      <c r="C61" s="2">
        <f t="shared" si="2"/>
        <v>14.070000000000018</v>
      </c>
      <c r="D61" s="2"/>
      <c r="E61" s="2">
        <f t="shared" si="3"/>
        <v>15.209999999999996</v>
      </c>
    </row>
    <row r="62" spans="1:5" x14ac:dyDescent="0.2">
      <c r="A62" s="2">
        <v>-1.1999999999999997</v>
      </c>
      <c r="B62" s="2">
        <f t="shared" si="1"/>
        <v>-5.1839999999999957</v>
      </c>
      <c r="C62" s="2">
        <f t="shared" si="2"/>
        <v>11.909999999999989</v>
      </c>
      <c r="D62" s="2"/>
      <c r="E62" s="2">
        <f t="shared" si="3"/>
        <v>12.959999999999994</v>
      </c>
    </row>
    <row r="63" spans="1:5" x14ac:dyDescent="0.2">
      <c r="A63" s="2">
        <v>-1.0999999999999996</v>
      </c>
      <c r="B63" s="2">
        <f t="shared" si="1"/>
        <v>-3.9929999999999968</v>
      </c>
      <c r="C63" s="2">
        <f t="shared" si="2"/>
        <v>9.9299999999999677</v>
      </c>
      <c r="D63" s="2"/>
      <c r="E63" s="2">
        <f t="shared" si="3"/>
        <v>10.889999999999993</v>
      </c>
    </row>
    <row r="64" spans="1:5" x14ac:dyDescent="0.2">
      <c r="A64" s="2">
        <v>-1</v>
      </c>
      <c r="B64" s="2">
        <f t="shared" si="1"/>
        <v>-3</v>
      </c>
      <c r="C64" s="2">
        <f t="shared" si="2"/>
        <v>8.1300000000000363</v>
      </c>
      <c r="D64" s="2"/>
      <c r="E64" s="2">
        <f t="shared" si="3"/>
        <v>9</v>
      </c>
    </row>
    <row r="65" spans="1:5" x14ac:dyDescent="0.2">
      <c r="A65" s="2">
        <v>-0.89999999999999947</v>
      </c>
      <c r="B65" s="2">
        <f t="shared" si="1"/>
        <v>-2.1869999999999963</v>
      </c>
      <c r="C65" s="2">
        <f t="shared" si="2"/>
        <v>6.5099999999999714</v>
      </c>
      <c r="D65" s="2"/>
      <c r="E65" s="2">
        <f t="shared" si="3"/>
        <v>7.2899999999999912</v>
      </c>
    </row>
    <row r="66" spans="1:5" x14ac:dyDescent="0.2">
      <c r="A66" s="2">
        <v>-0.79999999999999982</v>
      </c>
      <c r="B66" s="2">
        <f t="shared" si="1"/>
        <v>-1.5359999999999991</v>
      </c>
      <c r="C66" s="2">
        <f t="shared" si="2"/>
        <v>5.0699999999999834</v>
      </c>
      <c r="D66" s="2"/>
      <c r="E66" s="2">
        <f t="shared" si="3"/>
        <v>5.7599999999999971</v>
      </c>
    </row>
    <row r="67" spans="1:5" x14ac:dyDescent="0.2">
      <c r="A67" s="2">
        <v>-0.70000000000000018</v>
      </c>
      <c r="B67" s="2">
        <f t="shared" si="1"/>
        <v>-1.0290000000000008</v>
      </c>
      <c r="C67" s="2">
        <f t="shared" si="2"/>
        <v>3.8100000000000187</v>
      </c>
      <c r="D67" s="2"/>
      <c r="E67" s="2">
        <f t="shared" si="3"/>
        <v>4.4100000000000028</v>
      </c>
    </row>
    <row r="68" spans="1:5" x14ac:dyDescent="0.2">
      <c r="A68" s="2">
        <v>-0.59999999999999964</v>
      </c>
      <c r="B68" s="2">
        <f t="shared" si="1"/>
        <v>-0.64799999999999891</v>
      </c>
      <c r="C68" s="2">
        <f t="shared" si="2"/>
        <v>2.7299999999999889</v>
      </c>
      <c r="D68" s="2"/>
      <c r="E68" s="2">
        <f t="shared" si="3"/>
        <v>3.2399999999999962</v>
      </c>
    </row>
    <row r="69" spans="1:5" x14ac:dyDescent="0.2">
      <c r="A69" s="2">
        <v>-0.5</v>
      </c>
      <c r="B69" s="2">
        <f t="shared" si="1"/>
        <v>-0.375</v>
      </c>
      <c r="C69" s="2">
        <f t="shared" si="2"/>
        <v>1.8300000000000074</v>
      </c>
      <c r="D69" s="2"/>
      <c r="E69" s="2">
        <f t="shared" si="3"/>
        <v>2.25</v>
      </c>
    </row>
    <row r="70" spans="1:5" x14ac:dyDescent="0.2">
      <c r="A70" s="2">
        <v>-0.39999999999999947</v>
      </c>
      <c r="B70" s="2">
        <f t="shared" si="1"/>
        <v>-0.19199999999999925</v>
      </c>
      <c r="C70" s="2">
        <f t="shared" si="2"/>
        <v>1.1099999999999939</v>
      </c>
      <c r="D70" s="2"/>
      <c r="E70" s="2">
        <f t="shared" si="3"/>
        <v>1.4399999999999964</v>
      </c>
    </row>
    <row r="71" spans="1:5" x14ac:dyDescent="0.2">
      <c r="A71" s="2">
        <v>-0.29999999999999982</v>
      </c>
      <c r="B71" s="2">
        <f t="shared" si="1"/>
        <v>-8.0999999999999864E-2</v>
      </c>
      <c r="C71" s="2">
        <f t="shared" si="2"/>
        <v>0.57000000000000117</v>
      </c>
      <c r="D71" s="2"/>
      <c r="E71" s="2">
        <f t="shared" si="3"/>
        <v>0.80999999999999905</v>
      </c>
    </row>
    <row r="72" spans="1:5" x14ac:dyDescent="0.2">
      <c r="A72" s="2">
        <v>-0.19999999999999929</v>
      </c>
      <c r="B72" s="2">
        <f t="shared" si="1"/>
        <v>-2.3999999999999744E-2</v>
      </c>
      <c r="C72" s="2">
        <f t="shared" si="2"/>
        <v>0.20999999999999774</v>
      </c>
      <c r="D72" s="2"/>
      <c r="E72" s="2">
        <f t="shared" si="3"/>
        <v>0.35999999999999743</v>
      </c>
    </row>
    <row r="73" spans="1:5" x14ac:dyDescent="0.2">
      <c r="A73" s="2">
        <v>-9.9999999999999645E-2</v>
      </c>
      <c r="B73" s="2">
        <f t="shared" si="1"/>
        <v>-2.999999999999968E-3</v>
      </c>
      <c r="C73" s="2">
        <f t="shared" si="2"/>
        <v>2.999999999999968E-2</v>
      </c>
      <c r="D73" s="2"/>
      <c r="E73" s="2">
        <f t="shared" si="3"/>
        <v>8.9999999999999358E-2</v>
      </c>
    </row>
    <row r="74" spans="1:5" x14ac:dyDescent="0.2">
      <c r="A74" s="2">
        <v>0</v>
      </c>
      <c r="B74" s="2">
        <f t="shared" si="1"/>
        <v>0</v>
      </c>
      <c r="C74" s="2">
        <f t="shared" si="2"/>
        <v>3.0000000000000478E-2</v>
      </c>
      <c r="D74" s="2"/>
      <c r="E74" s="2">
        <f t="shared" si="3"/>
        <v>0</v>
      </c>
    </row>
    <row r="75" spans="1:5" x14ac:dyDescent="0.2">
      <c r="A75" s="2">
        <v>0.10000000000000053</v>
      </c>
      <c r="B75" s="2">
        <f t="shared" si="1"/>
        <v>3.0000000000000478E-3</v>
      </c>
      <c r="C75" s="2">
        <f t="shared" si="2"/>
        <v>0.21000000000000013</v>
      </c>
      <c r="D75" s="2"/>
      <c r="E75" s="2">
        <f t="shared" si="3"/>
        <v>9.0000000000000954E-2</v>
      </c>
    </row>
    <row r="76" spans="1:5" x14ac:dyDescent="0.2">
      <c r="A76" s="2">
        <v>0.20000000000000018</v>
      </c>
      <c r="B76" s="2">
        <f t="shared" si="1"/>
        <v>2.4000000000000063E-2</v>
      </c>
      <c r="C76" s="2">
        <f t="shared" si="2"/>
        <v>0.57000000000000506</v>
      </c>
      <c r="D76" s="2"/>
      <c r="E76" s="2">
        <f t="shared" si="3"/>
        <v>0.36000000000000065</v>
      </c>
    </row>
    <row r="77" spans="1:5" x14ac:dyDescent="0.2">
      <c r="A77" s="2">
        <v>0.30000000000000071</v>
      </c>
      <c r="B77" s="2">
        <f t="shared" si="1"/>
        <v>8.1000000000000572E-2</v>
      </c>
      <c r="C77" s="2">
        <f t="shared" si="2"/>
        <v>1.1099999999999992</v>
      </c>
      <c r="D77" s="2"/>
      <c r="E77" s="2">
        <f t="shared" si="3"/>
        <v>0.81000000000000383</v>
      </c>
    </row>
    <row r="78" spans="1:5" x14ac:dyDescent="0.2">
      <c r="A78" s="2">
        <v>0.40000000000000036</v>
      </c>
      <c r="B78" s="2">
        <f t="shared" si="1"/>
        <v>0.1920000000000005</v>
      </c>
      <c r="C78" s="2">
        <f t="shared" si="2"/>
        <v>1.829999999999995</v>
      </c>
      <c r="D78" s="2"/>
      <c r="E78" s="2">
        <f t="shared" si="3"/>
        <v>1.4400000000000026</v>
      </c>
    </row>
    <row r="79" spans="1:5" x14ac:dyDescent="0.2">
      <c r="A79" s="2">
        <v>0.5</v>
      </c>
      <c r="B79" s="2">
        <f t="shared" si="1"/>
        <v>0.375</v>
      </c>
      <c r="C79" s="2">
        <f t="shared" si="2"/>
        <v>2.7300000000000169</v>
      </c>
      <c r="D79" s="2"/>
      <c r="E79" s="2">
        <f t="shared" si="3"/>
        <v>2.25</v>
      </c>
    </row>
    <row r="80" spans="1:5" x14ac:dyDescent="0.2">
      <c r="A80" s="2">
        <v>0.60000000000000053</v>
      </c>
      <c r="B80" s="2">
        <f t="shared" si="1"/>
        <v>0.64800000000000169</v>
      </c>
      <c r="C80" s="2">
        <f t="shared" si="2"/>
        <v>3.8099999999999912</v>
      </c>
      <c r="D80" s="2"/>
      <c r="E80" s="2">
        <f t="shared" si="3"/>
        <v>3.240000000000006</v>
      </c>
    </row>
    <row r="81" spans="1:5" x14ac:dyDescent="0.2">
      <c r="A81" s="2">
        <v>0.70000000000000018</v>
      </c>
      <c r="B81" s="2">
        <f t="shared" si="1"/>
        <v>1.0290000000000008</v>
      </c>
      <c r="C81" s="2">
        <f t="shared" si="2"/>
        <v>5.0700000000000323</v>
      </c>
      <c r="D81" s="2"/>
      <c r="E81" s="2">
        <f t="shared" si="3"/>
        <v>4.4100000000000028</v>
      </c>
    </row>
    <row r="82" spans="1:5" x14ac:dyDescent="0.2">
      <c r="A82" s="2">
        <v>0.80000000000000071</v>
      </c>
      <c r="B82" s="2">
        <f t="shared" si="1"/>
        <v>1.536000000000004</v>
      </c>
      <c r="C82" s="2">
        <f t="shared" si="2"/>
        <v>6.5099999999999847</v>
      </c>
      <c r="D82" s="2"/>
      <c r="E82" s="2">
        <f t="shared" si="3"/>
        <v>5.7600000000000104</v>
      </c>
    </row>
    <row r="83" spans="1:5" x14ac:dyDescent="0.2">
      <c r="A83" s="2">
        <v>0.90000000000000036</v>
      </c>
      <c r="B83" s="2">
        <f t="shared" si="1"/>
        <v>2.1870000000000025</v>
      </c>
      <c r="C83" s="2">
        <f t="shared" si="2"/>
        <v>8.1299999999999741</v>
      </c>
      <c r="D83" s="2"/>
      <c r="E83" s="2">
        <f t="shared" si="3"/>
        <v>7.2900000000000054</v>
      </c>
    </row>
    <row r="84" spans="1:5" x14ac:dyDescent="0.2">
      <c r="A84" s="2">
        <v>1</v>
      </c>
      <c r="B84" s="2">
        <f t="shared" si="1"/>
        <v>3</v>
      </c>
      <c r="C84" s="2">
        <f t="shared" si="2"/>
        <v>9.9300000000000512</v>
      </c>
      <c r="D84" s="2"/>
      <c r="E84" s="2">
        <f t="shared" si="3"/>
        <v>9</v>
      </c>
    </row>
    <row r="85" spans="1:5" x14ac:dyDescent="0.2">
      <c r="A85" s="2">
        <v>1.1000000000000005</v>
      </c>
      <c r="B85" s="2">
        <f t="shared" si="1"/>
        <v>3.9930000000000052</v>
      </c>
      <c r="C85" s="2">
        <f t="shared" si="2"/>
        <v>11.909999999999966</v>
      </c>
      <c r="D85" s="2"/>
      <c r="E85" s="2">
        <f t="shared" si="3"/>
        <v>10.890000000000009</v>
      </c>
    </row>
    <row r="86" spans="1:5" x14ac:dyDescent="0.2">
      <c r="A86" s="2">
        <v>1.2000000000000002</v>
      </c>
      <c r="B86" s="2">
        <f t="shared" si="1"/>
        <v>5.1840000000000019</v>
      </c>
      <c r="C86" s="2">
        <f t="shared" si="2"/>
        <v>14.070000000000089</v>
      </c>
      <c r="D86" s="2"/>
      <c r="E86" s="2">
        <f t="shared" si="3"/>
        <v>12.960000000000004</v>
      </c>
    </row>
    <row r="87" spans="1:5" x14ac:dyDescent="0.2">
      <c r="A87" s="2">
        <v>1.3000000000000007</v>
      </c>
      <c r="B87" s="2">
        <f t="shared" si="1"/>
        <v>6.5910000000000108</v>
      </c>
      <c r="C87" s="2">
        <f t="shared" si="2"/>
        <v>16.409999999999954</v>
      </c>
      <c r="D87" s="2"/>
      <c r="E87" s="2">
        <f t="shared" si="3"/>
        <v>15.210000000000017</v>
      </c>
    </row>
    <row r="88" spans="1:5" x14ac:dyDescent="0.2">
      <c r="A88" s="2">
        <v>1.4000000000000004</v>
      </c>
      <c r="B88" s="2">
        <f t="shared" si="1"/>
        <v>8.2320000000000064</v>
      </c>
      <c r="C88" s="2">
        <f t="shared" si="2"/>
        <v>18.929999999999936</v>
      </c>
      <c r="D88" s="2"/>
      <c r="E88" s="2">
        <f t="shared" si="3"/>
        <v>17.640000000000011</v>
      </c>
    </row>
    <row r="89" spans="1:5" x14ac:dyDescent="0.2">
      <c r="A89" s="2">
        <v>1.5</v>
      </c>
      <c r="B89" s="2">
        <f t="shared" ref="B89:B125" si="4">3*POWER(A89,3)</f>
        <v>10.125</v>
      </c>
      <c r="C89" s="2">
        <f t="shared" ref="C89:C124" si="5">(B90-B89)/$D$24</f>
        <v>21.630000000000145</v>
      </c>
      <c r="D89" s="2"/>
      <c r="E89" s="2">
        <f t="shared" ref="E89:E124" si="6">9*POWER(A89,2)</f>
        <v>20.25</v>
      </c>
    </row>
    <row r="90" spans="1:5" x14ac:dyDescent="0.2">
      <c r="A90" s="2">
        <v>1.6000000000000005</v>
      </c>
      <c r="B90" s="2">
        <f t="shared" si="4"/>
        <v>12.288000000000014</v>
      </c>
      <c r="C90" s="2">
        <f t="shared" si="5"/>
        <v>24.509999999999899</v>
      </c>
      <c r="D90" s="2"/>
      <c r="E90" s="2">
        <f t="shared" si="6"/>
        <v>23.040000000000017</v>
      </c>
    </row>
    <row r="91" spans="1:5" x14ac:dyDescent="0.2">
      <c r="A91" s="2">
        <v>1.7000000000000002</v>
      </c>
      <c r="B91" s="2">
        <f t="shared" si="4"/>
        <v>14.739000000000004</v>
      </c>
      <c r="C91" s="2">
        <f t="shared" si="5"/>
        <v>27.570000000000157</v>
      </c>
      <c r="D91" s="2"/>
      <c r="E91" s="2">
        <f t="shared" si="6"/>
        <v>26.010000000000005</v>
      </c>
    </row>
    <row r="92" spans="1:5" x14ac:dyDescent="0.2">
      <c r="A92" s="2">
        <v>1.8000000000000007</v>
      </c>
      <c r="B92" s="2">
        <f t="shared" si="4"/>
        <v>17.49600000000002</v>
      </c>
      <c r="C92" s="2">
        <f t="shared" si="5"/>
        <v>30.809999999999924</v>
      </c>
      <c r="D92" s="2"/>
      <c r="E92" s="2">
        <f t="shared" si="6"/>
        <v>29.160000000000021</v>
      </c>
    </row>
    <row r="93" spans="1:5" x14ac:dyDescent="0.2">
      <c r="A93" s="2">
        <v>1.9000000000000004</v>
      </c>
      <c r="B93" s="2">
        <f t="shared" si="4"/>
        <v>20.577000000000012</v>
      </c>
      <c r="C93" s="2">
        <f t="shared" si="5"/>
        <v>34.229999999999876</v>
      </c>
      <c r="D93" s="2"/>
      <c r="E93" s="2">
        <f t="shared" si="6"/>
        <v>32.490000000000009</v>
      </c>
    </row>
    <row r="94" spans="1:5" x14ac:dyDescent="0.2">
      <c r="A94" s="2">
        <v>2</v>
      </c>
      <c r="B94" s="2">
        <f t="shared" si="4"/>
        <v>24</v>
      </c>
      <c r="C94" s="2">
        <f t="shared" si="5"/>
        <v>37.83000000000019</v>
      </c>
      <c r="D94" s="2"/>
      <c r="E94" s="2">
        <f t="shared" si="6"/>
        <v>36</v>
      </c>
    </row>
    <row r="95" spans="1:5" x14ac:dyDescent="0.2">
      <c r="A95" s="2">
        <v>2.1000000000000005</v>
      </c>
      <c r="B95" s="2">
        <f t="shared" si="4"/>
        <v>27.783000000000019</v>
      </c>
      <c r="C95" s="2">
        <f t="shared" si="5"/>
        <v>41.609999999999907</v>
      </c>
      <c r="D95" s="2"/>
      <c r="E95" s="2">
        <f t="shared" si="6"/>
        <v>39.690000000000019</v>
      </c>
    </row>
    <row r="96" spans="1:5" x14ac:dyDescent="0.2">
      <c r="A96" s="2">
        <v>2.2000000000000002</v>
      </c>
      <c r="B96" s="2">
        <f t="shared" si="4"/>
        <v>31.94400000000001</v>
      </c>
      <c r="C96" s="2">
        <f t="shared" si="5"/>
        <v>45.570000000000235</v>
      </c>
      <c r="D96" s="2"/>
      <c r="E96" s="2">
        <f t="shared" si="6"/>
        <v>43.560000000000009</v>
      </c>
    </row>
    <row r="97" spans="1:5" x14ac:dyDescent="0.2">
      <c r="A97" s="2">
        <v>2.3000000000000007</v>
      </c>
      <c r="B97" s="2">
        <f t="shared" si="4"/>
        <v>36.501000000000033</v>
      </c>
      <c r="C97" s="2">
        <f t="shared" si="5"/>
        <v>49.709999999999823</v>
      </c>
      <c r="D97" s="2"/>
      <c r="E97" s="2">
        <f t="shared" si="6"/>
        <v>47.610000000000035</v>
      </c>
    </row>
    <row r="98" spans="1:5" x14ac:dyDescent="0.2">
      <c r="A98" s="2">
        <v>2.4000000000000004</v>
      </c>
      <c r="B98" s="2">
        <f t="shared" si="4"/>
        <v>41.472000000000016</v>
      </c>
      <c r="C98" s="2">
        <f t="shared" si="5"/>
        <v>54.029999999999845</v>
      </c>
      <c r="D98" s="2"/>
      <c r="E98" s="2">
        <f t="shared" si="6"/>
        <v>51.840000000000018</v>
      </c>
    </row>
    <row r="99" spans="1:5" x14ac:dyDescent="0.2">
      <c r="A99" s="2">
        <v>2.5</v>
      </c>
      <c r="B99" s="2">
        <f t="shared" si="4"/>
        <v>46.875</v>
      </c>
      <c r="C99" s="2">
        <f t="shared" si="5"/>
        <v>58.530000000000371</v>
      </c>
      <c r="D99" s="2"/>
      <c r="E99" s="2">
        <f t="shared" si="6"/>
        <v>56.25</v>
      </c>
    </row>
    <row r="100" spans="1:5" x14ac:dyDescent="0.2">
      <c r="A100" s="2">
        <v>2.6000000000000005</v>
      </c>
      <c r="B100" s="2">
        <f t="shared" si="4"/>
        <v>52.728000000000037</v>
      </c>
      <c r="C100" s="2">
        <f t="shared" si="5"/>
        <v>63.209999999999695</v>
      </c>
      <c r="D100" s="2"/>
      <c r="E100" s="2">
        <f t="shared" si="6"/>
        <v>60.840000000000025</v>
      </c>
    </row>
    <row r="101" spans="1:5" x14ac:dyDescent="0.2">
      <c r="A101" s="2">
        <v>2.7</v>
      </c>
      <c r="B101" s="2">
        <f t="shared" si="4"/>
        <v>59.049000000000007</v>
      </c>
      <c r="C101" s="2">
        <f t="shared" si="5"/>
        <v>68.070000000000448</v>
      </c>
      <c r="D101" s="2"/>
      <c r="E101" s="2">
        <f t="shared" si="6"/>
        <v>65.610000000000014</v>
      </c>
    </row>
    <row r="102" spans="1:5" x14ac:dyDescent="0.2">
      <c r="A102" s="2">
        <v>2.8000000000000007</v>
      </c>
      <c r="B102" s="2">
        <f t="shared" si="4"/>
        <v>65.856000000000051</v>
      </c>
      <c r="C102" s="2">
        <f t="shared" si="5"/>
        <v>73.109999999999786</v>
      </c>
      <c r="D102" s="2"/>
      <c r="E102" s="2">
        <f t="shared" si="6"/>
        <v>70.560000000000045</v>
      </c>
    </row>
    <row r="103" spans="1:5" x14ac:dyDescent="0.2">
      <c r="A103" s="2">
        <v>2.9000000000000004</v>
      </c>
      <c r="B103" s="2">
        <f t="shared" si="4"/>
        <v>73.16700000000003</v>
      </c>
      <c r="C103" s="2">
        <f t="shared" si="5"/>
        <v>78.3299999999997</v>
      </c>
      <c r="D103" s="2"/>
      <c r="E103" s="2">
        <f t="shared" si="6"/>
        <v>75.690000000000012</v>
      </c>
    </row>
    <row r="104" spans="1:5" x14ac:dyDescent="0.2">
      <c r="A104" s="2">
        <v>3</v>
      </c>
      <c r="B104" s="2">
        <f t="shared" si="4"/>
        <v>81</v>
      </c>
      <c r="C104" s="2">
        <f t="shared" si="5"/>
        <v>83.72999999999962</v>
      </c>
      <c r="D104" s="2"/>
      <c r="E104" s="2">
        <f t="shared" si="6"/>
        <v>81</v>
      </c>
    </row>
    <row r="105" spans="1:5" x14ac:dyDescent="0.2">
      <c r="A105" s="2">
        <v>3.0999999999999996</v>
      </c>
      <c r="B105" s="2">
        <f t="shared" si="4"/>
        <v>89.372999999999962</v>
      </c>
      <c r="C105" s="2">
        <f t="shared" si="5"/>
        <v>89.310000000001537</v>
      </c>
      <c r="D105" s="2"/>
      <c r="E105" s="2">
        <f t="shared" si="6"/>
        <v>86.489999999999981</v>
      </c>
    </row>
    <row r="106" spans="1:5" x14ac:dyDescent="0.2">
      <c r="A106" s="2">
        <v>3.2000000000000011</v>
      </c>
      <c r="B106" s="2">
        <f t="shared" si="4"/>
        <v>98.304000000000116</v>
      </c>
      <c r="C106" s="2">
        <f t="shared" si="5"/>
        <v>95.069999999999482</v>
      </c>
      <c r="D106" s="2"/>
      <c r="E106" s="2">
        <f t="shared" si="6"/>
        <v>92.160000000000068</v>
      </c>
    </row>
    <row r="107" spans="1:5" x14ac:dyDescent="0.2">
      <c r="A107" s="2">
        <v>3.3000000000000007</v>
      </c>
      <c r="B107" s="2">
        <f t="shared" si="4"/>
        <v>107.81100000000006</v>
      </c>
      <c r="C107" s="2">
        <f t="shared" si="5"/>
        <v>101.00999999999971</v>
      </c>
      <c r="D107" s="2"/>
      <c r="E107" s="2">
        <f t="shared" si="6"/>
        <v>98.010000000000034</v>
      </c>
    </row>
    <row r="108" spans="1:5" x14ac:dyDescent="0.2">
      <c r="A108" s="2">
        <v>3.4000000000000004</v>
      </c>
      <c r="B108" s="2">
        <f t="shared" si="4"/>
        <v>117.91200000000003</v>
      </c>
      <c r="C108" s="2">
        <f t="shared" si="5"/>
        <v>107.12999999999965</v>
      </c>
      <c r="D108" s="2"/>
      <c r="E108" s="2">
        <f t="shared" si="6"/>
        <v>104.04000000000002</v>
      </c>
    </row>
    <row r="109" spans="1:5" x14ac:dyDescent="0.2">
      <c r="A109" s="2">
        <v>3.5</v>
      </c>
      <c r="B109" s="2">
        <f t="shared" si="4"/>
        <v>128.625</v>
      </c>
      <c r="C109" s="2">
        <f t="shared" si="5"/>
        <v>113.42999999999961</v>
      </c>
      <c r="D109" s="2"/>
      <c r="E109" s="2">
        <f t="shared" si="6"/>
        <v>110.25</v>
      </c>
    </row>
    <row r="110" spans="1:5" x14ac:dyDescent="0.2">
      <c r="A110" s="2">
        <v>3.5999999999999996</v>
      </c>
      <c r="B110" s="2">
        <f t="shared" si="4"/>
        <v>139.96799999999996</v>
      </c>
      <c r="C110" s="2">
        <f t="shared" si="5"/>
        <v>119.91000000000184</v>
      </c>
      <c r="D110" s="2"/>
      <c r="E110" s="2">
        <f t="shared" si="6"/>
        <v>116.63999999999997</v>
      </c>
    </row>
    <row r="111" spans="1:5" x14ac:dyDescent="0.2">
      <c r="A111" s="2">
        <v>3.7000000000000011</v>
      </c>
      <c r="B111" s="2">
        <f t="shared" si="4"/>
        <v>151.95900000000015</v>
      </c>
      <c r="C111" s="2">
        <f t="shared" si="5"/>
        <v>126.56999999999954</v>
      </c>
      <c r="D111" s="2"/>
      <c r="E111" s="2">
        <f t="shared" si="6"/>
        <v>123.21000000000008</v>
      </c>
    </row>
    <row r="112" spans="1:5" x14ac:dyDescent="0.2">
      <c r="A112" s="2">
        <v>3.8000000000000007</v>
      </c>
      <c r="B112" s="2">
        <f t="shared" si="4"/>
        <v>164.6160000000001</v>
      </c>
      <c r="C112" s="2">
        <f t="shared" si="5"/>
        <v>133.40999999999951</v>
      </c>
      <c r="D112" s="2"/>
      <c r="E112" s="2">
        <f t="shared" si="6"/>
        <v>129.96000000000004</v>
      </c>
    </row>
    <row r="113" spans="1:5" x14ac:dyDescent="0.2">
      <c r="A113" s="2">
        <v>3.9000000000000004</v>
      </c>
      <c r="B113" s="2">
        <f t="shared" si="4"/>
        <v>177.95700000000005</v>
      </c>
      <c r="C113" s="2">
        <f t="shared" si="5"/>
        <v>140.4299999999995</v>
      </c>
      <c r="D113" s="2"/>
      <c r="E113" s="2">
        <f t="shared" si="6"/>
        <v>136.89000000000001</v>
      </c>
    </row>
    <row r="114" spans="1:5" x14ac:dyDescent="0.2">
      <c r="A114" s="2">
        <v>4</v>
      </c>
      <c r="B114" s="2">
        <f t="shared" si="4"/>
        <v>192</v>
      </c>
      <c r="C114" s="2">
        <f t="shared" si="5"/>
        <v>147.62999999999977</v>
      </c>
      <c r="D114" s="2"/>
      <c r="E114" s="2">
        <f t="shared" si="6"/>
        <v>144</v>
      </c>
    </row>
    <row r="115" spans="1:5" x14ac:dyDescent="0.2">
      <c r="A115" s="2">
        <v>4.0999999999999996</v>
      </c>
      <c r="B115" s="2">
        <f t="shared" si="4"/>
        <v>206.76299999999998</v>
      </c>
      <c r="C115" s="2">
        <f t="shared" si="5"/>
        <v>155.01000000000175</v>
      </c>
      <c r="D115" s="2"/>
      <c r="E115" s="2">
        <f t="shared" si="6"/>
        <v>151.29</v>
      </c>
    </row>
    <row r="116" spans="1:5" x14ac:dyDescent="0.2">
      <c r="A116" s="2">
        <v>4.2000000000000011</v>
      </c>
      <c r="B116" s="2">
        <f t="shared" si="4"/>
        <v>222.26400000000015</v>
      </c>
      <c r="C116" s="2">
        <f t="shared" si="5"/>
        <v>162.56999999999948</v>
      </c>
      <c r="D116" s="2"/>
      <c r="E116" s="2">
        <f t="shared" si="6"/>
        <v>158.76000000000008</v>
      </c>
    </row>
    <row r="117" spans="1:5" x14ac:dyDescent="0.2">
      <c r="A117" s="2">
        <v>4.3000000000000007</v>
      </c>
      <c r="B117" s="2">
        <f t="shared" si="4"/>
        <v>238.5210000000001</v>
      </c>
      <c r="C117" s="2">
        <f t="shared" si="5"/>
        <v>170.30999999999977</v>
      </c>
      <c r="D117" s="2"/>
      <c r="E117" s="2">
        <f t="shared" si="6"/>
        <v>166.41000000000005</v>
      </c>
    </row>
    <row r="118" spans="1:5" x14ac:dyDescent="0.2">
      <c r="A118" s="2">
        <v>4.4000000000000004</v>
      </c>
      <c r="B118" s="2">
        <f t="shared" si="4"/>
        <v>255.55200000000008</v>
      </c>
      <c r="C118" s="2">
        <f t="shared" si="5"/>
        <v>178.22999999999922</v>
      </c>
      <c r="D118" s="2"/>
      <c r="E118" s="2">
        <f t="shared" si="6"/>
        <v>174.24000000000004</v>
      </c>
    </row>
    <row r="119" spans="1:5" x14ac:dyDescent="0.2">
      <c r="A119" s="2">
        <v>4.5</v>
      </c>
      <c r="B119" s="2">
        <f t="shared" si="4"/>
        <v>273.375</v>
      </c>
      <c r="C119" s="2">
        <f t="shared" si="5"/>
        <v>186.33000000000266</v>
      </c>
      <c r="D119" s="2"/>
      <c r="E119" s="2">
        <f t="shared" si="6"/>
        <v>182.25</v>
      </c>
    </row>
    <row r="120" spans="1:5" x14ac:dyDescent="0.2">
      <c r="A120" s="2">
        <v>4.6000000000000014</v>
      </c>
      <c r="B120" s="2">
        <f t="shared" si="4"/>
        <v>292.00800000000027</v>
      </c>
      <c r="C120" s="2">
        <f t="shared" si="5"/>
        <v>194.60999999999956</v>
      </c>
      <c r="D120" s="2"/>
      <c r="E120" s="2">
        <f t="shared" si="6"/>
        <v>190.44000000000014</v>
      </c>
    </row>
    <row r="121" spans="1:5" x14ac:dyDescent="0.2">
      <c r="A121" s="2">
        <v>4.7000000000000011</v>
      </c>
      <c r="B121" s="2">
        <f t="shared" si="4"/>
        <v>311.46900000000022</v>
      </c>
      <c r="C121" s="2">
        <f t="shared" si="5"/>
        <v>203.06999999999903</v>
      </c>
      <c r="D121" s="2"/>
      <c r="E121" s="2">
        <f t="shared" si="6"/>
        <v>198.81000000000009</v>
      </c>
    </row>
    <row r="122" spans="1:5" x14ac:dyDescent="0.2">
      <c r="A122" s="2">
        <v>4.8000000000000007</v>
      </c>
      <c r="B122" s="2">
        <f t="shared" si="4"/>
        <v>331.77600000000012</v>
      </c>
      <c r="C122" s="2">
        <f t="shared" si="5"/>
        <v>211.70999999999992</v>
      </c>
      <c r="D122" s="2"/>
      <c r="E122" s="2">
        <f t="shared" si="6"/>
        <v>207.36000000000007</v>
      </c>
    </row>
    <row r="123" spans="1:5" x14ac:dyDescent="0.2">
      <c r="A123" s="2">
        <v>4.9000000000000004</v>
      </c>
      <c r="B123" s="2">
        <f t="shared" si="4"/>
        <v>352.94700000000012</v>
      </c>
      <c r="C123" s="2">
        <f t="shared" si="5"/>
        <v>220.52999999999884</v>
      </c>
      <c r="D123" s="2"/>
      <c r="E123" s="2">
        <f t="shared" si="6"/>
        <v>216.09000000000003</v>
      </c>
    </row>
    <row r="124" spans="1:5" x14ac:dyDescent="0.2">
      <c r="A124" s="2">
        <v>5</v>
      </c>
      <c r="B124" s="2">
        <f t="shared" si="4"/>
        <v>375</v>
      </c>
      <c r="C124" s="2">
        <f t="shared" si="5"/>
        <v>229.52999999999975</v>
      </c>
      <c r="D124" s="2"/>
      <c r="E124" s="2">
        <f t="shared" si="6"/>
        <v>225</v>
      </c>
    </row>
    <row r="125" spans="1:5" x14ac:dyDescent="0.2">
      <c r="A125">
        <v>5.0999999999999996</v>
      </c>
      <c r="B125">
        <f t="shared" si="4"/>
        <v>397.95299999999997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D677-5012-F14E-97BF-828273D4C95C}">
  <dimension ref="A1:M42"/>
  <sheetViews>
    <sheetView zoomScale="130" zoomScaleNormal="130" workbookViewId="0">
      <selection activeCell="I2" sqref="I2:M3"/>
    </sheetView>
  </sheetViews>
  <sheetFormatPr baseColWidth="10" defaultRowHeight="16" x14ac:dyDescent="0.2"/>
  <cols>
    <col min="1" max="1" width="14.6640625" bestFit="1" customWidth="1"/>
    <col min="4" max="4" width="14.6640625" bestFit="1" customWidth="1"/>
    <col min="6" max="6" width="12.83203125" bestFit="1" customWidth="1"/>
    <col min="7" max="7" width="13.1640625" bestFit="1" customWidth="1"/>
    <col min="8" max="8" width="12.33203125" bestFit="1" customWidth="1"/>
    <col min="9" max="10" width="23.1640625" bestFit="1" customWidth="1"/>
    <col min="11" max="11" width="21" bestFit="1" customWidth="1"/>
    <col min="12" max="12" width="12.1640625" bestFit="1" customWidth="1"/>
    <col min="13" max="13" width="16.1640625" bestFit="1" customWidth="1"/>
  </cols>
  <sheetData>
    <row r="1" spans="1:13" x14ac:dyDescent="0.2">
      <c r="A1" s="2" t="s">
        <v>237</v>
      </c>
    </row>
    <row r="2" spans="1:13" x14ac:dyDescent="0.2">
      <c r="A2" s="2" t="s">
        <v>238</v>
      </c>
      <c r="D2" s="2" t="s">
        <v>247</v>
      </c>
      <c r="E2" s="2"/>
      <c r="I2" s="2" t="s">
        <v>249</v>
      </c>
      <c r="J2" s="2" t="s">
        <v>250</v>
      </c>
      <c r="K2" s="2" t="s">
        <v>251</v>
      </c>
      <c r="L2" s="2" t="s">
        <v>252</v>
      </c>
      <c r="M2" s="2" t="s">
        <v>253</v>
      </c>
    </row>
    <row r="3" spans="1:13" x14ac:dyDescent="0.2">
      <c r="A3" s="2" t="s">
        <v>239</v>
      </c>
      <c r="B3" s="2" t="s">
        <v>52</v>
      </c>
      <c r="D3" s="2" t="s">
        <v>248</v>
      </c>
      <c r="E3" s="2" t="s">
        <v>52</v>
      </c>
      <c r="I3" s="2">
        <v>3</v>
      </c>
      <c r="J3" s="2">
        <f>POWER(I3,A4)</f>
        <v>2187</v>
      </c>
      <c r="K3" s="2">
        <f>MOD(J3,B4)</f>
        <v>17</v>
      </c>
      <c r="L3" s="2">
        <f>POWER(K3,D4)</f>
        <v>410338673</v>
      </c>
      <c r="M3" s="2">
        <f>MOD(L3,B4)</f>
        <v>3</v>
      </c>
    </row>
    <row r="4" spans="1:13" x14ac:dyDescent="0.2">
      <c r="A4" s="2">
        <v>7</v>
      </c>
      <c r="B4" s="2">
        <v>35</v>
      </c>
      <c r="D4" s="2">
        <f>F12</f>
        <v>7</v>
      </c>
      <c r="E4" s="2">
        <f>B4</f>
        <v>35</v>
      </c>
    </row>
    <row r="5" spans="1:13" x14ac:dyDescent="0.2">
      <c r="A5" s="21" t="s">
        <v>240</v>
      </c>
      <c r="B5" s="21"/>
      <c r="C5" s="9" t="s">
        <v>241</v>
      </c>
      <c r="D5" s="2" t="s">
        <v>242</v>
      </c>
      <c r="E5" s="9" t="s">
        <v>243</v>
      </c>
      <c r="F5" s="2" t="s">
        <v>245</v>
      </c>
      <c r="G5" s="2" t="s">
        <v>246</v>
      </c>
    </row>
    <row r="6" spans="1:13" x14ac:dyDescent="0.2">
      <c r="A6" s="7">
        <v>2</v>
      </c>
      <c r="C6" s="9">
        <f>MOD($B$4,A6)</f>
        <v>1</v>
      </c>
      <c r="D6" s="2">
        <f>A8</f>
        <v>5</v>
      </c>
      <c r="E6" s="9">
        <f>A9</f>
        <v>7</v>
      </c>
      <c r="F6" s="2">
        <v>1</v>
      </c>
      <c r="G6" s="2">
        <f>MOD($A$4*F6,$D$8)</f>
        <v>7</v>
      </c>
    </row>
    <row r="7" spans="1:13" x14ac:dyDescent="0.2">
      <c r="A7" s="2">
        <v>3</v>
      </c>
      <c r="C7" s="9">
        <f t="shared" ref="C7:C29" si="0">MOD($B$4,A7)</f>
        <v>2</v>
      </c>
      <c r="D7" s="21" t="s">
        <v>244</v>
      </c>
      <c r="E7" s="25"/>
      <c r="F7" s="2">
        <v>2</v>
      </c>
      <c r="G7" s="2">
        <f t="shared" ref="G7:G29" si="1">MOD($A$4*F7,$D$8)</f>
        <v>14</v>
      </c>
    </row>
    <row r="8" spans="1:13" x14ac:dyDescent="0.2">
      <c r="A8" s="2">
        <v>5</v>
      </c>
      <c r="C8" s="9">
        <f t="shared" si="0"/>
        <v>0</v>
      </c>
      <c r="D8" s="21">
        <f>(D6-1)*(E6-1)</f>
        <v>24</v>
      </c>
      <c r="E8" s="25"/>
      <c r="F8" s="2">
        <v>3</v>
      </c>
      <c r="G8" s="2">
        <f t="shared" si="1"/>
        <v>21</v>
      </c>
    </row>
    <row r="9" spans="1:13" x14ac:dyDescent="0.2">
      <c r="A9" s="2">
        <v>7</v>
      </c>
      <c r="C9" s="2">
        <f>MOD($B$4,A9)</f>
        <v>0</v>
      </c>
      <c r="F9" s="2">
        <v>4</v>
      </c>
      <c r="G9" s="2">
        <f t="shared" si="1"/>
        <v>4</v>
      </c>
    </row>
    <row r="10" spans="1:13" x14ac:dyDescent="0.2">
      <c r="A10" s="2">
        <v>11</v>
      </c>
      <c r="C10" s="2">
        <f t="shared" si="0"/>
        <v>2</v>
      </c>
      <c r="F10" s="2">
        <v>5</v>
      </c>
      <c r="G10" s="2">
        <f t="shared" si="1"/>
        <v>11</v>
      </c>
    </row>
    <row r="11" spans="1:13" x14ac:dyDescent="0.2">
      <c r="A11" s="2">
        <v>13</v>
      </c>
      <c r="C11" s="2">
        <f t="shared" si="0"/>
        <v>9</v>
      </c>
      <c r="F11" s="2">
        <v>6</v>
      </c>
      <c r="G11" s="2">
        <f t="shared" si="1"/>
        <v>18</v>
      </c>
    </row>
    <row r="12" spans="1:13" x14ac:dyDescent="0.2">
      <c r="A12" s="2">
        <v>17</v>
      </c>
      <c r="C12" s="2">
        <f t="shared" si="0"/>
        <v>1</v>
      </c>
      <c r="F12" s="2">
        <v>7</v>
      </c>
      <c r="G12" s="2">
        <f t="shared" si="1"/>
        <v>1</v>
      </c>
    </row>
    <row r="13" spans="1:13" x14ac:dyDescent="0.2">
      <c r="A13" s="2">
        <v>19</v>
      </c>
      <c r="C13" s="2">
        <f t="shared" si="0"/>
        <v>16</v>
      </c>
      <c r="F13" s="2">
        <v>8</v>
      </c>
      <c r="G13" s="2">
        <f t="shared" si="1"/>
        <v>8</v>
      </c>
    </row>
    <row r="14" spans="1:13" x14ac:dyDescent="0.2">
      <c r="A14" s="2">
        <v>23</v>
      </c>
      <c r="C14" s="2">
        <f t="shared" si="0"/>
        <v>12</v>
      </c>
      <c r="F14" s="2">
        <v>9</v>
      </c>
      <c r="G14" s="2">
        <f t="shared" si="1"/>
        <v>15</v>
      </c>
    </row>
    <row r="15" spans="1:13" x14ac:dyDescent="0.2">
      <c r="A15" s="2">
        <v>29</v>
      </c>
      <c r="C15" s="2">
        <f t="shared" si="0"/>
        <v>6</v>
      </c>
      <c r="F15" s="2">
        <v>10</v>
      </c>
      <c r="G15" s="2">
        <f t="shared" si="1"/>
        <v>22</v>
      </c>
    </row>
    <row r="16" spans="1:13" x14ac:dyDescent="0.2">
      <c r="A16" s="2">
        <v>31</v>
      </c>
      <c r="C16" s="2">
        <f t="shared" si="0"/>
        <v>4</v>
      </c>
      <c r="F16" s="2">
        <v>11</v>
      </c>
      <c r="G16" s="2">
        <f t="shared" si="1"/>
        <v>5</v>
      </c>
    </row>
    <row r="17" spans="1:7" x14ac:dyDescent="0.2">
      <c r="A17" s="2">
        <v>37</v>
      </c>
      <c r="C17" s="2">
        <f t="shared" si="0"/>
        <v>35</v>
      </c>
      <c r="F17" s="2">
        <v>12</v>
      </c>
      <c r="G17" s="2">
        <f t="shared" si="1"/>
        <v>12</v>
      </c>
    </row>
    <row r="18" spans="1:7" x14ac:dyDescent="0.2">
      <c r="A18" s="2">
        <v>41</v>
      </c>
      <c r="C18" s="2">
        <f t="shared" si="0"/>
        <v>35</v>
      </c>
      <c r="F18" s="2">
        <v>13</v>
      </c>
      <c r="G18" s="2">
        <f t="shared" si="1"/>
        <v>19</v>
      </c>
    </row>
    <row r="19" spans="1:7" x14ac:dyDescent="0.2">
      <c r="A19" s="2">
        <v>47</v>
      </c>
      <c r="C19" s="2">
        <f t="shared" si="0"/>
        <v>35</v>
      </c>
      <c r="F19" s="2">
        <v>14</v>
      </c>
      <c r="G19" s="2">
        <f t="shared" si="1"/>
        <v>2</v>
      </c>
    </row>
    <row r="20" spans="1:7" x14ac:dyDescent="0.2">
      <c r="A20" s="2">
        <v>53</v>
      </c>
      <c r="C20" s="2">
        <f t="shared" si="0"/>
        <v>35</v>
      </c>
      <c r="F20" s="2">
        <v>15</v>
      </c>
      <c r="G20" s="2">
        <f t="shared" si="1"/>
        <v>9</v>
      </c>
    </row>
    <row r="21" spans="1:7" x14ac:dyDescent="0.2">
      <c r="A21" s="2">
        <v>59</v>
      </c>
      <c r="C21" s="2">
        <f t="shared" si="0"/>
        <v>35</v>
      </c>
      <c r="F21" s="2">
        <v>16</v>
      </c>
      <c r="G21" s="2">
        <f t="shared" si="1"/>
        <v>16</v>
      </c>
    </row>
    <row r="22" spans="1:7" x14ac:dyDescent="0.2">
      <c r="A22" s="2">
        <v>61</v>
      </c>
      <c r="C22" s="2">
        <f t="shared" si="0"/>
        <v>35</v>
      </c>
      <c r="F22" s="2">
        <v>17</v>
      </c>
      <c r="G22" s="2">
        <f t="shared" si="1"/>
        <v>23</v>
      </c>
    </row>
    <row r="23" spans="1:7" x14ac:dyDescent="0.2">
      <c r="A23" s="2">
        <v>67</v>
      </c>
      <c r="C23" s="2">
        <f t="shared" si="0"/>
        <v>35</v>
      </c>
      <c r="F23" s="2">
        <v>18</v>
      </c>
      <c r="G23" s="2">
        <f t="shared" si="1"/>
        <v>6</v>
      </c>
    </row>
    <row r="24" spans="1:7" x14ac:dyDescent="0.2">
      <c r="A24" s="2">
        <v>71</v>
      </c>
      <c r="C24" s="2">
        <f t="shared" si="0"/>
        <v>35</v>
      </c>
      <c r="F24" s="2">
        <v>19</v>
      </c>
      <c r="G24" s="2">
        <f t="shared" si="1"/>
        <v>13</v>
      </c>
    </row>
    <row r="25" spans="1:7" x14ac:dyDescent="0.2">
      <c r="A25" s="2">
        <v>73</v>
      </c>
      <c r="C25" s="2">
        <f t="shared" si="0"/>
        <v>35</v>
      </c>
      <c r="F25" s="2">
        <v>20</v>
      </c>
      <c r="G25" s="2">
        <f t="shared" si="1"/>
        <v>20</v>
      </c>
    </row>
    <row r="26" spans="1:7" x14ac:dyDescent="0.2">
      <c r="A26" s="2">
        <v>79</v>
      </c>
      <c r="C26" s="2">
        <f t="shared" si="0"/>
        <v>35</v>
      </c>
      <c r="F26" s="2">
        <v>21</v>
      </c>
      <c r="G26" s="2">
        <f t="shared" si="1"/>
        <v>3</v>
      </c>
    </row>
    <row r="27" spans="1:7" x14ac:dyDescent="0.2">
      <c r="A27" s="2">
        <v>83</v>
      </c>
      <c r="C27" s="2">
        <f t="shared" si="0"/>
        <v>35</v>
      </c>
      <c r="F27" s="2">
        <v>22</v>
      </c>
      <c r="G27" s="2">
        <f t="shared" si="1"/>
        <v>10</v>
      </c>
    </row>
    <row r="28" spans="1:7" x14ac:dyDescent="0.2">
      <c r="A28" s="2">
        <v>89</v>
      </c>
      <c r="C28" s="2">
        <f t="shared" si="0"/>
        <v>35</v>
      </c>
      <c r="F28" s="2">
        <v>23</v>
      </c>
      <c r="G28" s="2">
        <f t="shared" si="1"/>
        <v>17</v>
      </c>
    </row>
    <row r="29" spans="1:7" x14ac:dyDescent="0.2">
      <c r="A29" s="2">
        <v>97</v>
      </c>
      <c r="C29" s="2">
        <f t="shared" si="0"/>
        <v>35</v>
      </c>
      <c r="F29" s="2">
        <v>24</v>
      </c>
      <c r="G29" s="2">
        <f t="shared" si="1"/>
        <v>0</v>
      </c>
    </row>
    <row r="34" spans="1:10" x14ac:dyDescent="0.2">
      <c r="A34" s="10" t="s">
        <v>254</v>
      </c>
    </row>
    <row r="35" spans="1:10" ht="18" x14ac:dyDescent="0.25">
      <c r="A35" s="9" t="s">
        <v>255</v>
      </c>
      <c r="B35" s="2" t="s">
        <v>256</v>
      </c>
      <c r="C35" s="2" t="s">
        <v>257</v>
      </c>
      <c r="D35" s="2" t="s">
        <v>258</v>
      </c>
      <c r="E35" s="24" t="s">
        <v>259</v>
      </c>
      <c r="F35" s="24" t="s">
        <v>260</v>
      </c>
      <c r="G35" s="24" t="s">
        <v>261</v>
      </c>
      <c r="H35" s="24" t="s">
        <v>262</v>
      </c>
      <c r="I35" s="24" t="s">
        <v>264</v>
      </c>
      <c r="J35" s="24" t="s">
        <v>263</v>
      </c>
    </row>
    <row r="36" spans="1:10" x14ac:dyDescent="0.2">
      <c r="A36" s="9" t="s">
        <v>265</v>
      </c>
      <c r="B36" s="2" t="str">
        <f>MID($A$36,1,1)</f>
        <v>О</v>
      </c>
      <c r="C36" s="2" t="str">
        <f>DEC2HEX(CODE(B36))</f>
        <v>8E</v>
      </c>
      <c r="D36" s="2"/>
      <c r="E36" s="2"/>
      <c r="F36" s="2"/>
      <c r="G36" s="2"/>
      <c r="H36" s="2"/>
      <c r="I36" s="2"/>
      <c r="J36" s="2"/>
    </row>
    <row r="37" spans="1:10" x14ac:dyDescent="0.2">
      <c r="B37" s="2" t="str">
        <f>MID($A$36,2,1)</f>
        <v>Л</v>
      </c>
      <c r="C37" s="2" t="str">
        <f t="shared" ref="C37:C39" si="2">DEC2HEX(CODE(B37))</f>
        <v>8B</v>
      </c>
      <c r="D37" s="2" t="str">
        <f>C36&amp;C37</f>
        <v>8E8B</v>
      </c>
      <c r="E37" s="2">
        <f>HEX2DEC(D37)</f>
        <v>36491</v>
      </c>
      <c r="F37" s="2" t="str">
        <f>DEC2HEX(E37+E39)</f>
        <v>1140E</v>
      </c>
      <c r="G37" s="2">
        <f>HEX2DEC(F37)-G39</f>
        <v>5135</v>
      </c>
      <c r="H37" s="2" t="str">
        <f>DEC2HEX(G37)</f>
        <v>140F</v>
      </c>
      <c r="I37" s="2">
        <f>G39-G37</f>
        <v>60400</v>
      </c>
      <c r="J37" s="2" t="str">
        <f>DEC2HEX(I37)</f>
        <v>EBF0</v>
      </c>
    </row>
    <row r="38" spans="1:10" x14ac:dyDescent="0.2">
      <c r="B38" s="2" t="str">
        <f>MID($A$36,3,1)</f>
        <v>Е</v>
      </c>
      <c r="C38" s="2" t="str">
        <f t="shared" si="2"/>
        <v>85</v>
      </c>
      <c r="D38" s="2"/>
      <c r="E38" s="2"/>
      <c r="F38" s="2"/>
      <c r="G38" s="2"/>
      <c r="H38" s="2"/>
    </row>
    <row r="39" spans="1:10" x14ac:dyDescent="0.2">
      <c r="B39" s="2" t="str">
        <f>MID($A$36,4,1)</f>
        <v>Г</v>
      </c>
      <c r="C39" s="2" t="str">
        <f t="shared" si="2"/>
        <v>83</v>
      </c>
      <c r="D39" s="2" t="str">
        <f>C38&amp;C39</f>
        <v>8583</v>
      </c>
      <c r="E39" s="2">
        <f>HEX2DEC(D39)</f>
        <v>34179</v>
      </c>
      <c r="F39" s="2"/>
      <c r="G39" s="2">
        <f>IF(HEX2DEC(F37)&gt;65535,65535,0)</f>
        <v>65535</v>
      </c>
      <c r="H39" s="2" t="str">
        <f>DEC2HEX(G39)</f>
        <v>FFFF</v>
      </c>
    </row>
    <row r="42" spans="1:10" x14ac:dyDescent="0.2">
      <c r="G42" s="2"/>
    </row>
  </sheetData>
  <autoFilter ref="G6:G5465" xr:uid="{5A1BC496-1409-5C46-9814-67F87A47617E}"/>
  <mergeCells count="3">
    <mergeCell ref="A5:B5"/>
    <mergeCell ref="D7:E7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№1-3</vt:lpstr>
      <vt:lpstr>№4-6</vt:lpstr>
      <vt:lpstr>№7-9</vt:lpstr>
      <vt:lpstr>№10-12</vt:lpstr>
      <vt:lpstr>№13-15</vt:lpstr>
      <vt:lpstr>№16-17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2020-11-25T00:13:58Z</dcterms:created>
  <dcterms:modified xsi:type="dcterms:W3CDTF">2020-11-25T06:05:40Z</dcterms:modified>
</cp:coreProperties>
</file>