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LISTA" sheetId="2" r:id="rId5"/>
    <sheet state="visible" name="Lista On-premise" sheetId="3" r:id="rId6"/>
    <sheet state="visible" name="Herramientas" sheetId="4" r:id="rId7"/>
    <sheet state="visible" name="Software" sheetId="5" r:id="rId8"/>
    <sheet state="visible" name="Equipos" sheetId="6" r:id="rId9"/>
    <sheet state="visible" name="Materiales" sheetId="7" r:id="rId10"/>
    <sheet state="visible" name="Servicios" sheetId="8" r:id="rId11"/>
    <sheet state="visible" name="Lista Cloud" sheetId="9" r:id="rId12"/>
    <sheet state="visible" name="AWS" sheetId="10" r:id="rId13"/>
    <sheet state="visible" name="lista Cloud azure" sheetId="11" r:id="rId14"/>
  </sheets>
  <definedNames/>
  <calcPr/>
</workbook>
</file>

<file path=xl/sharedStrings.xml><?xml version="1.0" encoding="utf-8"?>
<sst xmlns="http://schemas.openxmlformats.org/spreadsheetml/2006/main" count="417" uniqueCount="214">
  <si>
    <t>Costos totales del proyecto</t>
  </si>
  <si>
    <t>costo mes</t>
  </si>
  <si>
    <t>costo equipos</t>
  </si>
  <si>
    <t>costo servicios</t>
  </si>
  <si>
    <t>costo total</t>
  </si>
  <si>
    <t>solo cloud aws + azure</t>
  </si>
  <si>
    <t>solo 1 cloud</t>
  </si>
  <si>
    <t>solo on-premise</t>
  </si>
  <si>
    <t>refri + adecu + loca</t>
  </si>
  <si>
    <t>Arquitecturas hyper-convergentes</t>
  </si>
  <si>
    <t>Falabella</t>
  </si>
  <si>
    <t>ventas brutas</t>
  </si>
  <si>
    <t>perdida al mes</t>
  </si>
  <si>
    <t>perdia al dia</t>
  </si>
  <si>
    <t>LISTA</t>
  </si>
  <si>
    <t>NOMBRE</t>
  </si>
  <si>
    <t>unidades</t>
  </si>
  <si>
    <t>Servidor 1</t>
  </si>
  <si>
    <t>Servidor 2</t>
  </si>
  <si>
    <t xml:space="preserve">servidor on premise, </t>
  </si>
  <si>
    <t xml:space="preserve">servidor on premise </t>
  </si>
  <si>
    <t>Users 14 (N +1) N = n cargos</t>
  </si>
  <si>
    <t>Requisitos Recomendados in house</t>
  </si>
  <si>
    <t>Requisitos Recomendados cloud</t>
  </si>
  <si>
    <t>router corporativo</t>
  </si>
  <si>
    <t>Procesador</t>
  </si>
  <si>
    <t>Xeon 1,8GHZ</t>
  </si>
  <si>
    <t>Xeon 1,8 GHZ</t>
  </si>
  <si>
    <t>firewall</t>
  </si>
  <si>
    <t>Ram</t>
  </si>
  <si>
    <t>16Gb</t>
  </si>
  <si>
    <t>16 GIGAS</t>
  </si>
  <si>
    <t>pachpanel</t>
  </si>
  <si>
    <t>DD</t>
  </si>
  <si>
    <t>2 dd de 500 gigas, + 1 tera</t>
  </si>
  <si>
    <t>sw 16 port</t>
  </si>
  <si>
    <t>RED</t>
  </si>
  <si>
    <t>1G</t>
  </si>
  <si>
    <t>Rack</t>
  </si>
  <si>
    <t>Ups</t>
  </si>
  <si>
    <t>suscripcion sles</t>
  </si>
  <si>
    <t>windows server 2019 standar</t>
  </si>
  <si>
    <t>anydesk</t>
  </si>
  <si>
    <t>vmware</t>
  </si>
  <si>
    <t>suscripcion cloud azure</t>
  </si>
  <si>
    <t>suscripcion cloud aws</t>
  </si>
  <si>
    <t>cisco licencia</t>
  </si>
  <si>
    <t>mt utp 6E</t>
  </si>
  <si>
    <t>281,5 m</t>
  </si>
  <si>
    <t>Metros  canaleta</t>
  </si>
  <si>
    <t>rj45</t>
  </si>
  <si>
    <t>pachcore</t>
  </si>
  <si>
    <t>arregladores de cable</t>
  </si>
  <si>
    <t>ponchadora</t>
  </si>
  <si>
    <t>tester de utp</t>
  </si>
  <si>
    <t>manilla</t>
  </si>
  <si>
    <t>provador de tonos</t>
  </si>
  <si>
    <t>costos soporte</t>
  </si>
  <si>
    <t>1 año</t>
  </si>
  <si>
    <t>6,47 millones de visitas totales</t>
  </si>
  <si>
    <t>12 hilos, 3.5 ghz</t>
  </si>
  <si>
    <t>Lista</t>
  </si>
  <si>
    <t>Software</t>
  </si>
  <si>
    <t>Materiales</t>
  </si>
  <si>
    <t>Herramientas</t>
  </si>
  <si>
    <t>Servicios</t>
  </si>
  <si>
    <t>Equipos</t>
  </si>
  <si>
    <t>Nombre</t>
  </si>
  <si>
    <t>Unidades</t>
  </si>
  <si>
    <t>dell</t>
  </si>
  <si>
    <t>servidor on premise 8 gigas</t>
  </si>
  <si>
    <t>https://www.microsoft.com/es-es/windows-server/pricing</t>
  </si>
  <si>
    <t>planos</t>
  </si>
  <si>
    <t>canaleta</t>
  </si>
  <si>
    <t>panchodora</t>
  </si>
  <si>
    <t>Servicios tecnologo</t>
  </si>
  <si>
    <t>servidor on premise 16 gigas</t>
  </si>
  <si>
    <t>Sles</t>
  </si>
  <si>
    <t>utp</t>
  </si>
  <si>
    <t>ponchado de impacto</t>
  </si>
  <si>
    <t>Servicios electricos</t>
  </si>
  <si>
    <t>amazon</t>
  </si>
  <si>
    <t>Router corporativo</t>
  </si>
  <si>
    <t>Red hat</t>
  </si>
  <si>
    <t>asesor externo</t>
  </si>
  <si>
    <t>Firewall</t>
  </si>
  <si>
    <t>Anydesk</t>
  </si>
  <si>
    <t>pach core</t>
  </si>
  <si>
    <t>Probador de tonos</t>
  </si>
  <si>
    <t>abogado</t>
  </si>
  <si>
    <t>sw corporativos 16</t>
  </si>
  <si>
    <t>Antivirus</t>
  </si>
  <si>
    <t>Pach panel 24</t>
  </si>
  <si>
    <t>contador</t>
  </si>
  <si>
    <t>Monitores corporativos</t>
  </si>
  <si>
    <t>Rdp</t>
  </si>
  <si>
    <t>on-premise</t>
  </si>
  <si>
    <t>Son cerca de 107.300 empleados</t>
  </si>
  <si>
    <t>proyecto</t>
  </si>
  <si>
    <t>1 mes</t>
  </si>
  <si>
    <t>12 meses</t>
  </si>
  <si>
    <t>internet</t>
  </si>
  <si>
    <t>Trm</t>
  </si>
  <si>
    <t>https://www.banrep.gov.co/es/estadisticas/trm</t>
  </si>
  <si>
    <t>Trm ajustada</t>
  </si>
  <si>
    <t>Descripcion tecnica</t>
  </si>
  <si>
    <t>cantidad</t>
  </si>
  <si>
    <t>price usd</t>
  </si>
  <si>
    <t>pesos</t>
  </si>
  <si>
    <t>valor  unitario retenciones</t>
  </si>
  <si>
    <t>valor   total</t>
  </si>
  <si>
    <t xml:space="preserve">manilla antiestatica </t>
  </si>
  <si>
    <t>precio unitario</t>
  </si>
  <si>
    <t>precio final</t>
  </si>
  <si>
    <t>Costo total sin racionalizar</t>
  </si>
  <si>
    <t>Edición de Windows Server 2019</t>
  </si>
  <si>
    <t>https://www.suse.com/shop/server/#subnav</t>
  </si>
  <si>
    <t>SUSE Linux Enterprise Server 1 año</t>
  </si>
  <si>
    <t>https://www.redhat.com/en/store</t>
  </si>
  <si>
    <t>red hat enterprise linux server 1 año</t>
  </si>
  <si>
    <t>https://anydesk.com/es/comprar</t>
  </si>
  <si>
    <t>AnyDesk</t>
  </si>
  <si>
    <t>https://www.mcafee.com/en-us/antivirus/smb.html</t>
  </si>
  <si>
    <t>McAfee® Small Business Security 1 año</t>
  </si>
  <si>
    <t>https://store-us.vmware.com/vmware-workstation-16-pro-5424176500.html?theme=2</t>
  </si>
  <si>
    <t>VMware Workstation 16 Pro</t>
  </si>
  <si>
    <t>https://www.microsoft.com/es-es/d/licencia-cal-de-servicios-de-escritorio-remoto-de-windows-server/dg7gmgf0dvsv</t>
  </si>
  <si>
    <t>Licencia CAL de Servicios de Escritorio remoto de Windows Server</t>
  </si>
  <si>
    <t>https://www.amazon.com/-/es/MX67C-HW-Cisco-Meraki-Managed-Firewall/dp/B07KKQMQSD/ref=sr_1_18?__mk_es_US=ÅMÅŽÕÑ&amp;dchild=1&amp;keywords=licence+cisco+firewall&amp;qid=1624664114&amp;sr=8-18</t>
  </si>
  <si>
    <t>MX67C-HW Cisco Meraki, MX67C Meraki Cloud Managed Firewall con: LIC-SEC-1YR - Licencia de seguridad avanzada de Cisco Meraki de 1 año</t>
  </si>
  <si>
    <t>https://www.amazon.com/-/es/Cisco-Meraki-licencia-soporte-empresarial/dp/B01BPA232Q/ref=sr_1_13?__mk_es_US=ÅMÅŽÕÑ&amp;dchild=1&amp;keywords=licence+cisco&amp;qid=1624664303&amp;sr=8-13</t>
  </si>
  <si>
    <t>Cisco licence sw</t>
  </si>
  <si>
    <t>Cisco router licencia</t>
  </si>
  <si>
    <t>contrato soporte hp  1 Año</t>
  </si>
  <si>
    <t>contrato soporte cisco 1 año</t>
  </si>
  <si>
    <t>Total</t>
  </si>
  <si>
    <t>PowerEdge T640 | 2HD de 1TB | 2x 8GB</t>
  </si>
  <si>
    <t>Router VPN RV340 de Cisco con 4 puertos Gigabit Ethernet (GbE) más WAN dual, protección limitada de por vida (RV340-K9-NA), negro</t>
  </si>
  <si>
    <t>Cisco Meraki MX68 Firewall Plus MX68 Advanced Security and Support 3YR BDL extensión de la garantía</t>
  </si>
  <si>
    <t>Interruptor inteligente Cisco Business CBS250-16P-2G | 16 puertos GE | PoE | 2x1G SFP | Protección limitada de por vida (CBS250-16P-2G) (CBS250-16P-2G-NA)\</t>
  </si>
  <si>
    <t>UPS inteligente APC 1500VA con SmartConnect, SMC1500-2UC soporte en rack UPS batería de respaldo, sinewave, AVR, 120V, línea de alimentación ininterrumpida interactiva</t>
  </si>
  <si>
    <t>Monitor Dell: P2219H</t>
  </si>
  <si>
    <t>workstation</t>
  </si>
  <si>
    <t>trm</t>
  </si>
  <si>
    <t>trm ajustada</t>
  </si>
  <si>
    <t>con iva</t>
  </si>
  <si>
    <t>sin iva</t>
  </si>
  <si>
    <t>Canaleta 60 x 40 mm 2 metros ND</t>
  </si>
  <si>
    <t>Cable UTP Categoria 6 CCA+PVP Carrete 305 Metros Propack</t>
  </si>
  <si>
    <t>Bolsa rj45</t>
  </si>
  <si>
    <t>Extensión patch cord 2 metros gris cat 5e 3.6 db</t>
  </si>
  <si>
    <t>Patch Panel Cat 6 de 24 Puertos</t>
  </si>
  <si>
    <t xml:space="preserve"> rack </t>
  </si>
  <si>
    <t>personas</t>
  </si>
  <si>
    <t>puntos</t>
  </si>
  <si>
    <t>internet de dicado 200</t>
  </si>
  <si>
    <t>energia electrica</t>
  </si>
  <si>
    <t>Proyecto Cloud</t>
  </si>
  <si>
    <t>Service Type</t>
  </si>
  <si>
    <t>Components</t>
  </si>
  <si>
    <t>Region</t>
  </si>
  <si>
    <t>Component Price</t>
  </si>
  <si>
    <t>Service Price</t>
  </si>
  <si>
    <t>price</t>
  </si>
  <si>
    <t>precio</t>
  </si>
  <si>
    <t>precio impuestos</t>
  </si>
  <si>
    <t>Servicio Amazon EC2 (EE.UU.Este (Norte de Virginia))PS</t>
  </si>
  <si>
    <t>Calcular:PS</t>
  </si>
  <si>
    <t>US East (N. Virginia)</t>
  </si>
  <si>
    <t xml:space="preserve">16 servidores, 8 winserver 2019 base 16 ram xeon 4 nucleos, 4 sles 16 ram, xeon 4 nuclos, 4 redhat 8 ram, xeon 2 nucleos </t>
  </si>
  <si>
    <t>Transferencia de datos intrarregional:PS</t>
  </si>
  <si>
    <t>Volúmenes de EBS:PS</t>
  </si>
  <si>
    <t>Rendimiento de EBS:PS</t>
  </si>
  <si>
    <t>Instantáneas de EBS:PS</t>
  </si>
  <si>
    <t>IP elásticas:PS</t>
  </si>
  <si>
    <t>Transferencia de datos entre regiones hacia fuera:PS</t>
  </si>
  <si>
    <t>$0.085/hr</t>
  </si>
  <si>
    <t>Entrada de transferencia de datos de AWSPS</t>
  </si>
  <si>
    <t>$0</t>
  </si>
  <si>
    <t>total de horas</t>
  </si>
  <si>
    <t>Región EE. UU. Este (Norte de Virginia):PS</t>
  </si>
  <si>
    <t>Global</t>
  </si>
  <si>
    <t>Salida de transferencia de datos de AWSPS</t>
  </si>
  <si>
    <t>$8.91</t>
  </si>
  <si>
    <t>trafico</t>
  </si>
  <si>
    <t>tranferencia firewall</t>
  </si>
  <si>
    <t>AWS Support (Business)PS</t>
  </si>
  <si>
    <t>Soporte para todos los servicios de AWS:PS</t>
  </si>
  <si>
    <t>Descuento de nivel gratuito :PS</t>
  </si>
  <si>
    <t>$-1.31</t>
  </si>
  <si>
    <t>Pago mensual total:PS</t>
  </si>
  <si>
    <t>$7110.24</t>
  </si>
  <si>
    <t>Costo al año</t>
  </si>
  <si>
    <t xml:space="preserve">8 servidores, 4 winserver 2019 base 16 ram xeon 4 nucleos, 2 sles 16 ram, xeon 4 nuclos, 2 red hat 8 ram, xeon 2 nucleos </t>
  </si>
  <si>
    <t>$2283.03</t>
  </si>
  <si>
    <t>Your Estimate</t>
  </si>
  <si>
    <t>azure</t>
  </si>
  <si>
    <t>Service type</t>
  </si>
  <si>
    <t>Custom name</t>
  </si>
  <si>
    <t>Description</t>
  </si>
  <si>
    <t>Estimated monthly cost</t>
  </si>
  <si>
    <t>Estimated upfront cost</t>
  </si>
  <si>
    <t>Virtual Machines</t>
  </si>
  <si>
    <t/>
  </si>
  <si>
    <t>West US</t>
  </si>
  <si>
    <t>1 E2s v4 (2 vCPUs, 16 GB RAM); Windows – (OS Only); 1 year reserved; 2 managed disks – S30, 10,000 transaction units; Internet egress, 100 GB outbound data transfer from West US routed via Microsoft Global Network</t>
  </si>
  <si>
    <t>2 D4s v4 (4 vCPUs, 16 GB RAM); Windows – (OS Only); 1 year reserved; 2 managed disks – S30, 10,000 transaction units; Internet egress, 100 GB outbound data transfer from West US routed via Microsoft Global Network</t>
  </si>
  <si>
    <t>2 D4s v4 (4 vCPUs, 16 GB RAM); Windows – (OS Only); 1 year reserved; 2 managed disks – S30, 10,000 transaction units; Internet egress, 101 GB outbound data transfer from West US routed via Microsoft Global Network</t>
  </si>
  <si>
    <t>Azure Firewall</t>
  </si>
  <si>
    <t>Standard tier, 1 Logical firewall units x 730 Hours, 100 GB Data processed</t>
  </si>
  <si>
    <t>Support</t>
  </si>
  <si>
    <t>Licensing Program</t>
  </si>
  <si>
    <t>Microsoft Online Services Agreement</t>
  </si>
  <si>
    <t xml:space="preserve">costo al año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</si>
</sst>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#,##0.0000"/>
  </numFmts>
  <fonts count="3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b/>
      <i/>
      <color theme="1"/>
      <name val="Arial"/>
    </font>
    <font/>
    <font>
      <sz val="12.0"/>
      <color rgb="FF000000"/>
      <name val="&quot;Times New Roman&quot;"/>
    </font>
    <font>
      <sz val="9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9.0"/>
      <color rgb="FF000000"/>
      <name val="Arial"/>
    </font>
    <font>
      <sz val="11.0"/>
      <color rgb="FF000000"/>
      <name val="Arial"/>
    </font>
    <font>
      <sz val="11.0"/>
      <color rgb="FF000000"/>
      <name val="&quot;Times New Roman&quot;"/>
    </font>
    <font>
      <b/>
      <sz val="11.0"/>
      <color rgb="FF000000"/>
      <name val="Arial"/>
    </font>
    <font>
      <u/>
      <color rgb="FF1155CC"/>
    </font>
    <font>
      <b/>
      <sz val="36.0"/>
      <color theme="1"/>
      <name val="Arial"/>
    </font>
    <font>
      <u/>
      <color rgb="FF1155CC"/>
    </font>
    <font>
      <sz val="10.0"/>
      <color theme="1"/>
      <name val="Arial"/>
    </font>
    <font>
      <b/>
      <sz val="14.0"/>
      <color theme="1"/>
      <name val="Arial"/>
    </font>
    <font>
      <u/>
      <color rgb="FF0000FF"/>
    </font>
    <font>
      <color rgb="FF000000"/>
      <name val="Arial"/>
    </font>
    <font>
      <u/>
      <color rgb="FF1155CC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4.0"/>
      <color rgb="FF0E7F74"/>
      <name val="Arial"/>
    </font>
    <font>
      <sz val="11.0"/>
      <color rgb="FFFF0000"/>
      <name val="Calibri"/>
    </font>
    <font>
      <b/>
      <sz val="12.0"/>
      <color theme="1"/>
      <name val="&quot;Quattrocento Sans&quot;"/>
    </font>
    <font>
      <sz val="11.0"/>
      <color theme="1"/>
      <name val="Calibri"/>
    </font>
    <font>
      <b/>
      <sz val="11.0"/>
      <color theme="1"/>
      <name val="&quot;Quattrocento Sans&quot;"/>
    </font>
    <font>
      <b/>
      <name val="Arial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C4D300"/>
        <bgColor rgb="FFC4D300"/>
      </patternFill>
    </fill>
    <fill>
      <patternFill patternType="solid">
        <fgColor rgb="FFE8F3B7"/>
        <bgColor rgb="FFE8F3B7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1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4" fontId="3" numFmtId="164" xfId="0" applyAlignment="1" applyFill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0" fontId="1" numFmtId="4" xfId="0" applyAlignment="1" applyFont="1" applyNumberFormat="1">
      <alignment vertical="bottom"/>
    </xf>
    <xf borderId="0" fillId="5" fontId="1" numFmtId="0" xfId="0" applyAlignment="1" applyFill="1" applyFont="1">
      <alignment vertical="bottom"/>
    </xf>
    <xf borderId="0" fillId="3" fontId="1" numFmtId="4" xfId="0" applyAlignment="1" applyFont="1" applyNumberFormat="1">
      <alignment horizontal="right" readingOrder="0" vertical="bottom"/>
    </xf>
    <xf borderId="1" fillId="5" fontId="4" numFmtId="0" xfId="0" applyAlignment="1" applyBorder="1" applyFont="1">
      <alignment horizontal="center" readingOrder="0"/>
    </xf>
    <xf borderId="2" fillId="0" fontId="5" numFmtId="0" xfId="0" applyBorder="1" applyFont="1"/>
    <xf borderId="3" fillId="6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5" fontId="6" numFmtId="0" xfId="0" applyAlignment="1" applyFont="1">
      <alignment horizontal="center" readingOrder="0"/>
    </xf>
    <xf borderId="0" fillId="0" fontId="7" numFmtId="0" xfId="0" applyAlignment="1" applyFont="1">
      <alignment horizontal="left" readingOrder="0" shrinkToFit="0" wrapText="1"/>
    </xf>
    <xf borderId="3" fillId="0" fontId="1" numFmtId="0" xfId="0" applyAlignment="1" applyBorder="1" applyFont="1">
      <alignment readingOrder="0"/>
    </xf>
    <xf borderId="0" fillId="5" fontId="6" numFmtId="0" xfId="0" applyAlignment="1" applyFont="1">
      <alignment horizontal="center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3" fillId="0" fontId="10" numFmtId="0" xfId="0" applyAlignment="1" applyBorder="1" applyFont="1">
      <alignment horizontal="left" readingOrder="0" shrinkToFit="0" wrapText="1"/>
    </xf>
    <xf borderId="3" fillId="0" fontId="11" numFmtId="0" xfId="0" applyAlignment="1" applyBorder="1" applyFont="1">
      <alignment horizontal="left" readingOrder="0" shrinkToFit="0" wrapText="1"/>
    </xf>
    <xf borderId="3" fillId="0" fontId="6" numFmtId="0" xfId="0" applyAlignment="1" applyBorder="1" applyFont="1">
      <alignment horizontal="left" readingOrder="0" shrinkToFit="0" wrapText="1"/>
    </xf>
    <xf borderId="3" fillId="0" fontId="12" numFmtId="0" xfId="0" applyAlignment="1" applyBorder="1" applyFont="1">
      <alignment horizontal="left" readingOrder="0" shrinkToFit="0" wrapText="1"/>
    </xf>
    <xf borderId="3" fillId="0" fontId="1" numFmtId="0" xfId="0" applyAlignment="1" applyBorder="1" applyFont="1">
      <alignment horizontal="right" readingOrder="0"/>
    </xf>
    <xf borderId="3" fillId="0" fontId="1" numFmtId="0" xfId="0" applyBorder="1" applyFont="1"/>
    <xf borderId="3" fillId="0" fontId="1" numFmtId="4" xfId="0" applyBorder="1" applyFont="1" applyNumberFormat="1"/>
    <xf borderId="3" fillId="5" fontId="10" numFmtId="0" xfId="0" applyAlignment="1" applyBorder="1" applyFont="1">
      <alignment readingOrder="0" shrinkToFit="0" vertical="bottom" wrapText="1"/>
    </xf>
    <xf borderId="3" fillId="5" fontId="10" numFmtId="0" xfId="0" applyAlignment="1" applyBorder="1" applyFont="1">
      <alignment shrinkToFit="0" vertical="bottom" wrapText="1"/>
    </xf>
    <xf borderId="3" fillId="0" fontId="10" numFmtId="0" xfId="0" applyAlignment="1" applyBorder="1" applyFont="1">
      <alignment shrinkToFit="0" vertical="bottom" wrapText="1"/>
    </xf>
    <xf borderId="3" fillId="6" fontId="11" numFmtId="0" xfId="0" applyAlignment="1" applyBorder="1" applyFont="1">
      <alignment shrinkToFit="0" vertical="bottom" wrapText="1"/>
    </xf>
    <xf borderId="0" fillId="6" fontId="6" numFmtId="0" xfId="0" applyAlignment="1" applyFont="1">
      <alignment shrinkToFit="0" vertical="bottom" wrapText="1"/>
    </xf>
    <xf borderId="3" fillId="6" fontId="13" numFmtId="0" xfId="0" applyAlignment="1" applyBorder="1" applyFont="1">
      <alignment readingOrder="0" shrinkToFit="0" vertical="bottom" wrapText="1"/>
    </xf>
    <xf borderId="3" fillId="6" fontId="6" numFmtId="0" xfId="0" applyAlignment="1" applyBorder="1" applyFont="1">
      <alignment shrinkToFit="0" vertical="bottom" wrapText="1"/>
    </xf>
    <xf borderId="3" fillId="6" fontId="13" numFmtId="0" xfId="0" applyAlignment="1" applyBorder="1" applyFont="1">
      <alignment shrinkToFit="0" vertical="bottom" wrapText="1"/>
    </xf>
    <xf borderId="3" fillId="6" fontId="12" numFmtId="0" xfId="0" applyAlignment="1" applyBorder="1" applyFont="1">
      <alignment shrinkToFit="0" vertical="bottom" wrapText="1"/>
    </xf>
    <xf borderId="0" fillId="6" fontId="1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3" fontId="1" numFmtId="0" xfId="0" applyFont="1"/>
    <xf borderId="0" fillId="4" fontId="1" numFmtId="0" xfId="0" applyAlignment="1" applyFont="1">
      <alignment readingOrder="0"/>
    </xf>
    <xf borderId="0" fillId="4" fontId="15" numFmtId="164" xfId="0" applyFont="1" applyNumberForma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" numFmtId="164" xfId="0" applyFont="1" applyNumberFormat="1"/>
    <xf borderId="3" fillId="2" fontId="1" numFmtId="0" xfId="0" applyAlignment="1" applyBorder="1" applyFont="1">
      <alignment readingOrder="0"/>
    </xf>
    <xf borderId="3" fillId="3" fontId="1" numFmtId="0" xfId="0" applyAlignment="1" applyBorder="1" applyFont="1">
      <alignment horizontal="center" readingOrder="0"/>
    </xf>
    <xf borderId="3" fillId="0" fontId="1" numFmtId="164" xfId="0" applyBorder="1" applyFont="1" applyNumberFormat="1"/>
    <xf borderId="3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7" fontId="17" numFmtId="164" xfId="0" applyAlignment="1" applyFill="1" applyFont="1" applyNumberFormat="1">
      <alignment readingOrder="0" shrinkToFit="0" wrapText="0"/>
    </xf>
    <xf borderId="0" fillId="3" fontId="1" numFmtId="164" xfId="0" applyFont="1" applyNumberFormat="1"/>
    <xf borderId="0" fillId="7" fontId="17" numFmtId="164" xfId="0" applyAlignment="1" applyFont="1" applyNumberFormat="1">
      <alignment readingOrder="0"/>
    </xf>
    <xf borderId="0" fillId="0" fontId="1" numFmtId="0" xfId="0" applyFont="1"/>
    <xf borderId="0" fillId="2" fontId="18" numFmtId="164" xfId="0" applyFont="1" applyNumberFormat="1"/>
    <xf borderId="0" fillId="0" fontId="19" numFmtId="0" xfId="0" applyAlignment="1" applyFont="1">
      <alignment readingOrder="0"/>
    </xf>
    <xf borderId="0" fillId="2" fontId="1" numFmtId="0" xfId="0" applyAlignment="1" applyFont="1">
      <alignment readingOrder="0"/>
    </xf>
    <xf borderId="3" fillId="3" fontId="1" numFmtId="0" xfId="0" applyAlignment="1" applyBorder="1" applyFont="1">
      <alignment readingOrder="0"/>
    </xf>
    <xf borderId="3" fillId="3" fontId="1" numFmtId="0" xfId="0" applyBorder="1" applyFont="1"/>
    <xf borderId="3" fillId="3" fontId="11" numFmtId="164" xfId="0" applyAlignment="1" applyBorder="1" applyFont="1" applyNumberFormat="1">
      <alignment horizontal="center" readingOrder="0"/>
    </xf>
    <xf borderId="3" fillId="3" fontId="1" numFmtId="164" xfId="0" applyAlignment="1" applyBorder="1" applyFont="1" applyNumberFormat="1">
      <alignment readingOrder="0"/>
    </xf>
    <xf borderId="3" fillId="3" fontId="1" numFmtId="164" xfId="0" applyBorder="1" applyFont="1" applyNumberFormat="1"/>
    <xf borderId="3" fillId="3" fontId="1" numFmtId="164" xfId="0" applyAlignment="1" applyBorder="1" applyFont="1" applyNumberFormat="1">
      <alignment horizontal="center" readingOrder="0"/>
    </xf>
    <xf borderId="3" fillId="3" fontId="17" numFmtId="164" xfId="0" applyAlignment="1" applyBorder="1" applyFont="1" applyNumberFormat="1">
      <alignment readingOrder="0" shrinkToFit="0" wrapText="0"/>
    </xf>
    <xf borderId="3" fillId="7" fontId="20" numFmtId="0" xfId="0" applyAlignment="1" applyBorder="1" applyFont="1">
      <alignment horizontal="left" readingOrder="0"/>
    </xf>
    <xf borderId="3" fillId="7" fontId="17" numFmtId="164" xfId="0" applyAlignment="1" applyBorder="1" applyFont="1" applyNumberFormat="1">
      <alignment readingOrder="0" shrinkToFit="0" wrapText="0"/>
    </xf>
    <xf borderId="3" fillId="7" fontId="17" numFmtId="164" xfId="0" applyAlignment="1" applyBorder="1" applyFont="1" applyNumberFormat="1">
      <alignment readingOrder="0"/>
    </xf>
    <xf borderId="0" fillId="3" fontId="11" numFmtId="164" xfId="0" applyAlignment="1" applyFont="1" applyNumberFormat="1">
      <alignment horizontal="center" readingOrder="0"/>
    </xf>
    <xf borderId="0" fillId="3" fontId="1" numFmtId="164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0" fontId="2" numFmtId="164" xfId="0" applyFont="1" applyNumberFormat="1"/>
    <xf borderId="3" fillId="0" fontId="11" numFmtId="164" xfId="0" applyAlignment="1" applyBorder="1" applyFont="1" applyNumberFormat="1">
      <alignment horizontal="center" readingOrder="0"/>
    </xf>
    <xf borderId="0" fillId="5" fontId="1" numFmtId="4" xfId="0" applyFont="1" applyNumberFormat="1"/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1" numFmtId="164" xfId="0" applyFont="1" applyNumberFormat="1"/>
    <xf borderId="3" fillId="8" fontId="22" numFmtId="0" xfId="0" applyAlignment="1" applyBorder="1" applyFont="1">
      <alignment readingOrder="0" vertical="bottom"/>
    </xf>
    <xf borderId="3" fillId="8" fontId="22" numFmtId="4" xfId="0" applyAlignment="1" applyBorder="1" applyFont="1" applyNumberFormat="1">
      <alignment readingOrder="0" vertical="bottom"/>
    </xf>
    <xf borderId="3" fillId="8" fontId="2" numFmtId="0" xfId="0" applyAlignment="1" applyBorder="1" applyFont="1">
      <alignment vertical="bottom"/>
    </xf>
    <xf borderId="4" fillId="8" fontId="2" numFmtId="0" xfId="0" applyAlignment="1" applyBorder="1" applyFont="1">
      <alignment horizontal="center" readingOrder="0" vertical="center"/>
    </xf>
    <xf borderId="4" fillId="8" fontId="2" numFmtId="0" xfId="0" applyAlignment="1" applyBorder="1" applyFont="1">
      <alignment readingOrder="0" vertical="center"/>
    </xf>
    <xf borderId="1" fillId="8" fontId="22" numFmtId="0" xfId="0" applyAlignment="1" applyBorder="1" applyFont="1">
      <alignment readingOrder="0" vertical="bottom"/>
    </xf>
    <xf borderId="2" fillId="8" fontId="22" numFmtId="0" xfId="0" applyAlignment="1" applyBorder="1" applyFont="1">
      <alignment vertical="bottom"/>
    </xf>
    <xf borderId="3" fillId="8" fontId="2" numFmtId="4" xfId="0" applyAlignment="1" applyBorder="1" applyFont="1" applyNumberFormat="1">
      <alignment vertical="bottom"/>
    </xf>
    <xf borderId="3" fillId="8" fontId="22" numFmtId="0" xfId="0" applyAlignment="1" applyBorder="1" applyFont="1">
      <alignment horizontal="right" readingOrder="0" vertical="bottom"/>
    </xf>
    <xf borderId="5" fillId="0" fontId="5" numFmtId="0" xfId="0" applyBorder="1" applyFont="1"/>
    <xf borderId="3" fillId="9" fontId="1" numFmtId="0" xfId="0" applyAlignment="1" applyBorder="1" applyFont="1">
      <alignment vertical="center"/>
    </xf>
    <xf borderId="3" fillId="9" fontId="23" numFmtId="0" xfId="0" applyAlignment="1" applyBorder="1" applyFont="1">
      <alignment readingOrder="0" vertical="center"/>
    </xf>
    <xf borderId="3" fillId="9" fontId="23" numFmtId="4" xfId="0" applyAlignment="1" applyBorder="1" applyFont="1" applyNumberFormat="1">
      <alignment readingOrder="0" vertical="center"/>
    </xf>
    <xf borderId="3" fillId="9" fontId="23" numFmtId="4" xfId="0" applyAlignment="1" applyBorder="1" applyFont="1" applyNumberFormat="1">
      <alignment horizontal="right" readingOrder="0" vertical="center"/>
    </xf>
    <xf borderId="3" fillId="9" fontId="1" numFmtId="0" xfId="0" applyAlignment="1" applyBorder="1" applyFont="1">
      <alignment readingOrder="0" shrinkToFit="0" wrapText="1"/>
    </xf>
    <xf borderId="3" fillId="9" fontId="1" numFmtId="0" xfId="0" applyAlignment="1" applyBorder="1" applyFont="1">
      <alignment readingOrder="0" vertical="center"/>
    </xf>
    <xf borderId="3" fillId="9" fontId="1" numFmtId="0" xfId="0" applyAlignment="1" applyBorder="1" applyFont="1">
      <alignment horizontal="center" readingOrder="0"/>
    </xf>
    <xf borderId="3" fillId="9" fontId="1" numFmtId="4" xfId="0" applyBorder="1" applyFont="1" applyNumberFormat="1"/>
    <xf borderId="3" fillId="9" fontId="1" numFmtId="164" xfId="0" applyBorder="1" applyFont="1" applyNumberFormat="1"/>
    <xf borderId="3" fillId="9" fontId="1" numFmtId="0" xfId="0" applyAlignment="1" applyBorder="1" applyFont="1">
      <alignment shrinkToFit="0" wrapText="1"/>
    </xf>
    <xf borderId="3" fillId="9" fontId="1" numFmtId="0" xfId="0" applyBorder="1" applyFont="1"/>
    <xf borderId="3" fillId="0" fontId="1" numFmtId="0" xfId="0" applyAlignment="1" applyBorder="1" applyFont="1">
      <alignment vertical="center"/>
    </xf>
    <xf borderId="3" fillId="0" fontId="23" numFmtId="0" xfId="0" applyAlignment="1" applyBorder="1" applyFont="1">
      <alignment readingOrder="0" vertical="center"/>
    </xf>
    <xf borderId="3" fillId="0" fontId="23" numFmtId="4" xfId="0" applyAlignment="1" applyBorder="1" applyFont="1" applyNumberFormat="1">
      <alignment readingOrder="0" vertical="center"/>
    </xf>
    <xf borderId="3" fillId="0" fontId="23" numFmtId="4" xfId="0" applyAlignment="1" applyBorder="1" applyFont="1" applyNumberFormat="1">
      <alignment horizontal="right" readingOrder="0" vertical="center"/>
    </xf>
    <xf borderId="3" fillId="7" fontId="1" numFmtId="0" xfId="0" applyAlignment="1" applyBorder="1" applyFont="1">
      <alignment readingOrder="0"/>
    </xf>
    <xf borderId="3" fillId="7" fontId="1" numFmtId="0" xfId="0" applyAlignment="1" applyBorder="1" applyFont="1">
      <alignment readingOrder="0" vertical="center"/>
    </xf>
    <xf borderId="3" fillId="7" fontId="1" numFmtId="0" xfId="0" applyAlignment="1" applyBorder="1" applyFont="1">
      <alignment horizontal="center" readingOrder="0"/>
    </xf>
    <xf borderId="3" fillId="7" fontId="1" numFmtId="4" xfId="0" applyBorder="1" applyFont="1" applyNumberFormat="1"/>
    <xf borderId="3" fillId="7" fontId="1" numFmtId="164" xfId="0" applyBorder="1" applyFont="1" applyNumberFormat="1"/>
    <xf borderId="3" fillId="0" fontId="1" numFmtId="164" xfId="0" applyBorder="1" applyFont="1" applyNumberFormat="1"/>
    <xf borderId="3" fillId="9" fontId="1" numFmtId="0" xfId="0" applyAlignment="1" applyBorder="1" applyFont="1">
      <alignment readingOrder="0"/>
    </xf>
    <xf borderId="3" fillId="0" fontId="23" numFmtId="0" xfId="0" applyAlignment="1" applyBorder="1" applyFont="1">
      <alignment horizontal="right" readingOrder="0" vertical="center"/>
    </xf>
    <xf borderId="3" fillId="7" fontId="1" numFmtId="0" xfId="0" applyBorder="1" applyFont="1"/>
    <xf borderId="3" fillId="9" fontId="23" numFmtId="0" xfId="0" applyAlignment="1" applyBorder="1" applyFont="1">
      <alignment horizontal="right" readingOrder="0" vertical="center"/>
    </xf>
    <xf borderId="3" fillId="9" fontId="1" numFmtId="4" xfId="0" applyAlignment="1" applyBorder="1" applyFont="1" applyNumberFormat="1">
      <alignment vertical="center"/>
    </xf>
    <xf borderId="3" fillId="0" fontId="1" numFmtId="4" xfId="0" applyAlignment="1" applyBorder="1" applyFont="1" applyNumberFormat="1">
      <alignment vertical="center"/>
    </xf>
    <xf borderId="3" fillId="9" fontId="24" numFmtId="0" xfId="0" applyAlignment="1" applyBorder="1" applyFont="1">
      <alignment horizontal="center" vertical="center"/>
    </xf>
    <xf borderId="3" fillId="9" fontId="1" numFmtId="165" xfId="0" applyAlignment="1" applyBorder="1" applyFont="1" applyNumberFormat="1">
      <alignment horizontal="right" vertical="center"/>
    </xf>
    <xf borderId="1" fillId="0" fontId="23" numFmtId="0" xfId="0" applyAlignment="1" applyBorder="1" applyFont="1">
      <alignment readingOrder="0" vertical="center"/>
    </xf>
    <xf borderId="2" fillId="0" fontId="23" numFmtId="0" xfId="0" applyAlignment="1" applyBorder="1" applyFont="1">
      <alignment vertical="center"/>
    </xf>
    <xf borderId="3" fillId="0" fontId="1" numFmtId="4" xfId="0" applyAlignment="1" applyBorder="1" applyFont="1" applyNumberFormat="1">
      <alignment horizontal="right" vertical="center"/>
    </xf>
    <xf borderId="3" fillId="9" fontId="1" numFmtId="4" xfId="0" applyAlignment="1" applyBorder="1" applyFont="1" applyNumberFormat="1">
      <alignment horizontal="right" vertical="center"/>
    </xf>
    <xf borderId="1" fillId="0" fontId="1" numFmtId="0" xfId="0" applyBorder="1" applyFont="1"/>
    <xf borderId="6" fillId="0" fontId="5" numFmtId="0" xfId="0" applyBorder="1" applyFont="1"/>
    <xf borderId="7" fillId="0" fontId="1" numFmtId="0" xfId="0" applyBorder="1" applyFont="1"/>
    <xf borderId="8" fillId="0" fontId="5" numFmtId="0" xfId="0" applyBorder="1" applyFont="1"/>
    <xf borderId="9" fillId="0" fontId="5" numFmtId="0" xfId="0" applyBorder="1" applyFont="1"/>
    <xf borderId="3" fillId="8" fontId="1" numFmtId="4" xfId="0" applyBorder="1" applyFont="1" applyNumberFormat="1"/>
    <xf borderId="10" fillId="0" fontId="5" numFmtId="0" xfId="0" applyBorder="1" applyFont="1"/>
    <xf borderId="11" fillId="0" fontId="5" numFmtId="0" xfId="0" applyBorder="1" applyFont="1"/>
    <xf borderId="1" fillId="0" fontId="1" numFmtId="0" xfId="0" applyAlignment="1" applyBorder="1" applyFont="1">
      <alignment vertical="center"/>
    </xf>
    <xf borderId="3" fillId="0" fontId="25" numFmtId="0" xfId="0" applyAlignment="1" applyBorder="1" applyFont="1">
      <alignment horizontal="right" readingOrder="0" vertical="center"/>
    </xf>
    <xf borderId="3" fillId="8" fontId="23" numFmtId="0" xfId="0" applyAlignment="1" applyBorder="1" applyFont="1">
      <alignment horizontal="right" readingOrder="0" vertical="center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3" fillId="8" fontId="1" numFmtId="0" xfId="0" applyAlignment="1" applyBorder="1" applyFont="1">
      <alignment readingOrder="0"/>
    </xf>
    <xf borderId="2" fillId="0" fontId="1" numFmtId="0" xfId="0" applyAlignment="1" applyBorder="1" applyFont="1">
      <alignment vertical="center"/>
    </xf>
    <xf borderId="1" fillId="8" fontId="26" numFmtId="0" xfId="0" applyAlignment="1" applyBorder="1" applyFont="1">
      <alignment vertical="top"/>
    </xf>
    <xf borderId="3" fillId="8" fontId="27" numFmtId="0" xfId="0" applyAlignment="1" applyBorder="1" applyFont="1">
      <alignment vertical="top"/>
    </xf>
    <xf borderId="3" fillId="8" fontId="27" numFmtId="164" xfId="0" applyAlignment="1" applyBorder="1" applyFont="1" applyNumberFormat="1">
      <alignment vertical="top"/>
    </xf>
    <xf borderId="4" fillId="8" fontId="2" numFmtId="0" xfId="0" applyAlignment="1" applyBorder="1" applyFont="1">
      <alignment horizontal="center" vertical="center"/>
    </xf>
    <xf borderId="4" fillId="8" fontId="2" numFmtId="0" xfId="0" applyAlignment="1" applyBorder="1" applyFont="1">
      <alignment vertical="center"/>
    </xf>
    <xf borderId="4" fillId="8" fontId="2" numFmtId="0" xfId="0" applyAlignment="1" applyBorder="1" applyFont="1">
      <alignment shrinkToFit="0" vertical="center" wrapText="0"/>
    </xf>
    <xf borderId="3" fillId="8" fontId="28" numFmtId="0" xfId="0" applyAlignment="1" applyBorder="1" applyFont="1">
      <alignment shrinkToFit="0" vertical="top" wrapText="1"/>
    </xf>
    <xf borderId="3" fillId="8" fontId="28" numFmtId="164" xfId="0" applyAlignment="1" applyBorder="1" applyFont="1" applyNumberFormat="1">
      <alignment vertical="top"/>
    </xf>
    <xf borderId="3" fillId="8" fontId="29" numFmtId="0" xfId="0" applyAlignment="1" applyBorder="1" applyFont="1">
      <alignment vertical="bottom"/>
    </xf>
    <xf borderId="0" fillId="7" fontId="29" numFmtId="0" xfId="0" applyAlignment="1" applyFont="1">
      <alignment vertical="bottom"/>
    </xf>
    <xf borderId="3" fillId="9" fontId="27" numFmtId="0" xfId="0" applyAlignment="1" applyBorder="1" applyFont="1">
      <alignment vertical="top"/>
    </xf>
    <xf borderId="3" fillId="9" fontId="27" numFmtId="0" xfId="0" applyAlignment="1" applyBorder="1" applyFont="1">
      <alignment shrinkToFit="0" vertical="top" wrapText="1"/>
    </xf>
    <xf borderId="3" fillId="9" fontId="27" numFmtId="164" xfId="0" applyAlignment="1" applyBorder="1" applyFont="1" applyNumberFormat="1">
      <alignment vertical="top"/>
    </xf>
    <xf borderId="3" fillId="9" fontId="30" numFmtId="0" xfId="0" applyAlignment="1" applyBorder="1" applyFont="1">
      <alignment vertical="bottom"/>
    </xf>
    <xf borderId="3" fillId="9" fontId="1" numFmtId="0" xfId="0" applyAlignment="1" applyBorder="1" applyFont="1">
      <alignment shrinkToFit="0" vertical="bottom" wrapText="1"/>
    </xf>
    <xf borderId="3" fillId="9" fontId="30" numFmtId="0" xfId="0" applyAlignment="1" applyBorder="1" applyFont="1">
      <alignment horizontal="right" vertical="bottom"/>
    </xf>
    <xf borderId="3" fillId="9" fontId="1" numFmtId="164" xfId="0" applyAlignment="1" applyBorder="1" applyFont="1" applyNumberFormat="1">
      <alignment horizontal="right" vertical="bottom"/>
    </xf>
    <xf borderId="3" fillId="9" fontId="1" numFmtId="164" xfId="0" applyAlignment="1" applyBorder="1" applyFont="1" applyNumberFormat="1">
      <alignment horizontal="right" vertical="bottom"/>
    </xf>
    <xf borderId="3" fillId="9" fontId="30" numFmtId="0" xfId="0" applyAlignment="1" applyBorder="1" applyFont="1">
      <alignment horizontal="right" readingOrder="0" shrinkToFit="0" vertical="bottom" wrapText="1"/>
    </xf>
    <xf borderId="0" fillId="7" fontId="30" numFmtId="0" xfId="0" applyAlignment="1" applyFont="1">
      <alignment vertical="bottom"/>
    </xf>
    <xf borderId="3" fillId="0" fontId="27" numFmtId="0" xfId="0" applyAlignment="1" applyBorder="1" applyFont="1">
      <alignment vertical="top"/>
    </xf>
    <xf borderId="3" fillId="0" fontId="27" numFmtId="0" xfId="0" applyAlignment="1" applyBorder="1" applyFont="1">
      <alignment shrinkToFit="0" vertical="top" wrapText="1"/>
    </xf>
    <xf borderId="3" fillId="0" fontId="27" numFmtId="164" xfId="0" applyAlignment="1" applyBorder="1" applyFont="1" applyNumberFormat="1">
      <alignment vertical="top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  <xf borderId="3" fillId="7" fontId="30" numFmtId="0" xfId="0" applyAlignment="1" applyBorder="1" applyFont="1">
      <alignment horizontal="right" readingOrder="0" shrinkToFit="0" vertical="bottom" wrapText="1"/>
    </xf>
    <xf borderId="3" fillId="0" fontId="30" numFmtId="0" xfId="0" applyAlignment="1" applyBorder="1" applyFont="1">
      <alignment horizontal="right" readingOrder="0" shrinkToFit="0" vertical="bottom" wrapText="1"/>
    </xf>
    <xf borderId="3" fillId="9" fontId="28" numFmtId="0" xfId="0" applyAlignment="1" applyBorder="1" applyFont="1">
      <alignment shrinkToFit="0" vertical="top" wrapText="1"/>
    </xf>
    <xf borderId="7" fillId="0" fontId="1" numFmtId="0" xfId="0" applyAlignment="1" applyBorder="1" applyFont="1">
      <alignment vertical="bottom"/>
    </xf>
    <xf borderId="7" fillId="9" fontId="1" numFmtId="0" xfId="0" applyAlignment="1" applyBorder="1" applyFont="1">
      <alignment vertical="bottom"/>
    </xf>
    <xf borderId="7" fillId="0" fontId="1" numFmtId="0" xfId="0" applyAlignment="1" applyBorder="1" applyFont="1">
      <alignment shrinkToFit="0" vertical="bottom" wrapText="1"/>
    </xf>
    <xf borderId="0" fillId="0" fontId="27" numFmtId="0" xfId="0" applyAlignment="1" applyFont="1">
      <alignment vertical="top"/>
    </xf>
    <xf borderId="3" fillId="0" fontId="28" numFmtId="0" xfId="0" applyAlignment="1" applyBorder="1" applyFont="1">
      <alignment shrinkToFit="0" vertical="top" wrapText="1"/>
    </xf>
    <xf borderId="3" fillId="0" fontId="28" numFmtId="164" xfId="0" applyAlignment="1" applyBorder="1" applyFont="1" applyNumberFormat="1">
      <alignment shrinkToFit="0" vertical="top" wrapText="1"/>
    </xf>
    <xf borderId="3" fillId="9" fontId="28" numFmtId="164" xfId="0" applyAlignment="1" applyBorder="1" applyFont="1" applyNumberFormat="1">
      <alignment vertical="top"/>
    </xf>
    <xf borderId="0" fillId="7" fontId="5" numFmtId="0" xfId="0" applyFont="1"/>
    <xf borderId="3" fillId="7" fontId="30" numFmtId="0" xfId="0" applyAlignment="1" applyBorder="1" applyFont="1">
      <alignment vertical="bottom"/>
    </xf>
    <xf borderId="3" fillId="0" fontId="30" numFmtId="0" xfId="0" applyAlignment="1" applyBorder="1" applyFont="1">
      <alignment vertical="bottom"/>
    </xf>
    <xf borderId="3" fillId="9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1238250</xdr:colOff>
      <xdr:row>9</xdr:row>
      <xdr:rowOff>142875</xdr:rowOff>
    </xdr:from>
    <xdr:ext cx="7029450" cy="36766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19</xdr:row>
      <xdr:rowOff>38100</xdr:rowOff>
    </xdr:from>
    <xdr:ext cx="7620000" cy="39909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es-es/windows-server/pric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rep.gov.co/es/estadisticas/tr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rep.gov.co/es/estadisticas/trm" TargetMode="External"/><Relationship Id="rId2" Type="http://schemas.openxmlformats.org/officeDocument/2006/relationships/hyperlink" Target="https://www.microsoft.com/es-es/windows-server/pricing" TargetMode="External"/><Relationship Id="rId3" Type="http://schemas.openxmlformats.org/officeDocument/2006/relationships/hyperlink" Target="https://www.suse.com/shop/server/" TargetMode="External"/><Relationship Id="rId4" Type="http://schemas.openxmlformats.org/officeDocument/2006/relationships/hyperlink" Target="https://www.redhat.com/en/store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www.amazon.com/-/es/Cisco-Meraki-licencia-soporte-empresarial/dp/B01BPA232Q/ref=sr_1_13?__mk_es_US=%C3%85M%C3%85%C5%BD%C3%95%C3%91&amp;dchild=1&amp;keywords=licence+cisco&amp;qid=1624664303&amp;sr=8-13" TargetMode="External"/><Relationship Id="rId9" Type="http://schemas.openxmlformats.org/officeDocument/2006/relationships/hyperlink" Target="https://www.amazon.com/-/es/MX67C-HW-Cisco-Meraki-Managed-Firewall/dp/B07KKQMQSD/ref=sr_1_18?__mk_es_US=%C3%85M%C3%85%C5%BD%C3%95%C3%91&amp;dchild=1&amp;keywords=licence+cisco+firewall&amp;qid=1624664114&amp;sr=8-18" TargetMode="External"/><Relationship Id="rId5" Type="http://schemas.openxmlformats.org/officeDocument/2006/relationships/hyperlink" Target="https://anydesk.com/es/comprar" TargetMode="External"/><Relationship Id="rId6" Type="http://schemas.openxmlformats.org/officeDocument/2006/relationships/hyperlink" Target="https://www.mcafee.com/en-us/antivirus/smb.html" TargetMode="External"/><Relationship Id="rId7" Type="http://schemas.openxmlformats.org/officeDocument/2006/relationships/hyperlink" Target="https://store-us.vmware.com/vmware-workstation-16-pro-5424176500.html?theme=2" TargetMode="External"/><Relationship Id="rId8" Type="http://schemas.openxmlformats.org/officeDocument/2006/relationships/hyperlink" Target="https://www.microsoft.com/es-es/d/licencia-cal-de-servicios-de-escritorio-remoto-de-windows-server/dg7gmgf0dvsv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rep.gov.co/es/estadisticas/trm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rep.gov.co/es/estadisticas/trm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/>
      <c r="B2" s="2"/>
      <c r="C2" s="2"/>
      <c r="D2" s="2"/>
      <c r="E2" s="2"/>
    </row>
    <row r="3">
      <c r="A3" s="2" t="s">
        <v>5</v>
      </c>
      <c r="B3" s="3" t="str">
        <f>E3/12</f>
        <v>#REF!</v>
      </c>
      <c r="C3" s="3" t="str">
        <f>'lista Cloud azure'!T15+'Lista Cloud aws'!Q20</f>
        <v>#REF!</v>
      </c>
      <c r="D3" s="4" t="str">
        <f>'servicios cloud'!L21</f>
        <v>#REF!</v>
      </c>
      <c r="E3" s="3" t="str">
        <f>C3+D3</f>
        <v>#REF!</v>
      </c>
    </row>
    <row r="4">
      <c r="A4" s="2"/>
      <c r="B4" s="2"/>
      <c r="C4" s="2"/>
      <c r="D4" s="2"/>
      <c r="E4" s="2"/>
    </row>
    <row r="5">
      <c r="A5" s="2" t="s">
        <v>6</v>
      </c>
      <c r="B5" s="3" t="str">
        <f>E5/12</f>
        <v>#REF!</v>
      </c>
      <c r="C5" s="3" t="str">
        <f>C3/2</f>
        <v>#REF!</v>
      </c>
      <c r="D5" s="4" t="str">
        <f>D3*70%</f>
        <v>#REF!</v>
      </c>
      <c r="E5" s="3" t="str">
        <f>C5+D5</f>
        <v>#REF!</v>
      </c>
    </row>
    <row r="6">
      <c r="A6" s="2"/>
      <c r="B6" s="2"/>
      <c r="C6" s="2"/>
      <c r="D6" s="2"/>
      <c r="E6" s="2"/>
    </row>
    <row r="7">
      <c r="A7" s="2" t="s">
        <v>7</v>
      </c>
      <c r="B7" s="4">
        <f>E7/12</f>
        <v>9872369.442</v>
      </c>
      <c r="C7" s="4">
        <f>Equipos!M21+Software!M24+Materiales!M21</f>
        <v>118468433.3</v>
      </c>
      <c r="D7" s="4" t="str">
        <f>Servicios!M22</f>
        <v/>
      </c>
      <c r="E7" s="5">
        <f>C7+D7</f>
        <v>118468433.3</v>
      </c>
    </row>
    <row r="8">
      <c r="A8" s="2"/>
      <c r="B8" s="2"/>
      <c r="C8" s="2"/>
      <c r="D8" s="2"/>
      <c r="E8" s="2"/>
    </row>
    <row r="9">
      <c r="A9" s="2" t="s">
        <v>8</v>
      </c>
      <c r="B9" s="6">
        <f>(12000000+5000000+5000000)+(22000000+6000000)+(5000000)</f>
        <v>55000000</v>
      </c>
      <c r="C9" s="6">
        <f>B9+C7</f>
        <v>173468433.3</v>
      </c>
      <c r="D9" s="4" t="str">
        <f>D7</f>
        <v/>
      </c>
      <c r="E9" s="4">
        <f>D9+C9</f>
        <v>173468433.3</v>
      </c>
    </row>
    <row r="10">
      <c r="A10" s="7"/>
      <c r="B10" s="8">
        <f>E9/12</f>
        <v>14455702.78</v>
      </c>
      <c r="C10" s="7"/>
      <c r="D10" s="7"/>
      <c r="E10" s="7"/>
    </row>
    <row r="11">
      <c r="A11" s="7" t="s">
        <v>9</v>
      </c>
      <c r="B11" s="7"/>
      <c r="C11" s="7"/>
      <c r="D11" s="7"/>
      <c r="E11" s="9">
        <f>E7+E9</f>
        <v>291936866.6</v>
      </c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10" t="s">
        <v>10</v>
      </c>
      <c r="B15" s="7"/>
      <c r="C15" s="11"/>
      <c r="D15" s="7"/>
      <c r="E15" s="7"/>
    </row>
    <row r="16">
      <c r="A16" s="12" t="s">
        <v>11</v>
      </c>
      <c r="B16" s="2"/>
      <c r="C16" s="13">
        <v>4.1442500149248E13</v>
      </c>
      <c r="D16" s="7"/>
      <c r="E16" s="7"/>
    </row>
    <row r="17">
      <c r="A17" s="12" t="s">
        <v>12</v>
      </c>
      <c r="B17" s="2"/>
      <c r="C17" s="6">
        <f>C16/12</f>
        <v>3453541679104</v>
      </c>
      <c r="D17" s="7"/>
      <c r="E17" s="7"/>
    </row>
    <row r="18">
      <c r="A18" s="12" t="s">
        <v>13</v>
      </c>
      <c r="B18" s="2"/>
      <c r="C18" s="6">
        <f>C17/30</f>
        <v>115118055970</v>
      </c>
      <c r="D18" s="7"/>
      <c r="E18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  <col customWidth="1" min="2" max="2" width="29.14"/>
    <col customWidth="1" min="3" max="3" width="22.29"/>
    <col customWidth="1" min="11" max="11" width="24.14"/>
    <col customWidth="1" min="12" max="12" width="29.29"/>
    <col customWidth="1" min="16" max="16" width="17.57"/>
    <col customWidth="1" min="19" max="19" width="24.0"/>
    <col customWidth="1" min="20" max="20" width="31.14"/>
    <col customWidth="1" min="22" max="22" width="17.57"/>
  </cols>
  <sheetData>
    <row r="1">
      <c r="A1" s="90" t="s">
        <v>157</v>
      </c>
    </row>
    <row r="2">
      <c r="A2" s="91" t="s">
        <v>143</v>
      </c>
      <c r="B2" s="92">
        <f>Equipos!B1</f>
        <v>3739.03</v>
      </c>
    </row>
    <row r="3">
      <c r="A3" s="91" t="s">
        <v>144</v>
      </c>
      <c r="B3" s="92">
        <f>Equipos!B2</f>
        <v>3851.2009</v>
      </c>
    </row>
    <row r="6">
      <c r="A6" s="93" t="s">
        <v>158</v>
      </c>
      <c r="B6" s="93" t="s">
        <v>159</v>
      </c>
      <c r="C6" s="94" t="s">
        <v>160</v>
      </c>
      <c r="D6" s="94" t="s">
        <v>161</v>
      </c>
      <c r="E6" s="93" t="s">
        <v>162</v>
      </c>
      <c r="F6" s="95"/>
      <c r="G6" s="95"/>
      <c r="H6" s="95"/>
      <c r="K6" s="96" t="s">
        <v>66</v>
      </c>
      <c r="L6" s="96" t="s">
        <v>67</v>
      </c>
      <c r="M6" s="96" t="s">
        <v>68</v>
      </c>
      <c r="N6" s="97" t="s">
        <v>163</v>
      </c>
      <c r="O6" s="97" t="s">
        <v>164</v>
      </c>
      <c r="P6" s="97" t="s">
        <v>165</v>
      </c>
      <c r="S6" s="97" t="s">
        <v>105</v>
      </c>
      <c r="T6" s="97" t="s">
        <v>106</v>
      </c>
      <c r="U6" s="97" t="s">
        <v>112</v>
      </c>
      <c r="V6" s="97" t="s">
        <v>113</v>
      </c>
    </row>
    <row r="7">
      <c r="A7" s="98" t="s">
        <v>166</v>
      </c>
      <c r="B7" s="99"/>
      <c r="C7" s="100"/>
      <c r="D7" s="100"/>
      <c r="E7" s="101">
        <v>2067.88</v>
      </c>
      <c r="F7" s="95"/>
      <c r="G7" s="95"/>
      <c r="H7" s="95"/>
      <c r="K7" s="102"/>
      <c r="L7" s="102"/>
      <c r="M7" s="102"/>
      <c r="N7" s="102"/>
      <c r="O7" s="102"/>
      <c r="P7" s="102"/>
      <c r="S7" s="102"/>
      <c r="T7" s="102"/>
      <c r="U7" s="102"/>
      <c r="V7" s="102"/>
    </row>
    <row r="8">
      <c r="A8" s="103"/>
      <c r="B8" s="104" t="s">
        <v>167</v>
      </c>
      <c r="C8" s="105" t="s">
        <v>168</v>
      </c>
      <c r="D8" s="106">
        <v>1876.88</v>
      </c>
      <c r="E8" s="103"/>
      <c r="F8" s="103"/>
      <c r="G8" s="103"/>
      <c r="H8" s="103"/>
      <c r="K8" s="107" t="s">
        <v>193</v>
      </c>
      <c r="L8" s="108" t="str">
        <f t="shared" ref="L8:L14" si="2">B8</f>
        <v>Calcular:PS</v>
      </c>
      <c r="M8" s="109">
        <v>1.0</v>
      </c>
      <c r="N8" s="110">
        <f t="shared" ref="N8:N14" si="3">D8</f>
        <v>1876.88</v>
      </c>
      <c r="O8" s="111">
        <f>N8*B3</f>
        <v>7228241.945</v>
      </c>
      <c r="P8" s="111">
        <f t="shared" ref="P8:P18" si="4">O8*1.045</f>
        <v>7553512.833</v>
      </c>
      <c r="S8" s="112" t="str">
        <f t="shared" ref="S8:U8" si="1">K8</f>
        <v>8 servidores, 4 winserver 2019 base 16 ram xeon 4 nucleos, 2 sles 16 ram, xeon 4 nuclos, 2 red hat 8 ram, xeon 2 nucleos </v>
      </c>
      <c r="T8" s="103" t="str">
        <f t="shared" si="1"/>
        <v>Calcular:PS</v>
      </c>
      <c r="U8" s="113">
        <f t="shared" si="1"/>
        <v>1</v>
      </c>
      <c r="V8" s="111">
        <f t="shared" ref="V8:V20" si="6">P8</f>
        <v>7553512.833</v>
      </c>
    </row>
    <row r="9">
      <c r="A9" s="114"/>
      <c r="B9" s="115" t="s">
        <v>170</v>
      </c>
      <c r="C9" s="116" t="s">
        <v>168</v>
      </c>
      <c r="D9" s="117">
        <v>1.0</v>
      </c>
      <c r="E9" s="114"/>
      <c r="F9" s="114"/>
      <c r="G9" s="114"/>
      <c r="H9" s="114"/>
      <c r="K9" s="118"/>
      <c r="L9" s="119" t="str">
        <f t="shared" si="2"/>
        <v>Transferencia de datos intrarregional:PS</v>
      </c>
      <c r="M9" s="120">
        <v>1.0</v>
      </c>
      <c r="N9" s="121">
        <f t="shared" si="3"/>
        <v>1</v>
      </c>
      <c r="O9" s="122">
        <f>N9*B3</f>
        <v>3851.2009</v>
      </c>
      <c r="P9" s="122">
        <f t="shared" si="4"/>
        <v>4024.504941</v>
      </c>
      <c r="S9" s="29"/>
      <c r="T9" s="114" t="str">
        <f t="shared" ref="T9:U9" si="5">L9</f>
        <v>Transferencia de datos intrarregional:PS</v>
      </c>
      <c r="U9" s="29">
        <f t="shared" si="5"/>
        <v>1</v>
      </c>
      <c r="V9" s="123">
        <f t="shared" si="6"/>
        <v>4024.504941</v>
      </c>
    </row>
    <row r="10">
      <c r="A10" s="103"/>
      <c r="B10" s="104" t="s">
        <v>171</v>
      </c>
      <c r="C10" s="105" t="s">
        <v>168</v>
      </c>
      <c r="D10" s="106">
        <v>180.0</v>
      </c>
      <c r="E10" s="103"/>
      <c r="F10" s="103"/>
      <c r="G10" s="103"/>
      <c r="H10" s="103"/>
      <c r="K10" s="124"/>
      <c r="L10" s="108" t="str">
        <f t="shared" si="2"/>
        <v>Volúmenes de EBS:PS</v>
      </c>
      <c r="M10" s="109">
        <v>1.0</v>
      </c>
      <c r="N10" s="110">
        <f t="shared" si="3"/>
        <v>180</v>
      </c>
      <c r="O10" s="111">
        <f>N10*B3</f>
        <v>693216.162</v>
      </c>
      <c r="P10" s="111">
        <f t="shared" si="4"/>
        <v>724410.8893</v>
      </c>
      <c r="S10" s="113"/>
      <c r="T10" s="103" t="str">
        <f t="shared" ref="T10:U10" si="7">L10</f>
        <v>Volúmenes de EBS:PS</v>
      </c>
      <c r="U10" s="113">
        <f t="shared" si="7"/>
        <v>1</v>
      </c>
      <c r="V10" s="111">
        <f t="shared" si="6"/>
        <v>724410.8893</v>
      </c>
    </row>
    <row r="11">
      <c r="A11" s="114"/>
      <c r="B11" s="115" t="s">
        <v>172</v>
      </c>
      <c r="C11" s="115" t="s">
        <v>168</v>
      </c>
      <c r="D11" s="125">
        <v>0.0</v>
      </c>
      <c r="E11" s="114"/>
      <c r="F11" s="114"/>
      <c r="G11" s="114"/>
      <c r="H11" s="114"/>
      <c r="K11" s="118"/>
      <c r="L11" s="119" t="str">
        <f t="shared" si="2"/>
        <v>Rendimiento de EBS:PS</v>
      </c>
      <c r="M11" s="120">
        <v>1.0</v>
      </c>
      <c r="N11" s="126">
        <f t="shared" si="3"/>
        <v>0</v>
      </c>
      <c r="O11" s="122">
        <f>N11*B3</f>
        <v>0</v>
      </c>
      <c r="P11" s="122">
        <f t="shared" si="4"/>
        <v>0</v>
      </c>
      <c r="S11" s="29"/>
      <c r="T11" s="114" t="str">
        <f t="shared" ref="T11:U11" si="8">L11</f>
        <v>Rendimiento de EBS:PS</v>
      </c>
      <c r="U11" s="29">
        <f t="shared" si="8"/>
        <v>1</v>
      </c>
      <c r="V11" s="123">
        <f t="shared" si="6"/>
        <v>0</v>
      </c>
    </row>
    <row r="12">
      <c r="A12" s="103"/>
      <c r="B12" s="104" t="s">
        <v>173</v>
      </c>
      <c r="C12" s="104" t="s">
        <v>168</v>
      </c>
      <c r="D12" s="127">
        <v>0.8</v>
      </c>
      <c r="E12" s="103"/>
      <c r="F12" s="103"/>
      <c r="G12" s="103"/>
      <c r="H12" s="128"/>
      <c r="K12" s="124"/>
      <c r="L12" s="108" t="str">
        <f t="shared" si="2"/>
        <v>Instantáneas de EBS:PS</v>
      </c>
      <c r="M12" s="109">
        <v>1.0</v>
      </c>
      <c r="N12" s="113">
        <f t="shared" si="3"/>
        <v>0.8</v>
      </c>
      <c r="O12" s="111">
        <f>N12*B3</f>
        <v>3080.96072</v>
      </c>
      <c r="P12" s="111">
        <f t="shared" si="4"/>
        <v>3219.603952</v>
      </c>
      <c r="S12" s="113"/>
      <c r="T12" s="103" t="str">
        <f t="shared" ref="T12:U12" si="9">L12</f>
        <v>Instantáneas de EBS:PS</v>
      </c>
      <c r="U12" s="113">
        <f t="shared" si="9"/>
        <v>1</v>
      </c>
      <c r="V12" s="111">
        <f t="shared" si="6"/>
        <v>3219.603952</v>
      </c>
    </row>
    <row r="13">
      <c r="A13" s="114"/>
      <c r="B13" s="115" t="s">
        <v>174</v>
      </c>
      <c r="C13" s="115" t="s">
        <v>168</v>
      </c>
      <c r="D13" s="125">
        <v>7.2</v>
      </c>
      <c r="E13" s="114"/>
      <c r="F13" s="114"/>
      <c r="G13" s="114"/>
      <c r="H13" s="129"/>
      <c r="K13" s="118"/>
      <c r="L13" s="119" t="str">
        <f t="shared" si="2"/>
        <v>IP elásticas:PS</v>
      </c>
      <c r="M13" s="120">
        <v>1.0</v>
      </c>
      <c r="N13" s="126">
        <f t="shared" si="3"/>
        <v>7.2</v>
      </c>
      <c r="O13" s="122">
        <f>N13*B3</f>
        <v>27728.64648</v>
      </c>
      <c r="P13" s="122">
        <f t="shared" si="4"/>
        <v>28976.43557</v>
      </c>
      <c r="S13" s="29"/>
      <c r="T13" s="114" t="str">
        <f t="shared" ref="T13:U13" si="10">L13</f>
        <v>IP elásticas:PS</v>
      </c>
      <c r="U13" s="29">
        <f t="shared" si="10"/>
        <v>1</v>
      </c>
      <c r="V13" s="123">
        <f t="shared" si="6"/>
        <v>28976.43557</v>
      </c>
    </row>
    <row r="14">
      <c r="A14" s="103"/>
      <c r="B14" s="104" t="s">
        <v>175</v>
      </c>
      <c r="C14" s="104" t="s">
        <v>168</v>
      </c>
      <c r="D14" s="127">
        <v>2.0</v>
      </c>
      <c r="E14" s="103"/>
      <c r="F14" s="103" t="s">
        <v>28</v>
      </c>
      <c r="G14" s="130" t="s">
        <v>176</v>
      </c>
      <c r="H14" s="131">
        <v>0.085</v>
      </c>
      <c r="K14" s="124"/>
      <c r="L14" s="108" t="str">
        <f t="shared" si="2"/>
        <v>Transferencia de datos entre regiones hacia fuera:PS</v>
      </c>
      <c r="M14" s="109">
        <v>1.0</v>
      </c>
      <c r="N14" s="113">
        <f t="shared" si="3"/>
        <v>2</v>
      </c>
      <c r="O14" s="111">
        <f>N14*B3</f>
        <v>7702.4018</v>
      </c>
      <c r="P14" s="111">
        <f t="shared" si="4"/>
        <v>8049.009881</v>
      </c>
      <c r="S14" s="113"/>
      <c r="T14" s="103" t="str">
        <f t="shared" ref="T14:U14" si="11">L14</f>
        <v>Transferencia de datos entre regiones hacia fuera:PS</v>
      </c>
      <c r="U14" s="113">
        <f t="shared" si="11"/>
        <v>1</v>
      </c>
      <c r="V14" s="111">
        <f t="shared" si="6"/>
        <v>8049.009881</v>
      </c>
    </row>
    <row r="15">
      <c r="A15" s="132" t="s">
        <v>177</v>
      </c>
      <c r="B15" s="133"/>
      <c r="C15" s="114"/>
      <c r="D15" s="114"/>
      <c r="E15" s="125">
        <v>0.0</v>
      </c>
      <c r="F15" s="114"/>
      <c r="G15" s="114" t="s">
        <v>179</v>
      </c>
      <c r="H15" s="134">
        <v>720.0</v>
      </c>
      <c r="K15" s="126"/>
      <c r="L15" s="119" t="str">
        <f>C16</f>
        <v>Global</v>
      </c>
      <c r="M15" s="120">
        <v>1.0</v>
      </c>
      <c r="N15" s="126">
        <f>D18</f>
        <v>8.91</v>
      </c>
      <c r="O15" s="122">
        <f>N15*B3</f>
        <v>34314.20002</v>
      </c>
      <c r="P15" s="122">
        <f t="shared" si="4"/>
        <v>35858.33902</v>
      </c>
      <c r="S15" s="29"/>
      <c r="T15" s="114" t="str">
        <f t="shared" ref="T15:U15" si="12">L15</f>
        <v>Global</v>
      </c>
      <c r="U15" s="29">
        <f t="shared" si="12"/>
        <v>1</v>
      </c>
      <c r="V15" s="123">
        <f t="shared" si="6"/>
        <v>35858.33902</v>
      </c>
    </row>
    <row r="16">
      <c r="A16" s="103"/>
      <c r="B16" s="104" t="s">
        <v>180</v>
      </c>
      <c r="C16" s="104" t="s">
        <v>181</v>
      </c>
      <c r="D16" s="127">
        <v>0.0</v>
      </c>
      <c r="E16" s="103"/>
      <c r="F16" s="103"/>
      <c r="G16" s="103" t="s">
        <v>4</v>
      </c>
      <c r="H16" s="135">
        <f>H15*H14</f>
        <v>61.2</v>
      </c>
      <c r="K16" s="113"/>
      <c r="L16" s="108" t="str">
        <f>B20</f>
        <v>Soporte para todos los servicios de AWS:PS</v>
      </c>
      <c r="M16" s="109">
        <v>1.0</v>
      </c>
      <c r="N16" s="113">
        <f>D20</f>
        <v>207.55</v>
      </c>
      <c r="O16" s="111">
        <f>N16*B3</f>
        <v>799316.7468</v>
      </c>
      <c r="P16" s="111">
        <f t="shared" si="4"/>
        <v>835286.0004</v>
      </c>
      <c r="S16" s="113"/>
      <c r="T16" s="103" t="str">
        <f t="shared" ref="T16:U16" si="13">L16</f>
        <v>Soporte para todos los servicios de AWS:PS</v>
      </c>
      <c r="U16" s="113">
        <f t="shared" si="13"/>
        <v>1</v>
      </c>
      <c r="V16" s="111">
        <f t="shared" si="6"/>
        <v>835286.0004</v>
      </c>
    </row>
    <row r="17">
      <c r="A17" s="132" t="s">
        <v>182</v>
      </c>
      <c r="B17" s="133"/>
      <c r="C17" s="114"/>
      <c r="D17" s="114"/>
      <c r="E17" s="125">
        <v>8.91</v>
      </c>
      <c r="F17" s="114"/>
      <c r="G17" s="114" t="s">
        <v>184</v>
      </c>
      <c r="H17" s="134">
        <f>E19</f>
        <v>207.55</v>
      </c>
      <c r="K17" s="126"/>
      <c r="L17" s="119" t="str">
        <f>F14</f>
        <v>firewall</v>
      </c>
      <c r="M17" s="120">
        <v>1.0</v>
      </c>
      <c r="N17" s="121">
        <f t="shared" ref="N17:N18" si="15">H16</f>
        <v>61.2</v>
      </c>
      <c r="O17" s="122">
        <f>N17*B3</f>
        <v>235693.4951</v>
      </c>
      <c r="P17" s="122">
        <f t="shared" si="4"/>
        <v>246299.7024</v>
      </c>
      <c r="S17" s="29"/>
      <c r="T17" s="114" t="str">
        <f t="shared" ref="T17:U17" si="14">L17</f>
        <v>firewall</v>
      </c>
      <c r="U17" s="29">
        <f t="shared" si="14"/>
        <v>1</v>
      </c>
      <c r="V17" s="123">
        <f t="shared" si="6"/>
        <v>246299.7024</v>
      </c>
    </row>
    <row r="18">
      <c r="A18" s="103"/>
      <c r="B18" s="104" t="s">
        <v>180</v>
      </c>
      <c r="C18" s="104" t="s">
        <v>181</v>
      </c>
      <c r="D18" s="127">
        <v>8.91</v>
      </c>
      <c r="E18" s="103"/>
      <c r="F18" s="103"/>
      <c r="G18" s="103"/>
      <c r="H18" s="135">
        <f>H17+H16</f>
        <v>268.75</v>
      </c>
      <c r="K18" s="113"/>
      <c r="L18" s="108" t="s">
        <v>185</v>
      </c>
      <c r="M18" s="109">
        <v>1.0</v>
      </c>
      <c r="N18" s="110">
        <f t="shared" si="15"/>
        <v>207.55</v>
      </c>
      <c r="O18" s="111">
        <f>N18*B3</f>
        <v>799316.7468</v>
      </c>
      <c r="P18" s="111">
        <f t="shared" si="4"/>
        <v>835286.0004</v>
      </c>
      <c r="S18" s="113"/>
      <c r="T18" s="103" t="str">
        <f t="shared" ref="T18:U18" si="16">L18</f>
        <v>tranferencia firewall</v>
      </c>
      <c r="U18" s="113">
        <f t="shared" si="16"/>
        <v>1</v>
      </c>
      <c r="V18" s="111">
        <f t="shared" si="6"/>
        <v>835286.0004</v>
      </c>
    </row>
    <row r="19">
      <c r="A19" s="132" t="s">
        <v>186</v>
      </c>
      <c r="B19" s="133"/>
      <c r="C19" s="114"/>
      <c r="D19" s="114"/>
      <c r="E19" s="125">
        <v>207.55</v>
      </c>
      <c r="F19" s="114"/>
      <c r="G19" s="114"/>
      <c r="H19" s="114"/>
      <c r="K19" s="136"/>
      <c r="L19" s="137"/>
      <c r="M19" s="137"/>
      <c r="N19" s="137"/>
      <c r="O19" s="137"/>
      <c r="P19" s="15"/>
      <c r="S19" s="138"/>
      <c r="T19" s="139"/>
      <c r="U19" s="140"/>
      <c r="V19" s="29" t="str">
        <f t="shared" si="6"/>
        <v/>
      </c>
    </row>
    <row r="20">
      <c r="A20" s="103"/>
      <c r="B20" s="104" t="s">
        <v>187</v>
      </c>
      <c r="C20" s="103"/>
      <c r="D20" s="127">
        <v>207.55</v>
      </c>
      <c r="E20" s="103"/>
      <c r="F20" s="103"/>
      <c r="G20" s="103"/>
      <c r="H20" s="103"/>
      <c r="K20" s="136"/>
      <c r="L20" s="137"/>
      <c r="M20" s="15"/>
      <c r="N20" s="141">
        <f>SUM(N8:N18)</f>
        <v>2553.09</v>
      </c>
      <c r="O20" s="111">
        <f>N20*B3</f>
        <v>9832462.506</v>
      </c>
      <c r="P20" s="111">
        <f>O20*1.045</f>
        <v>10274923.32</v>
      </c>
      <c r="S20" s="142"/>
      <c r="U20" s="143"/>
      <c r="V20" s="111">
        <f t="shared" si="6"/>
        <v>10274923.32</v>
      </c>
    </row>
    <row r="21">
      <c r="A21" s="144"/>
      <c r="B21" s="151"/>
      <c r="C21" s="115" t="s">
        <v>188</v>
      </c>
      <c r="D21" s="114"/>
      <c r="E21" s="145" t="s">
        <v>189</v>
      </c>
      <c r="F21" s="114"/>
      <c r="G21" s="114"/>
      <c r="H21" s="114"/>
      <c r="S21" s="142"/>
      <c r="U21" s="143"/>
      <c r="V21" s="29"/>
    </row>
    <row r="22">
      <c r="A22" s="144"/>
      <c r="B22" s="151"/>
      <c r="C22" s="115" t="s">
        <v>190</v>
      </c>
      <c r="D22" s="114"/>
      <c r="E22" s="146" t="s">
        <v>194</v>
      </c>
      <c r="F22" s="114"/>
      <c r="G22" s="114"/>
      <c r="H22" s="114"/>
      <c r="S22" s="147"/>
      <c r="T22" s="148"/>
      <c r="U22" s="149"/>
      <c r="V22" s="29"/>
    </row>
    <row r="23">
      <c r="S23" s="136"/>
      <c r="T23" s="15"/>
      <c r="U23" s="150" t="s">
        <v>192</v>
      </c>
      <c r="V23" s="111">
        <f>V20*12</f>
        <v>123299079.8</v>
      </c>
    </row>
  </sheetData>
  <mergeCells count="14">
    <mergeCell ref="T6:T7"/>
    <mergeCell ref="U6:U7"/>
    <mergeCell ref="V6:V7"/>
    <mergeCell ref="K19:P19"/>
    <mergeCell ref="S19:U22"/>
    <mergeCell ref="K20:M20"/>
    <mergeCell ref="S23:T23"/>
    <mergeCell ref="K6:K7"/>
    <mergeCell ref="L6:L7"/>
    <mergeCell ref="M6:M7"/>
    <mergeCell ref="N6:N7"/>
    <mergeCell ref="O6:O7"/>
    <mergeCell ref="P6:P7"/>
    <mergeCell ref="S6:S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7.86"/>
    <col customWidth="1" min="3" max="3" width="10.14"/>
    <col customWidth="1" min="4" max="4" width="71.0"/>
    <col customWidth="1" min="5" max="5" width="23.86"/>
    <col customWidth="1" min="6" max="6" width="22.14"/>
    <col customWidth="1" min="10" max="10" width="29.43"/>
    <col customWidth="1" min="12" max="12" width="20.0"/>
    <col customWidth="1" min="14" max="14" width="16.14"/>
    <col customWidth="1" min="17" max="17" width="23.71"/>
    <col customWidth="1" min="18" max="18" width="34.14"/>
    <col customWidth="1" min="19" max="19" width="18.71"/>
  </cols>
  <sheetData>
    <row r="1">
      <c r="A1" s="90" t="s">
        <v>157</v>
      </c>
    </row>
    <row r="2">
      <c r="A2" s="91" t="s">
        <v>143</v>
      </c>
      <c r="B2" s="92">
        <f>Equipos!B1</f>
        <v>3739.03</v>
      </c>
    </row>
    <row r="3">
      <c r="A3" s="91" t="s">
        <v>144</v>
      </c>
      <c r="B3" s="92">
        <f>Equipos!B2</f>
        <v>3851.2009</v>
      </c>
    </row>
    <row r="5">
      <c r="A5" s="152" t="s">
        <v>195</v>
      </c>
      <c r="B5" s="137"/>
      <c r="C5" s="15"/>
      <c r="D5" s="153"/>
      <c r="E5" s="154"/>
      <c r="F5" s="154"/>
      <c r="I5" s="155" t="s">
        <v>196</v>
      </c>
      <c r="J5" s="155" t="s">
        <v>67</v>
      </c>
      <c r="K5" s="155" t="s">
        <v>68</v>
      </c>
      <c r="L5" s="156" t="s">
        <v>163</v>
      </c>
      <c r="M5" s="156" t="s">
        <v>164</v>
      </c>
      <c r="N5" s="157" t="s">
        <v>165</v>
      </c>
    </row>
    <row r="6">
      <c r="A6" s="158" t="s">
        <v>197</v>
      </c>
      <c r="B6" s="158" t="s">
        <v>198</v>
      </c>
      <c r="C6" s="158" t="s">
        <v>160</v>
      </c>
      <c r="D6" s="158" t="s">
        <v>199</v>
      </c>
      <c r="E6" s="159" t="s">
        <v>200</v>
      </c>
      <c r="F6" s="159" t="s">
        <v>201</v>
      </c>
      <c r="I6" s="102"/>
      <c r="J6" s="102"/>
      <c r="K6" s="102"/>
      <c r="L6" s="102"/>
      <c r="M6" s="102"/>
      <c r="N6" s="102"/>
      <c r="Q6" s="160" t="s">
        <v>105</v>
      </c>
      <c r="R6" s="160" t="s">
        <v>106</v>
      </c>
      <c r="S6" s="160" t="s">
        <v>113</v>
      </c>
      <c r="T6" s="161"/>
    </row>
    <row r="7">
      <c r="A7" s="162" t="s">
        <v>202</v>
      </c>
      <c r="B7" s="162" t="s">
        <v>203</v>
      </c>
      <c r="C7" s="162" t="s">
        <v>204</v>
      </c>
      <c r="D7" s="163" t="s">
        <v>205</v>
      </c>
      <c r="E7" s="164">
        <v>222.727</v>
      </c>
      <c r="F7" s="164">
        <v>0.0</v>
      </c>
      <c r="I7" s="165"/>
      <c r="J7" s="166" t="str">
        <f t="shared" ref="J7:J10" si="1">D7</f>
        <v>1 E2s v4 (2 vCPUs, 16 GB RAM); Windows – (OS Only); 1 year reserved; 2 managed disks – S30, 10,000 transaction units; Internet egress, 100 GB outbound data transfer from West US routed via Microsoft Global Network</v>
      </c>
      <c r="K7" s="167">
        <v>1.0</v>
      </c>
      <c r="L7" s="168">
        <f t="shared" ref="L7:L10" si="2">E7</f>
        <v>222.727</v>
      </c>
      <c r="M7" s="169">
        <f>L7*B3</f>
        <v>857766.4229</v>
      </c>
      <c r="N7" s="169">
        <f t="shared" ref="N7:N10" si="3">M7*1.045</f>
        <v>896365.9119</v>
      </c>
      <c r="Q7" s="166" t="str">
        <f t="shared" ref="Q7:Q10" si="4">J7</f>
        <v>1 E2s v4 (2 vCPUs, 16 GB RAM); Windows – (OS Only); 1 year reserved; 2 managed disks – S30, 10,000 transaction units; Internet egress, 100 GB outbound data transfer from West US routed via Microsoft Global Network</v>
      </c>
      <c r="R7" s="170">
        <v>1.0</v>
      </c>
      <c r="S7" s="169">
        <f t="shared" ref="S7:S10" si="5">N7</f>
        <v>896365.9119</v>
      </c>
      <c r="T7" s="171"/>
    </row>
    <row r="8">
      <c r="A8" s="172" t="s">
        <v>202</v>
      </c>
      <c r="B8" s="172" t="s">
        <v>203</v>
      </c>
      <c r="C8" s="172" t="s">
        <v>204</v>
      </c>
      <c r="D8" s="173" t="s">
        <v>206</v>
      </c>
      <c r="E8" s="174">
        <v>562.3699</v>
      </c>
      <c r="F8" s="174">
        <v>0.0</v>
      </c>
      <c r="I8" s="175"/>
      <c r="J8" s="176" t="str">
        <f t="shared" si="1"/>
        <v>2 D4s v4 (4 vCPUs, 16 GB RAM); Windows – (OS Only); 1 year reserved; 2 managed disks – S30, 10,000 transaction units; Internet egress, 100 GB outbound data transfer from West US routed via Microsoft Global Network</v>
      </c>
      <c r="K8" s="177">
        <v>1.0</v>
      </c>
      <c r="L8" s="178">
        <f t="shared" si="2"/>
        <v>562.3699</v>
      </c>
      <c r="M8" s="179">
        <f>L8*B3</f>
        <v>2165799.465</v>
      </c>
      <c r="N8" s="179">
        <f t="shared" si="3"/>
        <v>2263260.441</v>
      </c>
      <c r="Q8" s="176" t="str">
        <f t="shared" si="4"/>
        <v>2 D4s v4 (4 vCPUs, 16 GB RAM); Windows – (OS Only); 1 year reserved; 2 managed disks – S30, 10,000 transaction units; Internet egress, 100 GB outbound data transfer from West US routed via Microsoft Global Network</v>
      </c>
      <c r="R8" s="180">
        <v>1.0</v>
      </c>
      <c r="S8" s="179">
        <f t="shared" si="5"/>
        <v>2263260.441</v>
      </c>
      <c r="T8" s="171"/>
    </row>
    <row r="9">
      <c r="A9" s="162" t="s">
        <v>202</v>
      </c>
      <c r="B9" s="162" t="s">
        <v>203</v>
      </c>
      <c r="C9" s="162" t="s">
        <v>204</v>
      </c>
      <c r="D9" s="163" t="s">
        <v>207</v>
      </c>
      <c r="E9" s="164">
        <v>562.4574</v>
      </c>
      <c r="F9" s="164">
        <v>0.0</v>
      </c>
      <c r="I9" s="165"/>
      <c r="J9" s="166" t="str">
        <f t="shared" si="1"/>
        <v>2 D4s v4 (4 vCPUs, 16 GB RAM); Windows – (OS Only); 1 year reserved; 2 managed disks – S30, 10,000 transaction units; Internet egress, 101 GB outbound data transfer from West US routed via Microsoft Global Network</v>
      </c>
      <c r="K9" s="167">
        <v>1.0</v>
      </c>
      <c r="L9" s="168">
        <f t="shared" si="2"/>
        <v>562.4574</v>
      </c>
      <c r="M9" s="169">
        <f>L9*B3</f>
        <v>2166136.445</v>
      </c>
      <c r="N9" s="169">
        <f t="shared" si="3"/>
        <v>2263612.585</v>
      </c>
      <c r="Q9" s="166" t="str">
        <f t="shared" si="4"/>
        <v>2 D4s v4 (4 vCPUs, 16 GB RAM); Windows – (OS Only); 1 year reserved; 2 managed disks – S30, 10,000 transaction units; Internet egress, 101 GB outbound data transfer from West US routed via Microsoft Global Network</v>
      </c>
      <c r="R9" s="170">
        <v>1.0</v>
      </c>
      <c r="S9" s="169">
        <f t="shared" si="5"/>
        <v>2263612.585</v>
      </c>
      <c r="T9" s="171"/>
    </row>
    <row r="10">
      <c r="A10" s="172" t="s">
        <v>208</v>
      </c>
      <c r="B10" s="172" t="s">
        <v>203</v>
      </c>
      <c r="C10" s="172" t="s">
        <v>204</v>
      </c>
      <c r="D10" s="173" t="s">
        <v>209</v>
      </c>
      <c r="E10" s="174">
        <v>914.1</v>
      </c>
      <c r="F10" s="174">
        <v>0.0</v>
      </c>
      <c r="I10" s="175"/>
      <c r="J10" s="176" t="str">
        <f t="shared" si="1"/>
        <v>Standard tier, 1 Logical firewall units x 730 Hours, 100 GB Data processed</v>
      </c>
      <c r="K10" s="177">
        <v>1.0</v>
      </c>
      <c r="L10" s="178">
        <f t="shared" si="2"/>
        <v>914.1</v>
      </c>
      <c r="M10" s="179">
        <f>L10*B3</f>
        <v>3520382.743</v>
      </c>
      <c r="N10" s="179">
        <f t="shared" si="3"/>
        <v>3678799.966</v>
      </c>
      <c r="Q10" s="176" t="str">
        <f t="shared" si="4"/>
        <v>Standard tier, 1 Logical firewall units x 730 Hours, 100 GB Data processed</v>
      </c>
      <c r="R10" s="181">
        <v>1.0</v>
      </c>
      <c r="S10" s="179">
        <f t="shared" si="5"/>
        <v>3678799.966</v>
      </c>
      <c r="T10" s="171"/>
    </row>
    <row r="11">
      <c r="A11" s="162" t="s">
        <v>210</v>
      </c>
      <c r="B11" s="162"/>
      <c r="C11" s="162"/>
      <c r="D11" s="182" t="s">
        <v>210</v>
      </c>
      <c r="E11" s="164">
        <v>0.0</v>
      </c>
      <c r="F11" s="164">
        <v>0.0</v>
      </c>
      <c r="I11" s="183"/>
      <c r="J11" s="139"/>
      <c r="K11" s="140"/>
      <c r="L11" s="184"/>
      <c r="M11" s="139"/>
      <c r="N11" s="140"/>
      <c r="Q11" s="185" t="str">
        <f>I11</f>
        <v/>
      </c>
      <c r="R11" s="139"/>
      <c r="S11" s="140"/>
      <c r="T11" s="171"/>
    </row>
    <row r="12">
      <c r="A12" s="186"/>
      <c r="B12" s="186"/>
      <c r="C12" s="186"/>
      <c r="D12" s="187" t="s">
        <v>211</v>
      </c>
      <c r="E12" s="188" t="s">
        <v>212</v>
      </c>
      <c r="F12" s="174"/>
      <c r="I12" s="142"/>
      <c r="K12" s="143"/>
      <c r="L12" s="147"/>
      <c r="M12" s="148"/>
      <c r="N12" s="149"/>
      <c r="Q12" s="142"/>
      <c r="S12" s="143"/>
      <c r="T12" s="171"/>
    </row>
    <row r="13">
      <c r="A13" s="186"/>
      <c r="B13" s="186"/>
      <c r="C13" s="186"/>
      <c r="D13" s="182" t="s">
        <v>135</v>
      </c>
      <c r="E13" s="189">
        <v>2261.6543</v>
      </c>
      <c r="F13" s="189">
        <v>0.0</v>
      </c>
      <c r="I13" s="142"/>
      <c r="K13" s="143"/>
      <c r="L13" s="165"/>
      <c r="M13" s="165"/>
      <c r="N13" s="169">
        <f>SUM(N7:N10)</f>
        <v>9102038.904</v>
      </c>
      <c r="Q13" s="147"/>
      <c r="R13" s="148"/>
      <c r="S13" s="149"/>
      <c r="T13" s="190"/>
    </row>
    <row r="14">
      <c r="I14" s="142"/>
      <c r="K14" s="143"/>
      <c r="L14" s="191"/>
      <c r="M14" s="191"/>
      <c r="N14" s="191"/>
      <c r="Q14" s="165"/>
      <c r="R14" s="165"/>
      <c r="S14" s="169">
        <f>N13</f>
        <v>9102038.904</v>
      </c>
      <c r="T14" s="190"/>
    </row>
    <row r="15">
      <c r="I15" s="142"/>
      <c r="K15" s="143"/>
      <c r="L15" s="191"/>
      <c r="M15" s="191"/>
      <c r="N15" s="191"/>
      <c r="Q15" s="192"/>
      <c r="R15" s="192"/>
      <c r="S15" s="192"/>
      <c r="T15" s="190"/>
    </row>
    <row r="16">
      <c r="I16" s="147"/>
      <c r="J16" s="148"/>
      <c r="K16" s="149"/>
      <c r="L16" s="165" t="s">
        <v>213</v>
      </c>
      <c r="M16" s="165"/>
      <c r="N16" s="169">
        <f>N13*12</f>
        <v>109224466.8</v>
      </c>
      <c r="Q16" s="165"/>
      <c r="R16" s="193" t="str">
        <f>L16</f>
        <v>costo al año </v>
      </c>
      <c r="S16" s="169">
        <f>N16</f>
        <v>109224466.8</v>
      </c>
      <c r="T16" s="171"/>
    </row>
    <row r="17">
      <c r="I17" s="7"/>
      <c r="T17" s="190"/>
    </row>
    <row r="18">
      <c r="T18" s="190"/>
    </row>
    <row r="19">
      <c r="T19" s="190"/>
    </row>
    <row r="20">
      <c r="T20" s="190"/>
    </row>
    <row r="21">
      <c r="T21" s="190"/>
    </row>
    <row r="22">
      <c r="T22" s="190"/>
    </row>
    <row r="23">
      <c r="T23" s="190"/>
    </row>
  </sheetData>
  <mergeCells count="10">
    <mergeCell ref="I11:K16"/>
    <mergeCell ref="L11:N12"/>
    <mergeCell ref="Q11:S13"/>
    <mergeCell ref="A5:C5"/>
    <mergeCell ref="I5:I6"/>
    <mergeCell ref="J5:J6"/>
    <mergeCell ref="K5:K6"/>
    <mergeCell ref="L5:L6"/>
    <mergeCell ref="M5:M6"/>
    <mergeCell ref="N5:N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14"/>
    <col customWidth="1" min="3" max="3" width="8.86"/>
    <col customWidth="1" min="4" max="4" width="19.71"/>
  </cols>
  <sheetData>
    <row r="1">
      <c r="B1" s="14" t="s">
        <v>14</v>
      </c>
      <c r="C1" s="15"/>
    </row>
    <row r="3">
      <c r="B3" s="16" t="s">
        <v>15</v>
      </c>
      <c r="C3" s="16" t="s">
        <v>16</v>
      </c>
      <c r="D3" s="17"/>
      <c r="E3" s="18" t="s">
        <v>17</v>
      </c>
      <c r="F3" s="19"/>
      <c r="H3" s="19"/>
      <c r="I3" s="18" t="s">
        <v>18</v>
      </c>
      <c r="J3" s="19"/>
    </row>
    <row r="4" ht="16.5" customHeight="1">
      <c r="B4" s="20" t="s">
        <v>19</v>
      </c>
      <c r="C4" s="20">
        <v>2.0</v>
      </c>
      <c r="E4" s="21"/>
      <c r="F4" s="22"/>
      <c r="H4" s="23"/>
      <c r="I4" s="21"/>
      <c r="J4" s="22"/>
    </row>
    <row r="5">
      <c r="B5" s="20" t="s">
        <v>20</v>
      </c>
      <c r="C5" s="20">
        <v>2.0</v>
      </c>
      <c r="E5" s="24" t="s">
        <v>21</v>
      </c>
      <c r="F5" s="24" t="s">
        <v>22</v>
      </c>
      <c r="G5" s="24" t="s">
        <v>23</v>
      </c>
      <c r="H5" s="23"/>
      <c r="I5" s="24" t="s">
        <v>21</v>
      </c>
      <c r="J5" s="24" t="s">
        <v>22</v>
      </c>
      <c r="K5" s="24" t="s">
        <v>23</v>
      </c>
    </row>
    <row r="6" ht="18.0" customHeight="1">
      <c r="B6" s="20" t="s">
        <v>24</v>
      </c>
      <c r="C6" s="20">
        <v>2.0</v>
      </c>
      <c r="E6" s="25" t="s">
        <v>25</v>
      </c>
      <c r="F6" s="26" t="s">
        <v>26</v>
      </c>
      <c r="G6" s="26" t="s">
        <v>27</v>
      </c>
      <c r="H6" s="23"/>
      <c r="I6" s="25" t="s">
        <v>25</v>
      </c>
      <c r="J6" s="26" t="s">
        <v>26</v>
      </c>
      <c r="K6" s="26" t="s">
        <v>27</v>
      </c>
    </row>
    <row r="7">
      <c r="B7" s="20" t="s">
        <v>28</v>
      </c>
      <c r="C7" s="20">
        <v>1.0</v>
      </c>
      <c r="E7" s="25" t="s">
        <v>29</v>
      </c>
      <c r="F7" s="26" t="s">
        <v>30</v>
      </c>
      <c r="G7" s="27" t="s">
        <v>31</v>
      </c>
      <c r="H7" s="23"/>
      <c r="I7" s="25" t="s">
        <v>29</v>
      </c>
      <c r="J7" s="26" t="s">
        <v>30</v>
      </c>
      <c r="K7" s="27" t="s">
        <v>31</v>
      </c>
    </row>
    <row r="8">
      <c r="B8" s="20" t="s">
        <v>32</v>
      </c>
      <c r="C8" s="20">
        <v>2.0</v>
      </c>
      <c r="E8" s="25" t="s">
        <v>33</v>
      </c>
      <c r="F8" s="25" t="s">
        <v>34</v>
      </c>
      <c r="G8" s="25" t="s">
        <v>34</v>
      </c>
      <c r="I8" s="25" t="s">
        <v>33</v>
      </c>
      <c r="J8" s="25" t="s">
        <v>34</v>
      </c>
      <c r="K8" s="25" t="s">
        <v>34</v>
      </c>
    </row>
    <row r="9">
      <c r="B9" s="20" t="s">
        <v>35</v>
      </c>
      <c r="C9" s="20">
        <v>2.0</v>
      </c>
      <c r="E9" s="27" t="s">
        <v>36</v>
      </c>
      <c r="F9" s="27" t="s">
        <v>37</v>
      </c>
      <c r="G9" s="27" t="s">
        <v>37</v>
      </c>
      <c r="I9" s="27" t="s">
        <v>36</v>
      </c>
      <c r="J9" s="27" t="s">
        <v>37</v>
      </c>
      <c r="K9" s="27" t="s">
        <v>37</v>
      </c>
    </row>
    <row r="10">
      <c r="B10" s="20" t="s">
        <v>38</v>
      </c>
      <c r="C10" s="20">
        <v>2.0</v>
      </c>
    </row>
    <row r="11">
      <c r="B11" s="20" t="s">
        <v>39</v>
      </c>
      <c r="C11" s="20">
        <v>2.0</v>
      </c>
    </row>
    <row r="12">
      <c r="B12" s="20" t="s">
        <v>40</v>
      </c>
      <c r="C12" s="20">
        <v>1.0</v>
      </c>
    </row>
    <row r="13">
      <c r="B13" s="20" t="s">
        <v>41</v>
      </c>
      <c r="C13" s="20">
        <v>2.0</v>
      </c>
    </row>
    <row r="14">
      <c r="B14" s="20" t="s">
        <v>42</v>
      </c>
      <c r="C14" s="20">
        <v>2.0</v>
      </c>
    </row>
    <row r="15">
      <c r="B15" s="20" t="s">
        <v>43</v>
      </c>
      <c r="C15" s="20">
        <v>2.0</v>
      </c>
    </row>
    <row r="16">
      <c r="B16" s="20" t="s">
        <v>44</v>
      </c>
      <c r="C16" s="20">
        <v>1.0</v>
      </c>
    </row>
    <row r="17">
      <c r="B17" s="20" t="s">
        <v>45</v>
      </c>
      <c r="C17" s="20">
        <v>1.0</v>
      </c>
    </row>
    <row r="18">
      <c r="B18" s="20" t="s">
        <v>46</v>
      </c>
      <c r="C18" s="20">
        <v>3.0</v>
      </c>
    </row>
    <row r="19">
      <c r="B19" s="20" t="s">
        <v>47</v>
      </c>
      <c r="C19" s="28" t="s">
        <v>48</v>
      </c>
    </row>
    <row r="20">
      <c r="B20" s="20" t="s">
        <v>49</v>
      </c>
      <c r="C20" s="20">
        <f>77+110.7</f>
        <v>187.7</v>
      </c>
    </row>
    <row r="21">
      <c r="B21" s="20" t="s">
        <v>50</v>
      </c>
      <c r="C21" s="20">
        <v>72.0</v>
      </c>
    </row>
    <row r="22">
      <c r="B22" s="20" t="s">
        <v>51</v>
      </c>
      <c r="C22" s="20">
        <v>12.0</v>
      </c>
    </row>
    <row r="23">
      <c r="B23" s="20" t="s">
        <v>52</v>
      </c>
      <c r="C23" s="29"/>
    </row>
    <row r="24">
      <c r="B24" s="20" t="s">
        <v>53</v>
      </c>
      <c r="C24" s="20">
        <v>2.0</v>
      </c>
    </row>
    <row r="25">
      <c r="B25" s="20" t="s">
        <v>54</v>
      </c>
      <c r="C25" s="20">
        <v>2.0</v>
      </c>
    </row>
    <row r="26">
      <c r="B26" s="20" t="s">
        <v>55</v>
      </c>
      <c r="C26" s="20">
        <v>2.0</v>
      </c>
    </row>
    <row r="27">
      <c r="B27" s="20" t="s">
        <v>56</v>
      </c>
      <c r="C27" s="20">
        <v>2.0</v>
      </c>
    </row>
    <row r="28">
      <c r="B28" s="20" t="s">
        <v>57</v>
      </c>
      <c r="C28" s="20">
        <v>2.0</v>
      </c>
    </row>
    <row r="29">
      <c r="E29" s="17" t="s">
        <v>58</v>
      </c>
    </row>
    <row r="30">
      <c r="B30" s="17"/>
      <c r="C30" s="17"/>
      <c r="E30" s="20">
        <v>3600000.0</v>
      </c>
      <c r="F30" s="29">
        <f>E30*1.2</f>
        <v>4320000</v>
      </c>
      <c r="G30" s="29">
        <f>F30*12</f>
        <v>51840000</v>
      </c>
      <c r="H30" s="30">
        <f>G30*2</f>
        <v>103680000</v>
      </c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52.57"/>
    <col customWidth="1" min="5" max="5" width="32.57"/>
    <col customWidth="1" min="6" max="6" width="28.29"/>
    <col customWidth="1" min="10" max="10" width="25.29"/>
    <col customWidth="1" min="11" max="11" width="19.86"/>
    <col customWidth="1" min="14" max="14" width="25.29"/>
    <col customWidth="1" min="18" max="18" width="24.29"/>
  </cols>
  <sheetData>
    <row r="1">
      <c r="A1" s="31" t="s">
        <v>59</v>
      </c>
      <c r="B1" s="32" t="s">
        <v>22</v>
      </c>
      <c r="C1" s="33"/>
      <c r="D1" s="7"/>
      <c r="E1" s="31" t="s">
        <v>59</v>
      </c>
      <c r="F1" s="32" t="s">
        <v>22</v>
      </c>
      <c r="G1" s="33"/>
    </row>
    <row r="2">
      <c r="A2" s="34" t="s">
        <v>25</v>
      </c>
      <c r="B2" s="35" t="s">
        <v>26</v>
      </c>
      <c r="C2" s="36" t="s">
        <v>60</v>
      </c>
      <c r="D2" s="7"/>
      <c r="E2" s="34" t="s">
        <v>25</v>
      </c>
      <c r="F2" s="35" t="s">
        <v>26</v>
      </c>
      <c r="G2" s="36" t="s">
        <v>60</v>
      </c>
    </row>
    <row r="3">
      <c r="A3" s="34" t="s">
        <v>29</v>
      </c>
      <c r="B3" s="37" t="s">
        <v>30</v>
      </c>
      <c r="C3" s="36"/>
      <c r="D3" s="7"/>
      <c r="E3" s="34" t="s">
        <v>29</v>
      </c>
      <c r="F3" s="37" t="s">
        <v>30</v>
      </c>
      <c r="G3" s="36">
        <v>12.0</v>
      </c>
    </row>
    <row r="4">
      <c r="A4" s="34" t="s">
        <v>33</v>
      </c>
      <c r="B4" s="34" t="s">
        <v>34</v>
      </c>
      <c r="C4" s="36"/>
      <c r="D4" s="7"/>
      <c r="E4" s="34" t="s">
        <v>33</v>
      </c>
      <c r="F4" s="34" t="s">
        <v>34</v>
      </c>
      <c r="G4" s="38"/>
    </row>
    <row r="5">
      <c r="A5" s="34" t="s">
        <v>36</v>
      </c>
      <c r="B5" s="39" t="s">
        <v>37</v>
      </c>
      <c r="C5" s="38"/>
      <c r="D5" s="7"/>
      <c r="E5" s="34" t="s">
        <v>36</v>
      </c>
      <c r="F5" s="39" t="s">
        <v>37</v>
      </c>
      <c r="G5" s="38"/>
    </row>
    <row r="8">
      <c r="A8" s="40" t="s">
        <v>61</v>
      </c>
      <c r="E8" s="40" t="s">
        <v>62</v>
      </c>
      <c r="I8" s="40" t="s">
        <v>63</v>
      </c>
      <c r="M8" s="40" t="s">
        <v>64</v>
      </c>
      <c r="Q8" s="41" t="s">
        <v>65</v>
      </c>
    </row>
    <row r="9">
      <c r="A9" s="42" t="s">
        <v>66</v>
      </c>
      <c r="B9" s="42" t="s">
        <v>67</v>
      </c>
      <c r="C9" s="42" t="s">
        <v>68</v>
      </c>
      <c r="E9" s="43"/>
      <c r="F9" s="42" t="s">
        <v>67</v>
      </c>
      <c r="G9" s="44" t="s">
        <v>68</v>
      </c>
      <c r="I9" s="45"/>
      <c r="J9" s="44" t="s">
        <v>67</v>
      </c>
      <c r="K9" s="44" t="s">
        <v>68</v>
      </c>
      <c r="M9" s="45"/>
      <c r="N9" s="44" t="s">
        <v>67</v>
      </c>
      <c r="O9" s="44" t="s">
        <v>68</v>
      </c>
      <c r="Q9" s="46"/>
      <c r="R9" s="47" t="s">
        <v>67</v>
      </c>
      <c r="S9" s="47" t="s">
        <v>68</v>
      </c>
    </row>
    <row r="10">
      <c r="A10" s="48" t="s">
        <v>69</v>
      </c>
      <c r="B10" s="48" t="s">
        <v>70</v>
      </c>
      <c r="C10" s="48">
        <v>2.0</v>
      </c>
      <c r="E10" s="49" t="s">
        <v>71</v>
      </c>
      <c r="F10" s="48" t="s">
        <v>41</v>
      </c>
      <c r="G10" s="50">
        <v>2.0</v>
      </c>
      <c r="I10" s="50" t="s">
        <v>72</v>
      </c>
      <c r="J10" s="50" t="s">
        <v>73</v>
      </c>
      <c r="K10" s="50">
        <v>30.0</v>
      </c>
      <c r="M10" s="51"/>
      <c r="N10" s="50" t="s">
        <v>74</v>
      </c>
      <c r="O10" s="50">
        <v>2.0</v>
      </c>
      <c r="Q10" s="51"/>
      <c r="R10" s="50" t="s">
        <v>75</v>
      </c>
      <c r="S10" s="50">
        <v>2.0</v>
      </c>
    </row>
    <row r="11">
      <c r="A11" s="48" t="s">
        <v>69</v>
      </c>
      <c r="B11" s="48" t="s">
        <v>76</v>
      </c>
      <c r="C11" s="48">
        <v>2.0</v>
      </c>
      <c r="E11" s="52"/>
      <c r="F11" s="48" t="s">
        <v>77</v>
      </c>
      <c r="G11" s="50">
        <v>1.0</v>
      </c>
      <c r="I11" s="50" t="s">
        <v>72</v>
      </c>
      <c r="J11" s="50" t="s">
        <v>78</v>
      </c>
      <c r="K11" s="50">
        <v>505.0</v>
      </c>
      <c r="M11" s="51"/>
      <c r="N11" s="50" t="s">
        <v>79</v>
      </c>
      <c r="O11" s="50">
        <v>2.0</v>
      </c>
      <c r="Q11" s="51"/>
      <c r="R11" s="50" t="s">
        <v>80</v>
      </c>
      <c r="S11" s="50">
        <v>2.0</v>
      </c>
    </row>
    <row r="12">
      <c r="A12" s="48" t="s">
        <v>81</v>
      </c>
      <c r="B12" s="48" t="s">
        <v>82</v>
      </c>
      <c r="C12" s="48">
        <v>2.0</v>
      </c>
      <c r="E12" s="52"/>
      <c r="F12" s="48" t="s">
        <v>83</v>
      </c>
      <c r="G12" s="50">
        <v>1.0</v>
      </c>
      <c r="I12" s="50" t="s">
        <v>72</v>
      </c>
      <c r="J12" s="50" t="s">
        <v>50</v>
      </c>
      <c r="K12" s="50">
        <v>44.0</v>
      </c>
      <c r="M12" s="51"/>
      <c r="N12" s="50" t="s">
        <v>55</v>
      </c>
      <c r="O12" s="50">
        <v>2.0</v>
      </c>
      <c r="Q12" s="51"/>
      <c r="R12" s="50" t="s">
        <v>84</v>
      </c>
      <c r="S12" s="50">
        <v>1.0</v>
      </c>
    </row>
    <row r="13">
      <c r="A13" s="48" t="s">
        <v>81</v>
      </c>
      <c r="B13" s="48" t="s">
        <v>85</v>
      </c>
      <c r="C13" s="48">
        <v>1.0</v>
      </c>
      <c r="E13" s="52"/>
      <c r="F13" s="48" t="s">
        <v>86</v>
      </c>
      <c r="G13" s="50">
        <v>2.0</v>
      </c>
      <c r="I13" s="50" t="s">
        <v>72</v>
      </c>
      <c r="J13" s="50" t="s">
        <v>87</v>
      </c>
      <c r="K13" s="50">
        <v>44.0</v>
      </c>
      <c r="M13" s="51"/>
      <c r="N13" s="50" t="s">
        <v>88</v>
      </c>
      <c r="O13" s="50">
        <v>2.0</v>
      </c>
      <c r="Q13" s="51"/>
      <c r="R13" s="50" t="s">
        <v>89</v>
      </c>
      <c r="S13" s="50">
        <v>1.0</v>
      </c>
    </row>
    <row r="14">
      <c r="A14" s="48" t="s">
        <v>81</v>
      </c>
      <c r="B14" s="48" t="s">
        <v>90</v>
      </c>
      <c r="C14" s="48">
        <v>2.0</v>
      </c>
      <c r="E14" s="52"/>
      <c r="F14" s="48" t="s">
        <v>91</v>
      </c>
      <c r="G14" s="50">
        <v>2.0</v>
      </c>
      <c r="I14" s="51"/>
      <c r="J14" s="50" t="s">
        <v>92</v>
      </c>
      <c r="K14" s="50">
        <v>2.0</v>
      </c>
      <c r="Q14" s="51"/>
      <c r="R14" s="50" t="s">
        <v>93</v>
      </c>
      <c r="S14" s="50">
        <v>1.0</v>
      </c>
    </row>
    <row r="15">
      <c r="A15" s="48" t="s">
        <v>81</v>
      </c>
      <c r="B15" s="48" t="s">
        <v>39</v>
      </c>
      <c r="C15" s="48">
        <v>2.0</v>
      </c>
      <c r="E15" s="52"/>
      <c r="F15" s="48" t="s">
        <v>43</v>
      </c>
      <c r="G15" s="50">
        <v>2.0</v>
      </c>
      <c r="I15" s="51"/>
      <c r="J15" s="50" t="s">
        <v>38</v>
      </c>
      <c r="K15" s="50">
        <v>2.0</v>
      </c>
      <c r="Q15" s="52"/>
      <c r="R15" s="52"/>
      <c r="S15" s="52"/>
    </row>
    <row r="16">
      <c r="A16" s="48" t="s">
        <v>69</v>
      </c>
      <c r="B16" s="48" t="s">
        <v>94</v>
      </c>
      <c r="C16" s="48">
        <v>4.0</v>
      </c>
      <c r="E16" s="52"/>
      <c r="F16" s="48" t="s">
        <v>95</v>
      </c>
      <c r="G16" s="50">
        <v>49.0</v>
      </c>
    </row>
    <row r="21">
      <c r="A21" s="53" t="s">
        <v>96</v>
      </c>
      <c r="B21" s="54">
        <f>Equipos!M21+Software!M24+Materiales!M21+Servicios!M21+Herramientas!L21</f>
        <v>239970874.6</v>
      </c>
    </row>
    <row r="22">
      <c r="A22" s="17" t="s">
        <v>97</v>
      </c>
    </row>
    <row r="26">
      <c r="E26" s="17" t="s">
        <v>98</v>
      </c>
    </row>
    <row r="27">
      <c r="A27" s="55">
        <v>5.2E7</v>
      </c>
      <c r="B27" s="56">
        <f>A27*60%</f>
        <v>31200000</v>
      </c>
      <c r="C27" s="56"/>
      <c r="D27" s="56"/>
      <c r="E27" s="56"/>
    </row>
    <row r="28">
      <c r="B28" s="56"/>
      <c r="C28" s="55" t="s">
        <v>99</v>
      </c>
      <c r="D28" s="55" t="s">
        <v>100</v>
      </c>
      <c r="E28" s="56"/>
    </row>
    <row r="29">
      <c r="A29" s="57" t="s">
        <v>101</v>
      </c>
      <c r="B29" s="55">
        <v>750000.0</v>
      </c>
      <c r="C29" s="56">
        <f>B29*2</f>
        <v>1500000</v>
      </c>
      <c r="D29" s="56">
        <f>C29*12</f>
        <v>18000000</v>
      </c>
      <c r="E29" s="56"/>
    </row>
    <row r="30">
      <c r="B30" s="56"/>
      <c r="C30" s="56"/>
      <c r="D30" s="56"/>
      <c r="E30" s="56"/>
    </row>
  </sheetData>
  <mergeCells count="5">
    <mergeCell ref="A8:C8"/>
    <mergeCell ref="E8:G8"/>
    <mergeCell ref="I8:K8"/>
    <mergeCell ref="M8:O8"/>
    <mergeCell ref="Q8:S8"/>
  </mergeCells>
  <hyperlinks>
    <hyperlink r:id="rId1" ref="E1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9" max="9" width="27.14"/>
    <col customWidth="1" min="10" max="10" width="17.57"/>
    <col customWidth="1" min="12" max="12" width="24.29"/>
  </cols>
  <sheetData>
    <row r="1">
      <c r="A1" s="17" t="s">
        <v>102</v>
      </c>
      <c r="B1" s="58">
        <v>3739.03</v>
      </c>
      <c r="C1" s="59" t="s">
        <v>103</v>
      </c>
    </row>
    <row r="2">
      <c r="A2" s="17" t="s">
        <v>104</v>
      </c>
      <c r="B2" s="60">
        <f>B1*1.03</f>
        <v>3851.2009</v>
      </c>
    </row>
    <row r="3">
      <c r="B3" s="61" t="s">
        <v>105</v>
      </c>
      <c r="C3" s="61" t="s">
        <v>106</v>
      </c>
      <c r="D3" s="61" t="s">
        <v>107</v>
      </c>
      <c r="E3" s="61" t="s">
        <v>108</v>
      </c>
      <c r="F3" s="61" t="s">
        <v>109</v>
      </c>
      <c r="G3" s="61" t="s">
        <v>110</v>
      </c>
    </row>
    <row r="4">
      <c r="B4" s="62" t="s">
        <v>74</v>
      </c>
      <c r="C4" s="50">
        <v>2.0</v>
      </c>
      <c r="D4" s="63"/>
      <c r="E4" s="64">
        <v>37900.0</v>
      </c>
      <c r="F4" s="63">
        <f t="shared" ref="F4:F7" si="1">E4*1.045</f>
        <v>39605.5</v>
      </c>
      <c r="G4" s="63">
        <f t="shared" ref="G4:G7" si="2">F4*C4</f>
        <v>79211</v>
      </c>
    </row>
    <row r="5">
      <c r="B5" s="62" t="s">
        <v>79</v>
      </c>
      <c r="C5" s="50">
        <v>2.0</v>
      </c>
      <c r="D5" s="63"/>
      <c r="E5" s="64">
        <v>66000.0</v>
      </c>
      <c r="F5" s="63">
        <f t="shared" si="1"/>
        <v>68970</v>
      </c>
      <c r="G5" s="63">
        <f t="shared" si="2"/>
        <v>137940</v>
      </c>
    </row>
    <row r="6">
      <c r="B6" s="62" t="s">
        <v>111</v>
      </c>
      <c r="C6" s="50">
        <v>2.0</v>
      </c>
      <c r="D6" s="64"/>
      <c r="E6" s="64">
        <v>7000.0</v>
      </c>
      <c r="F6" s="63">
        <f t="shared" si="1"/>
        <v>7315</v>
      </c>
      <c r="G6" s="63">
        <f t="shared" si="2"/>
        <v>14630</v>
      </c>
    </row>
    <row r="7">
      <c r="B7" s="62" t="s">
        <v>88</v>
      </c>
      <c r="C7" s="50">
        <v>2.0</v>
      </c>
      <c r="D7" s="64"/>
      <c r="E7" s="64">
        <v>280999.0</v>
      </c>
      <c r="F7" s="63">
        <f t="shared" si="1"/>
        <v>293643.955</v>
      </c>
      <c r="G7" s="63">
        <f t="shared" si="2"/>
        <v>587287.91</v>
      </c>
    </row>
    <row r="8">
      <c r="B8" s="17"/>
      <c r="D8" s="65"/>
      <c r="E8" s="66"/>
      <c r="F8" s="66"/>
      <c r="G8" s="66"/>
    </row>
    <row r="9">
      <c r="B9" s="17"/>
      <c r="D9" s="65"/>
      <c r="E9" s="66"/>
      <c r="F9" s="66"/>
      <c r="G9" s="66"/>
      <c r="I9" s="42" t="s">
        <v>105</v>
      </c>
      <c r="J9" s="42" t="s">
        <v>106</v>
      </c>
      <c r="K9" s="42" t="s">
        <v>112</v>
      </c>
      <c r="L9" s="42" t="s">
        <v>113</v>
      </c>
    </row>
    <row r="10">
      <c r="B10" s="17"/>
      <c r="D10" s="66"/>
      <c r="E10" s="67"/>
      <c r="F10" s="66"/>
      <c r="G10" s="66"/>
      <c r="I10" s="52" t="str">
        <f t="shared" ref="I10:J10" si="3">B4</f>
        <v>panchodora</v>
      </c>
      <c r="J10" s="52">
        <f t="shared" si="3"/>
        <v>2</v>
      </c>
      <c r="K10" s="68">
        <f t="shared" ref="K10:L10" si="4">F4</f>
        <v>39605.5</v>
      </c>
      <c r="L10" s="68">
        <f t="shared" si="4"/>
        <v>79211</v>
      </c>
    </row>
    <row r="11">
      <c r="B11" s="17"/>
      <c r="C11" s="17"/>
      <c r="D11" s="69"/>
      <c r="E11" s="67"/>
      <c r="F11" s="66"/>
      <c r="G11" s="66"/>
      <c r="I11" s="52" t="str">
        <f t="shared" ref="I11:J11" si="5">B5</f>
        <v>ponchado de impacto</v>
      </c>
      <c r="J11" s="52">
        <f t="shared" si="5"/>
        <v>2</v>
      </c>
      <c r="K11" s="68">
        <f t="shared" ref="K11:L11" si="6">F5</f>
        <v>68970</v>
      </c>
      <c r="L11" s="68">
        <f t="shared" si="6"/>
        <v>137940</v>
      </c>
    </row>
    <row r="12">
      <c r="I12" s="52" t="str">
        <f t="shared" ref="I12:J12" si="7">B6</f>
        <v>manilla antiestatica </v>
      </c>
      <c r="J12" s="52">
        <f t="shared" si="7"/>
        <v>2</v>
      </c>
      <c r="K12" s="68">
        <f t="shared" ref="K12:L12" si="8">F6</f>
        <v>7315</v>
      </c>
      <c r="L12" s="68">
        <f t="shared" si="8"/>
        <v>14630</v>
      </c>
    </row>
    <row r="13">
      <c r="I13" s="52" t="str">
        <f t="shared" ref="I13:J13" si="9">B7</f>
        <v>Probador de tonos</v>
      </c>
      <c r="J13" s="52">
        <f t="shared" si="9"/>
        <v>2</v>
      </c>
      <c r="K13" s="68">
        <f t="shared" ref="K13:L13" si="10">F7</f>
        <v>293643.955</v>
      </c>
      <c r="L13" s="68">
        <f t="shared" si="10"/>
        <v>587287.91</v>
      </c>
    </row>
    <row r="14">
      <c r="I14" s="52" t="str">
        <f t="shared" ref="I14:J14" si="11">A9</f>
        <v/>
      </c>
      <c r="J14" s="52" t="str">
        <f t="shared" si="11"/>
        <v/>
      </c>
      <c r="K14" s="68" t="str">
        <f t="shared" ref="K14:L14" si="12">E9</f>
        <v/>
      </c>
      <c r="L14" s="68" t="str">
        <f t="shared" si="12"/>
        <v/>
      </c>
    </row>
    <row r="15">
      <c r="I15" s="52" t="str">
        <f t="shared" ref="I15:J15" si="13">A10</f>
        <v/>
      </c>
      <c r="J15" s="52" t="str">
        <f t="shared" si="13"/>
        <v/>
      </c>
      <c r="K15" s="68" t="str">
        <f t="shared" ref="K15:L15" si="14">E10</f>
        <v/>
      </c>
      <c r="L15" s="68" t="str">
        <f t="shared" si="14"/>
        <v/>
      </c>
    </row>
    <row r="16">
      <c r="I16" s="52" t="str">
        <f t="shared" ref="I16:J16" si="15">A11</f>
        <v/>
      </c>
      <c r="J16" s="52" t="str">
        <f t="shared" si="15"/>
        <v/>
      </c>
      <c r="K16" s="68" t="str">
        <f t="shared" ref="K16:L16" si="16">E11</f>
        <v/>
      </c>
      <c r="L16" s="68" t="str">
        <f t="shared" si="16"/>
        <v/>
      </c>
    </row>
    <row r="17">
      <c r="I17" s="52" t="str">
        <f t="shared" ref="I17:J17" si="17">A12</f>
        <v/>
      </c>
      <c r="J17" s="52" t="str">
        <f t="shared" si="17"/>
        <v/>
      </c>
      <c r="K17" s="68" t="str">
        <f t="shared" ref="K17:L17" si="18">E12</f>
        <v/>
      </c>
      <c r="L17" s="68" t="str">
        <f t="shared" si="18"/>
        <v/>
      </c>
    </row>
    <row r="18">
      <c r="I18" s="48" t="s">
        <v>114</v>
      </c>
      <c r="J18" s="52" t="str">
        <f t="shared" ref="J18:J20" si="19">B13</f>
        <v/>
      </c>
      <c r="K18" s="68"/>
      <c r="L18" s="68">
        <f>SUM(L10:L17)</f>
        <v>819068.91</v>
      </c>
    </row>
    <row r="19">
      <c r="J19" s="70" t="str">
        <f t="shared" si="19"/>
        <v/>
      </c>
      <c r="K19" s="66"/>
      <c r="L19" s="66"/>
    </row>
    <row r="20">
      <c r="J20" s="70" t="str">
        <f t="shared" si="19"/>
        <v/>
      </c>
      <c r="K20" s="66"/>
      <c r="L20" s="66"/>
    </row>
    <row r="21">
      <c r="L21" s="71">
        <f>SUM(L9:L16)*60%</f>
        <v>491441.346</v>
      </c>
    </row>
  </sheetData>
  <hyperlinks>
    <hyperlink r:id="rId1" ref="C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31.57"/>
    <col customWidth="1" min="3" max="3" width="7.86"/>
    <col customWidth="1" min="10" max="10" width="67.86"/>
    <col customWidth="1" min="11" max="11" width="7.86"/>
    <col customWidth="1" min="13" max="13" width="22.29"/>
  </cols>
  <sheetData>
    <row r="1">
      <c r="A1" s="17" t="s">
        <v>102</v>
      </c>
      <c r="B1" s="58">
        <v>3739.03</v>
      </c>
      <c r="C1" s="72" t="s">
        <v>103</v>
      </c>
    </row>
    <row r="2">
      <c r="A2" s="17" t="s">
        <v>104</v>
      </c>
      <c r="B2" s="60">
        <f>B1*1.03</f>
        <v>3851.2009</v>
      </c>
    </row>
    <row r="3">
      <c r="B3" s="73" t="s">
        <v>105</v>
      </c>
      <c r="C3" s="73" t="s">
        <v>106</v>
      </c>
      <c r="D3" s="73" t="s">
        <v>107</v>
      </c>
      <c r="E3" s="73" t="s">
        <v>108</v>
      </c>
      <c r="F3" s="73" t="s">
        <v>109</v>
      </c>
      <c r="G3" s="73" t="s">
        <v>110</v>
      </c>
    </row>
    <row r="4">
      <c r="A4" s="72" t="s">
        <v>71</v>
      </c>
      <c r="B4" s="74" t="s">
        <v>115</v>
      </c>
      <c r="C4" s="75">
        <f>'Lista On-premise'!G10</f>
        <v>2</v>
      </c>
      <c r="D4" s="76">
        <v>972.0</v>
      </c>
      <c r="E4" s="77">
        <f>D4*B2</f>
        <v>3743367.275</v>
      </c>
      <c r="F4" s="78">
        <f t="shared" ref="F4:F15" si="1">E4*1.045</f>
        <v>3911818.802</v>
      </c>
      <c r="G4" s="78">
        <f t="shared" ref="G4:G15" si="2">F4*C4</f>
        <v>7823637.604</v>
      </c>
      <c r="H4" s="66"/>
    </row>
    <row r="5">
      <c r="A5" s="59" t="s">
        <v>116</v>
      </c>
      <c r="B5" s="74" t="s">
        <v>117</v>
      </c>
      <c r="C5" s="75">
        <f>'Lista On-premise'!G11</f>
        <v>1</v>
      </c>
      <c r="D5" s="79">
        <v>670.0</v>
      </c>
      <c r="E5" s="77">
        <f>D5*B2</f>
        <v>2580304.603</v>
      </c>
      <c r="F5" s="78">
        <f t="shared" si="1"/>
        <v>2696418.31</v>
      </c>
      <c r="G5" s="78">
        <f t="shared" si="2"/>
        <v>2696418.31</v>
      </c>
      <c r="H5" s="66"/>
    </row>
    <row r="6">
      <c r="A6" s="59" t="s">
        <v>118</v>
      </c>
      <c r="B6" s="74" t="s">
        <v>119</v>
      </c>
      <c r="C6" s="75">
        <f>'Lista On-premise'!G12</f>
        <v>1</v>
      </c>
      <c r="D6" s="79">
        <v>349.0</v>
      </c>
      <c r="E6" s="78">
        <f>D6*B2</f>
        <v>1344069.114</v>
      </c>
      <c r="F6" s="78">
        <f t="shared" si="1"/>
        <v>1404552.224</v>
      </c>
      <c r="G6" s="78">
        <f t="shared" si="2"/>
        <v>1404552.224</v>
      </c>
      <c r="H6" s="66"/>
    </row>
    <row r="7">
      <c r="A7" s="59" t="s">
        <v>120</v>
      </c>
      <c r="B7" s="74" t="s">
        <v>121</v>
      </c>
      <c r="C7" s="74">
        <v>24.0</v>
      </c>
      <c r="D7" s="79">
        <v>19.9</v>
      </c>
      <c r="E7" s="78">
        <f>D7*B2</f>
        <v>76638.89791</v>
      </c>
      <c r="F7" s="78">
        <f t="shared" si="1"/>
        <v>80087.64832</v>
      </c>
      <c r="G7" s="78">
        <f t="shared" si="2"/>
        <v>1922103.56</v>
      </c>
      <c r="H7" s="66"/>
    </row>
    <row r="8">
      <c r="A8" s="59" t="s">
        <v>122</v>
      </c>
      <c r="B8" s="74" t="s">
        <v>123</v>
      </c>
      <c r="C8" s="74">
        <v>49.0</v>
      </c>
      <c r="D8" s="79">
        <v>19.0</v>
      </c>
      <c r="E8" s="78">
        <f>D8*B2</f>
        <v>73172.8171</v>
      </c>
      <c r="F8" s="78">
        <f t="shared" si="1"/>
        <v>76465.59387</v>
      </c>
      <c r="G8" s="78">
        <f t="shared" si="2"/>
        <v>3746814.1</v>
      </c>
      <c r="H8" s="66"/>
      <c r="J8" s="42" t="s">
        <v>105</v>
      </c>
      <c r="K8" s="42" t="s">
        <v>106</v>
      </c>
      <c r="L8" s="42" t="s">
        <v>112</v>
      </c>
      <c r="M8" s="42" t="s">
        <v>113</v>
      </c>
    </row>
    <row r="9">
      <c r="A9" s="59" t="s">
        <v>124</v>
      </c>
      <c r="B9" s="74" t="s">
        <v>125</v>
      </c>
      <c r="C9" s="75">
        <f>'Lista On-premise'!G15</f>
        <v>2</v>
      </c>
      <c r="D9" s="79">
        <v>199.0</v>
      </c>
      <c r="E9" s="78">
        <f>D9*B2</f>
        <v>766388.9791</v>
      </c>
      <c r="F9" s="78">
        <f t="shared" si="1"/>
        <v>800876.4832</v>
      </c>
      <c r="G9" s="78">
        <f t="shared" si="2"/>
        <v>1601752.966</v>
      </c>
      <c r="H9" s="66"/>
      <c r="J9" s="52" t="str">
        <f t="shared" ref="J9:K9" si="3">B4</f>
        <v>Edición de Windows Server 2019</v>
      </c>
      <c r="K9" s="52">
        <f t="shared" si="3"/>
        <v>2</v>
      </c>
      <c r="L9" s="68">
        <f t="shared" ref="L9:M9" si="4">F4</f>
        <v>3911818.802</v>
      </c>
      <c r="M9" s="68">
        <f t="shared" si="4"/>
        <v>7823637.604</v>
      </c>
    </row>
    <row r="10">
      <c r="A10" s="59" t="s">
        <v>126</v>
      </c>
      <c r="B10" s="74" t="s">
        <v>127</v>
      </c>
      <c r="C10" s="75">
        <f>'Lista On-premise'!G16</f>
        <v>49</v>
      </c>
      <c r="D10" s="79">
        <v>239.0</v>
      </c>
      <c r="E10" s="80">
        <f>D10*B2</f>
        <v>920437.0151</v>
      </c>
      <c r="F10" s="78">
        <f t="shared" si="1"/>
        <v>961856.6808</v>
      </c>
      <c r="G10" s="78">
        <f t="shared" si="2"/>
        <v>47130977.36</v>
      </c>
      <c r="H10" s="66"/>
      <c r="J10" s="52" t="str">
        <f t="shared" ref="J10:K10" si="5">B5</f>
        <v>SUSE Linux Enterprise Server 1 año</v>
      </c>
      <c r="K10" s="52">
        <f t="shared" si="5"/>
        <v>1</v>
      </c>
      <c r="L10" s="68">
        <f t="shared" ref="L10:M10" si="6">F5</f>
        <v>2696418.31</v>
      </c>
      <c r="M10" s="68">
        <f t="shared" si="6"/>
        <v>2696418.31</v>
      </c>
    </row>
    <row r="11">
      <c r="A11" s="59" t="s">
        <v>128</v>
      </c>
      <c r="B11" s="74" t="s">
        <v>129</v>
      </c>
      <c r="C11" s="74">
        <v>1.0</v>
      </c>
      <c r="D11" s="79">
        <v>1239.99</v>
      </c>
      <c r="E11" s="77">
        <f>D11*B2</f>
        <v>4775450.604</v>
      </c>
      <c r="F11" s="78">
        <f t="shared" si="1"/>
        <v>4990345.881</v>
      </c>
      <c r="G11" s="78">
        <f t="shared" si="2"/>
        <v>4990345.881</v>
      </c>
      <c r="H11" s="66"/>
      <c r="J11" s="52" t="str">
        <f t="shared" ref="J11:K11" si="7">B6</f>
        <v>red hat enterprise linux server 1 año</v>
      </c>
      <c r="K11" s="52">
        <f t="shared" si="7"/>
        <v>1</v>
      </c>
      <c r="L11" s="68">
        <f t="shared" ref="L11:M11" si="8">F6</f>
        <v>1404552.224</v>
      </c>
      <c r="M11" s="68">
        <f t="shared" si="8"/>
        <v>1404552.224</v>
      </c>
    </row>
    <row r="12">
      <c r="A12" s="59" t="s">
        <v>130</v>
      </c>
      <c r="B12" s="74" t="s">
        <v>131</v>
      </c>
      <c r="C12" s="74">
        <v>2.0</v>
      </c>
      <c r="D12" s="79">
        <v>700.0</v>
      </c>
      <c r="E12" s="77">
        <f>D12*B2</f>
        <v>2695840.63</v>
      </c>
      <c r="F12" s="78">
        <f t="shared" si="1"/>
        <v>2817153.458</v>
      </c>
      <c r="G12" s="78">
        <f t="shared" si="2"/>
        <v>5634306.917</v>
      </c>
      <c r="H12" s="66"/>
      <c r="J12" s="52" t="str">
        <f t="shared" ref="J12:K12" si="9">B7</f>
        <v>AnyDesk</v>
      </c>
      <c r="K12" s="52">
        <f t="shared" si="9"/>
        <v>24</v>
      </c>
      <c r="L12" s="68">
        <f t="shared" ref="L12:M12" si="10">F7</f>
        <v>80087.64832</v>
      </c>
      <c r="M12" s="68">
        <f t="shared" si="10"/>
        <v>1922103.56</v>
      </c>
    </row>
    <row r="13">
      <c r="B13" s="74" t="s">
        <v>132</v>
      </c>
      <c r="C13" s="74">
        <v>2.0</v>
      </c>
      <c r="D13" s="79">
        <v>750.0</v>
      </c>
      <c r="E13" s="77">
        <f>D13*B2</f>
        <v>2888400.675</v>
      </c>
      <c r="F13" s="78">
        <f t="shared" si="1"/>
        <v>3018378.705</v>
      </c>
      <c r="G13" s="78">
        <f t="shared" si="2"/>
        <v>6036757.411</v>
      </c>
      <c r="H13" s="66"/>
      <c r="J13" s="52" t="str">
        <f t="shared" ref="J13:K13" si="11">B8</f>
        <v>McAfee® Small Business Security 1 año</v>
      </c>
      <c r="K13" s="52">
        <f t="shared" si="11"/>
        <v>49</v>
      </c>
      <c r="L13" s="68">
        <f t="shared" ref="L13:M13" si="12">F8</f>
        <v>76465.59387</v>
      </c>
      <c r="M13" s="68">
        <f t="shared" si="12"/>
        <v>3746814.1</v>
      </c>
    </row>
    <row r="14">
      <c r="B14" s="74" t="s">
        <v>133</v>
      </c>
      <c r="C14" s="74">
        <v>1.0</v>
      </c>
      <c r="D14" s="75"/>
      <c r="E14" s="78">
        <f>(Equipos!G4+Equipos!G5)*50%</f>
        <v>23314725.39</v>
      </c>
      <c r="F14" s="78">
        <f t="shared" si="1"/>
        <v>24363888.03</v>
      </c>
      <c r="G14" s="78">
        <f t="shared" si="2"/>
        <v>24363888.03</v>
      </c>
      <c r="H14" s="66"/>
      <c r="J14" s="52" t="str">
        <f t="shared" ref="J14:K14" si="13">B9</f>
        <v>VMware Workstation 16 Pro</v>
      </c>
      <c r="K14" s="52">
        <f t="shared" si="13"/>
        <v>2</v>
      </c>
      <c r="L14" s="68">
        <f t="shared" ref="L14:M14" si="14">F9</f>
        <v>800876.4832</v>
      </c>
      <c r="M14" s="68">
        <f t="shared" si="14"/>
        <v>1601752.966</v>
      </c>
    </row>
    <row r="15">
      <c r="B15" s="74" t="s">
        <v>134</v>
      </c>
      <c r="C15" s="74">
        <v>1.0</v>
      </c>
      <c r="D15" s="78"/>
      <c r="E15" s="78">
        <f>(Equipos!G6+Equipos!G7+Equipos!G8)*50%</f>
        <v>5328203.071</v>
      </c>
      <c r="F15" s="78">
        <f t="shared" si="1"/>
        <v>5567972.209</v>
      </c>
      <c r="G15" s="78">
        <f t="shared" si="2"/>
        <v>5567972.209</v>
      </c>
      <c r="H15" s="66"/>
      <c r="J15" s="52" t="str">
        <f t="shared" ref="J15:K15" si="15">B10</f>
        <v>Licencia CAL de Servicios de Escritorio remoto de Windows Server</v>
      </c>
      <c r="K15" s="52">
        <f t="shared" si="15"/>
        <v>49</v>
      </c>
      <c r="L15" s="68">
        <f t="shared" ref="L15:M15" si="16">F10</f>
        <v>961856.6808</v>
      </c>
      <c r="M15" s="68">
        <f t="shared" si="16"/>
        <v>47130977.36</v>
      </c>
    </row>
    <row r="16">
      <c r="C16" s="70" t="str">
        <f>'Lista On-premise'!G22</f>
        <v/>
      </c>
      <c r="D16" s="66"/>
      <c r="E16" s="66"/>
      <c r="F16" s="66"/>
      <c r="G16" s="66"/>
      <c r="H16" s="66"/>
      <c r="J16" s="52" t="str">
        <f t="shared" ref="J16:K16" si="17">B11</f>
        <v>MX67C-HW Cisco Meraki, MX67C Meraki Cloud Managed Firewall con: LIC-SEC-1YR - Licencia de seguridad avanzada de Cisco Meraki de 1 año</v>
      </c>
      <c r="K16" s="52">
        <f t="shared" si="17"/>
        <v>1</v>
      </c>
      <c r="L16" s="68">
        <f t="shared" ref="L16:M16" si="18">F11</f>
        <v>4990345.881</v>
      </c>
      <c r="M16" s="68">
        <f t="shared" si="18"/>
        <v>4990345.881</v>
      </c>
    </row>
    <row r="17">
      <c r="C17" s="70" t="str">
        <f>'Lista On-premise'!G23</f>
        <v/>
      </c>
      <c r="D17" s="66"/>
      <c r="E17" s="66"/>
      <c r="F17" s="66"/>
      <c r="G17" s="66"/>
      <c r="H17" s="66"/>
      <c r="J17" s="52" t="str">
        <f t="shared" ref="J17:K17" si="19">B12</f>
        <v>Cisco licence sw</v>
      </c>
      <c r="K17" s="52">
        <f t="shared" si="19"/>
        <v>2</v>
      </c>
      <c r="L17" s="68">
        <f t="shared" ref="L17:M17" si="20">F12</f>
        <v>2817153.458</v>
      </c>
      <c r="M17" s="68">
        <f t="shared" si="20"/>
        <v>5634306.917</v>
      </c>
    </row>
    <row r="18">
      <c r="C18" s="70" t="str">
        <f>'Lista On-premise'!C24</f>
        <v/>
      </c>
      <c r="D18" s="66"/>
      <c r="E18" s="66"/>
      <c r="F18" s="66"/>
      <c r="G18" s="66"/>
      <c r="H18" s="66"/>
      <c r="J18" s="52" t="str">
        <f t="shared" ref="J18:K18" si="21">B13</f>
        <v>Cisco router licencia</v>
      </c>
      <c r="K18" s="52">
        <f t="shared" si="21"/>
        <v>2</v>
      </c>
      <c r="L18" s="68">
        <f t="shared" ref="L18:M18" si="22">F13</f>
        <v>3018378.705</v>
      </c>
      <c r="M18" s="68">
        <f t="shared" si="22"/>
        <v>6036757.411</v>
      </c>
    </row>
    <row r="19">
      <c r="C19" s="70" t="str">
        <f>'Lista On-premise'!C25</f>
        <v/>
      </c>
      <c r="D19" s="66"/>
      <c r="E19" s="66"/>
      <c r="F19" s="66"/>
      <c r="G19" s="66"/>
      <c r="H19" s="66"/>
      <c r="J19" s="52" t="str">
        <f t="shared" ref="J19:K19" si="23">B14</f>
        <v>contrato soporte hp  1 Año</v>
      </c>
      <c r="K19" s="52">
        <f t="shared" si="23"/>
        <v>1</v>
      </c>
      <c r="L19" s="68">
        <f t="shared" ref="L19:M19" si="24">F14</f>
        <v>24363888.03</v>
      </c>
      <c r="M19" s="68">
        <f t="shared" si="24"/>
        <v>24363888.03</v>
      </c>
    </row>
    <row r="20">
      <c r="C20" s="70" t="str">
        <f>'Lista On-premise'!C26</f>
        <v/>
      </c>
      <c r="D20" s="66"/>
      <c r="E20" s="66"/>
      <c r="F20" s="66"/>
      <c r="G20" s="66"/>
      <c r="H20" s="66"/>
      <c r="J20" s="52" t="str">
        <f t="shared" ref="J20:K20" si="25">B15</f>
        <v>contrato soporte cisco 1 año</v>
      </c>
      <c r="K20" s="52">
        <f t="shared" si="25"/>
        <v>1</v>
      </c>
      <c r="L20" s="68">
        <f t="shared" ref="L20:M20" si="26">F15</f>
        <v>5567972.209</v>
      </c>
      <c r="M20" s="68">
        <f t="shared" si="26"/>
        <v>5567972.209</v>
      </c>
    </row>
    <row r="21">
      <c r="C21" s="56" t="str">
        <f>'Lista On-premise'!C27</f>
        <v/>
      </c>
      <c r="F21" s="66"/>
      <c r="G21" s="66"/>
      <c r="J21" s="48" t="s">
        <v>135</v>
      </c>
      <c r="K21" s="70" t="str">
        <f>C16</f>
        <v/>
      </c>
      <c r="L21" s="66"/>
      <c r="M21" s="66">
        <f>SUM(M9:M20)</f>
        <v>112919526.6</v>
      </c>
    </row>
    <row r="24">
      <c r="M24" s="71">
        <f>SUM(M9:M20)*60%</f>
        <v>67751715.94</v>
      </c>
    </row>
  </sheetData>
  <hyperlinks>
    <hyperlink r:id="rId1" ref="C1"/>
    <hyperlink r:id="rId2" ref="A4"/>
    <hyperlink r:id="rId3" location="subnav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</hyperlink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0"/>
    <col customWidth="1" min="2" max="2" width="43.14"/>
    <col customWidth="1" min="3" max="3" width="10.43"/>
    <col customWidth="1" min="6" max="6" width="22.71"/>
    <col customWidth="1" min="10" max="10" width="46.0"/>
    <col customWidth="1" min="11" max="11" width="8.57"/>
    <col customWidth="1" min="13" max="13" width="22.43"/>
  </cols>
  <sheetData>
    <row r="1">
      <c r="A1" s="17" t="s">
        <v>102</v>
      </c>
      <c r="B1" s="58">
        <v>3739.03</v>
      </c>
      <c r="C1" s="59" t="s">
        <v>103</v>
      </c>
    </row>
    <row r="2">
      <c r="A2" s="17" t="s">
        <v>104</v>
      </c>
      <c r="B2" s="60">
        <f>B1*1.03</f>
        <v>3851.2009</v>
      </c>
    </row>
    <row r="3">
      <c r="B3" s="61" t="s">
        <v>105</v>
      </c>
      <c r="C3" s="61" t="s">
        <v>106</v>
      </c>
      <c r="D3" s="61" t="s">
        <v>107</v>
      </c>
      <c r="E3" s="61" t="s">
        <v>108</v>
      </c>
      <c r="F3" s="61" t="s">
        <v>109</v>
      </c>
      <c r="G3" s="61" t="s">
        <v>110</v>
      </c>
    </row>
    <row r="4">
      <c r="B4" s="81" t="s">
        <v>136</v>
      </c>
      <c r="C4" s="29">
        <f>'Lista On-premise'!C10</f>
        <v>2</v>
      </c>
      <c r="D4" s="63"/>
      <c r="E4" s="64">
        <v>1.1155371E7</v>
      </c>
      <c r="F4" s="63">
        <f t="shared" ref="F4:F11" si="1">E4*1.045</f>
        <v>11657362.7</v>
      </c>
      <c r="G4" s="63">
        <f t="shared" ref="G4:G11" si="2">F4*C4</f>
        <v>23314725.39</v>
      </c>
      <c r="H4" s="66"/>
    </row>
    <row r="5">
      <c r="B5" s="81" t="s">
        <v>136</v>
      </c>
      <c r="C5" s="29">
        <f>'Lista On-premise'!C11</f>
        <v>2</v>
      </c>
      <c r="D5" s="63"/>
      <c r="E5" s="64">
        <v>1.1155371E7</v>
      </c>
      <c r="F5" s="63">
        <f t="shared" si="1"/>
        <v>11657362.7</v>
      </c>
      <c r="G5" s="63">
        <f t="shared" si="2"/>
        <v>23314725.39</v>
      </c>
      <c r="H5" s="66"/>
    </row>
    <row r="6">
      <c r="B6" s="20" t="s">
        <v>137</v>
      </c>
      <c r="C6" s="29">
        <f>'Lista On-premise'!C12</f>
        <v>2</v>
      </c>
      <c r="D6" s="64">
        <v>216.0</v>
      </c>
      <c r="E6" s="63">
        <f>D6*B2</f>
        <v>831859.3944</v>
      </c>
      <c r="F6" s="63">
        <f t="shared" si="1"/>
        <v>869293.0671</v>
      </c>
      <c r="G6" s="63">
        <f t="shared" si="2"/>
        <v>1738586.134</v>
      </c>
      <c r="H6" s="66"/>
    </row>
    <row r="7">
      <c r="B7" s="20" t="s">
        <v>138</v>
      </c>
      <c r="C7" s="29">
        <f>'Lista On-premise'!C13</f>
        <v>1</v>
      </c>
      <c r="D7" s="64">
        <v>1399.9</v>
      </c>
      <c r="E7" s="63">
        <f>D7*B2</f>
        <v>5391296.14</v>
      </c>
      <c r="F7" s="63">
        <f t="shared" si="1"/>
        <v>5633904.466</v>
      </c>
      <c r="G7" s="63">
        <f t="shared" si="2"/>
        <v>5633904.466</v>
      </c>
      <c r="H7" s="66"/>
    </row>
    <row r="8">
      <c r="B8" s="20" t="s">
        <v>139</v>
      </c>
      <c r="C8" s="29">
        <f>'Lista On-premise'!C14</f>
        <v>2</v>
      </c>
      <c r="D8" s="64">
        <v>407.99</v>
      </c>
      <c r="E8" s="63">
        <f>D8*B2</f>
        <v>1571251.455</v>
      </c>
      <c r="F8" s="63">
        <f t="shared" si="1"/>
        <v>1641957.771</v>
      </c>
      <c r="G8" s="63">
        <f t="shared" si="2"/>
        <v>3283915.541</v>
      </c>
      <c r="H8" s="66"/>
      <c r="J8" s="42" t="s">
        <v>105</v>
      </c>
      <c r="K8" s="42" t="s">
        <v>106</v>
      </c>
      <c r="L8" s="42" t="s">
        <v>112</v>
      </c>
      <c r="M8" s="42" t="s">
        <v>113</v>
      </c>
    </row>
    <row r="9">
      <c r="B9" s="20" t="s">
        <v>140</v>
      </c>
      <c r="C9" s="29">
        <f>'Lista On-premise'!C15</f>
        <v>2</v>
      </c>
      <c r="D9" s="64">
        <v>800.0</v>
      </c>
      <c r="E9" s="63">
        <f>D9*B2</f>
        <v>3080960.72</v>
      </c>
      <c r="F9" s="63">
        <f t="shared" si="1"/>
        <v>3219603.952</v>
      </c>
      <c r="G9" s="63">
        <f t="shared" si="2"/>
        <v>6439207.905</v>
      </c>
      <c r="H9" s="66"/>
      <c r="J9" s="52" t="str">
        <f t="shared" ref="J9:K9" si="3">B4</f>
        <v>PowerEdge T640 | 2HD de 1TB | 2x 8GB</v>
      </c>
      <c r="K9" s="52">
        <f t="shared" si="3"/>
        <v>2</v>
      </c>
      <c r="L9" s="68">
        <f t="shared" ref="L9:M9" si="4">F4</f>
        <v>11657362.7</v>
      </c>
      <c r="M9" s="68">
        <f t="shared" si="4"/>
        <v>23314725.39</v>
      </c>
    </row>
    <row r="10">
      <c r="B10" s="20" t="s">
        <v>141</v>
      </c>
      <c r="C10" s="29">
        <f>'Lista On-premise'!C16</f>
        <v>4</v>
      </c>
      <c r="D10" s="63"/>
      <c r="E10" s="82">
        <v>839818.0</v>
      </c>
      <c r="F10" s="63">
        <f t="shared" si="1"/>
        <v>877609.81</v>
      </c>
      <c r="G10" s="63">
        <f t="shared" si="2"/>
        <v>3510439.24</v>
      </c>
      <c r="H10" s="66"/>
      <c r="J10" s="52" t="str">
        <f t="shared" ref="J10:K10" si="5">B5</f>
        <v>PowerEdge T640 | 2HD de 1TB | 2x 8GB</v>
      </c>
      <c r="K10" s="52">
        <f t="shared" si="5"/>
        <v>2</v>
      </c>
      <c r="L10" s="68">
        <f t="shared" ref="L10:M10" si="6">F5</f>
        <v>11657362.7</v>
      </c>
      <c r="M10" s="68">
        <f t="shared" si="6"/>
        <v>23314725.39</v>
      </c>
    </row>
    <row r="11">
      <c r="B11" s="20" t="s">
        <v>142</v>
      </c>
      <c r="C11" s="20">
        <v>2.0</v>
      </c>
      <c r="D11" s="83">
        <v>1229.0</v>
      </c>
      <c r="E11" s="82">
        <f>D11*B2</f>
        <v>4733125.906</v>
      </c>
      <c r="F11" s="63">
        <f t="shared" si="1"/>
        <v>4946116.572</v>
      </c>
      <c r="G11" s="63">
        <f t="shared" si="2"/>
        <v>9892233.144</v>
      </c>
      <c r="H11" s="66"/>
      <c r="J11" s="52" t="str">
        <f t="shared" ref="J11:K11" si="7">B6</f>
        <v>Router VPN RV340 de Cisco con 4 puertos Gigabit Ethernet (GbE) más WAN dual, protección limitada de por vida (RV340-K9-NA), negro</v>
      </c>
      <c r="K11" s="52">
        <f t="shared" si="7"/>
        <v>2</v>
      </c>
      <c r="L11" s="68">
        <f t="shared" ref="L11:M11" si="8">F6</f>
        <v>869293.0671</v>
      </c>
      <c r="M11" s="68">
        <f t="shared" si="8"/>
        <v>1738586.134</v>
      </c>
    </row>
    <row r="12">
      <c r="C12" s="70" t="str">
        <f>'Lista On-premise'!C18</f>
        <v/>
      </c>
      <c r="D12" s="66"/>
      <c r="E12" s="66"/>
      <c r="F12" s="66"/>
      <c r="G12" s="66"/>
      <c r="H12" s="66"/>
      <c r="J12" s="52" t="str">
        <f t="shared" ref="J12:K12" si="9">B7</f>
        <v>Cisco Meraki MX68 Firewall Plus MX68 Advanced Security and Support 3YR BDL extensión de la garantía</v>
      </c>
      <c r="K12" s="52">
        <f t="shared" si="9"/>
        <v>1</v>
      </c>
      <c r="L12" s="68">
        <f t="shared" ref="L12:M12" si="10">F7</f>
        <v>5633904.466</v>
      </c>
      <c r="M12" s="68">
        <f t="shared" si="10"/>
        <v>5633904.466</v>
      </c>
    </row>
    <row r="13">
      <c r="C13" s="70" t="str">
        <f>'Lista On-premise'!C19</f>
        <v/>
      </c>
      <c r="D13" s="66"/>
      <c r="E13" s="66"/>
      <c r="F13" s="66"/>
      <c r="G13" s="66"/>
      <c r="H13" s="66"/>
      <c r="J13" s="52" t="str">
        <f t="shared" ref="J13:K13" si="11">B8</f>
        <v>Interruptor inteligente Cisco Business CBS250-16P-2G | 16 puertos GE | PoE | 2x1G SFP | Protección limitada de por vida (CBS250-16P-2G) (CBS250-16P-2G-NA)\</v>
      </c>
      <c r="K13" s="52">
        <f t="shared" si="11"/>
        <v>2</v>
      </c>
      <c r="L13" s="68">
        <f t="shared" ref="L13:M13" si="12">F8</f>
        <v>1641957.771</v>
      </c>
      <c r="M13" s="68">
        <f t="shared" si="12"/>
        <v>3283915.541</v>
      </c>
    </row>
    <row r="14">
      <c r="C14" s="70" t="str">
        <f>'Lista On-premise'!C20</f>
        <v/>
      </c>
      <c r="D14" s="66"/>
      <c r="E14" s="66"/>
      <c r="F14" s="66"/>
      <c r="G14" s="66"/>
      <c r="H14" s="66"/>
      <c r="J14" s="52" t="str">
        <f t="shared" ref="J14:K14" si="13">B9</f>
        <v>UPS inteligente APC 1500VA con SmartConnect, SMC1500-2UC soporte en rack UPS batería de respaldo, sinewave, AVR, 120V, línea de alimentación ininterrumpida interactiva</v>
      </c>
      <c r="K14" s="52">
        <f t="shared" si="13"/>
        <v>2</v>
      </c>
      <c r="L14" s="68">
        <f t="shared" ref="L14:M14" si="14">F9</f>
        <v>3219603.952</v>
      </c>
      <c r="M14" s="68">
        <f t="shared" si="14"/>
        <v>6439207.905</v>
      </c>
    </row>
    <row r="15">
      <c r="C15" s="70" t="str">
        <f>'Lista On-premise'!C21</f>
        <v/>
      </c>
      <c r="D15" s="66"/>
      <c r="E15" s="66"/>
      <c r="F15" s="66"/>
      <c r="G15" s="66"/>
      <c r="H15" s="66"/>
      <c r="J15" s="52" t="str">
        <f t="shared" ref="J15:K15" si="15">B10</f>
        <v>Monitor Dell: P2219H</v>
      </c>
      <c r="K15" s="52">
        <f t="shared" si="15"/>
        <v>4</v>
      </c>
      <c r="L15" s="68">
        <f t="shared" ref="L15:M15" si="16">F10</f>
        <v>877609.81</v>
      </c>
      <c r="M15" s="68">
        <f t="shared" si="16"/>
        <v>3510439.24</v>
      </c>
    </row>
    <row r="16">
      <c r="C16" s="70" t="str">
        <f>'Lista On-premise'!C22</f>
        <v/>
      </c>
      <c r="D16" s="66"/>
      <c r="E16" s="66"/>
      <c r="F16" s="66"/>
      <c r="G16" s="66"/>
      <c r="H16" s="66"/>
      <c r="J16" s="52" t="str">
        <f t="shared" ref="J16:K16" si="17">B11</f>
        <v>workstation</v>
      </c>
      <c r="K16" s="52">
        <f t="shared" si="17"/>
        <v>2</v>
      </c>
      <c r="L16" s="68">
        <f t="shared" ref="L16:M16" si="18">F11</f>
        <v>4946116.572</v>
      </c>
      <c r="M16" s="68">
        <f t="shared" si="18"/>
        <v>9892233.144</v>
      </c>
    </row>
    <row r="17">
      <c r="C17" s="70" t="str">
        <f>'Lista On-premise'!C23</f>
        <v/>
      </c>
      <c r="D17" s="66"/>
      <c r="E17" s="66"/>
      <c r="F17" s="66"/>
      <c r="G17" s="66"/>
      <c r="H17" s="66"/>
      <c r="J17" s="48" t="s">
        <v>114</v>
      </c>
      <c r="K17" s="52" t="str">
        <f t="shared" ref="K17:K23" si="19">C12</f>
        <v/>
      </c>
      <c r="L17" s="68"/>
      <c r="M17" s="68">
        <f>SUM(M9:M16)</f>
        <v>77127737.21</v>
      </c>
    </row>
    <row r="18">
      <c r="C18" s="70" t="str">
        <f>'Lista On-premise'!C24</f>
        <v/>
      </c>
      <c r="D18" s="66"/>
      <c r="E18" s="66"/>
      <c r="F18" s="66"/>
      <c r="G18" s="66"/>
      <c r="H18" s="66"/>
      <c r="J18" s="52"/>
      <c r="K18" s="52" t="str">
        <f t="shared" si="19"/>
        <v/>
      </c>
      <c r="L18" s="68"/>
      <c r="M18" s="68"/>
    </row>
    <row r="19">
      <c r="C19" s="70" t="str">
        <f>'Lista On-premise'!C25</f>
        <v/>
      </c>
      <c r="D19" s="66"/>
      <c r="E19" s="66"/>
      <c r="F19" s="66"/>
      <c r="G19" s="66"/>
      <c r="H19" s="66"/>
      <c r="J19" s="52"/>
      <c r="K19" s="52" t="str">
        <f t="shared" si="19"/>
        <v/>
      </c>
      <c r="L19" s="68"/>
      <c r="M19" s="68"/>
    </row>
    <row r="20">
      <c r="C20" s="70" t="str">
        <f>'Lista On-premise'!C26</f>
        <v/>
      </c>
      <c r="D20" s="66"/>
      <c r="E20" s="66"/>
      <c r="F20" s="66"/>
      <c r="G20" s="66"/>
      <c r="H20" s="66"/>
      <c r="K20" s="70" t="str">
        <f t="shared" si="19"/>
        <v/>
      </c>
      <c r="L20" s="66"/>
      <c r="M20" s="66"/>
    </row>
    <row r="21">
      <c r="C21" s="56" t="str">
        <f>'Lista On-premise'!C27</f>
        <v/>
      </c>
      <c r="F21" s="66"/>
      <c r="G21" s="66"/>
      <c r="K21" s="70" t="str">
        <f t="shared" si="19"/>
        <v/>
      </c>
      <c r="L21" s="66"/>
      <c r="M21" s="71">
        <f>SUM(M9:M16)*60%</f>
        <v>46276642.33</v>
      </c>
    </row>
    <row r="22">
      <c r="C22" s="56" t="str">
        <f>'Lista On-premise'!C28</f>
        <v>1 mes</v>
      </c>
      <c r="G22" s="66"/>
      <c r="K22" s="70" t="str">
        <f t="shared" si="19"/>
        <v/>
      </c>
    </row>
    <row r="23">
      <c r="G23" s="66"/>
      <c r="K23" s="70" t="str">
        <f t="shared" si="19"/>
        <v/>
      </c>
    </row>
    <row r="24">
      <c r="G24" s="66"/>
    </row>
    <row r="25">
      <c r="G25" s="66"/>
    </row>
    <row r="26">
      <c r="G26" s="66"/>
    </row>
    <row r="27">
      <c r="G27" s="66"/>
    </row>
    <row r="28">
      <c r="G28" s="66"/>
    </row>
    <row r="29">
      <c r="G29" s="66"/>
    </row>
    <row r="30">
      <c r="G30" s="66"/>
    </row>
    <row r="31">
      <c r="G31" s="66"/>
    </row>
  </sheetData>
  <hyperlinks>
    <hyperlink r:id="rId1" ref="C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10" max="10" width="22.43"/>
    <col customWidth="1" min="13" max="13" width="20.29"/>
  </cols>
  <sheetData>
    <row r="1">
      <c r="A1" s="17" t="s">
        <v>143</v>
      </c>
      <c r="B1" s="58">
        <v>3739.03</v>
      </c>
      <c r="C1" s="72" t="s">
        <v>103</v>
      </c>
    </row>
    <row r="2">
      <c r="A2" s="17" t="s">
        <v>144</v>
      </c>
      <c r="B2" s="60">
        <f>B1*1.03</f>
        <v>3851.2009</v>
      </c>
    </row>
    <row r="3">
      <c r="B3" s="73" t="s">
        <v>105</v>
      </c>
      <c r="C3" s="73" t="s">
        <v>106</v>
      </c>
      <c r="D3" s="73" t="s">
        <v>145</v>
      </c>
      <c r="E3" s="73" t="s">
        <v>146</v>
      </c>
      <c r="F3" s="73" t="s">
        <v>109</v>
      </c>
      <c r="G3" s="73" t="s">
        <v>110</v>
      </c>
    </row>
    <row r="4">
      <c r="B4" s="48" t="s">
        <v>147</v>
      </c>
      <c r="C4" s="52">
        <f>'Lista On-premise'!K10</f>
        <v>30</v>
      </c>
      <c r="D4" s="84">
        <v>21900.0</v>
      </c>
      <c r="E4" s="85">
        <f>D4/1.19</f>
        <v>18403.36134</v>
      </c>
      <c r="F4" s="68">
        <f t="shared" ref="F4:F9" si="1">E4*1.045</f>
        <v>19231.51261</v>
      </c>
      <c r="G4" s="68">
        <f t="shared" ref="G4:G9" si="2">F4*C4</f>
        <v>576945.3782</v>
      </c>
      <c r="H4" s="66"/>
    </row>
    <row r="5">
      <c r="B5" s="48" t="s">
        <v>148</v>
      </c>
      <c r="C5" s="48">
        <v>2.0</v>
      </c>
      <c r="D5" s="85">
        <v>670.0</v>
      </c>
      <c r="E5" s="85">
        <v>299900.0</v>
      </c>
      <c r="F5" s="68">
        <f t="shared" si="1"/>
        <v>313395.5</v>
      </c>
      <c r="G5" s="68">
        <f t="shared" si="2"/>
        <v>626791</v>
      </c>
      <c r="H5" s="66"/>
    </row>
    <row r="6">
      <c r="B6" s="48" t="s">
        <v>149</v>
      </c>
      <c r="C6" s="48">
        <v>1.0</v>
      </c>
      <c r="D6" s="85">
        <v>50000.0</v>
      </c>
      <c r="E6" s="85">
        <f t="shared" ref="E6:E9" si="3">D6/1.19</f>
        <v>42016.80672</v>
      </c>
      <c r="F6" s="68">
        <f t="shared" si="1"/>
        <v>43907.56303</v>
      </c>
      <c r="G6" s="68">
        <f t="shared" si="2"/>
        <v>43907.56303</v>
      </c>
      <c r="H6" s="66"/>
    </row>
    <row r="7">
      <c r="B7" s="48" t="s">
        <v>150</v>
      </c>
      <c r="C7" s="52">
        <f>'Lista On-premise'!K13</f>
        <v>44</v>
      </c>
      <c r="D7" s="85">
        <v>19900.0</v>
      </c>
      <c r="E7" s="85">
        <f t="shared" si="3"/>
        <v>16722.68908</v>
      </c>
      <c r="F7" s="68">
        <f t="shared" si="1"/>
        <v>17475.21008</v>
      </c>
      <c r="G7" s="68">
        <f t="shared" si="2"/>
        <v>768909.2437</v>
      </c>
      <c r="H7" s="66"/>
    </row>
    <row r="8">
      <c r="B8" s="48" t="s">
        <v>151</v>
      </c>
      <c r="C8" s="52">
        <f>'Lista On-premise'!K14</f>
        <v>2</v>
      </c>
      <c r="D8" s="85">
        <v>179900.0</v>
      </c>
      <c r="E8" s="85">
        <f t="shared" si="3"/>
        <v>151176.4706</v>
      </c>
      <c r="F8" s="68">
        <f t="shared" si="1"/>
        <v>157979.4118</v>
      </c>
      <c r="G8" s="68">
        <f t="shared" si="2"/>
        <v>315958.8235</v>
      </c>
      <c r="H8" s="66"/>
      <c r="J8" s="42" t="s">
        <v>105</v>
      </c>
      <c r="K8" s="42" t="s">
        <v>106</v>
      </c>
      <c r="L8" s="42" t="s">
        <v>112</v>
      </c>
      <c r="M8" s="42" t="s">
        <v>113</v>
      </c>
    </row>
    <row r="9">
      <c r="A9" s="86"/>
      <c r="B9" s="48" t="s">
        <v>152</v>
      </c>
      <c r="C9" s="52">
        <f>'Lista On-premise'!K15</f>
        <v>2</v>
      </c>
      <c r="D9" s="85">
        <v>1200000.0</v>
      </c>
      <c r="E9" s="85">
        <f t="shared" si="3"/>
        <v>1008403.361</v>
      </c>
      <c r="F9" s="68">
        <f t="shared" si="1"/>
        <v>1053781.513</v>
      </c>
      <c r="G9" s="68">
        <f t="shared" si="2"/>
        <v>2107563.025</v>
      </c>
      <c r="H9" s="66"/>
      <c r="J9" s="52" t="str">
        <f t="shared" ref="J9:K9" si="4">B4</f>
        <v>Canaleta 60 x 40 mm 2 metros ND</v>
      </c>
      <c r="K9" s="52">
        <f t="shared" si="4"/>
        <v>30</v>
      </c>
      <c r="L9" s="68">
        <f t="shared" ref="L9:M9" si="5">F4</f>
        <v>19231.51261</v>
      </c>
      <c r="M9" s="68">
        <f t="shared" si="5"/>
        <v>576945.3782</v>
      </c>
    </row>
    <row r="10">
      <c r="C10" s="70" t="str">
        <f>'Lista On-premise'!K16</f>
        <v/>
      </c>
      <c r="D10" s="65"/>
      <c r="E10" s="67"/>
      <c r="F10" s="66"/>
      <c r="G10" s="66"/>
      <c r="H10" s="66"/>
      <c r="J10" s="52" t="str">
        <f t="shared" ref="J10:K10" si="6">B5</f>
        <v>Cable UTP Categoria 6 CCA+PVP Carrete 305 Metros Propack</v>
      </c>
      <c r="K10" s="52">
        <f t="shared" si="6"/>
        <v>2</v>
      </c>
      <c r="L10" s="68">
        <f t="shared" ref="L10:M10" si="7">F5</f>
        <v>313395.5</v>
      </c>
      <c r="M10" s="68">
        <f t="shared" si="7"/>
        <v>626791</v>
      </c>
    </row>
    <row r="11">
      <c r="C11" s="70" t="str">
        <f>'Lista On-premise'!K17</f>
        <v/>
      </c>
      <c r="D11" s="66"/>
      <c r="E11" s="66"/>
      <c r="F11" s="66"/>
      <c r="G11" s="66"/>
      <c r="H11" s="66"/>
      <c r="J11" s="52" t="str">
        <f t="shared" ref="J11:K11" si="8">B6</f>
        <v>Bolsa rj45</v>
      </c>
      <c r="K11" s="52">
        <f t="shared" si="8"/>
        <v>1</v>
      </c>
      <c r="L11" s="68">
        <f t="shared" ref="L11:M11" si="9">F6</f>
        <v>43907.56303</v>
      </c>
      <c r="M11" s="68">
        <f t="shared" si="9"/>
        <v>43907.56303</v>
      </c>
    </row>
    <row r="12">
      <c r="C12" s="70" t="str">
        <f>'Lista On-premise'!K18</f>
        <v/>
      </c>
      <c r="D12" s="66"/>
      <c r="E12" s="66"/>
      <c r="F12" s="66"/>
      <c r="G12" s="66"/>
      <c r="H12" s="66"/>
      <c r="J12" s="52" t="str">
        <f t="shared" ref="J12:K12" si="10">B7</f>
        <v>Extensión patch cord 2 metros gris cat 5e 3.6 db</v>
      </c>
      <c r="K12" s="52">
        <f t="shared" si="10"/>
        <v>44</v>
      </c>
      <c r="L12" s="68">
        <f t="shared" ref="L12:M12" si="11">F7</f>
        <v>17475.21008</v>
      </c>
      <c r="M12" s="68">
        <f t="shared" si="11"/>
        <v>768909.2437</v>
      </c>
    </row>
    <row r="13">
      <c r="C13" s="70" t="str">
        <f>'Lista On-premise'!K19</f>
        <v/>
      </c>
      <c r="D13" s="66"/>
      <c r="E13" s="66"/>
      <c r="F13" s="66"/>
      <c r="G13" s="66"/>
      <c r="H13" s="66"/>
      <c r="J13" s="52" t="str">
        <f t="shared" ref="J13:K13" si="12">B8</f>
        <v>Patch Panel Cat 6 de 24 Puertos</v>
      </c>
      <c r="K13" s="52">
        <f t="shared" si="12"/>
        <v>2</v>
      </c>
      <c r="L13" s="68">
        <f t="shared" ref="L13:M13" si="13">F8</f>
        <v>157979.4118</v>
      </c>
      <c r="M13" s="68">
        <f t="shared" si="13"/>
        <v>315958.8235</v>
      </c>
    </row>
    <row r="14">
      <c r="C14" s="70" t="str">
        <f>'Lista On-premise'!K20</f>
        <v/>
      </c>
      <c r="D14" s="66"/>
      <c r="E14" s="66"/>
      <c r="F14" s="66"/>
      <c r="G14" s="66"/>
      <c r="H14" s="66"/>
      <c r="J14" s="52" t="str">
        <f t="shared" ref="J14:K14" si="14">B9</f>
        <v> rack </v>
      </c>
      <c r="K14" s="52">
        <f t="shared" si="14"/>
        <v>2</v>
      </c>
      <c r="L14" s="68">
        <f t="shared" ref="L14:M14" si="15">F9</f>
        <v>1053781.513</v>
      </c>
      <c r="M14" s="68">
        <f t="shared" si="15"/>
        <v>2107563.025</v>
      </c>
    </row>
    <row r="15">
      <c r="D15" s="66"/>
      <c r="E15" s="66"/>
      <c r="F15" s="66"/>
      <c r="G15" s="66"/>
      <c r="H15" s="66"/>
      <c r="J15" s="52" t="str">
        <f t="shared" ref="J15:K15" si="16">B10</f>
        <v/>
      </c>
      <c r="K15" s="52" t="str">
        <f t="shared" si="16"/>
        <v/>
      </c>
      <c r="L15" s="68" t="str">
        <f t="shared" ref="L15:M15" si="17">F10</f>
        <v/>
      </c>
      <c r="M15" s="68" t="str">
        <f t="shared" si="17"/>
        <v/>
      </c>
    </row>
    <row r="16">
      <c r="C16" s="70" t="str">
        <f>'Lista On-premise'!G22</f>
        <v/>
      </c>
      <c r="D16" s="66"/>
      <c r="E16" s="66"/>
      <c r="F16" s="66"/>
      <c r="G16" s="66"/>
      <c r="H16" s="66"/>
      <c r="J16" s="52"/>
      <c r="K16" s="52" t="str">
        <f t="shared" ref="K16:K21" si="18">C11</f>
        <v/>
      </c>
      <c r="L16" s="68"/>
      <c r="M16" s="68"/>
    </row>
    <row r="17">
      <c r="C17" s="70" t="str">
        <f>'Lista On-premise'!G23</f>
        <v/>
      </c>
      <c r="D17" s="66"/>
      <c r="E17" s="66"/>
      <c r="F17" s="66"/>
      <c r="G17" s="66"/>
      <c r="H17" s="66"/>
      <c r="J17" s="52"/>
      <c r="K17" s="52" t="str">
        <f t="shared" si="18"/>
        <v/>
      </c>
      <c r="L17" s="68"/>
      <c r="M17" s="68"/>
    </row>
    <row r="18">
      <c r="C18" s="70" t="str">
        <f>'Lista On-premise'!C24</f>
        <v/>
      </c>
      <c r="D18" s="66"/>
      <c r="E18" s="66"/>
      <c r="F18" s="66"/>
      <c r="G18" s="66"/>
      <c r="H18" s="66"/>
      <c r="J18" s="52"/>
      <c r="K18" s="52" t="str">
        <f t="shared" si="18"/>
        <v/>
      </c>
      <c r="L18" s="68"/>
      <c r="M18" s="68"/>
    </row>
    <row r="19">
      <c r="C19" s="70" t="str">
        <f>'Lista On-premise'!C25</f>
        <v/>
      </c>
      <c r="D19" s="66"/>
      <c r="E19" s="66"/>
      <c r="F19" s="66"/>
      <c r="G19" s="66"/>
      <c r="H19" s="66"/>
      <c r="J19" s="52"/>
      <c r="K19" s="52" t="str">
        <f t="shared" si="18"/>
        <v/>
      </c>
      <c r="L19" s="68"/>
      <c r="M19" s="68"/>
    </row>
    <row r="20">
      <c r="C20" s="70" t="str">
        <f>'Lista On-premise'!C26</f>
        <v/>
      </c>
      <c r="D20" s="66"/>
      <c r="E20" s="66"/>
      <c r="F20" s="66"/>
      <c r="G20" s="66"/>
      <c r="H20" s="66"/>
      <c r="K20" s="70" t="str">
        <f t="shared" si="18"/>
        <v/>
      </c>
      <c r="L20" s="66"/>
      <c r="M20" s="66"/>
    </row>
    <row r="21">
      <c r="C21" s="56" t="str">
        <f>'Lista On-premise'!C27</f>
        <v/>
      </c>
      <c r="F21" s="66"/>
      <c r="G21" s="66"/>
      <c r="K21" s="70" t="str">
        <f t="shared" si="18"/>
        <v/>
      </c>
      <c r="L21" s="66"/>
      <c r="M21" s="71">
        <f>SUM(M9:M15)</f>
        <v>4440075.034</v>
      </c>
    </row>
  </sheetData>
  <hyperlinks>
    <hyperlink r:id="rId1" ref="C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71"/>
    <col customWidth="1" min="4" max="4" width="18.71"/>
    <col customWidth="1" min="5" max="5" width="25.71"/>
    <col customWidth="1" min="9" max="9" width="1.0"/>
    <col customWidth="1" min="10" max="10" width="19.57"/>
    <col customWidth="1" min="12" max="12" width="19.14"/>
    <col customWidth="1" min="13" max="13" width="18.71"/>
  </cols>
  <sheetData>
    <row r="1">
      <c r="B1" s="58" t="s">
        <v>153</v>
      </c>
      <c r="C1" s="17">
        <v>2.0</v>
      </c>
      <c r="D1" s="65">
        <v>5000000.0</v>
      </c>
      <c r="E1" s="66">
        <f>D1*C1</f>
        <v>10000000</v>
      </c>
      <c r="F1" s="66">
        <f>E1*12</f>
        <v>120000000</v>
      </c>
    </row>
    <row r="2">
      <c r="B2" s="17" t="s">
        <v>154</v>
      </c>
      <c r="C2" s="17">
        <v>49.0</v>
      </c>
      <c r="D2" s="65">
        <v>6000000.0</v>
      </c>
      <c r="E2" s="87">
        <f>D2/C2</f>
        <v>122448.9796</v>
      </c>
      <c r="F2" s="66">
        <f>D2</f>
        <v>6000000</v>
      </c>
    </row>
    <row r="3">
      <c r="B3" s="61" t="s">
        <v>105</v>
      </c>
      <c r="C3" s="61" t="s">
        <v>106</v>
      </c>
      <c r="D3" s="61" t="s">
        <v>108</v>
      </c>
      <c r="E3" s="61" t="s">
        <v>109</v>
      </c>
      <c r="F3" s="61" t="s">
        <v>110</v>
      </c>
    </row>
    <row r="4">
      <c r="B4" s="29" t="str">
        <f>'Lista On-premise'!R10</f>
        <v>Servicios tecnologo</v>
      </c>
      <c r="C4" s="20">
        <v>1.0</v>
      </c>
      <c r="D4" s="88">
        <f t="shared" ref="D4:D5" si="1">F1</f>
        <v>120000000</v>
      </c>
      <c r="E4" s="64">
        <f t="shared" ref="E4:E10" si="2">D4*1.045</f>
        <v>125400000</v>
      </c>
      <c r="F4" s="63">
        <f t="shared" ref="F4:F10" si="3">E4</f>
        <v>125400000</v>
      </c>
      <c r="G4" s="66"/>
      <c r="H4" s="66"/>
    </row>
    <row r="5">
      <c r="B5" s="29" t="str">
        <f>'Lista On-premise'!R11</f>
        <v>Servicios electricos</v>
      </c>
      <c r="C5" s="20">
        <v>1.0</v>
      </c>
      <c r="D5" s="64">
        <f t="shared" si="1"/>
        <v>6000000</v>
      </c>
      <c r="E5" s="64">
        <f t="shared" si="2"/>
        <v>6270000</v>
      </c>
      <c r="F5" s="63">
        <f t="shared" si="3"/>
        <v>6270000</v>
      </c>
      <c r="G5" s="66"/>
      <c r="H5" s="66"/>
    </row>
    <row r="6">
      <c r="B6" s="29" t="str">
        <f>'Lista On-premise'!R12</f>
        <v>asesor externo</v>
      </c>
      <c r="C6" s="29">
        <f>'Lista On-premise'!S12</f>
        <v>1</v>
      </c>
      <c r="D6" s="64">
        <v>8000000.0</v>
      </c>
      <c r="E6" s="64">
        <f t="shared" si="2"/>
        <v>8360000</v>
      </c>
      <c r="F6" s="63">
        <f t="shared" si="3"/>
        <v>8360000</v>
      </c>
      <c r="G6" s="66"/>
      <c r="H6" s="66"/>
    </row>
    <row r="7">
      <c r="B7" s="29" t="str">
        <f>'Lista On-premise'!R13</f>
        <v>abogado</v>
      </c>
      <c r="C7" s="29">
        <f>'Lista On-premise'!S13</f>
        <v>1</v>
      </c>
      <c r="D7" s="64">
        <v>3000000.0</v>
      </c>
      <c r="E7" s="64">
        <f t="shared" si="2"/>
        <v>3135000</v>
      </c>
      <c r="F7" s="63">
        <f t="shared" si="3"/>
        <v>3135000</v>
      </c>
      <c r="G7" s="66"/>
      <c r="H7" s="66"/>
    </row>
    <row r="8">
      <c r="B8" s="29" t="str">
        <f>'Lista On-premise'!R14</f>
        <v>contador</v>
      </c>
      <c r="C8" s="29">
        <f>'Lista On-premise'!S14</f>
        <v>1</v>
      </c>
      <c r="D8" s="64">
        <v>2.0E7</v>
      </c>
      <c r="E8" s="64">
        <f t="shared" si="2"/>
        <v>20900000</v>
      </c>
      <c r="F8" s="63">
        <f t="shared" si="3"/>
        <v>20900000</v>
      </c>
      <c r="G8" s="66"/>
      <c r="H8" s="66"/>
      <c r="J8" s="42" t="s">
        <v>105</v>
      </c>
      <c r="K8" s="42" t="s">
        <v>106</v>
      </c>
      <c r="L8" s="42" t="s">
        <v>112</v>
      </c>
      <c r="M8" s="42" t="s">
        <v>113</v>
      </c>
    </row>
    <row r="9">
      <c r="A9" s="86"/>
      <c r="B9" s="20" t="s">
        <v>155</v>
      </c>
      <c r="C9" s="20">
        <v>12.0</v>
      </c>
      <c r="D9" s="64">
        <v>1500000.0</v>
      </c>
      <c r="E9" s="64">
        <f t="shared" si="2"/>
        <v>1567500</v>
      </c>
      <c r="F9" s="63">
        <f t="shared" si="3"/>
        <v>1567500</v>
      </c>
      <c r="G9" s="66"/>
      <c r="H9" s="66"/>
      <c r="J9" s="52" t="str">
        <f t="shared" ref="J9:K9" si="4">B4</f>
        <v>Servicios tecnologo</v>
      </c>
      <c r="K9" s="52">
        <f t="shared" si="4"/>
        <v>1</v>
      </c>
      <c r="L9" s="68">
        <f t="shared" ref="L9:L18" si="6">F4</f>
        <v>125400000</v>
      </c>
      <c r="M9" s="68">
        <f t="shared" ref="M9:M15" si="7">L9*K9</f>
        <v>125400000</v>
      </c>
    </row>
    <row r="10">
      <c r="B10" s="20" t="s">
        <v>156</v>
      </c>
      <c r="C10" s="20">
        <v>12.0</v>
      </c>
      <c r="D10" s="64">
        <v>1500000.0</v>
      </c>
      <c r="E10" s="64">
        <f t="shared" si="2"/>
        <v>1567500</v>
      </c>
      <c r="F10" s="63">
        <f t="shared" si="3"/>
        <v>1567500</v>
      </c>
      <c r="G10" s="66"/>
      <c r="H10" s="66"/>
      <c r="J10" s="52" t="str">
        <f t="shared" ref="J10:K10" si="5">B5</f>
        <v>Servicios electricos</v>
      </c>
      <c r="K10" s="52">
        <f t="shared" si="5"/>
        <v>1</v>
      </c>
      <c r="L10" s="68">
        <f t="shared" si="6"/>
        <v>6270000</v>
      </c>
      <c r="M10" s="68">
        <f t="shared" si="7"/>
        <v>6270000</v>
      </c>
    </row>
    <row r="11">
      <c r="C11" s="70" t="str">
        <f>'Lista On-premise'!S17</f>
        <v/>
      </c>
      <c r="D11" s="65"/>
      <c r="E11" s="65"/>
      <c r="F11" s="66"/>
      <c r="G11" s="66"/>
      <c r="H11" s="66"/>
      <c r="J11" s="52" t="str">
        <f t="shared" ref="J11:K11" si="8">B6</f>
        <v>asesor externo</v>
      </c>
      <c r="K11" s="52">
        <f t="shared" si="8"/>
        <v>1</v>
      </c>
      <c r="L11" s="68">
        <f t="shared" si="6"/>
        <v>8360000</v>
      </c>
      <c r="M11" s="68">
        <f t="shared" si="7"/>
        <v>8360000</v>
      </c>
    </row>
    <row r="12">
      <c r="A12" s="86"/>
      <c r="C12" s="70" t="str">
        <f>'Lista On-premise'!S18</f>
        <v/>
      </c>
      <c r="D12" s="65"/>
      <c r="E12" s="65"/>
      <c r="F12" s="66"/>
      <c r="G12" s="66"/>
      <c r="H12" s="66"/>
      <c r="J12" s="52" t="str">
        <f t="shared" ref="J12:K12" si="9">B7</f>
        <v>abogado</v>
      </c>
      <c r="K12" s="52">
        <f t="shared" si="9"/>
        <v>1</v>
      </c>
      <c r="L12" s="68">
        <f t="shared" si="6"/>
        <v>3135000</v>
      </c>
      <c r="M12" s="68">
        <f t="shared" si="7"/>
        <v>3135000</v>
      </c>
    </row>
    <row r="13">
      <c r="C13" s="70" t="str">
        <f>'Lista On-premise'!S19</f>
        <v/>
      </c>
      <c r="D13" s="65"/>
      <c r="E13" s="65"/>
      <c r="F13" s="66"/>
      <c r="G13" s="66"/>
      <c r="H13" s="66"/>
      <c r="J13" s="52" t="str">
        <f t="shared" ref="J13:K13" si="10">B8</f>
        <v>contador</v>
      </c>
      <c r="K13" s="52">
        <f t="shared" si="10"/>
        <v>1</v>
      </c>
      <c r="L13" s="68">
        <f t="shared" si="6"/>
        <v>20900000</v>
      </c>
      <c r="M13" s="68">
        <f t="shared" si="7"/>
        <v>20900000</v>
      </c>
    </row>
    <row r="14">
      <c r="D14" s="66"/>
      <c r="E14" s="66"/>
      <c r="F14" s="66"/>
      <c r="G14" s="66"/>
      <c r="H14" s="66"/>
      <c r="J14" s="52" t="str">
        <f t="shared" ref="J14:K14" si="11">B9</f>
        <v>internet de dicado 200</v>
      </c>
      <c r="K14" s="52">
        <f t="shared" si="11"/>
        <v>12</v>
      </c>
      <c r="L14" s="68">
        <f t="shared" si="6"/>
        <v>1567500</v>
      </c>
      <c r="M14" s="68">
        <f t="shared" si="7"/>
        <v>18810000</v>
      </c>
    </row>
    <row r="15">
      <c r="D15" s="66"/>
      <c r="E15" s="66"/>
      <c r="F15" s="66"/>
      <c r="G15" s="66"/>
      <c r="H15" s="66"/>
      <c r="J15" s="52" t="str">
        <f t="shared" ref="J15:K15" si="12">B10</f>
        <v>energia electrica</v>
      </c>
      <c r="K15" s="52">
        <f t="shared" si="12"/>
        <v>12</v>
      </c>
      <c r="L15" s="68">
        <f t="shared" si="6"/>
        <v>1567500</v>
      </c>
      <c r="M15" s="68">
        <f t="shared" si="7"/>
        <v>18810000</v>
      </c>
    </row>
    <row r="16">
      <c r="C16" s="70" t="str">
        <f>'Lista On-premise'!G22</f>
        <v/>
      </c>
      <c r="D16" s="66"/>
      <c r="E16" s="66"/>
      <c r="F16" s="66"/>
      <c r="G16" s="66"/>
      <c r="H16" s="66"/>
      <c r="J16" s="52" t="str">
        <f t="shared" ref="J16:K16" si="13">B11</f>
        <v/>
      </c>
      <c r="K16" s="52" t="str">
        <f t="shared" si="13"/>
        <v/>
      </c>
      <c r="L16" s="68" t="str">
        <f t="shared" si="6"/>
        <v/>
      </c>
      <c r="M16" s="68" t="str">
        <f>G11</f>
        <v/>
      </c>
    </row>
    <row r="17">
      <c r="C17" s="70" t="str">
        <f>'Lista On-premise'!G23</f>
        <v/>
      </c>
      <c r="D17" s="66"/>
      <c r="E17" s="66"/>
      <c r="F17" s="66"/>
      <c r="G17" s="66"/>
      <c r="H17" s="66"/>
      <c r="J17" s="52" t="str">
        <f t="shared" ref="J17:K17" si="14">B12</f>
        <v/>
      </c>
      <c r="K17" s="52" t="str">
        <f t="shared" si="14"/>
        <v/>
      </c>
      <c r="L17" s="68" t="str">
        <f t="shared" si="6"/>
        <v/>
      </c>
      <c r="M17" s="68">
        <f>SUM(M9:M15)</f>
        <v>201685000</v>
      </c>
    </row>
    <row r="18">
      <c r="D18" s="65"/>
      <c r="E18" s="66"/>
      <c r="F18" s="66"/>
      <c r="G18" s="66"/>
      <c r="H18" s="66"/>
      <c r="J18" s="52" t="str">
        <f t="shared" ref="J18:K18" si="15">B13</f>
        <v/>
      </c>
      <c r="K18" s="52" t="str">
        <f t="shared" si="15"/>
        <v/>
      </c>
      <c r="L18" s="68" t="str">
        <f t="shared" si="6"/>
        <v/>
      </c>
      <c r="M18" s="68" t="str">
        <f>G13</f>
        <v/>
      </c>
    </row>
    <row r="19">
      <c r="D19" s="55"/>
      <c r="E19" s="56"/>
      <c r="F19" s="56"/>
      <c r="G19" s="66"/>
      <c r="H19" s="66"/>
      <c r="J19" s="52"/>
      <c r="K19" s="52"/>
      <c r="L19" s="68"/>
      <c r="M19" s="68"/>
    </row>
    <row r="20">
      <c r="D20" s="55"/>
      <c r="E20" s="56"/>
      <c r="F20" s="56"/>
      <c r="G20" s="66"/>
      <c r="H20" s="66"/>
      <c r="L20" s="66"/>
      <c r="M20" s="66"/>
    </row>
    <row r="21">
      <c r="D21" s="55"/>
      <c r="E21" s="56"/>
      <c r="F21" s="56"/>
      <c r="G21" s="66"/>
      <c r="K21" s="70" t="str">
        <f>C16</f>
        <v/>
      </c>
      <c r="L21" s="66"/>
      <c r="M21" s="71">
        <f>SUM(M9:M15)*60%</f>
        <v>121011000</v>
      </c>
    </row>
    <row r="22">
      <c r="D22" s="55"/>
      <c r="E22" s="56"/>
      <c r="F22" s="56"/>
    </row>
    <row r="23">
      <c r="D23" s="56"/>
      <c r="E23" s="56"/>
      <c r="F23" s="56"/>
    </row>
    <row r="24">
      <c r="D24" s="56"/>
      <c r="E24" s="56"/>
      <c r="F24" s="56"/>
    </row>
    <row r="25">
      <c r="D25" s="56"/>
      <c r="E25" s="56"/>
      <c r="F25" s="56"/>
    </row>
    <row r="26">
      <c r="D26" s="56"/>
      <c r="E26" s="56"/>
      <c r="F26" s="56"/>
    </row>
    <row r="27">
      <c r="D27" s="55"/>
      <c r="E27" s="56"/>
      <c r="F27" s="56"/>
    </row>
    <row r="28">
      <c r="D28" s="56"/>
      <c r="E28" s="89"/>
      <c r="F28" s="56"/>
    </row>
    <row r="29">
      <c r="D29" s="56"/>
      <c r="E29" s="56"/>
      <c r="F29" s="56"/>
    </row>
    <row r="30">
      <c r="D30" s="56"/>
      <c r="E30" s="56"/>
      <c r="F30" s="56"/>
    </row>
    <row r="31">
      <c r="D31" s="56"/>
      <c r="E31" s="56"/>
      <c r="F31" s="56"/>
    </row>
    <row r="32">
      <c r="C32" s="4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  <col customWidth="1" min="2" max="2" width="29.14"/>
    <col customWidth="1" min="3" max="3" width="22.29"/>
    <col customWidth="1" min="11" max="11" width="24.14"/>
    <col customWidth="1" min="12" max="12" width="29.29"/>
    <col customWidth="1" min="16" max="16" width="17.57"/>
    <col customWidth="1" min="19" max="19" width="24.0"/>
    <col customWidth="1" min="20" max="20" width="31.14"/>
    <col customWidth="1" min="22" max="22" width="17.57"/>
  </cols>
  <sheetData>
    <row r="1">
      <c r="A1" s="90" t="s">
        <v>157</v>
      </c>
    </row>
    <row r="2">
      <c r="A2" s="91" t="s">
        <v>143</v>
      </c>
      <c r="B2" s="92">
        <f>Equipos!B1</f>
        <v>3739.03</v>
      </c>
    </row>
    <row r="3">
      <c r="A3" s="91" t="s">
        <v>144</v>
      </c>
      <c r="B3" s="92">
        <f>Equipos!B2</f>
        <v>3851.2009</v>
      </c>
    </row>
    <row r="6">
      <c r="A6" s="93" t="s">
        <v>158</v>
      </c>
      <c r="B6" s="93" t="s">
        <v>159</v>
      </c>
      <c r="C6" s="94" t="s">
        <v>160</v>
      </c>
      <c r="D6" s="94" t="s">
        <v>161</v>
      </c>
      <c r="E6" s="93" t="s">
        <v>162</v>
      </c>
      <c r="F6" s="95"/>
      <c r="G6" s="95"/>
      <c r="H6" s="95"/>
      <c r="K6" s="96" t="s">
        <v>66</v>
      </c>
      <c r="L6" s="96" t="s">
        <v>67</v>
      </c>
      <c r="M6" s="96" t="s">
        <v>68</v>
      </c>
      <c r="N6" s="97" t="s">
        <v>163</v>
      </c>
      <c r="O6" s="97" t="s">
        <v>164</v>
      </c>
      <c r="P6" s="97" t="s">
        <v>165</v>
      </c>
      <c r="S6" s="97" t="s">
        <v>105</v>
      </c>
      <c r="T6" s="97" t="s">
        <v>106</v>
      </c>
      <c r="U6" s="97" t="s">
        <v>112</v>
      </c>
      <c r="V6" s="97" t="s">
        <v>113</v>
      </c>
    </row>
    <row r="7">
      <c r="A7" s="98" t="s">
        <v>166</v>
      </c>
      <c r="B7" s="99"/>
      <c r="C7" s="100"/>
      <c r="D7" s="100"/>
      <c r="E7" s="101">
        <v>6456.25</v>
      </c>
      <c r="F7" s="95"/>
      <c r="G7" s="95"/>
      <c r="H7" s="95"/>
      <c r="K7" s="102"/>
      <c r="L7" s="102"/>
      <c r="M7" s="102"/>
      <c r="N7" s="102"/>
      <c r="O7" s="102"/>
      <c r="P7" s="102"/>
      <c r="S7" s="102"/>
      <c r="T7" s="102"/>
      <c r="U7" s="102"/>
      <c r="V7" s="102"/>
    </row>
    <row r="8">
      <c r="A8" s="103"/>
      <c r="B8" s="104" t="s">
        <v>167</v>
      </c>
      <c r="C8" s="105" t="s">
        <v>168</v>
      </c>
      <c r="D8" s="106">
        <v>5722.85</v>
      </c>
      <c r="E8" s="103"/>
      <c r="F8" s="103"/>
      <c r="G8" s="103"/>
      <c r="H8" s="103"/>
      <c r="K8" s="107" t="s">
        <v>169</v>
      </c>
      <c r="L8" s="108" t="str">
        <f t="shared" ref="L8:L14" si="2">B8</f>
        <v>Calcular:PS</v>
      </c>
      <c r="M8" s="109">
        <v>1.0</v>
      </c>
      <c r="N8" s="110">
        <f t="shared" ref="N8:N14" si="3">D8</f>
        <v>5722.85</v>
      </c>
      <c r="O8" s="111">
        <f>N8*B3</f>
        <v>22039845.07</v>
      </c>
      <c r="P8" s="111">
        <f t="shared" ref="P8:P18" si="4">O8*1.045</f>
        <v>23031638.1</v>
      </c>
      <c r="S8" s="112" t="str">
        <f t="shared" ref="S8:U8" si="1">K8</f>
        <v>16 servidores, 8 winserver 2019 base 16 ram xeon 4 nucleos, 4 sles 16 ram, xeon 4 nuclos, 4 redhat 8 ram, xeon 2 nucleos </v>
      </c>
      <c r="T8" s="103" t="str">
        <f t="shared" si="1"/>
        <v>Calcular:PS</v>
      </c>
      <c r="U8" s="113">
        <f t="shared" si="1"/>
        <v>1</v>
      </c>
      <c r="V8" s="111">
        <f t="shared" ref="V8:V20" si="6">P8</f>
        <v>23031638.1</v>
      </c>
    </row>
    <row r="9">
      <c r="A9" s="114"/>
      <c r="B9" s="115" t="s">
        <v>170</v>
      </c>
      <c r="C9" s="116" t="s">
        <v>168</v>
      </c>
      <c r="D9" s="117">
        <v>1.0</v>
      </c>
      <c r="E9" s="114"/>
      <c r="F9" s="114"/>
      <c r="G9" s="114"/>
      <c r="H9" s="114"/>
      <c r="K9" s="118"/>
      <c r="L9" s="119" t="str">
        <f t="shared" si="2"/>
        <v>Transferencia de datos intrarregional:PS</v>
      </c>
      <c r="M9" s="120">
        <v>1.0</v>
      </c>
      <c r="N9" s="121">
        <f t="shared" si="3"/>
        <v>1</v>
      </c>
      <c r="O9" s="122">
        <f>N9*B3</f>
        <v>3851.2009</v>
      </c>
      <c r="P9" s="122">
        <f t="shared" si="4"/>
        <v>4024.504941</v>
      </c>
      <c r="S9" s="29"/>
      <c r="T9" s="114" t="str">
        <f t="shared" ref="T9:U9" si="5">L9</f>
        <v>Transferencia de datos intrarregional:PS</v>
      </c>
      <c r="U9" s="29">
        <f t="shared" si="5"/>
        <v>1</v>
      </c>
      <c r="V9" s="123">
        <f t="shared" si="6"/>
        <v>4024.504941</v>
      </c>
    </row>
    <row r="10">
      <c r="A10" s="103"/>
      <c r="B10" s="104" t="s">
        <v>171</v>
      </c>
      <c r="C10" s="105" t="s">
        <v>168</v>
      </c>
      <c r="D10" s="106">
        <v>720.0</v>
      </c>
      <c r="E10" s="103"/>
      <c r="F10" s="103"/>
      <c r="G10" s="103"/>
      <c r="H10" s="103"/>
      <c r="K10" s="124"/>
      <c r="L10" s="108" t="str">
        <f t="shared" si="2"/>
        <v>Volúmenes de EBS:PS</v>
      </c>
      <c r="M10" s="109">
        <v>1.0</v>
      </c>
      <c r="N10" s="110">
        <f t="shared" si="3"/>
        <v>720</v>
      </c>
      <c r="O10" s="111">
        <f>N10*B3</f>
        <v>2772864.648</v>
      </c>
      <c r="P10" s="111">
        <f t="shared" si="4"/>
        <v>2897643.557</v>
      </c>
      <c r="S10" s="113"/>
      <c r="T10" s="103" t="str">
        <f t="shared" ref="T10:U10" si="7">L10</f>
        <v>Volúmenes de EBS:PS</v>
      </c>
      <c r="U10" s="113">
        <f t="shared" si="7"/>
        <v>1</v>
      </c>
      <c r="V10" s="111">
        <f t="shared" si="6"/>
        <v>2897643.557</v>
      </c>
    </row>
    <row r="11">
      <c r="A11" s="114"/>
      <c r="B11" s="115" t="s">
        <v>172</v>
      </c>
      <c r="C11" s="115" t="s">
        <v>168</v>
      </c>
      <c r="D11" s="125">
        <v>0.0</v>
      </c>
      <c r="E11" s="114"/>
      <c r="F11" s="114"/>
      <c r="G11" s="114"/>
      <c r="H11" s="114"/>
      <c r="K11" s="118"/>
      <c r="L11" s="119" t="str">
        <f t="shared" si="2"/>
        <v>Rendimiento de EBS:PS</v>
      </c>
      <c r="M11" s="120">
        <v>1.0</v>
      </c>
      <c r="N11" s="126">
        <f t="shared" si="3"/>
        <v>0</v>
      </c>
      <c r="O11" s="122">
        <f>N11*B3</f>
        <v>0</v>
      </c>
      <c r="P11" s="122">
        <f t="shared" si="4"/>
        <v>0</v>
      </c>
      <c r="S11" s="29"/>
      <c r="T11" s="114" t="str">
        <f t="shared" ref="T11:U11" si="8">L11</f>
        <v>Rendimiento de EBS:PS</v>
      </c>
      <c r="U11" s="29">
        <f t="shared" si="8"/>
        <v>1</v>
      </c>
      <c r="V11" s="123">
        <f t="shared" si="6"/>
        <v>0</v>
      </c>
    </row>
    <row r="12">
      <c r="A12" s="103"/>
      <c r="B12" s="104" t="s">
        <v>173</v>
      </c>
      <c r="C12" s="104" t="s">
        <v>168</v>
      </c>
      <c r="D12" s="127">
        <v>3.2</v>
      </c>
      <c r="E12" s="103"/>
      <c r="F12" s="103"/>
      <c r="G12" s="103"/>
      <c r="H12" s="128"/>
      <c r="K12" s="124"/>
      <c r="L12" s="108" t="str">
        <f t="shared" si="2"/>
        <v>Instantáneas de EBS:PS</v>
      </c>
      <c r="M12" s="109">
        <v>1.0</v>
      </c>
      <c r="N12" s="113">
        <f t="shared" si="3"/>
        <v>3.2</v>
      </c>
      <c r="O12" s="111">
        <f>N12*B3</f>
        <v>12323.84288</v>
      </c>
      <c r="P12" s="111">
        <f t="shared" si="4"/>
        <v>12878.41581</v>
      </c>
      <c r="S12" s="113"/>
      <c r="T12" s="103" t="str">
        <f t="shared" ref="T12:U12" si="9">L12</f>
        <v>Instantáneas de EBS:PS</v>
      </c>
      <c r="U12" s="113">
        <f t="shared" si="9"/>
        <v>1</v>
      </c>
      <c r="V12" s="111">
        <f t="shared" si="6"/>
        <v>12878.41581</v>
      </c>
    </row>
    <row r="13">
      <c r="A13" s="114"/>
      <c r="B13" s="115" t="s">
        <v>174</v>
      </c>
      <c r="C13" s="115" t="s">
        <v>168</v>
      </c>
      <c r="D13" s="125">
        <v>7.2</v>
      </c>
      <c r="E13" s="114"/>
      <c r="F13" s="114"/>
      <c r="G13" s="114"/>
      <c r="H13" s="129"/>
      <c r="K13" s="118"/>
      <c r="L13" s="119" t="str">
        <f t="shared" si="2"/>
        <v>IP elásticas:PS</v>
      </c>
      <c r="M13" s="120">
        <v>1.0</v>
      </c>
      <c r="N13" s="126">
        <f t="shared" si="3"/>
        <v>7.2</v>
      </c>
      <c r="O13" s="122">
        <f>N13*B3</f>
        <v>27728.64648</v>
      </c>
      <c r="P13" s="122">
        <f t="shared" si="4"/>
        <v>28976.43557</v>
      </c>
      <c r="S13" s="29"/>
      <c r="T13" s="114" t="str">
        <f t="shared" ref="T13:U13" si="10">L13</f>
        <v>IP elásticas:PS</v>
      </c>
      <c r="U13" s="29">
        <f t="shared" si="10"/>
        <v>1</v>
      </c>
      <c r="V13" s="123">
        <f t="shared" si="6"/>
        <v>28976.43557</v>
      </c>
    </row>
    <row r="14">
      <c r="A14" s="103"/>
      <c r="B14" s="104" t="s">
        <v>175</v>
      </c>
      <c r="C14" s="104" t="s">
        <v>168</v>
      </c>
      <c r="D14" s="127">
        <v>2.0</v>
      </c>
      <c r="E14" s="103"/>
      <c r="F14" s="103" t="s">
        <v>28</v>
      </c>
      <c r="G14" s="130" t="s">
        <v>176</v>
      </c>
      <c r="H14" s="131">
        <v>0.085</v>
      </c>
      <c r="K14" s="124"/>
      <c r="L14" s="108" t="str">
        <f t="shared" si="2"/>
        <v>Transferencia de datos entre regiones hacia fuera:PS</v>
      </c>
      <c r="M14" s="109">
        <v>1.0</v>
      </c>
      <c r="N14" s="113">
        <f t="shared" si="3"/>
        <v>2</v>
      </c>
      <c r="O14" s="111">
        <f>N14*B3</f>
        <v>7702.4018</v>
      </c>
      <c r="P14" s="111">
        <f t="shared" si="4"/>
        <v>8049.009881</v>
      </c>
      <c r="S14" s="113"/>
      <c r="T14" s="103" t="str">
        <f t="shared" ref="T14:U14" si="11">L14</f>
        <v>Transferencia de datos entre regiones hacia fuera:PS</v>
      </c>
      <c r="U14" s="113">
        <f t="shared" si="11"/>
        <v>1</v>
      </c>
      <c r="V14" s="111">
        <f t="shared" si="6"/>
        <v>8049.009881</v>
      </c>
    </row>
    <row r="15">
      <c r="A15" s="132" t="s">
        <v>177</v>
      </c>
      <c r="B15" s="133"/>
      <c r="C15" s="114"/>
      <c r="D15" s="114"/>
      <c r="E15" s="125" t="s">
        <v>178</v>
      </c>
      <c r="F15" s="114"/>
      <c r="G15" s="114" t="s">
        <v>179</v>
      </c>
      <c r="H15" s="134">
        <v>720.0</v>
      </c>
      <c r="K15" s="126"/>
      <c r="L15" s="119" t="str">
        <f>C16</f>
        <v>Global</v>
      </c>
      <c r="M15" s="120">
        <v>1.0</v>
      </c>
      <c r="N15" s="126">
        <f>D18</f>
        <v>8.91</v>
      </c>
      <c r="O15" s="122">
        <f>N15*B3</f>
        <v>34314.20002</v>
      </c>
      <c r="P15" s="122">
        <f t="shared" si="4"/>
        <v>35858.33902</v>
      </c>
      <c r="S15" s="29"/>
      <c r="T15" s="114" t="str">
        <f t="shared" ref="T15:U15" si="12">L15</f>
        <v>Global</v>
      </c>
      <c r="U15" s="29">
        <f t="shared" si="12"/>
        <v>1</v>
      </c>
      <c r="V15" s="123">
        <f t="shared" si="6"/>
        <v>35858.33902</v>
      </c>
    </row>
    <row r="16">
      <c r="A16" s="103"/>
      <c r="B16" s="104" t="s">
        <v>180</v>
      </c>
      <c r="C16" s="104" t="s">
        <v>181</v>
      </c>
      <c r="D16" s="127">
        <v>0.0</v>
      </c>
      <c r="E16" s="103"/>
      <c r="F16" s="103"/>
      <c r="G16" s="103" t="s">
        <v>4</v>
      </c>
      <c r="H16" s="135">
        <f>H15*H14</f>
        <v>61.2</v>
      </c>
      <c r="K16" s="113"/>
      <c r="L16" s="108" t="str">
        <f>B20</f>
        <v>Soporte para todos los servicios de AWS:PS</v>
      </c>
      <c r="M16" s="109">
        <v>1.0</v>
      </c>
      <c r="N16" s="113">
        <f>D20</f>
        <v>646.39</v>
      </c>
      <c r="O16" s="111">
        <f>N16*B3</f>
        <v>2489377.75</v>
      </c>
      <c r="P16" s="111">
        <f t="shared" si="4"/>
        <v>2601399.748</v>
      </c>
      <c r="S16" s="113"/>
      <c r="T16" s="103" t="str">
        <f t="shared" ref="T16:U16" si="13">L16</f>
        <v>Soporte para todos los servicios de AWS:PS</v>
      </c>
      <c r="U16" s="113">
        <f t="shared" si="13"/>
        <v>1</v>
      </c>
      <c r="V16" s="111">
        <f t="shared" si="6"/>
        <v>2601399.748</v>
      </c>
    </row>
    <row r="17">
      <c r="A17" s="132" t="s">
        <v>182</v>
      </c>
      <c r="B17" s="133"/>
      <c r="C17" s="114"/>
      <c r="D17" s="114"/>
      <c r="E17" s="125" t="s">
        <v>183</v>
      </c>
      <c r="F17" s="114"/>
      <c r="G17" s="114" t="s">
        <v>184</v>
      </c>
      <c r="H17" s="134">
        <f>E19</f>
        <v>646.39</v>
      </c>
      <c r="K17" s="126"/>
      <c r="L17" s="119" t="str">
        <f>F14</f>
        <v>firewall</v>
      </c>
      <c r="M17" s="120">
        <v>1.0</v>
      </c>
      <c r="N17" s="121">
        <f t="shared" ref="N17:N18" si="15">H16</f>
        <v>61.2</v>
      </c>
      <c r="O17" s="122">
        <f>N17*B3</f>
        <v>235693.4951</v>
      </c>
      <c r="P17" s="122">
        <f t="shared" si="4"/>
        <v>246299.7024</v>
      </c>
      <c r="S17" s="29"/>
      <c r="T17" s="114" t="str">
        <f t="shared" ref="T17:U17" si="14">L17</f>
        <v>firewall</v>
      </c>
      <c r="U17" s="29">
        <f t="shared" si="14"/>
        <v>1</v>
      </c>
      <c r="V17" s="123">
        <f t="shared" si="6"/>
        <v>246299.7024</v>
      </c>
    </row>
    <row r="18">
      <c r="A18" s="103"/>
      <c r="B18" s="104" t="s">
        <v>180</v>
      </c>
      <c r="C18" s="104" t="s">
        <v>181</v>
      </c>
      <c r="D18" s="127">
        <v>8.91</v>
      </c>
      <c r="E18" s="103"/>
      <c r="F18" s="103"/>
      <c r="G18" s="103"/>
      <c r="H18" s="135">
        <f>H17+H16</f>
        <v>707.59</v>
      </c>
      <c r="K18" s="113"/>
      <c r="L18" s="108" t="s">
        <v>185</v>
      </c>
      <c r="M18" s="109">
        <v>1.0</v>
      </c>
      <c r="N18" s="110">
        <f t="shared" si="15"/>
        <v>646.39</v>
      </c>
      <c r="O18" s="111">
        <f>N18*B3</f>
        <v>2489377.75</v>
      </c>
      <c r="P18" s="111">
        <f t="shared" si="4"/>
        <v>2601399.748</v>
      </c>
      <c r="S18" s="113"/>
      <c r="T18" s="103" t="str">
        <f t="shared" ref="T18:U18" si="16">L18</f>
        <v>tranferencia firewall</v>
      </c>
      <c r="U18" s="113">
        <f t="shared" si="16"/>
        <v>1</v>
      </c>
      <c r="V18" s="111">
        <f t="shared" si="6"/>
        <v>2601399.748</v>
      </c>
    </row>
    <row r="19">
      <c r="A19" s="132" t="s">
        <v>186</v>
      </c>
      <c r="B19" s="133"/>
      <c r="C19" s="114"/>
      <c r="D19" s="114"/>
      <c r="E19" s="125">
        <v>646.39</v>
      </c>
      <c r="F19" s="114"/>
      <c r="G19" s="114"/>
      <c r="H19" s="114"/>
      <c r="K19" s="136"/>
      <c r="L19" s="137"/>
      <c r="M19" s="137"/>
      <c r="N19" s="137"/>
      <c r="O19" s="137"/>
      <c r="P19" s="15"/>
      <c r="S19" s="138"/>
      <c r="T19" s="139"/>
      <c r="U19" s="140"/>
      <c r="V19" s="29" t="str">
        <f t="shared" si="6"/>
        <v/>
      </c>
    </row>
    <row r="20">
      <c r="A20" s="103"/>
      <c r="B20" s="104" t="s">
        <v>187</v>
      </c>
      <c r="C20" s="103"/>
      <c r="D20" s="127">
        <v>646.39</v>
      </c>
      <c r="E20" s="103"/>
      <c r="F20" s="103"/>
      <c r="G20" s="103"/>
      <c r="H20" s="103"/>
      <c r="K20" s="136"/>
      <c r="L20" s="137"/>
      <c r="M20" s="15"/>
      <c r="N20" s="141">
        <f>SUM(N8:N18)</f>
        <v>7819.14</v>
      </c>
      <c r="O20" s="111">
        <f>N20*B3</f>
        <v>30113079.01</v>
      </c>
      <c r="P20" s="111">
        <f>O20*1.045</f>
        <v>31468167.56</v>
      </c>
      <c r="S20" s="142"/>
      <c r="U20" s="143"/>
      <c r="V20" s="111">
        <f t="shared" si="6"/>
        <v>31468167.56</v>
      </c>
    </row>
    <row r="21">
      <c r="A21" s="144"/>
      <c r="B21" s="15"/>
      <c r="C21" s="115" t="s">
        <v>188</v>
      </c>
      <c r="D21" s="114"/>
      <c r="E21" s="145" t="s">
        <v>189</v>
      </c>
      <c r="F21" s="114"/>
      <c r="G21" s="114"/>
      <c r="H21" s="114"/>
      <c r="S21" s="142"/>
      <c r="U21" s="143"/>
      <c r="V21" s="29"/>
    </row>
    <row r="22">
      <c r="A22" s="144"/>
      <c r="B22" s="15"/>
      <c r="C22" s="115" t="s">
        <v>190</v>
      </c>
      <c r="D22" s="114"/>
      <c r="E22" s="146" t="s">
        <v>191</v>
      </c>
      <c r="F22" s="114"/>
      <c r="G22" s="114"/>
      <c r="H22" s="114"/>
      <c r="S22" s="147"/>
      <c r="T22" s="148"/>
      <c r="U22" s="149"/>
      <c r="V22" s="29"/>
    </row>
    <row r="23">
      <c r="S23" s="136"/>
      <c r="T23" s="15"/>
      <c r="U23" s="150" t="s">
        <v>192</v>
      </c>
      <c r="V23" s="111">
        <f>V20*12</f>
        <v>377618010.7</v>
      </c>
    </row>
  </sheetData>
  <mergeCells count="16">
    <mergeCell ref="T6:T7"/>
    <mergeCell ref="U6:U7"/>
    <mergeCell ref="V6:V7"/>
    <mergeCell ref="K19:P19"/>
    <mergeCell ref="S19:U22"/>
    <mergeCell ref="K20:M20"/>
    <mergeCell ref="A21:B21"/>
    <mergeCell ref="A22:B22"/>
    <mergeCell ref="S23:T23"/>
    <mergeCell ref="K6:K7"/>
    <mergeCell ref="L6:L7"/>
    <mergeCell ref="M6:M7"/>
    <mergeCell ref="N6:N7"/>
    <mergeCell ref="O6:O7"/>
    <mergeCell ref="P6:P7"/>
    <mergeCell ref="S6:S7"/>
  </mergeCells>
  <drawing r:id="rId1"/>
</worksheet>
</file>