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yanshu/Financial modelling/Tata motors/"/>
    </mc:Choice>
  </mc:AlternateContent>
  <xr:revisionPtr revIDLastSave="0" documentId="13_ncr:1_{0614AD47-3EC7-9344-93C3-286CEBA5FAAC}" xr6:coauthVersionLast="47" xr6:coauthVersionMax="47" xr10:uidLastSave="{00000000-0000-0000-0000-000000000000}"/>
  <bookViews>
    <workbookView xWindow="380" yWindow="500" windowWidth="28040" windowHeight="16120" activeTab="8" xr2:uid="{286A8322-E5B2-E54F-8A59-B452A5D56A9E}"/>
  </bookViews>
  <sheets>
    <sheet name="Financials&gt;" sheetId="1" r:id="rId1"/>
    <sheet name="HistoricalFS" sheetId="2" r:id="rId2"/>
    <sheet name="Ratio Analysis" sheetId="6" r:id="rId3"/>
    <sheet name="Forecasting" sheetId="7" r:id="rId4"/>
    <sheet name="Common Size Statement" sheetId="8" r:id="rId5"/>
    <sheet name="DCF&gt;" sheetId="9" r:id="rId6"/>
    <sheet name="WACC" sheetId="10" r:id="rId7"/>
    <sheet name="Intrinsic Growth" sheetId="15" r:id="rId8"/>
    <sheet name="DCF" sheetId="16" r:id="rId9"/>
    <sheet name="Relative Valuation&gt;" sheetId="17" r:id="rId10"/>
    <sheet name="Comps Val" sheetId="18" r:id="rId11"/>
    <sheet name="Football Field" sheetId="20" r:id="rId12"/>
    <sheet name="Data&gt;" sheetId="3" r:id="rId13"/>
    <sheet name="Data Sheet" sheetId="4" r:id="rId14"/>
    <sheet name="Beta Comps" sheetId="11" r:id="rId15"/>
    <sheet name="Rm" sheetId="12" r:id="rId16"/>
    <sheet name="Raw FS" sheetId="14" r:id="rId17"/>
    <sheet name="Comps Val Data" sheetId="19" r:id="rId18"/>
  </sheets>
  <definedNames>
    <definedName name="_xlnm.Print_Area" localSheetId="10">'Comps Val'!$A$1:$P$31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6" l="1"/>
  <c r="L13" i="18"/>
  <c r="K13" i="18"/>
  <c r="J13" i="18"/>
  <c r="L12" i="18"/>
  <c r="K12" i="18"/>
  <c r="J12" i="18"/>
  <c r="L11" i="18"/>
  <c r="K11" i="18"/>
  <c r="J11" i="18"/>
  <c r="L10" i="18"/>
  <c r="K10" i="18"/>
  <c r="J10" i="18"/>
  <c r="L9" i="18"/>
  <c r="K9" i="18"/>
  <c r="J9" i="18"/>
  <c r="L8" i="18"/>
  <c r="K8" i="18"/>
  <c r="J8" i="18"/>
  <c r="G13" i="18"/>
  <c r="G12" i="18"/>
  <c r="G11" i="18"/>
  <c r="G10" i="18"/>
  <c r="G9" i="18"/>
  <c r="G8" i="18"/>
  <c r="P25" i="18" s="1"/>
  <c r="I9" i="19"/>
  <c r="I8" i="19"/>
  <c r="I7" i="19"/>
  <c r="I6" i="19"/>
  <c r="I5" i="19"/>
  <c r="I4" i="19"/>
  <c r="I3" i="19"/>
  <c r="E13" i="18"/>
  <c r="E12" i="18"/>
  <c r="E11" i="18"/>
  <c r="E10" i="18"/>
  <c r="E9" i="18"/>
  <c r="F9" i="18" s="1"/>
  <c r="E8" i="18"/>
  <c r="O27" i="18" s="1"/>
  <c r="D13" i="18"/>
  <c r="D12" i="18"/>
  <c r="D11" i="18"/>
  <c r="D10" i="18"/>
  <c r="D9" i="18"/>
  <c r="D8" i="18"/>
  <c r="B13" i="18"/>
  <c r="B12" i="18"/>
  <c r="B11" i="18"/>
  <c r="B10" i="18"/>
  <c r="B9" i="18"/>
  <c r="B8" i="18"/>
  <c r="N9" i="19"/>
  <c r="N8" i="19"/>
  <c r="N7" i="19"/>
  <c r="N6" i="19"/>
  <c r="N5" i="19"/>
  <c r="N4" i="19"/>
  <c r="N3" i="19"/>
  <c r="F9" i="19"/>
  <c r="J9" i="19" s="1"/>
  <c r="F8" i="19"/>
  <c r="J8" i="19" s="1"/>
  <c r="F7" i="19"/>
  <c r="J7" i="19" s="1"/>
  <c r="F6" i="19"/>
  <c r="J6" i="19" s="1"/>
  <c r="F5" i="19"/>
  <c r="J5" i="19" s="1"/>
  <c r="F4" i="19"/>
  <c r="J4" i="19" s="1"/>
  <c r="F3" i="19"/>
  <c r="J3" i="19" s="1"/>
  <c r="D19" i="16"/>
  <c r="D35" i="16"/>
  <c r="D33" i="16"/>
  <c r="D32" i="16"/>
  <c r="D21" i="16"/>
  <c r="G9" i="16"/>
  <c r="H9" i="16" s="1"/>
  <c r="I9" i="16" s="1"/>
  <c r="J9" i="16" s="1"/>
  <c r="D15" i="16"/>
  <c r="D13" i="16"/>
  <c r="E7" i="16"/>
  <c r="F7" i="16" s="1"/>
  <c r="G7" i="16" s="1"/>
  <c r="H7" i="16" s="1"/>
  <c r="I7" i="16" s="1"/>
  <c r="P9" i="18" l="1"/>
  <c r="P27" i="18"/>
  <c r="F13" i="18"/>
  <c r="H9" i="18"/>
  <c r="N25" i="18"/>
  <c r="F8" i="18"/>
  <c r="O25" i="18"/>
  <c r="F11" i="18"/>
  <c r="F10" i="18"/>
  <c r="F12" i="18"/>
  <c r="N27" i="18"/>
  <c r="J10" i="16"/>
  <c r="D20" i="16"/>
  <c r="G10" i="16"/>
  <c r="I10" i="16"/>
  <c r="F10" i="16"/>
  <c r="H10" i="16"/>
  <c r="F5" i="16"/>
  <c r="G5" i="16" s="1"/>
  <c r="H5" i="16" s="1"/>
  <c r="I5" i="16" s="1"/>
  <c r="J5" i="16" s="1"/>
  <c r="E4" i="16"/>
  <c r="F4" i="16" s="1"/>
  <c r="E2" i="16"/>
  <c r="F2" i="16" s="1"/>
  <c r="G2" i="16" s="1"/>
  <c r="H2" i="16" s="1"/>
  <c r="I2" i="16" s="1"/>
  <c r="J2" i="16" s="1"/>
  <c r="K63" i="15"/>
  <c r="K62" i="15"/>
  <c r="K60" i="15"/>
  <c r="J60" i="15"/>
  <c r="I60" i="15"/>
  <c r="H60" i="15"/>
  <c r="K58" i="15"/>
  <c r="J58" i="15"/>
  <c r="I58" i="15"/>
  <c r="H58" i="15"/>
  <c r="K57" i="15"/>
  <c r="J57" i="15"/>
  <c r="I57" i="15"/>
  <c r="H57" i="15"/>
  <c r="K55" i="15"/>
  <c r="J55" i="15"/>
  <c r="I55" i="15"/>
  <c r="H55" i="15"/>
  <c r="G55" i="15"/>
  <c r="K41" i="15"/>
  <c r="J41" i="15"/>
  <c r="I41" i="15"/>
  <c r="H41" i="15"/>
  <c r="G41" i="15"/>
  <c r="K39" i="15"/>
  <c r="J39" i="15"/>
  <c r="I39" i="15"/>
  <c r="H39" i="15"/>
  <c r="G39" i="15"/>
  <c r="K34" i="15"/>
  <c r="K44" i="15" s="1"/>
  <c r="K46" i="15" s="1"/>
  <c r="J34" i="15"/>
  <c r="J44" i="15" s="1"/>
  <c r="J46" i="15" s="1"/>
  <c r="I34" i="15"/>
  <c r="I44" i="15" s="1"/>
  <c r="I46" i="15" s="1"/>
  <c r="H34" i="15"/>
  <c r="H44" i="15" s="1"/>
  <c r="H46" i="15" s="1"/>
  <c r="G34" i="15"/>
  <c r="G44" i="15" s="1"/>
  <c r="G46" i="15" s="1"/>
  <c r="K30" i="15"/>
  <c r="J30" i="15"/>
  <c r="I30" i="15"/>
  <c r="H30" i="15"/>
  <c r="G30" i="15"/>
  <c r="B30" i="15"/>
  <c r="K28" i="15"/>
  <c r="J28" i="15"/>
  <c r="I28" i="15"/>
  <c r="H28" i="15"/>
  <c r="G28" i="15"/>
  <c r="K27" i="15"/>
  <c r="J27" i="15"/>
  <c r="I27" i="15"/>
  <c r="H27" i="15"/>
  <c r="G27" i="15"/>
  <c r="K26" i="15"/>
  <c r="J26" i="15"/>
  <c r="I26" i="15"/>
  <c r="H26" i="15"/>
  <c r="G26" i="15"/>
  <c r="K25" i="15"/>
  <c r="J25" i="15"/>
  <c r="I25" i="15"/>
  <c r="H25" i="15"/>
  <c r="G25" i="15"/>
  <c r="K24" i="15"/>
  <c r="J24" i="15"/>
  <c r="I24" i="15"/>
  <c r="H24" i="15"/>
  <c r="G24" i="15"/>
  <c r="K23" i="15"/>
  <c r="J23" i="15"/>
  <c r="I23" i="15"/>
  <c r="H23" i="15"/>
  <c r="G23" i="15"/>
  <c r="K22" i="15"/>
  <c r="J22" i="15"/>
  <c r="I22" i="15"/>
  <c r="H22" i="15"/>
  <c r="G22" i="15"/>
  <c r="K21" i="15"/>
  <c r="J21" i="15"/>
  <c r="I21" i="15"/>
  <c r="H21" i="15"/>
  <c r="G21" i="15"/>
  <c r="K20" i="15"/>
  <c r="J20" i="15"/>
  <c r="I20" i="15"/>
  <c r="H20" i="15"/>
  <c r="G20" i="15"/>
  <c r="B21" i="15"/>
  <c r="B22" i="15"/>
  <c r="B23" i="15"/>
  <c r="B24" i="15"/>
  <c r="B25" i="15"/>
  <c r="B26" i="15"/>
  <c r="B27" i="15"/>
  <c r="B28" i="15"/>
  <c r="B20" i="15"/>
  <c r="K14" i="15"/>
  <c r="J14" i="15"/>
  <c r="I14" i="15"/>
  <c r="H14" i="15"/>
  <c r="G14" i="15"/>
  <c r="K13" i="15"/>
  <c r="J13" i="15"/>
  <c r="I13" i="15"/>
  <c r="H13" i="15"/>
  <c r="G13" i="15"/>
  <c r="K12" i="15"/>
  <c r="J12" i="15"/>
  <c r="I12" i="15"/>
  <c r="H12" i="15"/>
  <c r="G12" i="15"/>
  <c r="B14" i="15"/>
  <c r="B13" i="15"/>
  <c r="B12" i="15"/>
  <c r="K8" i="15"/>
  <c r="J8" i="15"/>
  <c r="I8" i="15"/>
  <c r="H8" i="15"/>
  <c r="K7" i="15"/>
  <c r="J7" i="15"/>
  <c r="I7" i="15"/>
  <c r="H7" i="15"/>
  <c r="K6" i="15"/>
  <c r="J6" i="15"/>
  <c r="I6" i="15"/>
  <c r="H6" i="15"/>
  <c r="K5" i="15"/>
  <c r="J5" i="15"/>
  <c r="I5" i="15"/>
  <c r="H5" i="15"/>
  <c r="G8" i="15"/>
  <c r="G7" i="15"/>
  <c r="G6" i="15"/>
  <c r="G5" i="15"/>
  <c r="B8" i="15"/>
  <c r="B7" i="15"/>
  <c r="B6" i="15"/>
  <c r="B5" i="15"/>
  <c r="K2" i="15"/>
  <c r="J2" i="15"/>
  <c r="I2" i="15"/>
  <c r="H2" i="15"/>
  <c r="G2" i="15"/>
  <c r="N32" i="14"/>
  <c r="M32" i="14"/>
  <c r="L32" i="14"/>
  <c r="K32" i="14"/>
  <c r="J32" i="14"/>
  <c r="I32" i="14"/>
  <c r="H32" i="14"/>
  <c r="G32" i="14"/>
  <c r="F32" i="14"/>
  <c r="E32" i="14"/>
  <c r="D32" i="14"/>
  <c r="C32" i="14"/>
  <c r="K40" i="10"/>
  <c r="K39" i="10"/>
  <c r="J39" i="10"/>
  <c r="K38" i="10"/>
  <c r="J38" i="10"/>
  <c r="E24" i="10"/>
  <c r="E23" i="10"/>
  <c r="E22" i="10"/>
  <c r="K25" i="10"/>
  <c r="K24" i="10"/>
  <c r="K23" i="10"/>
  <c r="G7" i="12"/>
  <c r="G5" i="12"/>
  <c r="K33" i="10"/>
  <c r="K32" i="10"/>
  <c r="K31" i="10"/>
  <c r="E35" i="10"/>
  <c r="D35" i="10"/>
  <c r="E32" i="10"/>
  <c r="E33" i="10"/>
  <c r="E31" i="10"/>
  <c r="D33" i="10"/>
  <c r="D32" i="10"/>
  <c r="D31" i="10"/>
  <c r="C33" i="10"/>
  <c r="C32" i="10"/>
  <c r="C31" i="10"/>
  <c r="K30" i="10"/>
  <c r="K14" i="10"/>
  <c r="K13" i="10"/>
  <c r="K12" i="10"/>
  <c r="K11" i="10"/>
  <c r="K10" i="10"/>
  <c r="J17" i="10"/>
  <c r="I17" i="10"/>
  <c r="H17" i="10"/>
  <c r="J16" i="10"/>
  <c r="I16" i="10"/>
  <c r="H16" i="10"/>
  <c r="G17" i="10"/>
  <c r="G16" i="10"/>
  <c r="I14" i="10"/>
  <c r="I13" i="10"/>
  <c r="I12" i="10"/>
  <c r="I11" i="10"/>
  <c r="I10" i="10"/>
  <c r="H14" i="10"/>
  <c r="H13" i="10"/>
  <c r="H12" i="10"/>
  <c r="H11" i="10"/>
  <c r="H10" i="10"/>
  <c r="F14" i="10"/>
  <c r="F13" i="10"/>
  <c r="F12" i="10"/>
  <c r="F11" i="10"/>
  <c r="F10" i="10"/>
  <c r="E14" i="10"/>
  <c r="E13" i="10"/>
  <c r="E12" i="10"/>
  <c r="E11" i="10"/>
  <c r="E10" i="10"/>
  <c r="P10" i="18" l="1"/>
  <c r="H10" i="18"/>
  <c r="P11" i="18"/>
  <c r="H11" i="18"/>
  <c r="O9" i="18"/>
  <c r="N9" i="18"/>
  <c r="P12" i="18"/>
  <c r="H12" i="18"/>
  <c r="H8" i="18"/>
  <c r="P8" i="18"/>
  <c r="H13" i="18"/>
  <c r="P13" i="18"/>
  <c r="F6" i="16"/>
  <c r="F8" i="16" s="1"/>
  <c r="F11" i="16" s="1"/>
  <c r="G4" i="16"/>
  <c r="E6" i="16"/>
  <c r="E8" i="16" s="1"/>
  <c r="J15" i="15"/>
  <c r="G29" i="15"/>
  <c r="G31" i="15" s="1"/>
  <c r="J29" i="15"/>
  <c r="J31" i="15" s="1"/>
  <c r="K29" i="15"/>
  <c r="K31" i="15" s="1"/>
  <c r="G9" i="15"/>
  <c r="H15" i="15"/>
  <c r="K15" i="15"/>
  <c r="H29" i="15"/>
  <c r="H31" i="15" s="1"/>
  <c r="I29" i="15"/>
  <c r="I31" i="15" s="1"/>
  <c r="G15" i="15"/>
  <c r="H9" i="15"/>
  <c r="I9" i="15"/>
  <c r="J9" i="15"/>
  <c r="K9" i="15"/>
  <c r="I15" i="15"/>
  <c r="K17" i="10"/>
  <c r="K16" i="10"/>
  <c r="N12" i="18" l="1"/>
  <c r="O12" i="18"/>
  <c r="O11" i="18"/>
  <c r="N11" i="18"/>
  <c r="O13" i="18"/>
  <c r="N13" i="18"/>
  <c r="P18" i="18"/>
  <c r="P26" i="18" s="1"/>
  <c r="P17" i="18"/>
  <c r="P20" i="18"/>
  <c r="P16" i="18"/>
  <c r="P19" i="18"/>
  <c r="P15" i="18"/>
  <c r="O10" i="18"/>
  <c r="N10" i="18"/>
  <c r="N8" i="18"/>
  <c r="O8" i="18"/>
  <c r="H4" i="16"/>
  <c r="G6" i="16"/>
  <c r="G8" i="16" s="1"/>
  <c r="G11" i="16" s="1"/>
  <c r="J17" i="15"/>
  <c r="G17" i="15"/>
  <c r="G33" i="15" s="1"/>
  <c r="G36" i="15" s="1"/>
  <c r="H17" i="15"/>
  <c r="K17" i="15"/>
  <c r="I17" i="15"/>
  <c r="L39" i="8"/>
  <c r="K39" i="8"/>
  <c r="J39" i="8"/>
  <c r="I39" i="8"/>
  <c r="H39" i="8"/>
  <c r="G39" i="8"/>
  <c r="F39" i="8"/>
  <c r="E39" i="8"/>
  <c r="D39" i="8"/>
  <c r="C39" i="8"/>
  <c r="L38" i="8"/>
  <c r="K38" i="8"/>
  <c r="J38" i="8"/>
  <c r="I38" i="8"/>
  <c r="H38" i="8"/>
  <c r="G38" i="8"/>
  <c r="F38" i="8"/>
  <c r="E38" i="8"/>
  <c r="D38" i="8"/>
  <c r="C38" i="8"/>
  <c r="L37" i="8"/>
  <c r="K37" i="8"/>
  <c r="J37" i="8"/>
  <c r="I37" i="8"/>
  <c r="H37" i="8"/>
  <c r="G37" i="8"/>
  <c r="F37" i="8"/>
  <c r="E37" i="8"/>
  <c r="D37" i="8"/>
  <c r="C37" i="8"/>
  <c r="D36" i="8"/>
  <c r="E36" i="8"/>
  <c r="F36" i="8"/>
  <c r="G36" i="8"/>
  <c r="H36" i="8"/>
  <c r="I36" i="8"/>
  <c r="J36" i="8"/>
  <c r="K36" i="8"/>
  <c r="L36" i="8"/>
  <c r="C36" i="8"/>
  <c r="D33" i="8"/>
  <c r="E33" i="8"/>
  <c r="F33" i="8"/>
  <c r="G33" i="8"/>
  <c r="H33" i="8"/>
  <c r="I33" i="8"/>
  <c r="J33" i="8"/>
  <c r="K33" i="8"/>
  <c r="L33" i="8"/>
  <c r="D34" i="8"/>
  <c r="E34" i="8"/>
  <c r="F34" i="8"/>
  <c r="G34" i="8"/>
  <c r="H34" i="8"/>
  <c r="I34" i="8"/>
  <c r="J34" i="8"/>
  <c r="K34" i="8"/>
  <c r="L34" i="8"/>
  <c r="D35" i="8"/>
  <c r="E35" i="8"/>
  <c r="F35" i="8"/>
  <c r="G35" i="8"/>
  <c r="H35" i="8"/>
  <c r="I35" i="8"/>
  <c r="J35" i="8"/>
  <c r="K35" i="8"/>
  <c r="L35" i="8"/>
  <c r="C34" i="8"/>
  <c r="C35" i="8"/>
  <c r="C33" i="8"/>
  <c r="L32" i="8"/>
  <c r="K32" i="8"/>
  <c r="J32" i="8"/>
  <c r="I32" i="8"/>
  <c r="H32" i="8"/>
  <c r="G32" i="8"/>
  <c r="F32" i="8"/>
  <c r="E32" i="8"/>
  <c r="D32" i="8"/>
  <c r="C32" i="8"/>
  <c r="K75" i="4"/>
  <c r="J75" i="4"/>
  <c r="I75" i="4"/>
  <c r="H75" i="4"/>
  <c r="G75" i="4"/>
  <c r="F75" i="4"/>
  <c r="E75" i="4"/>
  <c r="D75" i="4"/>
  <c r="C75" i="4"/>
  <c r="B75" i="4"/>
  <c r="K77" i="4"/>
  <c r="J77" i="4"/>
  <c r="I77" i="4"/>
  <c r="H77" i="4"/>
  <c r="G77" i="4"/>
  <c r="F77" i="4"/>
  <c r="E77" i="4"/>
  <c r="D77" i="4"/>
  <c r="C77" i="4"/>
  <c r="B77" i="4"/>
  <c r="L30" i="8"/>
  <c r="K30" i="8"/>
  <c r="J30" i="8"/>
  <c r="I30" i="8"/>
  <c r="H30" i="8"/>
  <c r="G30" i="8"/>
  <c r="F30" i="8"/>
  <c r="E30" i="8"/>
  <c r="D30" i="8"/>
  <c r="C30" i="8"/>
  <c r="L29" i="8"/>
  <c r="K29" i="8"/>
  <c r="J29" i="8"/>
  <c r="I29" i="8"/>
  <c r="H29" i="8"/>
  <c r="G29" i="8"/>
  <c r="F29" i="8"/>
  <c r="E29" i="8"/>
  <c r="D29" i="8"/>
  <c r="C29" i="8"/>
  <c r="L28" i="8"/>
  <c r="K28" i="8"/>
  <c r="J28" i="8"/>
  <c r="I28" i="8"/>
  <c r="H28" i="8"/>
  <c r="G28" i="8"/>
  <c r="F28" i="8"/>
  <c r="E28" i="8"/>
  <c r="D28" i="8"/>
  <c r="C28" i="8"/>
  <c r="L27" i="8"/>
  <c r="K27" i="8"/>
  <c r="J27" i="8"/>
  <c r="I27" i="8"/>
  <c r="H27" i="8"/>
  <c r="G27" i="8"/>
  <c r="F27" i="8"/>
  <c r="E27" i="8"/>
  <c r="D27" i="8"/>
  <c r="C27" i="8"/>
  <c r="L26" i="8"/>
  <c r="K26" i="8"/>
  <c r="J26" i="8"/>
  <c r="I26" i="8"/>
  <c r="H26" i="8"/>
  <c r="G26" i="8"/>
  <c r="F26" i="8"/>
  <c r="E26" i="8"/>
  <c r="D26" i="8"/>
  <c r="C26" i="8"/>
  <c r="B39" i="8"/>
  <c r="B38" i="8"/>
  <c r="B37" i="8"/>
  <c r="B36" i="8"/>
  <c r="B35" i="8"/>
  <c r="B34" i="8"/>
  <c r="B33" i="8"/>
  <c r="B30" i="8"/>
  <c r="B29" i="8"/>
  <c r="B28" i="8"/>
  <c r="B27" i="8"/>
  <c r="L24" i="8"/>
  <c r="K24" i="8"/>
  <c r="J24" i="8"/>
  <c r="I24" i="8"/>
  <c r="H24" i="8"/>
  <c r="G24" i="8"/>
  <c r="F24" i="8"/>
  <c r="E24" i="8"/>
  <c r="D24" i="8"/>
  <c r="C24" i="8"/>
  <c r="B22" i="8"/>
  <c r="L20" i="8"/>
  <c r="K20" i="8"/>
  <c r="J20" i="8"/>
  <c r="I20" i="8"/>
  <c r="H20" i="8"/>
  <c r="G20" i="8"/>
  <c r="F20" i="8"/>
  <c r="E20" i="8"/>
  <c r="D20" i="8"/>
  <c r="C20" i="8"/>
  <c r="L19" i="8"/>
  <c r="K19" i="8"/>
  <c r="J19" i="8"/>
  <c r="I19" i="8"/>
  <c r="H19" i="8"/>
  <c r="G19" i="8"/>
  <c r="F19" i="8"/>
  <c r="E19" i="8"/>
  <c r="D19" i="8"/>
  <c r="C19" i="8"/>
  <c r="L18" i="8"/>
  <c r="K18" i="8"/>
  <c r="J18" i="8"/>
  <c r="I18" i="8"/>
  <c r="H18" i="8"/>
  <c r="G18" i="8"/>
  <c r="F18" i="8"/>
  <c r="E18" i="8"/>
  <c r="D18" i="8"/>
  <c r="C18" i="8"/>
  <c r="L17" i="8"/>
  <c r="K17" i="8"/>
  <c r="J17" i="8"/>
  <c r="I17" i="8"/>
  <c r="H17" i="8"/>
  <c r="G17" i="8"/>
  <c r="F17" i="8"/>
  <c r="E17" i="8"/>
  <c r="D17" i="8"/>
  <c r="C17" i="8"/>
  <c r="L16" i="8"/>
  <c r="K16" i="8"/>
  <c r="J16" i="8"/>
  <c r="I16" i="8"/>
  <c r="H16" i="8"/>
  <c r="G16" i="8"/>
  <c r="F16" i="8"/>
  <c r="E16" i="8"/>
  <c r="D16" i="8"/>
  <c r="C16" i="8"/>
  <c r="L15" i="8"/>
  <c r="K15" i="8"/>
  <c r="J15" i="8"/>
  <c r="I15" i="8"/>
  <c r="H15" i="8"/>
  <c r="G15" i="8"/>
  <c r="F15" i="8"/>
  <c r="E15" i="8"/>
  <c r="D15" i="8"/>
  <c r="C15" i="8"/>
  <c r="L14" i="8"/>
  <c r="K14" i="8"/>
  <c r="J14" i="8"/>
  <c r="I14" i="8"/>
  <c r="H14" i="8"/>
  <c r="G14" i="8"/>
  <c r="F14" i="8"/>
  <c r="E14" i="8"/>
  <c r="D14" i="8"/>
  <c r="C14" i="8"/>
  <c r="L13" i="8"/>
  <c r="K13" i="8"/>
  <c r="J13" i="8"/>
  <c r="I13" i="8"/>
  <c r="H13" i="8"/>
  <c r="G13" i="8"/>
  <c r="F13" i="8"/>
  <c r="E13" i="8"/>
  <c r="D13" i="8"/>
  <c r="C13" i="8"/>
  <c r="L12" i="8"/>
  <c r="K12" i="8"/>
  <c r="J12" i="8"/>
  <c r="I12" i="8"/>
  <c r="H12" i="8"/>
  <c r="G12" i="8"/>
  <c r="F12" i="8"/>
  <c r="E12" i="8"/>
  <c r="D12" i="8"/>
  <c r="C12" i="8"/>
  <c r="L11" i="8"/>
  <c r="K11" i="8"/>
  <c r="J11" i="8"/>
  <c r="I11" i="8"/>
  <c r="H11" i="8"/>
  <c r="G11" i="8"/>
  <c r="F11" i="8"/>
  <c r="E11" i="8"/>
  <c r="D11" i="8"/>
  <c r="C11" i="8"/>
  <c r="L10" i="8"/>
  <c r="K10" i="8"/>
  <c r="J10" i="8"/>
  <c r="I10" i="8"/>
  <c r="H10" i="8"/>
  <c r="G10" i="8"/>
  <c r="F10" i="8"/>
  <c r="E10" i="8"/>
  <c r="D10" i="8"/>
  <c r="C10" i="8"/>
  <c r="L9" i="8"/>
  <c r="K9" i="8"/>
  <c r="J9" i="8"/>
  <c r="I9" i="8"/>
  <c r="H9" i="8"/>
  <c r="G9" i="8"/>
  <c r="F9" i="8"/>
  <c r="E9" i="8"/>
  <c r="D9" i="8"/>
  <c r="C9" i="8"/>
  <c r="L8" i="8"/>
  <c r="K8" i="8"/>
  <c r="J8" i="8"/>
  <c r="I8" i="8"/>
  <c r="H8" i="8"/>
  <c r="G8" i="8"/>
  <c r="F8" i="8"/>
  <c r="E8" i="8"/>
  <c r="D8" i="8"/>
  <c r="C8" i="8"/>
  <c r="L7" i="8"/>
  <c r="K7" i="8"/>
  <c r="J7" i="8"/>
  <c r="I7" i="8"/>
  <c r="H7" i="8"/>
  <c r="G7" i="8"/>
  <c r="F7" i="8"/>
  <c r="E7" i="8"/>
  <c r="D7" i="8"/>
  <c r="C7" i="8"/>
  <c r="L6" i="8"/>
  <c r="K6" i="8"/>
  <c r="J6" i="8"/>
  <c r="I6" i="8"/>
  <c r="H6" i="8"/>
  <c r="G6" i="8"/>
  <c r="F6" i="8"/>
  <c r="E6" i="8"/>
  <c r="D6" i="8"/>
  <c r="C6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L4" i="8"/>
  <c r="K4" i="8"/>
  <c r="J4" i="8"/>
  <c r="I4" i="8"/>
  <c r="H4" i="8"/>
  <c r="G4" i="8"/>
  <c r="F4" i="8"/>
  <c r="E4" i="8"/>
  <c r="D4" i="8"/>
  <c r="C4" i="8"/>
  <c r="B2" i="8"/>
  <c r="D4" i="7" a="1"/>
  <c r="D6" i="7" s="1"/>
  <c r="L40" i="6"/>
  <c r="K40" i="6"/>
  <c r="J40" i="6"/>
  <c r="I40" i="6"/>
  <c r="H40" i="6"/>
  <c r="G40" i="6"/>
  <c r="F40" i="6"/>
  <c r="E40" i="6"/>
  <c r="D40" i="6"/>
  <c r="C40" i="6"/>
  <c r="L38" i="6"/>
  <c r="K38" i="6"/>
  <c r="J38" i="6"/>
  <c r="I38" i="6"/>
  <c r="H38" i="6"/>
  <c r="G38" i="6"/>
  <c r="F38" i="6"/>
  <c r="E38" i="6"/>
  <c r="D38" i="6"/>
  <c r="C38" i="6"/>
  <c r="L78" i="2"/>
  <c r="K78" i="2"/>
  <c r="J78" i="2"/>
  <c r="I78" i="2"/>
  <c r="H78" i="2"/>
  <c r="G78" i="2"/>
  <c r="F78" i="2"/>
  <c r="E78" i="2"/>
  <c r="D78" i="2"/>
  <c r="C78" i="2"/>
  <c r="L76" i="2"/>
  <c r="K76" i="2"/>
  <c r="J76" i="2"/>
  <c r="I76" i="2"/>
  <c r="H76" i="2"/>
  <c r="G76" i="2"/>
  <c r="F76" i="2"/>
  <c r="E76" i="2"/>
  <c r="D76" i="2"/>
  <c r="C76" i="2"/>
  <c r="L74" i="2"/>
  <c r="K74" i="2"/>
  <c r="J74" i="2"/>
  <c r="I74" i="2"/>
  <c r="H74" i="2"/>
  <c r="G74" i="2"/>
  <c r="F74" i="2"/>
  <c r="E74" i="2"/>
  <c r="D74" i="2"/>
  <c r="C74" i="2"/>
  <c r="L72" i="2"/>
  <c r="K72" i="2"/>
  <c r="J72" i="2"/>
  <c r="I72" i="2"/>
  <c r="H72" i="2"/>
  <c r="G72" i="2"/>
  <c r="F72" i="2"/>
  <c r="E72" i="2"/>
  <c r="D72" i="2"/>
  <c r="C72" i="2"/>
  <c r="L2" i="7"/>
  <c r="M5" i="7"/>
  <c r="M6" i="7" s="1"/>
  <c r="M7" i="7" s="1"/>
  <c r="M8" i="7" s="1"/>
  <c r="M9" i="7" s="1"/>
  <c r="M10" i="7" s="1"/>
  <c r="M11" i="7" s="1"/>
  <c r="M12" i="7" s="1"/>
  <c r="M13" i="7" s="1"/>
  <c r="M14" i="7" s="1"/>
  <c r="M15" i="7" s="1"/>
  <c r="M16" i="7" s="1"/>
  <c r="M17" i="7" s="1"/>
  <c r="M18" i="7" s="1"/>
  <c r="L5" i="7"/>
  <c r="L6" i="7" s="1"/>
  <c r="L7" i="7" s="1"/>
  <c r="L8" i="7" s="1"/>
  <c r="L9" i="7" s="1"/>
  <c r="L10" i="7" s="1"/>
  <c r="L11" i="7" s="1"/>
  <c r="L12" i="7" s="1"/>
  <c r="L13" i="7" s="1"/>
  <c r="L14" i="7" s="1"/>
  <c r="M4" i="7"/>
  <c r="H4" i="7"/>
  <c r="C4" i="7"/>
  <c r="G2" i="7"/>
  <c r="G5" i="7"/>
  <c r="G6" i="7" s="1"/>
  <c r="G7" i="7" s="1"/>
  <c r="G8" i="7" s="1"/>
  <c r="G9" i="7" s="1"/>
  <c r="G10" i="7" s="1"/>
  <c r="G11" i="7" s="1"/>
  <c r="G12" i="7" s="1"/>
  <c r="G13" i="7" s="1"/>
  <c r="G14" i="7" s="1"/>
  <c r="H5" i="7"/>
  <c r="H6" i="7" s="1"/>
  <c r="H7" i="7" s="1"/>
  <c r="H8" i="7" s="1"/>
  <c r="H9" i="7" s="1"/>
  <c r="H10" i="7" s="1"/>
  <c r="H11" i="7" s="1"/>
  <c r="H12" i="7" s="1"/>
  <c r="H13" i="7" s="1"/>
  <c r="H14" i="7" s="1"/>
  <c r="H15" i="7" s="1"/>
  <c r="H16" i="7" s="1"/>
  <c r="H17" i="7" s="1"/>
  <c r="H18" i="7" s="1"/>
  <c r="B2" i="7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B5" i="7"/>
  <c r="B6" i="7" s="1"/>
  <c r="B7" i="7" s="1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L31" i="6"/>
  <c r="K31" i="6"/>
  <c r="J31" i="6"/>
  <c r="I31" i="6"/>
  <c r="H31" i="6"/>
  <c r="G31" i="6"/>
  <c r="F31" i="6"/>
  <c r="E31" i="6"/>
  <c r="D31" i="6"/>
  <c r="L30" i="6"/>
  <c r="K30" i="6"/>
  <c r="J30" i="6"/>
  <c r="I30" i="6"/>
  <c r="H30" i="6"/>
  <c r="G30" i="6"/>
  <c r="F30" i="6"/>
  <c r="E30" i="6"/>
  <c r="D30" i="6"/>
  <c r="L29" i="6"/>
  <c r="L35" i="6" s="1"/>
  <c r="K29" i="6"/>
  <c r="K35" i="6" s="1"/>
  <c r="J29" i="6"/>
  <c r="J35" i="6" s="1"/>
  <c r="I29" i="6"/>
  <c r="I35" i="6" s="1"/>
  <c r="H29" i="6"/>
  <c r="H35" i="6" s="1"/>
  <c r="G29" i="6"/>
  <c r="G35" i="6" s="1"/>
  <c r="F29" i="6"/>
  <c r="F35" i="6" s="1"/>
  <c r="E29" i="6"/>
  <c r="E35" i="6" s="1"/>
  <c r="D29" i="6"/>
  <c r="D35" i="6" s="1"/>
  <c r="L28" i="6"/>
  <c r="L34" i="6" s="1"/>
  <c r="K28" i="6"/>
  <c r="K34" i="6" s="1"/>
  <c r="J28" i="6"/>
  <c r="J34" i="6" s="1"/>
  <c r="I28" i="6"/>
  <c r="I34" i="6" s="1"/>
  <c r="H28" i="6"/>
  <c r="H34" i="6" s="1"/>
  <c r="G28" i="6"/>
  <c r="G34" i="6" s="1"/>
  <c r="F28" i="6"/>
  <c r="F34" i="6" s="1"/>
  <c r="E28" i="6"/>
  <c r="E34" i="6" s="1"/>
  <c r="D28" i="6"/>
  <c r="D34" i="6" s="1"/>
  <c r="L27" i="6"/>
  <c r="L33" i="6" s="1"/>
  <c r="K27" i="6"/>
  <c r="K33" i="6" s="1"/>
  <c r="J27" i="6"/>
  <c r="J33" i="6" s="1"/>
  <c r="I27" i="6"/>
  <c r="I33" i="6" s="1"/>
  <c r="H27" i="6"/>
  <c r="H33" i="6" s="1"/>
  <c r="G27" i="6"/>
  <c r="G33" i="6" s="1"/>
  <c r="F27" i="6"/>
  <c r="F33" i="6" s="1"/>
  <c r="E27" i="6"/>
  <c r="E33" i="6" s="1"/>
  <c r="D27" i="6"/>
  <c r="D33" i="6" s="1"/>
  <c r="C31" i="6"/>
  <c r="C30" i="6"/>
  <c r="C29" i="6"/>
  <c r="C35" i="6" s="1"/>
  <c r="C28" i="6"/>
  <c r="C34" i="6" s="1"/>
  <c r="C27" i="6"/>
  <c r="C33" i="6" s="1"/>
  <c r="B2" i="6"/>
  <c r="L3" i="6"/>
  <c r="K3" i="6"/>
  <c r="J3" i="6"/>
  <c r="I3" i="6"/>
  <c r="H3" i="6"/>
  <c r="G3" i="6"/>
  <c r="F3" i="6"/>
  <c r="E3" i="6"/>
  <c r="D3" i="6"/>
  <c r="C3" i="6"/>
  <c r="L64" i="2"/>
  <c r="K64" i="2"/>
  <c r="J64" i="2"/>
  <c r="I64" i="2"/>
  <c r="H64" i="2"/>
  <c r="G64" i="2"/>
  <c r="F64" i="2"/>
  <c r="E64" i="2"/>
  <c r="D64" i="2"/>
  <c r="C64" i="2"/>
  <c r="L63" i="2"/>
  <c r="K63" i="2"/>
  <c r="J63" i="2"/>
  <c r="I63" i="2"/>
  <c r="H63" i="2"/>
  <c r="G63" i="2"/>
  <c r="F63" i="2"/>
  <c r="E63" i="2"/>
  <c r="D63" i="2"/>
  <c r="C63" i="2"/>
  <c r="L62" i="2"/>
  <c r="K62" i="2"/>
  <c r="J62" i="2"/>
  <c r="I62" i="2"/>
  <c r="H62" i="2"/>
  <c r="G62" i="2"/>
  <c r="F62" i="2"/>
  <c r="E62" i="2"/>
  <c r="D62" i="2"/>
  <c r="C62" i="2"/>
  <c r="L61" i="2"/>
  <c r="K61" i="2"/>
  <c r="J61" i="2"/>
  <c r="I61" i="2"/>
  <c r="H61" i="2"/>
  <c r="G61" i="2"/>
  <c r="F61" i="2"/>
  <c r="E61" i="2"/>
  <c r="D61" i="2"/>
  <c r="C61" i="2"/>
  <c r="L58" i="2"/>
  <c r="K58" i="2"/>
  <c r="J58" i="2"/>
  <c r="J59" i="2" s="1"/>
  <c r="J66" i="2" s="1"/>
  <c r="J39" i="6" s="1"/>
  <c r="I58" i="2"/>
  <c r="I59" i="2" s="1"/>
  <c r="H58" i="2"/>
  <c r="H59" i="2" s="1"/>
  <c r="G58" i="2"/>
  <c r="G59" i="2" s="1"/>
  <c r="F58" i="2"/>
  <c r="F59" i="2" s="1"/>
  <c r="E58" i="2"/>
  <c r="E59" i="2" s="1"/>
  <c r="E66" i="2" s="1"/>
  <c r="E39" i="6" s="1"/>
  <c r="D58" i="2"/>
  <c r="C58" i="2"/>
  <c r="L59" i="2"/>
  <c r="K59" i="2"/>
  <c r="D59" i="2"/>
  <c r="C59" i="2"/>
  <c r="L57" i="2"/>
  <c r="K57" i="2"/>
  <c r="J57" i="2"/>
  <c r="I57" i="2"/>
  <c r="H57" i="2"/>
  <c r="G57" i="2"/>
  <c r="F57" i="2"/>
  <c r="E57" i="2"/>
  <c r="D57" i="2"/>
  <c r="C57" i="2"/>
  <c r="L56" i="2"/>
  <c r="K56" i="2"/>
  <c r="J56" i="2"/>
  <c r="I56" i="2"/>
  <c r="H56" i="2"/>
  <c r="G56" i="2"/>
  <c r="F56" i="2"/>
  <c r="E56" i="2"/>
  <c r="D56" i="2"/>
  <c r="C56" i="2"/>
  <c r="L55" i="2"/>
  <c r="K55" i="2"/>
  <c r="J55" i="2"/>
  <c r="I55" i="2"/>
  <c r="H55" i="2"/>
  <c r="G55" i="2"/>
  <c r="F55" i="2"/>
  <c r="E55" i="2"/>
  <c r="D55" i="2"/>
  <c r="C55" i="2"/>
  <c r="P29" i="18" l="1"/>
  <c r="P32" i="18" s="1"/>
  <c r="P24" i="18"/>
  <c r="O19" i="18"/>
  <c r="O15" i="18"/>
  <c r="O18" i="18"/>
  <c r="O24" i="18" s="1"/>
  <c r="O26" i="18" s="1"/>
  <c r="O29" i="18" s="1"/>
  <c r="O32" i="18" s="1"/>
  <c r="O17" i="18"/>
  <c r="O20" i="18"/>
  <c r="O16" i="18"/>
  <c r="N20" i="18"/>
  <c r="N15" i="18"/>
  <c r="N19" i="18"/>
  <c r="N18" i="18"/>
  <c r="N24" i="18" s="1"/>
  <c r="N26" i="18" s="1"/>
  <c r="N29" i="18" s="1"/>
  <c r="N32" i="18" s="1"/>
  <c r="N17" i="18"/>
  <c r="N16" i="18"/>
  <c r="I4" i="16"/>
  <c r="H6" i="16"/>
  <c r="H8" i="16" s="1"/>
  <c r="H11" i="16" s="1"/>
  <c r="I33" i="15"/>
  <c r="I36" i="15" s="1"/>
  <c r="I42" i="15"/>
  <c r="I48" i="15" s="1"/>
  <c r="I50" i="15" s="1"/>
  <c r="K33" i="15"/>
  <c r="K36" i="15" s="1"/>
  <c r="K42" i="15"/>
  <c r="K48" i="15" s="1"/>
  <c r="K50" i="15" s="1"/>
  <c r="H33" i="15"/>
  <c r="H36" i="15" s="1"/>
  <c r="H42" i="15"/>
  <c r="H48" i="15" s="1"/>
  <c r="H50" i="15" s="1"/>
  <c r="J33" i="15"/>
  <c r="J36" i="15" s="1"/>
  <c r="J42" i="15"/>
  <c r="J48" i="15" s="1"/>
  <c r="J50" i="15" s="1"/>
  <c r="I66" i="2"/>
  <c r="I39" i="6" s="1"/>
  <c r="K66" i="2"/>
  <c r="K39" i="6" s="1"/>
  <c r="F66" i="2"/>
  <c r="F39" i="6" s="1"/>
  <c r="N30" i="6"/>
  <c r="G66" i="2"/>
  <c r="G39" i="6" s="1"/>
  <c r="N31" i="6"/>
  <c r="O34" i="6"/>
  <c r="O33" i="6"/>
  <c r="O35" i="6"/>
  <c r="N33" i="6"/>
  <c r="O29" i="6"/>
  <c r="N34" i="6"/>
  <c r="O30" i="6"/>
  <c r="D13" i="7"/>
  <c r="N35" i="6"/>
  <c r="O31" i="6"/>
  <c r="D12" i="7"/>
  <c r="N27" i="6"/>
  <c r="D11" i="7"/>
  <c r="L66" i="2"/>
  <c r="L39" i="6" s="1"/>
  <c r="C36" i="6"/>
  <c r="N28" i="6"/>
  <c r="D9" i="7"/>
  <c r="H66" i="2"/>
  <c r="H39" i="6" s="1"/>
  <c r="C66" i="2"/>
  <c r="C39" i="6" s="1"/>
  <c r="N29" i="6"/>
  <c r="D8" i="7"/>
  <c r="O27" i="6"/>
  <c r="D5" i="7"/>
  <c r="O28" i="6"/>
  <c r="D4" i="7"/>
  <c r="D10" i="7"/>
  <c r="D7" i="7"/>
  <c r="E7" i="7" s="1"/>
  <c r="O38" i="6"/>
  <c r="O40" i="6"/>
  <c r="N40" i="6"/>
  <c r="L15" i="7"/>
  <c r="G15" i="7"/>
  <c r="G36" i="6"/>
  <c r="K36" i="6"/>
  <c r="I36" i="6"/>
  <c r="L36" i="6"/>
  <c r="H36" i="6"/>
  <c r="D36" i="6"/>
  <c r="E36" i="6"/>
  <c r="F36" i="6"/>
  <c r="J36" i="6"/>
  <c r="D66" i="2"/>
  <c r="D39" i="6" s="1"/>
  <c r="J4" i="16" l="1"/>
  <c r="J6" i="16" s="1"/>
  <c r="J8" i="16" s="1"/>
  <c r="I6" i="16"/>
  <c r="I8" i="16" s="1"/>
  <c r="I11" i="16" s="1"/>
  <c r="K53" i="15"/>
  <c r="K52" i="15"/>
  <c r="E5" i="7"/>
  <c r="E8" i="7"/>
  <c r="E11" i="7"/>
  <c r="E13" i="7"/>
  <c r="O36" i="6"/>
  <c r="N36" i="6"/>
  <c r="E6" i="7"/>
  <c r="E12" i="7"/>
  <c r="D17" i="7"/>
  <c r="E10" i="7"/>
  <c r="E9" i="7"/>
  <c r="D14" i="7"/>
  <c r="E14" i="7" s="1"/>
  <c r="D18" i="7"/>
  <c r="D15" i="7"/>
  <c r="D16" i="7"/>
  <c r="N38" i="6"/>
  <c r="O39" i="6"/>
  <c r="N39" i="6"/>
  <c r="L16" i="7"/>
  <c r="G16" i="7"/>
  <c r="L52" i="2"/>
  <c r="K52" i="2"/>
  <c r="J52" i="2"/>
  <c r="I52" i="2"/>
  <c r="H52" i="2"/>
  <c r="G52" i="2"/>
  <c r="F52" i="2"/>
  <c r="E52" i="2"/>
  <c r="D52" i="2"/>
  <c r="C52" i="2"/>
  <c r="L51" i="2"/>
  <c r="K51" i="2"/>
  <c r="J51" i="2"/>
  <c r="I51" i="2"/>
  <c r="H51" i="2"/>
  <c r="G51" i="2"/>
  <c r="F51" i="2"/>
  <c r="E51" i="2"/>
  <c r="D51" i="2"/>
  <c r="C51" i="2"/>
  <c r="L50" i="2"/>
  <c r="K50" i="2"/>
  <c r="J50" i="2"/>
  <c r="I50" i="2"/>
  <c r="H50" i="2"/>
  <c r="G50" i="2"/>
  <c r="F50" i="2"/>
  <c r="E50" i="2"/>
  <c r="D50" i="2"/>
  <c r="C50" i="2"/>
  <c r="L49" i="2"/>
  <c r="L53" i="2" s="1"/>
  <c r="L68" i="2" s="1"/>
  <c r="K49" i="2"/>
  <c r="K53" i="2" s="1"/>
  <c r="K68" i="2" s="1"/>
  <c r="J49" i="2"/>
  <c r="J53" i="2" s="1"/>
  <c r="J68" i="2" s="1"/>
  <c r="I49" i="2"/>
  <c r="I53" i="2" s="1"/>
  <c r="I68" i="2" s="1"/>
  <c r="H49" i="2"/>
  <c r="H53" i="2" s="1"/>
  <c r="H68" i="2" s="1"/>
  <c r="G49" i="2"/>
  <c r="G53" i="2" s="1"/>
  <c r="G68" i="2" s="1"/>
  <c r="F49" i="2"/>
  <c r="F53" i="2" s="1"/>
  <c r="F68" i="2" s="1"/>
  <c r="E49" i="2"/>
  <c r="E53" i="2" s="1"/>
  <c r="E68" i="2" s="1"/>
  <c r="D49" i="2"/>
  <c r="D53" i="2" s="1"/>
  <c r="D68" i="2" s="1"/>
  <c r="C49" i="2"/>
  <c r="C53" i="2" s="1"/>
  <c r="C68" i="2" s="1"/>
  <c r="M37" i="2"/>
  <c r="M42" i="2" s="1"/>
  <c r="L37" i="2"/>
  <c r="L42" i="2" s="1"/>
  <c r="K37" i="2"/>
  <c r="K42" i="2" s="1"/>
  <c r="J37" i="2"/>
  <c r="J42" i="2" s="1"/>
  <c r="I37" i="2"/>
  <c r="I42" i="2" s="1"/>
  <c r="H37" i="2"/>
  <c r="H42" i="2" s="1"/>
  <c r="G37" i="2"/>
  <c r="G42" i="2" s="1"/>
  <c r="F37" i="2"/>
  <c r="F42" i="2" s="1"/>
  <c r="E37" i="2"/>
  <c r="E42" i="2" s="1"/>
  <c r="D37" i="2"/>
  <c r="D42" i="2" s="1"/>
  <c r="C37" i="2"/>
  <c r="C42" i="2" s="1"/>
  <c r="M31" i="2"/>
  <c r="L31" i="2"/>
  <c r="K31" i="2"/>
  <c r="J31" i="2"/>
  <c r="I31" i="2"/>
  <c r="H31" i="2"/>
  <c r="G31" i="2"/>
  <c r="F31" i="2"/>
  <c r="E31" i="2"/>
  <c r="D31" i="2"/>
  <c r="C31" i="2"/>
  <c r="L26" i="2"/>
  <c r="L18" i="6" s="1"/>
  <c r="J26" i="2"/>
  <c r="J18" i="6" s="1"/>
  <c r="F26" i="2"/>
  <c r="F18" i="6" s="1"/>
  <c r="D26" i="2"/>
  <c r="D18" i="6" s="1"/>
  <c r="M25" i="2"/>
  <c r="M26" i="2" s="1"/>
  <c r="L25" i="2"/>
  <c r="K25" i="2"/>
  <c r="J25" i="2"/>
  <c r="I25" i="2"/>
  <c r="I26" i="2" s="1"/>
  <c r="I18" i="6" s="1"/>
  <c r="H25" i="2"/>
  <c r="H26" i="2" s="1"/>
  <c r="H18" i="6" s="1"/>
  <c r="G25" i="2"/>
  <c r="F25" i="2"/>
  <c r="E25" i="2"/>
  <c r="E26" i="2" s="1"/>
  <c r="E18" i="6" s="1"/>
  <c r="D25" i="2"/>
  <c r="C25" i="2"/>
  <c r="L23" i="2"/>
  <c r="J23" i="2"/>
  <c r="H23" i="2"/>
  <c r="D23" i="2"/>
  <c r="M22" i="2"/>
  <c r="M23" i="2" s="1"/>
  <c r="L22" i="2"/>
  <c r="K22" i="2"/>
  <c r="K23" i="2" s="1"/>
  <c r="J22" i="2"/>
  <c r="I22" i="2"/>
  <c r="H22" i="2"/>
  <c r="G22" i="2"/>
  <c r="G23" i="2" s="1"/>
  <c r="F22" i="2"/>
  <c r="F23" i="2" s="1"/>
  <c r="E22" i="2"/>
  <c r="E23" i="2" s="1"/>
  <c r="D22" i="2"/>
  <c r="C22" i="2"/>
  <c r="C23" i="2" s="1"/>
  <c r="M17" i="2"/>
  <c r="L17" i="2"/>
  <c r="L17" i="6" s="1"/>
  <c r="E17" i="2"/>
  <c r="E17" i="6" s="1"/>
  <c r="D17" i="2"/>
  <c r="D17" i="6" s="1"/>
  <c r="L16" i="2"/>
  <c r="K16" i="2"/>
  <c r="K17" i="2" s="1"/>
  <c r="K17" i="6" s="1"/>
  <c r="J16" i="2"/>
  <c r="J17" i="2" s="1"/>
  <c r="J17" i="6" s="1"/>
  <c r="I16" i="2"/>
  <c r="I17" i="2" s="1"/>
  <c r="I17" i="6" s="1"/>
  <c r="H16" i="2"/>
  <c r="H17" i="2" s="1"/>
  <c r="H17" i="6" s="1"/>
  <c r="G16" i="2"/>
  <c r="G17" i="2" s="1"/>
  <c r="G17" i="6" s="1"/>
  <c r="F16" i="2"/>
  <c r="F17" i="2" s="1"/>
  <c r="F17" i="6" s="1"/>
  <c r="E16" i="2"/>
  <c r="D16" i="2"/>
  <c r="C16" i="2"/>
  <c r="C17" i="2" s="1"/>
  <c r="C17" i="6" s="1"/>
  <c r="L13" i="2"/>
  <c r="F13" i="2"/>
  <c r="F14" i="2" s="1"/>
  <c r="F11" i="6" s="1"/>
  <c r="D13" i="2"/>
  <c r="M10" i="2"/>
  <c r="M11" i="2" s="1"/>
  <c r="L10" i="2"/>
  <c r="L11" i="2" s="1"/>
  <c r="K10" i="2"/>
  <c r="K11" i="2" s="1"/>
  <c r="J10" i="2"/>
  <c r="J11" i="2" s="1"/>
  <c r="I10" i="2"/>
  <c r="H10" i="2"/>
  <c r="G10" i="2"/>
  <c r="F10" i="2"/>
  <c r="F11" i="2" s="1"/>
  <c r="E10" i="2"/>
  <c r="E11" i="2" s="1"/>
  <c r="D10" i="2"/>
  <c r="D11" i="2" s="1"/>
  <c r="C10" i="2"/>
  <c r="C11" i="2" s="1"/>
  <c r="M8" i="2"/>
  <c r="M7" i="2"/>
  <c r="F8" i="2"/>
  <c r="F5" i="6" s="1"/>
  <c r="L7" i="2"/>
  <c r="L8" i="2" s="1"/>
  <c r="L5" i="6" s="1"/>
  <c r="K7" i="2"/>
  <c r="K13" i="2" s="1"/>
  <c r="J7" i="2"/>
  <c r="I7" i="2"/>
  <c r="I11" i="2" s="1"/>
  <c r="H7" i="2"/>
  <c r="H13" i="2" s="1"/>
  <c r="G7" i="2"/>
  <c r="F7" i="2"/>
  <c r="E7" i="2"/>
  <c r="D7" i="2"/>
  <c r="E8" i="2" s="1"/>
  <c r="E5" i="6" s="1"/>
  <c r="C7" i="2"/>
  <c r="C13" i="2" s="1"/>
  <c r="L3" i="2"/>
  <c r="K3" i="2"/>
  <c r="J3" i="2"/>
  <c r="I3" i="2"/>
  <c r="H3" i="2"/>
  <c r="G3" i="2"/>
  <c r="F3" i="2"/>
  <c r="E3" i="2"/>
  <c r="D3" i="2"/>
  <c r="C3" i="2"/>
  <c r="B2" i="2"/>
  <c r="D29" i="16" l="1"/>
  <c r="J11" i="16"/>
  <c r="D28" i="16" s="1"/>
  <c r="E16" i="7"/>
  <c r="I9" i="6"/>
  <c r="E15" i="7"/>
  <c r="K9" i="6"/>
  <c r="L9" i="6"/>
  <c r="G9" i="6"/>
  <c r="O17" i="6"/>
  <c r="N17" i="6"/>
  <c r="D9" i="6"/>
  <c r="E9" i="6"/>
  <c r="F9" i="6"/>
  <c r="H9" i="6"/>
  <c r="E17" i="7"/>
  <c r="J9" i="6"/>
  <c r="E18" i="7"/>
  <c r="L17" i="7"/>
  <c r="G17" i="7"/>
  <c r="H8" i="2"/>
  <c r="H5" i="6" s="1"/>
  <c r="G13" i="2"/>
  <c r="G8" i="2"/>
  <c r="G5" i="6" s="1"/>
  <c r="D19" i="2"/>
  <c r="D14" i="2"/>
  <c r="D11" i="6" s="1"/>
  <c r="L19" i="2"/>
  <c r="L14" i="2"/>
  <c r="L11" i="6" s="1"/>
  <c r="H19" i="2"/>
  <c r="H14" i="2"/>
  <c r="H11" i="6" s="1"/>
  <c r="J13" i="2"/>
  <c r="C19" i="2"/>
  <c r="C14" i="2"/>
  <c r="C11" i="6" s="1"/>
  <c r="K19" i="2"/>
  <c r="K14" i="2"/>
  <c r="K11" i="6" s="1"/>
  <c r="G11" i="2"/>
  <c r="G26" i="2"/>
  <c r="G18" i="6" s="1"/>
  <c r="H11" i="2"/>
  <c r="E13" i="2"/>
  <c r="M13" i="2"/>
  <c r="I23" i="2"/>
  <c r="C26" i="2"/>
  <c r="C18" i="6" s="1"/>
  <c r="K26" i="2"/>
  <c r="K18" i="6" s="1"/>
  <c r="I8" i="2"/>
  <c r="I5" i="6" s="1"/>
  <c r="J8" i="2"/>
  <c r="J5" i="6" s="1"/>
  <c r="I13" i="2"/>
  <c r="F19" i="2"/>
  <c r="D8" i="2"/>
  <c r="D5" i="6" s="1"/>
  <c r="K8" i="2"/>
  <c r="K5" i="6" s="1"/>
  <c r="B6" i="4"/>
  <c r="E1" i="4"/>
  <c r="D30" i="16" l="1"/>
  <c r="F18" i="16" s="1"/>
  <c r="F25" i="6"/>
  <c r="F13" i="6"/>
  <c r="F19" i="6" s="1"/>
  <c r="F21" i="6"/>
  <c r="C25" i="6"/>
  <c r="C21" i="6"/>
  <c r="C13" i="6"/>
  <c r="N9" i="6"/>
  <c r="O9" i="6"/>
  <c r="L13" i="6"/>
  <c r="L19" i="6" s="1"/>
  <c r="L6" i="6"/>
  <c r="L25" i="6"/>
  <c r="L21" i="6"/>
  <c r="O18" i="6"/>
  <c r="N18" i="6"/>
  <c r="K13" i="6"/>
  <c r="K19" i="6" s="1"/>
  <c r="K25" i="6"/>
  <c r="K21" i="6"/>
  <c r="O5" i="6"/>
  <c r="N5" i="6"/>
  <c r="H25" i="6"/>
  <c r="H21" i="6"/>
  <c r="H13" i="6"/>
  <c r="H19" i="6" s="1"/>
  <c r="D13" i="6"/>
  <c r="D19" i="6" s="1"/>
  <c r="D21" i="6"/>
  <c r="D25" i="6"/>
  <c r="D6" i="6"/>
  <c r="L18" i="7"/>
  <c r="G18" i="7"/>
  <c r="L20" i="2"/>
  <c r="L12" i="6" s="1"/>
  <c r="L28" i="2"/>
  <c r="J19" i="2"/>
  <c r="J14" i="2"/>
  <c r="J11" i="6" s="1"/>
  <c r="G19" i="2"/>
  <c r="G14" i="2"/>
  <c r="G11" i="6" s="1"/>
  <c r="K28" i="2"/>
  <c r="K20" i="2"/>
  <c r="K12" i="6" s="1"/>
  <c r="D20" i="2"/>
  <c r="D12" i="6" s="1"/>
  <c r="D28" i="2"/>
  <c r="E19" i="2"/>
  <c r="E14" i="2"/>
  <c r="E11" i="6" s="1"/>
  <c r="H20" i="2"/>
  <c r="H12" i="6" s="1"/>
  <c r="H28" i="2"/>
  <c r="M19" i="2"/>
  <c r="M14" i="2"/>
  <c r="F28" i="2"/>
  <c r="F20" i="2"/>
  <c r="F12" i="6" s="1"/>
  <c r="I19" i="2"/>
  <c r="I14" i="2"/>
  <c r="I11" i="6" s="1"/>
  <c r="C20" i="2"/>
  <c r="C12" i="6" s="1"/>
  <c r="C28" i="2"/>
  <c r="D34" i="16" l="1"/>
  <c r="D37" i="16" s="1"/>
  <c r="L7" i="6"/>
  <c r="N11" i="6"/>
  <c r="C19" i="6"/>
  <c r="G21" i="6"/>
  <c r="G13" i="6"/>
  <c r="G19" i="6" s="1"/>
  <c r="G6" i="6"/>
  <c r="G25" i="6"/>
  <c r="I21" i="6"/>
  <c r="I6" i="6"/>
  <c r="I13" i="6"/>
  <c r="I19" i="6" s="1"/>
  <c r="I25" i="6"/>
  <c r="J21" i="6"/>
  <c r="J13" i="6"/>
  <c r="J19" i="6" s="1"/>
  <c r="J6" i="6"/>
  <c r="J25" i="6"/>
  <c r="O11" i="6"/>
  <c r="H6" i="6"/>
  <c r="K6" i="6"/>
  <c r="E13" i="6"/>
  <c r="E19" i="6" s="1"/>
  <c r="E25" i="6"/>
  <c r="E21" i="6"/>
  <c r="E6" i="6"/>
  <c r="I4" i="7" a="1"/>
  <c r="D7" i="6"/>
  <c r="F6" i="6"/>
  <c r="K29" i="2"/>
  <c r="K14" i="6" s="1"/>
  <c r="K34" i="2"/>
  <c r="K32" i="2"/>
  <c r="E20" i="2"/>
  <c r="E12" i="6" s="1"/>
  <c r="E28" i="2"/>
  <c r="E7" i="6" s="1"/>
  <c r="C29" i="2"/>
  <c r="C14" i="6" s="1"/>
  <c r="C34" i="2"/>
  <c r="C23" i="6" s="1"/>
  <c r="C32" i="2"/>
  <c r="G28" i="2"/>
  <c r="G7" i="6" s="1"/>
  <c r="G20" i="2"/>
  <c r="G12" i="6" s="1"/>
  <c r="L29" i="2"/>
  <c r="L14" i="6" s="1"/>
  <c r="L34" i="2"/>
  <c r="L32" i="2"/>
  <c r="M20" i="2"/>
  <c r="M28" i="2"/>
  <c r="H32" i="2"/>
  <c r="H34" i="2"/>
  <c r="H29" i="2"/>
  <c r="H14" i="6" s="1"/>
  <c r="I28" i="2"/>
  <c r="I7" i="6" s="1"/>
  <c r="I20" i="2"/>
  <c r="I12" i="6" s="1"/>
  <c r="J20" i="2"/>
  <c r="J12" i="6" s="1"/>
  <c r="J28" i="2"/>
  <c r="K7" i="6" s="1"/>
  <c r="D29" i="2"/>
  <c r="D14" i="6" s="1"/>
  <c r="D34" i="2"/>
  <c r="D32" i="2"/>
  <c r="F32" i="2"/>
  <c r="F34" i="2"/>
  <c r="F29" i="2"/>
  <c r="F14" i="6" s="1"/>
  <c r="D40" i="16" l="1"/>
  <c r="N21" i="6"/>
  <c r="O6" i="6"/>
  <c r="N25" i="6"/>
  <c r="O25" i="6"/>
  <c r="N12" i="6"/>
  <c r="F7" i="6"/>
  <c r="H23" i="6"/>
  <c r="I4" i="7"/>
  <c r="I6" i="7"/>
  <c r="I7" i="7"/>
  <c r="I8" i="7"/>
  <c r="I9" i="7"/>
  <c r="J9" i="7" s="1"/>
  <c r="I11" i="7"/>
  <c r="I12" i="7"/>
  <c r="I10" i="7"/>
  <c r="I13" i="7"/>
  <c r="I5" i="7"/>
  <c r="N6" i="6"/>
  <c r="L8" i="6"/>
  <c r="L23" i="6"/>
  <c r="F23" i="6"/>
  <c r="K23" i="6"/>
  <c r="D8" i="6"/>
  <c r="D23" i="6"/>
  <c r="O21" i="6"/>
  <c r="H7" i="6"/>
  <c r="N13" i="6"/>
  <c r="J7" i="6"/>
  <c r="O13" i="6"/>
  <c r="O12" i="6"/>
  <c r="N19" i="6"/>
  <c r="O19" i="6"/>
  <c r="C35" i="2"/>
  <c r="C15" i="6" s="1"/>
  <c r="C39" i="2"/>
  <c r="J34" i="2"/>
  <c r="J29" i="2"/>
  <c r="J14" i="6" s="1"/>
  <c r="J32" i="2"/>
  <c r="E34" i="2"/>
  <c r="E29" i="2"/>
  <c r="E14" i="6" s="1"/>
  <c r="E32" i="2"/>
  <c r="L35" i="2"/>
  <c r="L15" i="6" s="1"/>
  <c r="L39" i="2"/>
  <c r="F39" i="2"/>
  <c r="F35" i="2"/>
  <c r="F15" i="6" s="1"/>
  <c r="K35" i="2"/>
  <c r="K15" i="6" s="1"/>
  <c r="K39" i="2"/>
  <c r="D35" i="2"/>
  <c r="D15" i="6" s="1"/>
  <c r="D39" i="2"/>
  <c r="M34" i="2"/>
  <c r="M29" i="2"/>
  <c r="M32" i="2"/>
  <c r="I34" i="2"/>
  <c r="I29" i="2"/>
  <c r="I14" i="6" s="1"/>
  <c r="I32" i="2"/>
  <c r="H39" i="2"/>
  <c r="H35" i="2"/>
  <c r="H15" i="6" s="1"/>
  <c r="G34" i="2"/>
  <c r="H8" i="6" s="1"/>
  <c r="G29" i="2"/>
  <c r="G14" i="6" s="1"/>
  <c r="G32" i="2"/>
  <c r="J13" i="7" l="1"/>
  <c r="N7" i="6"/>
  <c r="O7" i="6"/>
  <c r="J11" i="7"/>
  <c r="O14" i="6"/>
  <c r="I8" i="6"/>
  <c r="I23" i="6"/>
  <c r="N14" i="6"/>
  <c r="J23" i="6"/>
  <c r="J8" i="6"/>
  <c r="J8" i="7"/>
  <c r="J5" i="7"/>
  <c r="J6" i="7"/>
  <c r="I14" i="7"/>
  <c r="J14" i="7" s="1"/>
  <c r="K8" i="6"/>
  <c r="J10" i="7"/>
  <c r="J7" i="7"/>
  <c r="G23" i="6"/>
  <c r="G8" i="6"/>
  <c r="E8" i="6"/>
  <c r="E23" i="6"/>
  <c r="F8" i="6"/>
  <c r="J12" i="7"/>
  <c r="D40" i="2"/>
  <c r="D43" i="2"/>
  <c r="D45" i="2" s="1"/>
  <c r="D22" i="6" s="1"/>
  <c r="D24" i="6" s="1"/>
  <c r="K45" i="2"/>
  <c r="K22" i="6" s="1"/>
  <c r="K24" i="6" s="1"/>
  <c r="K43" i="2"/>
  <c r="L40" i="2"/>
  <c r="L45" i="2"/>
  <c r="L22" i="6" s="1"/>
  <c r="L24" i="6" s="1"/>
  <c r="L43" i="2"/>
  <c r="H45" i="2"/>
  <c r="H22" i="6" s="1"/>
  <c r="H24" i="6" s="1"/>
  <c r="H43" i="2"/>
  <c r="E35" i="2"/>
  <c r="E15" i="6" s="1"/>
  <c r="E39" i="2"/>
  <c r="I39" i="2"/>
  <c r="I35" i="2"/>
  <c r="I15" i="6" s="1"/>
  <c r="F43" i="2"/>
  <c r="F45" i="2" s="1"/>
  <c r="F22" i="6" s="1"/>
  <c r="F24" i="6" s="1"/>
  <c r="J35" i="2"/>
  <c r="J15" i="6" s="1"/>
  <c r="J39" i="2"/>
  <c r="C43" i="2"/>
  <c r="C45" i="2" s="1"/>
  <c r="C22" i="6" s="1"/>
  <c r="G35" i="2"/>
  <c r="G15" i="6" s="1"/>
  <c r="G39" i="2"/>
  <c r="H40" i="2" s="1"/>
  <c r="M35" i="2"/>
  <c r="M39" i="2"/>
  <c r="N4" i="7" l="1" a="1"/>
  <c r="N9" i="7" s="1"/>
  <c r="O15" i="6"/>
  <c r="O8" i="6"/>
  <c r="N7" i="7"/>
  <c r="N8" i="7"/>
  <c r="N11" i="7"/>
  <c r="N13" i="7"/>
  <c r="O23" i="6"/>
  <c r="N23" i="6"/>
  <c r="N15" i="6"/>
  <c r="C24" i="6"/>
  <c r="I15" i="7"/>
  <c r="J15" i="7" s="1"/>
  <c r="N8" i="6"/>
  <c r="I45" i="2"/>
  <c r="I22" i="6" s="1"/>
  <c r="I24" i="6" s="1"/>
  <c r="I40" i="2"/>
  <c r="I43" i="2"/>
  <c r="E40" i="2"/>
  <c r="E43" i="2"/>
  <c r="E45" i="2" s="1"/>
  <c r="E22" i="6" s="1"/>
  <c r="E24" i="6" s="1"/>
  <c r="F40" i="2"/>
  <c r="J40" i="2"/>
  <c r="J45" i="2"/>
  <c r="J22" i="6" s="1"/>
  <c r="J24" i="6" s="1"/>
  <c r="J43" i="2"/>
  <c r="K40" i="2"/>
  <c r="M40" i="2"/>
  <c r="M43" i="2"/>
  <c r="M45" i="2" s="1"/>
  <c r="G40" i="2"/>
  <c r="G43" i="2"/>
  <c r="G45" i="2" s="1"/>
  <c r="G22" i="6" s="1"/>
  <c r="G24" i="6" s="1"/>
  <c r="N5" i="7" l="1"/>
  <c r="N4" i="7"/>
  <c r="N12" i="7"/>
  <c r="O13" i="7" s="1"/>
  <c r="N10" i="7"/>
  <c r="O10" i="7" s="1"/>
  <c r="I16" i="7"/>
  <c r="J16" i="7" s="1"/>
  <c r="O8" i="7"/>
  <c r="N6" i="7"/>
  <c r="N16" i="7" s="1"/>
  <c r="O9" i="7"/>
  <c r="O22" i="6"/>
  <c r="O11" i="7"/>
  <c r="N22" i="6"/>
  <c r="O24" i="6"/>
  <c r="N24" i="6"/>
  <c r="O7" i="7"/>
  <c r="N14" i="7" l="1"/>
  <c r="O14" i="7" s="1"/>
  <c r="O12" i="7"/>
  <c r="I17" i="7"/>
  <c r="I18" i="7" s="1"/>
  <c r="J18" i="7" s="1"/>
  <c r="O6" i="7"/>
  <c r="O5" i="7"/>
  <c r="N17" i="7"/>
  <c r="O17" i="7" s="1"/>
  <c r="N18" i="7"/>
  <c r="O18" i="7" s="1"/>
  <c r="N15" i="7"/>
  <c r="O15" i="7" s="1"/>
  <c r="J17" i="7" l="1"/>
  <c r="O16" i="7"/>
</calcChain>
</file>

<file path=xl/sharedStrings.xml><?xml version="1.0" encoding="utf-8"?>
<sst xmlns="http://schemas.openxmlformats.org/spreadsheetml/2006/main" count="453" uniqueCount="345">
  <si>
    <t>COMPANY NAME</t>
  </si>
  <si>
    <t>TATA MOTORS LTD</t>
  </si>
  <si>
    <t>LATEST VERSION</t>
  </si>
  <si>
    <t>PLEASE DO NOT MAKE ANY CHANGES TO THIS SHEET</t>
  </si>
  <si>
    <t>CURRENT VERSION</t>
  </si>
  <si>
    <t>META</t>
  </si>
  <si>
    <t>Number of shares</t>
  </si>
  <si>
    <t>Face Value</t>
  </si>
  <si>
    <t>Current Price</t>
  </si>
  <si>
    <t>Market Capitalization</t>
  </si>
  <si>
    <t>PROFIT &amp; LOSS</t>
  </si>
  <si>
    <t>Report Date</t>
  </si>
  <si>
    <t>Sales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</si>
  <si>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</si>
  <si>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</si>
  <si>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</si>
  <si>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</si>
  <si>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</si>
  <si>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</si>
  <si>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</si>
  <si>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Other Income</t>
  </si>
  <si>
    <t>Depreciation</t>
  </si>
  <si>
    <t>Interest</t>
  </si>
  <si>
    <t>Profit before tax</t>
  </si>
  <si>
    <t>Tax</t>
  </si>
  <si>
    <t>Net profit</t>
  </si>
  <si>
    <t>Dividend Amount</t>
  </si>
  <si>
    <t>Quarters</t>
  </si>
  <si>
    <t>Expenses</t>
  </si>
  <si>
    <t>Operating Profit</t>
  </si>
  <si>
    <t>BALANCE SHEET</t>
  </si>
  <si>
    <t>Equity Share Capital</t>
  </si>
  <si>
    <t>Reserves</t>
  </si>
  <si>
    <t>Borrowings</t>
  </si>
  <si>
    <t>Other Liabilities</t>
  </si>
  <si>
    <t>Total</t>
  </si>
  <si>
    <t>Net Block</t>
  </si>
  <si>
    <t>Capital Work in Progress</t>
  </si>
  <si>
    <t>Investments</t>
  </si>
  <si>
    <t>Other Assets</t>
  </si>
  <si>
    <t>Receivables</t>
  </si>
  <si>
    <t>Inventory</t>
  </si>
  <si>
    <t>Cash &amp; Bank</t>
  </si>
  <si>
    <t>No. of Equity Shares</t>
  </si>
  <si>
    <t>New Bonus Shares</t>
  </si>
  <si>
    <t>Face value</t>
  </si>
  <si>
    <t>CASH FLOW:</t>
  </si>
  <si>
    <t>Cash from Operating Activity</t>
  </si>
  <si>
    <t>Cash from Investing Activity</t>
  </si>
  <si>
    <t>Cash from Financing Activity</t>
  </si>
  <si>
    <t>Net Cash Flow</t>
  </si>
  <si>
    <t>PRICE:</t>
  </si>
  <si>
    <t>DERIVED:</t>
  </si>
  <si>
    <t>Adjusted Equity Shares in Cr</t>
  </si>
  <si>
    <t>Years</t>
  </si>
  <si>
    <t>LTM</t>
  </si>
  <si>
    <t>#</t>
  </si>
  <si>
    <t>Income Statement</t>
  </si>
  <si>
    <t>Sales Growth</t>
  </si>
  <si>
    <t>-</t>
  </si>
  <si>
    <t>COGS</t>
  </si>
  <si>
    <t>COGS % Sales</t>
  </si>
  <si>
    <t>Gross Profit</t>
  </si>
  <si>
    <t>Gross Margins</t>
  </si>
  <si>
    <t>Selling and General Expense</t>
  </si>
  <si>
    <t>S&amp;G Exp % Sales</t>
  </si>
  <si>
    <t>EBITDA</t>
  </si>
  <si>
    <t>EBITDA Margins</t>
  </si>
  <si>
    <t>Interest % Sales</t>
  </si>
  <si>
    <t>Depriciation</t>
  </si>
  <si>
    <t>Depriciation % Sales</t>
  </si>
  <si>
    <t>Earning Before Tax</t>
  </si>
  <si>
    <t>EBT % Sales</t>
  </si>
  <si>
    <t>Effictive tax rate</t>
  </si>
  <si>
    <t>Net Profit</t>
  </si>
  <si>
    <t>Net Margins</t>
  </si>
  <si>
    <t>Number of Equity shares</t>
  </si>
  <si>
    <t>Earning per shares</t>
  </si>
  <si>
    <t>EPS Growth %</t>
  </si>
  <si>
    <t>Dividend Per share</t>
  </si>
  <si>
    <t>Dividend Payout ratio</t>
  </si>
  <si>
    <t>Retained Earnings</t>
  </si>
  <si>
    <t>Balance Sheet</t>
  </si>
  <si>
    <t>Total Liabilities</t>
  </si>
  <si>
    <t>Total Non Current Assets</t>
  </si>
  <si>
    <t>Total Current Assets</t>
  </si>
  <si>
    <t>Total Assets</t>
  </si>
  <si>
    <t>Check</t>
  </si>
  <si>
    <t>Cash Flow Statement</t>
  </si>
  <si>
    <t>EBITDA Growth</t>
  </si>
  <si>
    <t>EBIT Growth</t>
  </si>
  <si>
    <t>Net Profit Growth</t>
  </si>
  <si>
    <t>Dividend Growth</t>
  </si>
  <si>
    <t>Gross Margin</t>
  </si>
  <si>
    <t>EBITDA Margin</t>
  </si>
  <si>
    <t>EBT Margin</t>
  </si>
  <si>
    <t>Net Profit Margin</t>
  </si>
  <si>
    <t>EBIT Margin</t>
  </si>
  <si>
    <t>Sales Expense % Sales</t>
  </si>
  <si>
    <t>Operating Income % Sales</t>
  </si>
  <si>
    <t>Return on Capital Employed</t>
  </si>
  <si>
    <t>Retained Earnings %</t>
  </si>
  <si>
    <t>Return on Equity %</t>
  </si>
  <si>
    <t>Self Sustained Growth Rate</t>
  </si>
  <si>
    <t>Interest Coverage Ratio</t>
  </si>
  <si>
    <t>Debtor Turnover Ratio</t>
  </si>
  <si>
    <t>Creditor Turnover Ratio</t>
  </si>
  <si>
    <t>Inventory Turnover</t>
  </si>
  <si>
    <t>Fixed Asset Turnover</t>
  </si>
  <si>
    <t>Capital Turnover Ratio</t>
  </si>
  <si>
    <t>Debtor Days</t>
  </si>
  <si>
    <t>Payable Days</t>
  </si>
  <si>
    <t>Inventory Days</t>
  </si>
  <si>
    <t>CFO/Sales</t>
  </si>
  <si>
    <t>CFO/Total Asset</t>
  </si>
  <si>
    <t>CFO/Total Debt</t>
  </si>
  <si>
    <t>Fixed Asset Net Block</t>
  </si>
  <si>
    <t>Cash Conversion Cycle (in days)</t>
  </si>
  <si>
    <t>Mean</t>
  </si>
  <si>
    <t>Median</t>
  </si>
  <si>
    <t>Trend</t>
  </si>
  <si>
    <t>Year Weight</t>
  </si>
  <si>
    <t>Year</t>
  </si>
  <si>
    <t>Cash from Operating Activites</t>
  </si>
  <si>
    <t>Cash from Investing Activities</t>
  </si>
  <si>
    <t>Cash from Financing Activities</t>
  </si>
  <si>
    <t>EPS</t>
  </si>
  <si>
    <t>EPS Growth</t>
  </si>
  <si>
    <t>Particluars</t>
  </si>
  <si>
    <t>Total Asset</t>
  </si>
  <si>
    <t>Weighted Average Cost of Capital</t>
  </si>
  <si>
    <t>All figures are in INR unless stated otherwise</t>
  </si>
  <si>
    <t>Peer Comps</t>
  </si>
  <si>
    <t>Debt /</t>
  </si>
  <si>
    <t>Leveraged</t>
  </si>
  <si>
    <t>Unleveraged</t>
  </si>
  <si>
    <t>Name of the comp</t>
  </si>
  <si>
    <t>Country</t>
  </si>
  <si>
    <t>Total Debt</t>
  </si>
  <si>
    <t>Total Equity</t>
  </si>
  <si>
    <t>Equity</t>
  </si>
  <si>
    <t>Capital</t>
  </si>
  <si>
    <t>India</t>
  </si>
  <si>
    <t>Average</t>
  </si>
  <si>
    <t>Cost of Debt</t>
  </si>
  <si>
    <t>Cost of Equity</t>
  </si>
  <si>
    <t>Pre-Tax cost of debt</t>
  </si>
  <si>
    <t>Risk Free Rate</t>
  </si>
  <si>
    <t>Tax Rate</t>
  </si>
  <si>
    <t>Equity Risk Premium</t>
  </si>
  <si>
    <t>Post-Tax cost of debt</t>
  </si>
  <si>
    <t>Capital Structure</t>
  </si>
  <si>
    <t>Levered Beta</t>
  </si>
  <si>
    <t>Current</t>
  </si>
  <si>
    <t>Target</t>
  </si>
  <si>
    <t>Comps Median Unlevered Beta</t>
  </si>
  <si>
    <t>Target Debt/ Equity</t>
  </si>
  <si>
    <t>Total Capital</t>
  </si>
  <si>
    <t>Debt/Equity</t>
  </si>
  <si>
    <t>Weighted Average Cost Of Capital</t>
  </si>
  <si>
    <t>Notes:</t>
  </si>
  <si>
    <t>Total Cost</t>
  </si>
  <si>
    <t>Total Weight</t>
  </si>
  <si>
    <t>1. Tax rate considered marginal tax rate for the country</t>
  </si>
  <si>
    <t>Debt</t>
  </si>
  <si>
    <t>2. Levered beta is based on 5 year monthly data</t>
  </si>
  <si>
    <t>3. Unlevered beta = Levered beta/ (1+ debt/equity*(1-tax rate))</t>
  </si>
  <si>
    <t>4. Levered beta = Unlevered beta* (1+ debt/equity*(1-tax rate))</t>
  </si>
  <si>
    <r>
      <t xml:space="preserve">Tax Rate </t>
    </r>
    <r>
      <rPr>
        <vertAlign val="superscript"/>
        <sz val="11"/>
        <color rgb="FF000000"/>
        <rFont val="Calibri"/>
        <family val="2"/>
      </rPr>
      <t>1</t>
    </r>
  </si>
  <si>
    <r>
      <t xml:space="preserve">Beta </t>
    </r>
    <r>
      <rPr>
        <vertAlign val="superscript"/>
        <sz val="11"/>
        <color rgb="FF000000"/>
        <rFont val="Calibri"/>
        <family val="2"/>
      </rPr>
      <t>2</t>
    </r>
  </si>
  <si>
    <r>
      <t xml:space="preserve">Beta </t>
    </r>
    <r>
      <rPr>
        <vertAlign val="superscript"/>
        <sz val="11"/>
        <color rgb="FF000000"/>
        <rFont val="Calibri"/>
        <family val="2"/>
      </rPr>
      <t>3</t>
    </r>
  </si>
  <si>
    <r>
      <t xml:space="preserve">Levered Beta </t>
    </r>
    <r>
      <rPr>
        <vertAlign val="superscript"/>
        <sz val="11"/>
        <color rgb="FF000000"/>
        <rFont val="Calibri"/>
        <family val="2"/>
      </rPr>
      <t>4</t>
    </r>
  </si>
  <si>
    <t>Tata Motors Ltd.</t>
  </si>
  <si>
    <t>Maruti Suzuki</t>
  </si>
  <si>
    <t>M &amp; M</t>
  </si>
  <si>
    <t>Bajaj Auto</t>
  </si>
  <si>
    <t>Eicher Motors</t>
  </si>
  <si>
    <t>S.No.</t>
  </si>
  <si>
    <t>Name</t>
  </si>
  <si>
    <t>CMP Rs.</t>
  </si>
  <si>
    <t xml:space="preserve">Mar Cap Rs.Cr. </t>
  </si>
  <si>
    <t>Debt Rs.Cr.</t>
  </si>
  <si>
    <t>Debt / Eq</t>
  </si>
  <si>
    <t>Tata Motors</t>
  </si>
  <si>
    <t>Return On Market</t>
  </si>
  <si>
    <t>Annual</t>
  </si>
  <si>
    <t>Average Return</t>
  </si>
  <si>
    <t>Dividend Yield</t>
  </si>
  <si>
    <t>Total Market Return</t>
  </si>
  <si>
    <t>Equity Capital</t>
  </si>
  <si>
    <t>Borrowings -</t>
  </si>
  <si>
    <t>Long term Borrowings</t>
  </si>
  <si>
    <t>Short term Borrowings</t>
  </si>
  <si>
    <t>Lease Liabilities</t>
  </si>
  <si>
    <t>Other Borrowings</t>
  </si>
  <si>
    <t>Other Liabilities -</t>
  </si>
  <si>
    <t>Non controlling int</t>
  </si>
  <si>
    <t>Trade Payables</t>
  </si>
  <si>
    <t>Advance from Customers</t>
  </si>
  <si>
    <t>Other liability items</t>
  </si>
  <si>
    <t>Fixed Assets -</t>
  </si>
  <si>
    <t>Land</t>
  </si>
  <si>
    <t>Building</t>
  </si>
  <si>
    <t>Plant Machinery</t>
  </si>
  <si>
    <t>Equipments</t>
  </si>
  <si>
    <t>Computers</t>
  </si>
  <si>
    <t>Furniture n fittings</t>
  </si>
  <si>
    <t>Vehicles</t>
  </si>
  <si>
    <t>Intangible Assets</t>
  </si>
  <si>
    <t>Other fixed assets</t>
  </si>
  <si>
    <t>Gross Block</t>
  </si>
  <si>
    <t>Accumulated Depreciation</t>
  </si>
  <si>
    <t>CWIP</t>
  </si>
  <si>
    <t>Other Assets -</t>
  </si>
  <si>
    <t>Inventories</t>
  </si>
  <si>
    <t>Trade receivables</t>
  </si>
  <si>
    <t>Cash Equivalents</t>
  </si>
  <si>
    <t>Short term loans</t>
  </si>
  <si>
    <t>Other asset items</t>
  </si>
  <si>
    <t>Particulars</t>
  </si>
  <si>
    <t>Calculation of ROIC</t>
  </si>
  <si>
    <t>Current Assets</t>
  </si>
  <si>
    <t>Current Liabilities</t>
  </si>
  <si>
    <t>Total Current Liabilities</t>
  </si>
  <si>
    <t>Net Working Capital</t>
  </si>
  <si>
    <t>Non Current Assets</t>
  </si>
  <si>
    <t>Net Non Current Assets</t>
  </si>
  <si>
    <t>Invested Capital</t>
  </si>
  <si>
    <t>EBIT</t>
  </si>
  <si>
    <t>ROIC</t>
  </si>
  <si>
    <t>Calculation of Reinvestment Rate</t>
  </si>
  <si>
    <t>Net Capex</t>
  </si>
  <si>
    <t>Cash Flows</t>
  </si>
  <si>
    <t>Cash from Operating Activity -</t>
  </si>
  <si>
    <t>Profit from operations</t>
  </si>
  <si>
    <t>Payables</t>
  </si>
  <si>
    <t>Loans Advances</t>
  </si>
  <si>
    <t>Other WC items</t>
  </si>
  <si>
    <t>Working capital changes</t>
  </si>
  <si>
    <t>Direct taxes</t>
  </si>
  <si>
    <t>Cash from Investing Activity -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</si>
  <si>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</si>
  <si>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</si>
  <si>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</si>
  <si>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</si>
  <si>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</si>
  <si>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</si>
  <si>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Invest in subsidiaries</t>
  </si>
  <si>
    <t>Investment in group cos</t>
  </si>
  <si>
    <t>Redemp n Canc of Shares</t>
  </si>
  <si>
    <t>Acquisition of companies</t>
  </si>
  <si>
    <t>Inter corporate deposits</t>
  </si>
  <si>
    <t>Other investing items</t>
  </si>
  <si>
    <t>Cash from Financing Activity -</t>
  </si>
  <si>
    <t>Proceeds from shares</t>
  </si>
  <si>
    <t>Redemption of debentures</t>
  </si>
  <si>
    <t>Proceeds from borrowings</t>
  </si>
  <si>
    <t>Repayment of borrowings</t>
  </si>
  <si>
    <t>Interest paid fin</t>
  </si>
  <si>
    <t>Dividends paid</t>
  </si>
  <si>
    <t>Financial liabilities</t>
  </si>
  <si>
    <t>Other financing items</t>
  </si>
  <si>
    <t>Change in Working Capital</t>
  </si>
  <si>
    <t>Marginal Tax Rate</t>
  </si>
  <si>
    <t>Reinvestment</t>
  </si>
  <si>
    <t>EBIT(1-Tax Rate)</t>
  </si>
  <si>
    <t>Reinvestment Rate</t>
  </si>
  <si>
    <t>4 Year Average</t>
  </si>
  <si>
    <t>4 Year Median</t>
  </si>
  <si>
    <t>Calculation of Growth Rate</t>
  </si>
  <si>
    <t>Intrinsic Growth</t>
  </si>
  <si>
    <t>Calculation of PV of FCFF</t>
  </si>
  <si>
    <t>EBIT(1-T)</t>
  </si>
  <si>
    <t>Less: Reinvestment Rate</t>
  </si>
  <si>
    <t>Free Cash Flow To Firm (FCFF)</t>
  </si>
  <si>
    <t>Mid Year Convention</t>
  </si>
  <si>
    <t>Discounting Factor</t>
  </si>
  <si>
    <t>PV of FCFF</t>
  </si>
  <si>
    <t>Expected Growth</t>
  </si>
  <si>
    <t>Terminal Growth</t>
  </si>
  <si>
    <t>WACC</t>
  </si>
  <si>
    <t>Calculation of Terminal Value</t>
  </si>
  <si>
    <t>FCFF(n+1)</t>
  </si>
  <si>
    <t>Terminal Growth Rate</t>
  </si>
  <si>
    <t>Terminal Value</t>
  </si>
  <si>
    <t>PV of Terminal Value</t>
  </si>
  <si>
    <t>Value of Operating Assets</t>
  </si>
  <si>
    <t>Add: Cash</t>
  </si>
  <si>
    <t>Less: Debt</t>
  </si>
  <si>
    <t>Calculation of Equity Value Per Share</t>
  </si>
  <si>
    <t>Value of Equity</t>
  </si>
  <si>
    <t>No of Shares</t>
  </si>
  <si>
    <t>Equity Value Per Share</t>
  </si>
  <si>
    <t>Share Price</t>
  </si>
  <si>
    <t>Discount/Premium</t>
  </si>
  <si>
    <t>Comparable Company Valuation</t>
  </si>
  <si>
    <t>Company</t>
  </si>
  <si>
    <t>Ticker</t>
  </si>
  <si>
    <t>Shares O/S</t>
  </si>
  <si>
    <t>Equity Value</t>
  </si>
  <si>
    <t>Net Debt</t>
  </si>
  <si>
    <t>Enterprise Value</t>
  </si>
  <si>
    <t>Market Data</t>
  </si>
  <si>
    <t>Revenue</t>
  </si>
  <si>
    <t>Net Income</t>
  </si>
  <si>
    <t>Valuation</t>
  </si>
  <si>
    <t>Financials</t>
  </si>
  <si>
    <t>No. Eq. Shares Cr.</t>
  </si>
  <si>
    <t>Cash End Rs.Cr.</t>
  </si>
  <si>
    <t>Sales Rs.Cr.</t>
  </si>
  <si>
    <t>EBIT 12M Rs.Cr.</t>
  </si>
  <si>
    <t>Dep 12M Rs.Cr.</t>
  </si>
  <si>
    <t>NP 12M Rs.Cr.</t>
  </si>
  <si>
    <t>Ashok Leyland</t>
  </si>
  <si>
    <t>Tata Motors-DVR</t>
  </si>
  <si>
    <t>Olectra Greentec</t>
  </si>
  <si>
    <t>Force Motors</t>
  </si>
  <si>
    <t>SML ISUZU</t>
  </si>
  <si>
    <t>Median: 6 Co.</t>
  </si>
  <si>
    <t xml:space="preserve"> Market Cap</t>
  </si>
  <si>
    <t>EV</t>
  </si>
  <si>
    <t>EV/Revenue</t>
  </si>
  <si>
    <t>EV/EBITDA</t>
  </si>
  <si>
    <t>P/E</t>
  </si>
  <si>
    <t>High</t>
  </si>
  <si>
    <t>75th Percentile</t>
  </si>
  <si>
    <t>25th Percentile</t>
  </si>
  <si>
    <t>Low</t>
  </si>
  <si>
    <t>Tata Motors Comparable Valuation</t>
  </si>
  <si>
    <t>Implied Enterprise Value</t>
  </si>
  <si>
    <t>Implied Market Value</t>
  </si>
  <si>
    <t>Shares Outstanding</t>
  </si>
  <si>
    <t>Implied Value Per Share</t>
  </si>
  <si>
    <t>Source: Screener.in</t>
  </si>
  <si>
    <t>Amount in crores</t>
  </si>
  <si>
    <t>Sensitivity Analysis</t>
  </si>
  <si>
    <t>Comps</t>
  </si>
  <si>
    <t>DCF Bear</t>
  </si>
  <si>
    <t>DCF Base</t>
  </si>
  <si>
    <t>DCF Bull</t>
  </si>
  <si>
    <t>52 W H/L</t>
  </si>
  <si>
    <t xml:space="preserve"> </t>
  </si>
  <si>
    <t>OpenLow</t>
  </si>
  <si>
    <t>OpenHigh</t>
  </si>
  <si>
    <t>Football Field Analysis -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</si>
</sst>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7" formatCode="&quot;₹&quot;#,##0.00_);\(&quot;₹&quot;#,##0.00\)"/>
    <numFmt numFmtId="43" formatCode="_(* #,##0.00_);_(* \(#,##0.00\);_(* &quot;-&quot;??_);_(@_)"/>
    <numFmt numFmtId="164" formatCode="_ * #,##0.00_ ;_ * \-#,##0.00_ ;_ * &quot;-&quot;??_ ;_ @_ "/>
    <numFmt numFmtId="165" formatCode="[$-409]mmm\-yy;@"/>
    <numFmt numFmtId="166" formatCode="&quot;₹&quot;\ #,##0.0;\(&quot;₹&quot;\ #,##0.0\);\-"/>
    <numFmt numFmtId="167" formatCode="&quot;₹&quot;#,##0.0_);\(&quot;₹&quot;#,##0.0\)"/>
    <numFmt numFmtId="168" formatCode="0.00_);\(0.00\);\-"/>
    <numFmt numFmtId="169" formatCode="0.00&quot;x&quot;"/>
    <numFmt numFmtId="170" formatCode="0&quot;A&quot;"/>
    <numFmt numFmtId="171" formatCode="yyyy&quot;A&quot;"/>
    <numFmt numFmtId="172" formatCode="yyyy&quot;E&quot;"/>
    <numFmt numFmtId="173" formatCode="#,##0.0_);\(#,##0.0\)"/>
    <numFmt numFmtId="174" formatCode="#,##0.0"/>
    <numFmt numFmtId="175" formatCode="#,##0.0_);\(#,##0.0\);\-"/>
    <numFmt numFmtId="176" formatCode="mmm\-yy&quot;A&quot;"/>
    <numFmt numFmtId="177" formatCode="mmm\-yy&quot;F&quot;"/>
    <numFmt numFmtId="178" formatCode="0.000"/>
    <numFmt numFmtId="179" formatCode="#,##0.0&quot;x&quot;_);\(#,##0.0&quot;x&quot;\)"/>
    <numFmt numFmtId="180" formatCode="0.0"/>
  </numFmts>
  <fonts count="22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0" tint="-0.499984740745262"/>
      <name val="Calibri"/>
      <family val="2"/>
    </font>
    <font>
      <i/>
      <sz val="11"/>
      <color theme="1"/>
      <name val="Calibri"/>
      <family val="2"/>
    </font>
    <font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FF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i/>
      <sz val="10"/>
      <color rgb="FF000000"/>
      <name val="Calibri"/>
      <family val="2"/>
    </font>
    <font>
      <b/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  <font>
      <i/>
      <sz val="9"/>
      <color rgb="FF000000"/>
      <name val="Calibri"/>
      <family val="2"/>
    </font>
    <font>
      <sz val="11"/>
      <color rgb="FF0432FF"/>
      <name val="Calibri"/>
      <family val="2"/>
    </font>
    <font>
      <b/>
      <sz val="11"/>
      <color rgb="FF00206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 style="dotted">
        <color rgb="FF002060"/>
      </top>
      <bottom style="dotted">
        <color rgb="FF002060"/>
      </bottom>
      <diagonal/>
    </border>
    <border>
      <left/>
      <right/>
      <top style="dotted">
        <color rgb="FF002060"/>
      </top>
      <bottom/>
      <diagonal/>
    </border>
    <border>
      <left/>
      <right/>
      <top/>
      <bottom style="dotted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/>
      <diagonal/>
    </border>
    <border>
      <left/>
      <right/>
      <top style="thin">
        <color rgb="FF002060"/>
      </top>
      <bottom style="medium">
        <color rgb="FF002060"/>
      </bottom>
      <diagonal/>
    </border>
    <border>
      <left/>
      <right/>
      <top/>
      <bottom style="thin">
        <color theme="0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181">
    <xf numFmtId="0" fontId="0" fillId="0" borderId="0" xfId="0"/>
    <xf numFmtId="43" fontId="6" fillId="0" borderId="0" xfId="1" applyFont="1" applyBorder="1"/>
    <xf numFmtId="43" fontId="0" fillId="0" borderId="0" xfId="1" applyFont="1" applyBorder="1"/>
    <xf numFmtId="165" fontId="7" fillId="3" borderId="0" xfId="1" applyNumberFormat="1" applyFont="1" applyFill="1" applyBorder="1"/>
    <xf numFmtId="165" fontId="7" fillId="3" borderId="0" xfId="0" applyNumberFormat="1" applyFont="1" applyFill="1" applyAlignment="1">
      <alignment horizontal="center"/>
    </xf>
    <xf numFmtId="165" fontId="8" fillId="0" borderId="0" xfId="1" applyNumberFormat="1" applyFont="1" applyFill="1" applyBorder="1"/>
    <xf numFmtId="43" fontId="5" fillId="0" borderId="0" xfId="1" applyFont="1" applyBorder="1"/>
    <xf numFmtId="0" fontId="3" fillId="4" borderId="0" xfId="0" applyFont="1" applyFill="1"/>
    <xf numFmtId="0" fontId="2" fillId="0" borderId="0" xfId="0" applyFont="1"/>
    <xf numFmtId="0" fontId="2" fillId="5" borderId="0" xfId="0" applyFont="1" applyFill="1"/>
    <xf numFmtId="0" fontId="0" fillId="5" borderId="0" xfId="0" applyFill="1"/>
    <xf numFmtId="10" fontId="0" fillId="0" borderId="0" xfId="0" applyNumberFormat="1"/>
    <xf numFmtId="10" fontId="9" fillId="0" borderId="0" xfId="0" applyNumberFormat="1" applyFont="1"/>
    <xf numFmtId="166" fontId="0" fillId="0" borderId="0" xfId="0" applyNumberFormat="1"/>
    <xf numFmtId="10" fontId="9" fillId="0" borderId="0" xfId="0" applyNumberFormat="1" applyFont="1" applyAlignment="1">
      <alignment horizontal="right"/>
    </xf>
    <xf numFmtId="7" fontId="0" fillId="0" borderId="0" xfId="0" applyNumberFormat="1"/>
    <xf numFmtId="0" fontId="10" fillId="0" borderId="0" xfId="0" applyFont="1"/>
    <xf numFmtId="0" fontId="9" fillId="0" borderId="0" xfId="0" applyFont="1"/>
    <xf numFmtId="0" fontId="2" fillId="0" borderId="1" xfId="0" applyFont="1" applyBorder="1"/>
    <xf numFmtId="7" fontId="2" fillId="0" borderId="1" xfId="0" applyNumberFormat="1" applyFont="1" applyBorder="1"/>
    <xf numFmtId="0" fontId="0" fillId="0" borderId="2" xfId="0" applyBorder="1"/>
    <xf numFmtId="166" fontId="2" fillId="0" borderId="1" xfId="0" applyNumberFormat="1" applyFont="1" applyBorder="1"/>
    <xf numFmtId="169" fontId="0" fillId="0" borderId="0" xfId="4" applyNumberFormat="1" applyFont="1"/>
    <xf numFmtId="168" fontId="0" fillId="0" borderId="2" xfId="0" applyNumberFormat="1" applyBorder="1"/>
    <xf numFmtId="10" fontId="0" fillId="0" borderId="2" xfId="4" applyNumberFormat="1" applyFont="1" applyBorder="1"/>
    <xf numFmtId="168" fontId="0" fillId="0" borderId="0" xfId="0" applyNumberFormat="1"/>
    <xf numFmtId="10" fontId="0" fillId="0" borderId="0" xfId="4" applyNumberFormat="1" applyFont="1" applyBorder="1"/>
    <xf numFmtId="0" fontId="0" fillId="0" borderId="3" xfId="0" applyBorder="1"/>
    <xf numFmtId="168" fontId="0" fillId="0" borderId="3" xfId="0" applyNumberFormat="1" applyBorder="1"/>
    <xf numFmtId="10" fontId="0" fillId="0" borderId="3" xfId="4" applyNumberFormat="1" applyFont="1" applyBorder="1"/>
    <xf numFmtId="169" fontId="0" fillId="0" borderId="3" xfId="4" applyNumberFormat="1" applyFont="1" applyBorder="1"/>
    <xf numFmtId="169" fontId="0" fillId="0" borderId="2" xfId="4" applyNumberFormat="1" applyFont="1" applyBorder="1"/>
    <xf numFmtId="169" fontId="0" fillId="0" borderId="0" xfId="4" applyNumberFormat="1" applyFont="1" applyBorder="1"/>
    <xf numFmtId="1" fontId="0" fillId="0" borderId="2" xfId="0" applyNumberFormat="1" applyBorder="1"/>
    <xf numFmtId="1" fontId="0" fillId="0" borderId="0" xfId="0" applyNumberFormat="1"/>
    <xf numFmtId="1" fontId="0" fillId="0" borderId="3" xfId="0" applyNumberFormat="1" applyBorder="1"/>
    <xf numFmtId="10" fontId="0" fillId="0" borderId="2" xfId="0" applyNumberFormat="1" applyBorder="1"/>
    <xf numFmtId="10" fontId="0" fillId="0" borderId="3" xfId="0" applyNumberFormat="1" applyBorder="1"/>
    <xf numFmtId="0" fontId="0" fillId="0" borderId="0" xfId="0" applyAlignment="1">
      <alignment horizontal="left"/>
    </xf>
    <xf numFmtId="10" fontId="0" fillId="0" borderId="0" xfId="4" applyNumberFormat="1" applyFont="1"/>
    <xf numFmtId="171" fontId="0" fillId="0" borderId="0" xfId="0" applyNumberFormat="1" applyAlignment="1">
      <alignment horizontal="right"/>
    </xf>
    <xf numFmtId="173" fontId="0" fillId="0" borderId="0" xfId="0" applyNumberFormat="1"/>
    <xf numFmtId="0" fontId="0" fillId="6" borderId="0" xfId="0" applyFill="1" applyAlignment="1">
      <alignment horizontal="left"/>
    </xf>
    <xf numFmtId="172" fontId="0" fillId="6" borderId="0" xfId="0" applyNumberFormat="1" applyFill="1" applyAlignment="1">
      <alignment horizontal="right"/>
    </xf>
    <xf numFmtId="173" fontId="0" fillId="6" borderId="0" xfId="0" applyNumberFormat="1" applyFill="1"/>
    <xf numFmtId="10" fontId="0" fillId="6" borderId="0" xfId="4" applyNumberFormat="1" applyFont="1" applyFill="1"/>
    <xf numFmtId="166" fontId="2" fillId="0" borderId="0" xfId="0" applyNumberFormat="1" applyFont="1"/>
    <xf numFmtId="167" fontId="2" fillId="0" borderId="0" xfId="0" applyNumberFormat="1" applyFont="1"/>
    <xf numFmtId="17" fontId="0" fillId="0" borderId="0" xfId="0" applyNumberFormat="1"/>
    <xf numFmtId="17" fontId="2" fillId="0" borderId="4" xfId="0" applyNumberFormat="1" applyFont="1" applyBorder="1"/>
    <xf numFmtId="43" fontId="0" fillId="0" borderId="0" xfId="0" applyNumberFormat="1"/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43" fontId="2" fillId="0" borderId="0" xfId="0" applyNumberFormat="1" applyFont="1" applyAlignment="1">
      <alignment horizontal="left"/>
    </xf>
    <xf numFmtId="43" fontId="0" fillId="0" borderId="0" xfId="0" applyNumberFormat="1" applyAlignment="1">
      <alignment horizontal="left"/>
    </xf>
    <xf numFmtId="10" fontId="2" fillId="0" borderId="0" xfId="4" applyNumberFormat="1" applyFont="1"/>
    <xf numFmtId="0" fontId="13" fillId="0" borderId="0" xfId="0" applyFont="1"/>
    <xf numFmtId="10" fontId="13" fillId="0" borderId="0" xfId="0" applyNumberFormat="1" applyFont="1" applyAlignment="1">
      <alignment vertical="top"/>
    </xf>
    <xf numFmtId="2" fontId="13" fillId="0" borderId="0" xfId="0" applyNumberFormat="1" applyFont="1"/>
    <xf numFmtId="10" fontId="13" fillId="0" borderId="0" xfId="0" applyNumberFormat="1" applyFont="1"/>
    <xf numFmtId="0" fontId="14" fillId="0" borderId="0" xfId="0" applyFont="1"/>
    <xf numFmtId="0" fontId="15" fillId="7" borderId="0" xfId="0" applyFont="1" applyFill="1"/>
    <xf numFmtId="0" fontId="14" fillId="7" borderId="0" xfId="0" applyFont="1" applyFill="1"/>
    <xf numFmtId="0" fontId="16" fillId="0" borderId="0" xfId="0" applyFont="1"/>
    <xf numFmtId="0" fontId="17" fillId="0" borderId="0" xfId="0" applyFont="1"/>
    <xf numFmtId="0" fontId="14" fillId="0" borderId="5" xfId="0" applyFont="1" applyBorder="1"/>
    <xf numFmtId="0" fontId="14" fillId="0" borderId="6" xfId="0" applyFont="1" applyBorder="1"/>
    <xf numFmtId="174" fontId="0" fillId="0" borderId="0" xfId="0" applyNumberFormat="1"/>
    <xf numFmtId="10" fontId="14" fillId="8" borderId="0" xfId="0" applyNumberFormat="1" applyFont="1" applyFill="1"/>
    <xf numFmtId="2" fontId="14" fillId="8" borderId="0" xfId="0" applyNumberFormat="1" applyFont="1" applyFill="1"/>
    <xf numFmtId="0" fontId="17" fillId="0" borderId="5" xfId="0" applyFont="1" applyBorder="1"/>
    <xf numFmtId="10" fontId="14" fillId="0" borderId="5" xfId="0" applyNumberFormat="1" applyFont="1" applyBorder="1"/>
    <xf numFmtId="0" fontId="17" fillId="0" borderId="6" xfId="0" applyFont="1" applyBorder="1"/>
    <xf numFmtId="10" fontId="14" fillId="0" borderId="6" xfId="0" applyNumberFormat="1" applyFont="1" applyBorder="1"/>
    <xf numFmtId="10" fontId="14" fillId="0" borderId="0" xfId="0" applyNumberFormat="1" applyFont="1"/>
    <xf numFmtId="0" fontId="14" fillId="0" borderId="7" xfId="0" applyFont="1" applyBorder="1"/>
    <xf numFmtId="10" fontId="14" fillId="8" borderId="7" xfId="0" applyNumberFormat="1" applyFont="1" applyFill="1" applyBorder="1"/>
    <xf numFmtId="2" fontId="14" fillId="0" borderId="0" xfId="0" applyNumberFormat="1" applyFont="1"/>
    <xf numFmtId="0" fontId="17" fillId="0" borderId="6" xfId="0" applyFont="1" applyBorder="1" applyAlignment="1">
      <alignment horizontal="right"/>
    </xf>
    <xf numFmtId="9" fontId="14" fillId="0" borderId="0" xfId="0" applyNumberFormat="1" applyFont="1"/>
    <xf numFmtId="174" fontId="14" fillId="0" borderId="7" xfId="0" applyNumberFormat="1" applyFont="1" applyBorder="1"/>
    <xf numFmtId="10" fontId="14" fillId="0" borderId="7" xfId="0" applyNumberFormat="1" applyFont="1" applyBorder="1"/>
    <xf numFmtId="2" fontId="14" fillId="8" borderId="7" xfId="0" applyNumberFormat="1" applyFont="1" applyFill="1" applyBorder="1"/>
    <xf numFmtId="0" fontId="19" fillId="0" borderId="0" xfId="0" applyFont="1"/>
    <xf numFmtId="0" fontId="19" fillId="0" borderId="0" xfId="0" applyFont="1" applyAlignment="1">
      <alignment vertical="top"/>
    </xf>
    <xf numFmtId="2" fontId="0" fillId="0" borderId="5" xfId="0" applyNumberFormat="1" applyBorder="1"/>
    <xf numFmtId="2" fontId="0" fillId="0" borderId="6" xfId="0" applyNumberFormat="1" applyBorder="1"/>
    <xf numFmtId="0" fontId="12" fillId="4" borderId="0" xfId="0" applyFont="1" applyFill="1"/>
    <xf numFmtId="0" fontId="2" fillId="0" borderId="0" xfId="0" applyFont="1" applyAlignment="1">
      <alignment horizontal="right"/>
    </xf>
    <xf numFmtId="10" fontId="0" fillId="0" borderId="0" xfId="4" applyNumberFormat="1" applyFont="1" applyAlignment="1">
      <alignment horizontal="right"/>
    </xf>
    <xf numFmtId="10" fontId="0" fillId="0" borderId="0" xfId="0" applyNumberFormat="1" applyAlignment="1">
      <alignment horizontal="right"/>
    </xf>
    <xf numFmtId="0" fontId="2" fillId="6" borderId="0" xfId="0" applyFont="1" applyFill="1"/>
    <xf numFmtId="10" fontId="2" fillId="6" borderId="0" xfId="0" applyNumberFormat="1" applyFont="1" applyFill="1"/>
    <xf numFmtId="3" fontId="0" fillId="0" borderId="0" xfId="0" applyNumberFormat="1"/>
    <xf numFmtId="0" fontId="12" fillId="9" borderId="0" xfId="0" applyFont="1" applyFill="1"/>
    <xf numFmtId="17" fontId="12" fillId="9" borderId="0" xfId="0" applyNumberFormat="1" applyFont="1" applyFill="1"/>
    <xf numFmtId="0" fontId="12" fillId="10" borderId="0" xfId="0" applyFont="1" applyFill="1"/>
    <xf numFmtId="17" fontId="12" fillId="10" borderId="0" xfId="0" applyNumberFormat="1" applyFont="1" applyFill="1"/>
    <xf numFmtId="3" fontId="2" fillId="0" borderId="0" xfId="0" applyNumberFormat="1" applyFont="1"/>
    <xf numFmtId="0" fontId="2" fillId="0" borderId="8" xfId="0" applyFont="1" applyBorder="1"/>
    <xf numFmtId="175" fontId="0" fillId="0" borderId="1" xfId="0" applyNumberFormat="1" applyBorder="1"/>
    <xf numFmtId="175" fontId="0" fillId="0" borderId="0" xfId="0" applyNumberFormat="1"/>
    <xf numFmtId="175" fontId="2" fillId="0" borderId="8" xfId="0" applyNumberFormat="1" applyFont="1" applyBorder="1"/>
    <xf numFmtId="0" fontId="2" fillId="0" borderId="5" xfId="0" applyFont="1" applyBorder="1"/>
    <xf numFmtId="175" fontId="2" fillId="0" borderId="5" xfId="0" applyNumberFormat="1" applyFont="1" applyBorder="1"/>
    <xf numFmtId="175" fontId="2" fillId="0" borderId="0" xfId="0" applyNumberFormat="1" applyFont="1"/>
    <xf numFmtId="175" fontId="0" fillId="0" borderId="2" xfId="0" applyNumberFormat="1" applyBorder="1"/>
    <xf numFmtId="0" fontId="3" fillId="9" borderId="0" xfId="0" applyFont="1" applyFill="1"/>
    <xf numFmtId="17" fontId="3" fillId="9" borderId="0" xfId="0" applyNumberFormat="1" applyFont="1" applyFill="1"/>
    <xf numFmtId="0" fontId="0" fillId="0" borderId="1" xfId="0" applyBorder="1"/>
    <xf numFmtId="0" fontId="2" fillId="0" borderId="9" xfId="0" applyFont="1" applyBorder="1"/>
    <xf numFmtId="175" fontId="2" fillId="0" borderId="9" xfId="0" applyNumberFormat="1" applyFont="1" applyBorder="1"/>
    <xf numFmtId="173" fontId="2" fillId="0" borderId="0" xfId="0" applyNumberFormat="1" applyFont="1"/>
    <xf numFmtId="0" fontId="2" fillId="0" borderId="10" xfId="0" applyFont="1" applyBorder="1"/>
    <xf numFmtId="173" fontId="2" fillId="0" borderId="10" xfId="0" applyNumberFormat="1" applyFont="1" applyBorder="1"/>
    <xf numFmtId="0" fontId="0" fillId="0" borderId="10" xfId="0" applyBorder="1"/>
    <xf numFmtId="10" fontId="2" fillId="0" borderId="10" xfId="4" applyNumberFormat="1" applyFont="1" applyBorder="1"/>
    <xf numFmtId="0" fontId="0" fillId="10" borderId="0" xfId="0" applyFill="1"/>
    <xf numFmtId="175" fontId="0" fillId="0" borderId="10" xfId="0" applyNumberFormat="1" applyBorder="1"/>
    <xf numFmtId="173" fontId="0" fillId="0" borderId="1" xfId="0" applyNumberFormat="1" applyBorder="1"/>
    <xf numFmtId="10" fontId="20" fillId="0" borderId="1" xfId="0" applyNumberFormat="1" applyFont="1" applyBorder="1"/>
    <xf numFmtId="2" fontId="0" fillId="0" borderId="1" xfId="0" applyNumberFormat="1" applyBorder="1"/>
    <xf numFmtId="10" fontId="0" fillId="0" borderId="1" xfId="0" applyNumberFormat="1" applyBorder="1"/>
    <xf numFmtId="10" fontId="2" fillId="0" borderId="10" xfId="0" applyNumberFormat="1" applyFont="1" applyBorder="1"/>
    <xf numFmtId="17" fontId="3" fillId="9" borderId="0" xfId="0" applyNumberFormat="1" applyFont="1" applyFill="1" applyAlignment="1">
      <alignment horizontal="right"/>
    </xf>
    <xf numFmtId="17" fontId="3" fillId="9" borderId="0" xfId="0" applyNumberFormat="1" applyFont="1" applyFill="1" applyAlignment="1">
      <alignment horizontal="center"/>
    </xf>
    <xf numFmtId="17" fontId="11" fillId="9" borderId="0" xfId="0" applyNumberFormat="1" applyFont="1" applyFill="1" applyAlignment="1">
      <alignment horizontal="right"/>
    </xf>
    <xf numFmtId="170" fontId="3" fillId="9" borderId="0" xfId="0" applyNumberFormat="1" applyFont="1" applyFill="1" applyAlignment="1">
      <alignment horizontal="right"/>
    </xf>
    <xf numFmtId="0" fontId="3" fillId="9" borderId="0" xfId="0" applyFont="1" applyFill="1" applyAlignment="1">
      <alignment horizontal="right"/>
    </xf>
    <xf numFmtId="176" fontId="12" fillId="9" borderId="0" xfId="0" applyNumberFormat="1" applyFont="1" applyFill="1"/>
    <xf numFmtId="177" fontId="12" fillId="9" borderId="0" xfId="0" applyNumberFormat="1" applyFont="1" applyFill="1"/>
    <xf numFmtId="0" fontId="0" fillId="6" borderId="0" xfId="0" applyFill="1"/>
    <xf numFmtId="10" fontId="0" fillId="6" borderId="0" xfId="0" applyNumberFormat="1" applyFill="1"/>
    <xf numFmtId="10" fontId="20" fillId="6" borderId="0" xfId="0" applyNumberFormat="1" applyFont="1" applyFill="1"/>
    <xf numFmtId="0" fontId="20" fillId="0" borderId="1" xfId="0" applyFont="1" applyBorder="1"/>
    <xf numFmtId="175" fontId="0" fillId="12" borderId="1" xfId="0" applyNumberFormat="1" applyFill="1" applyBorder="1"/>
    <xf numFmtId="10" fontId="20" fillId="12" borderId="1" xfId="0" applyNumberFormat="1" applyFont="1" applyFill="1" applyBorder="1"/>
    <xf numFmtId="10" fontId="0" fillId="12" borderId="1" xfId="0" applyNumberFormat="1" applyFill="1" applyBorder="1"/>
    <xf numFmtId="0" fontId="0" fillId="12" borderId="1" xfId="0" applyFill="1" applyBorder="1"/>
    <xf numFmtId="0" fontId="0" fillId="12" borderId="2" xfId="0" applyFill="1" applyBorder="1"/>
    <xf numFmtId="178" fontId="0" fillId="0" borderId="2" xfId="0" applyNumberFormat="1" applyBorder="1"/>
    <xf numFmtId="0" fontId="2" fillId="12" borderId="10" xfId="0" applyFont="1" applyFill="1" applyBorder="1"/>
    <xf numFmtId="175" fontId="2" fillId="0" borderId="10" xfId="0" applyNumberFormat="1" applyFont="1" applyBorder="1"/>
    <xf numFmtId="2" fontId="2" fillId="0" borderId="10" xfId="0" applyNumberFormat="1" applyFont="1" applyBorder="1"/>
    <xf numFmtId="0" fontId="0" fillId="0" borderId="4" xfId="0" applyBorder="1"/>
    <xf numFmtId="0" fontId="21" fillId="0" borderId="4" xfId="0" applyFont="1" applyBorder="1"/>
    <xf numFmtId="2" fontId="0" fillId="0" borderId="0" xfId="0" applyNumberFormat="1"/>
    <xf numFmtId="0" fontId="3" fillId="9" borderId="0" xfId="0" applyFont="1" applyFill="1" applyAlignment="1">
      <alignment horizontal="left"/>
    </xf>
    <xf numFmtId="0" fontId="0" fillId="0" borderId="0" xfId="0" applyAlignment="1">
      <alignment horizontal="right"/>
    </xf>
    <xf numFmtId="0" fontId="0" fillId="6" borderId="1" xfId="0" applyFill="1" applyBorder="1" applyAlignment="1">
      <alignment horizontal="left"/>
    </xf>
    <xf numFmtId="37" fontId="0" fillId="6" borderId="1" xfId="0" applyNumberFormat="1" applyFill="1" applyBorder="1" applyAlignment="1">
      <alignment horizontal="right"/>
    </xf>
    <xf numFmtId="39" fontId="0" fillId="6" borderId="1" xfId="0" applyNumberFormat="1" applyFill="1" applyBorder="1" applyAlignment="1">
      <alignment horizontal="right"/>
    </xf>
    <xf numFmtId="0" fontId="0" fillId="6" borderId="1" xfId="0" applyFill="1" applyBorder="1" applyAlignment="1">
      <alignment horizontal="right"/>
    </xf>
    <xf numFmtId="179" fontId="0" fillId="6" borderId="1" xfId="0" applyNumberFormat="1" applyFill="1" applyBorder="1" applyAlignment="1">
      <alignment horizontal="right"/>
    </xf>
    <xf numFmtId="0" fontId="0" fillId="0" borderId="1" xfId="0" applyBorder="1" applyAlignment="1">
      <alignment horizontal="left"/>
    </xf>
    <xf numFmtId="37" fontId="0" fillId="0" borderId="1" xfId="0" applyNumberFormat="1" applyBorder="1" applyAlignment="1">
      <alignment horizontal="right"/>
    </xf>
    <xf numFmtId="3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79" fontId="0" fillId="0" borderId="1" xfId="0" applyNumberFormat="1" applyBorder="1" applyAlignment="1">
      <alignment horizontal="right"/>
    </xf>
    <xf numFmtId="0" fontId="12" fillId="9" borderId="4" xfId="0" applyFont="1" applyFill="1" applyBorder="1"/>
    <xf numFmtId="37" fontId="0" fillId="0" borderId="0" xfId="0" applyNumberFormat="1"/>
    <xf numFmtId="0" fontId="2" fillId="6" borderId="8" xfId="0" applyFont="1" applyFill="1" applyBorder="1"/>
    <xf numFmtId="173" fontId="2" fillId="6" borderId="8" xfId="0" applyNumberFormat="1" applyFont="1" applyFill="1" applyBorder="1"/>
    <xf numFmtId="0" fontId="0" fillId="6" borderId="1" xfId="0" applyFill="1" applyBorder="1"/>
    <xf numFmtId="179" fontId="0" fillId="6" borderId="1" xfId="0" applyNumberFormat="1" applyFill="1" applyBorder="1"/>
    <xf numFmtId="0" fontId="2" fillId="6" borderId="1" xfId="0" applyFont="1" applyFill="1" applyBorder="1"/>
    <xf numFmtId="179" fontId="2" fillId="6" borderId="1" xfId="0" applyNumberFormat="1" applyFont="1" applyFill="1" applyBorder="1"/>
    <xf numFmtId="37" fontId="0" fillId="0" borderId="1" xfId="0" applyNumberFormat="1" applyBorder="1"/>
    <xf numFmtId="0" fontId="2" fillId="10" borderId="0" xfId="0" applyFont="1" applyFill="1"/>
    <xf numFmtId="173" fontId="2" fillId="10" borderId="0" xfId="0" applyNumberFormat="1" applyFont="1" applyFill="1"/>
    <xf numFmtId="175" fontId="12" fillId="0" borderId="0" xfId="0" applyNumberFormat="1" applyFont="1"/>
    <xf numFmtId="10" fontId="2" fillId="0" borderId="0" xfId="0" applyNumberFormat="1" applyFont="1"/>
    <xf numFmtId="10" fontId="2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180" fontId="0" fillId="0" borderId="0" xfId="0" applyNumberFormat="1"/>
    <xf numFmtId="0" fontId="3" fillId="9" borderId="0" xfId="0" applyFont="1" applyFill="1" applyAlignment="1">
      <alignment horizontal="center"/>
    </xf>
    <xf numFmtId="0" fontId="12" fillId="9" borderId="0" xfId="0" applyFont="1" applyFill="1" applyAlignment="1">
      <alignment horizontal="center"/>
    </xf>
    <xf numFmtId="0" fontId="3" fillId="9" borderId="11" xfId="0" applyFont="1" applyFill="1" applyBorder="1" applyAlignment="1">
      <alignment horizontal="center"/>
    </xf>
    <xf numFmtId="164" fontId="4" fillId="0" borderId="0" xfId="3" applyNumberFormat="1" applyBorder="1" applyAlignment="1" applyProtection="1">
      <alignment horizontal="center"/>
    </xf>
    <xf numFmtId="164" fontId="7" fillId="2" borderId="0" xfId="2" applyNumberFormat="1" applyFont="1" applyBorder="1" applyAlignment="1">
      <alignment horizontal="center"/>
    </xf>
    <xf numFmtId="0" fontId="12" fillId="11" borderId="0" xfId="0" applyFont="1" applyFill="1" applyAlignment="1">
      <alignment horizontal="center"/>
    </xf>
  </cellXfs>
  <cellStyles count="5">
    <cellStyle name="Accent6" xfId="2" builtinId="49"/>
    <cellStyle name="Comma" xfId="1" builtinId="3"/>
    <cellStyle name="Hyperlink" xfId="3" builtinId="8"/>
    <cellStyle name="Normal" xfId="0" builtinId="0"/>
    <cellStyle name="Per cent" xfId="4" builtinId="5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2" defaultPivotStyle="PivotStyleLight16"/>
  <colors>
    <mruColors>
      <color rgb="FF0432FF"/>
      <color rgb="FF0118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lang="en-GB" sz="1200" b="1">
                <a:solidFill>
                  <a:srgbClr val="002060"/>
                </a:solidFill>
              </a:rPr>
              <a:t>Football Field Analysis - Valuation Summary</a:t>
            </a:r>
            <a:r>
              <a:rPr lang="en-GB" sz="1200" b="1" baseline="0">
                <a:solidFill>
                  <a:srgbClr val="002060"/>
                </a:solidFill>
              </a:rPr>
              <a:t> (Rs)</a:t>
            </a:r>
            <a:endParaRPr lang="en-GB" sz="1200" b="1">
              <a:solidFill>
                <a:srgbClr val="00206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'Football Field'!$L$4:$L$8</c:f>
              <c:strCache>
                <c:ptCount val="5"/>
                <c:pt idx="0">
                  <c:v>Comps</c:v>
                </c:pt>
                <c:pt idx="1">
                  <c:v>DCF Bear</c:v>
                </c:pt>
                <c:pt idx="2">
                  <c:v>DCF Base</c:v>
                </c:pt>
                <c:pt idx="3">
                  <c:v>DCF Bull</c:v>
                </c:pt>
                <c:pt idx="4">
                  <c:v>52 W H/L</c:v>
                </c:pt>
              </c:strCache>
            </c:strRef>
          </c:cat>
          <c:val>
            <c:numRef>
              <c:f>'Football Field'!$N$4:$N$8</c:f>
              <c:numCache>
                <c:formatCode>General</c:formatCode>
                <c:ptCount val="5"/>
                <c:pt idx="0" formatCode="0.0">
                  <c:v>921.9</c:v>
                </c:pt>
                <c:pt idx="1">
                  <c:v>-58.9</c:v>
                </c:pt>
                <c:pt idx="2">
                  <c:v>-55.9</c:v>
                </c:pt>
                <c:pt idx="3">
                  <c:v>-37.700000000000003</c:v>
                </c:pt>
                <c:pt idx="4">
                  <c:v>400.1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30-8040-9D20-B05520CEB11A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numFmt formatCode="&quot;₹&quot;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'Football Field'!$L$4:$L$8</c:f>
              <c:strCache>
                <c:ptCount val="5"/>
                <c:pt idx="0">
                  <c:v>Comps</c:v>
                </c:pt>
                <c:pt idx="1">
                  <c:v>DCF Bear</c:v>
                </c:pt>
                <c:pt idx="2">
                  <c:v>DCF Base</c:v>
                </c:pt>
                <c:pt idx="3">
                  <c:v>DCF Bull</c:v>
                </c:pt>
                <c:pt idx="4">
                  <c:v>52 W H/L</c:v>
                </c:pt>
              </c:strCache>
            </c:strRef>
          </c:cat>
          <c:val>
            <c:numRef>
              <c:f>'Football Field'!$O$4:$O$8</c:f>
              <c:numCache>
                <c:formatCode>General</c:formatCode>
                <c:ptCount val="5"/>
                <c:pt idx="0" formatCode="0.0">
                  <c:v>921.9</c:v>
                </c:pt>
                <c:pt idx="1">
                  <c:v>-58.9</c:v>
                </c:pt>
                <c:pt idx="2">
                  <c:v>-55.9</c:v>
                </c:pt>
                <c:pt idx="3">
                  <c:v>-37.700000000000003</c:v>
                </c:pt>
                <c:pt idx="4">
                  <c:v>400.1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30-8040-9D20-B05520CEB11A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'Football Field'!$L$4:$L$8</c:f>
              <c:strCache>
                <c:ptCount val="5"/>
                <c:pt idx="0">
                  <c:v>Comps</c:v>
                </c:pt>
                <c:pt idx="1">
                  <c:v>DCF Bear</c:v>
                </c:pt>
                <c:pt idx="2">
                  <c:v>DCF Base</c:v>
                </c:pt>
                <c:pt idx="3">
                  <c:v>DCF Bull</c:v>
                </c:pt>
                <c:pt idx="4">
                  <c:v>52 W H/L</c:v>
                </c:pt>
              </c:strCache>
            </c:strRef>
          </c:cat>
          <c:val>
            <c:numRef>
              <c:f>'Football Field'!$P$4:$P$8</c:f>
              <c:numCache>
                <c:formatCode>General</c:formatCode>
                <c:ptCount val="5"/>
                <c:pt idx="0" formatCode="0.0">
                  <c:v>1512.6</c:v>
                </c:pt>
                <c:pt idx="1">
                  <c:v>-44</c:v>
                </c:pt>
                <c:pt idx="2">
                  <c:v>-36.9</c:v>
                </c:pt>
                <c:pt idx="3">
                  <c:v>30.1</c:v>
                </c:pt>
                <c:pt idx="4">
                  <c:v>818.5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30-8040-9D20-B05520CEB11A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numFmt formatCode="&quot;₹&quot;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'Football Field'!$L$4:$L$8</c:f>
              <c:strCache>
                <c:ptCount val="5"/>
                <c:pt idx="0">
                  <c:v>Comps</c:v>
                </c:pt>
                <c:pt idx="1">
                  <c:v>DCF Bear</c:v>
                </c:pt>
                <c:pt idx="2">
                  <c:v>DCF Base</c:v>
                </c:pt>
                <c:pt idx="3">
                  <c:v>DCF Bull</c:v>
                </c:pt>
                <c:pt idx="4">
                  <c:v>52 W H/L</c:v>
                </c:pt>
              </c:strCache>
            </c:strRef>
          </c:cat>
          <c:val>
            <c:numRef>
              <c:f>'Football Field'!$Q$4:$Q$8</c:f>
              <c:numCache>
                <c:formatCode>General</c:formatCode>
                <c:ptCount val="5"/>
                <c:pt idx="0" formatCode="0.0">
                  <c:v>1512.6</c:v>
                </c:pt>
                <c:pt idx="1">
                  <c:v>-44</c:v>
                </c:pt>
                <c:pt idx="2">
                  <c:v>-36.9</c:v>
                </c:pt>
                <c:pt idx="3">
                  <c:v>30.1</c:v>
                </c:pt>
                <c:pt idx="4">
                  <c:v>818.5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730-8040-9D20-B05520CEB1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rgbClr val="002060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2130378815"/>
        <c:axId val="2126666607"/>
      </c:stockChart>
      <c:catAx>
        <c:axId val="2130378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666607"/>
        <c:crosses val="autoZero"/>
        <c:auto val="1"/>
        <c:lblAlgn val="ctr"/>
        <c:lblOffset val="100"/>
        <c:noMultiLvlLbl val="0"/>
      </c:catAx>
      <c:valAx>
        <c:axId val="2126666607"/>
        <c:scaling>
          <c:orientation val="minMax"/>
        </c:scaling>
        <c:delete val="0"/>
        <c:axPos val="l"/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0378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169333</xdr:colOff>
      <xdr:row>2</xdr:row>
      <xdr:rowOff>67733</xdr:rowOff>
    </xdr:from>
    <xdr:to>
      <xdr:col>6</xdr:col>
      <xdr:colOff>592666</xdr:colOff>
      <xdr:row>16</xdr:row>
      <xdr:rowOff>84667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BE3036-1933-9124-C2F2-695B00D058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67734</xdr:colOff>
      <xdr:row>9</xdr:row>
      <xdr:rowOff>8467</xdr:rowOff>
    </xdr:from>
    <xdr:to>
      <xdr:col>6</xdr:col>
      <xdr:colOff>508000</xdr:colOff>
      <xdr:row>9</xdr:row>
      <xdr:rowOff>8467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7BB2FAE-5E0D-FC42-0F51-0049D02C5749}"/>
            </a:ext>
          </a:extLst>
        </xdr:cNvPr>
        <xdr:cNvCxnSpPr/>
      </xdr:nvCxnSpPr>
      <xdr:spPr>
        <a:xfrm>
          <a:off x="1049867" y="1761067"/>
          <a:ext cx="3759200" cy="0"/>
        </a:xfrm>
        <a:prstGeom prst="line">
          <a:avLst/>
        </a:prstGeom>
        <a:ln w="12700">
          <a:solidFill>
            <a:schemeClr val="accent2">
              <a:lumMod val="7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ABAA-F107-EC45-8E8A-1905DC3666EF}">
  <sheetPr>
    <tabColor theme="8" tint="-0.249977111117893"/>
  </sheetPr>
  <dimension ref="A1"/>
  <sheetViews>
    <sheetView zoomScale="150" zoomScaleNormal="150" workbookViewId="0"/>
  </sheetViews>
  <sheetFormatPr baseColWidth="10" defaultRowHeight="15" x14ac:dyDescent="0.2"/>
  <sheetData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1661-83C1-F945-BBB4-BE861D41598F}">
  <dimension ref="A2:M109"/>
  <sheetViews>
    <sheetView showGridLines="0" zoomScale="150" zoomScaleNormal="15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10" sqref="E10"/>
    </sheetView>
  </sheetViews>
  <sheetFormatPr baseColWidth="10" defaultRowHeight="15" outlineLevelRow="1" x14ac:dyDescent="0.2"/>
  <cols>
    <col min="1" max="1" width="2" customWidth="1"/>
    <col min="2" max="2" width="26.33203125" customWidth="1"/>
    <col min="3" max="13" width="13" customWidth="1"/>
  </cols>
  <sheetData>
    <row r="2" spans="1:13" x14ac:dyDescent="0.2">
      <c r="B2" s="175" t="str">
        <f>"Historical Financial Statement - " &amp;'Data Sheet'!B1</f>
        <v>Historical Financial Statement - TATA MOTORS LTD</v>
      </c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</row>
    <row r="3" spans="1:13" x14ac:dyDescent="0.2">
      <c r="B3" s="107" t="s">
        <v>54</v>
      </c>
      <c r="C3" s="108">
        <f>'Data Sheet'!B16</f>
        <v>41729</v>
      </c>
      <c r="D3" s="108">
        <f>'Data Sheet'!C16</f>
        <v>42094</v>
      </c>
      <c r="E3" s="108">
        <f>'Data Sheet'!D16</f>
        <v>42460</v>
      </c>
      <c r="F3" s="108">
        <f>'Data Sheet'!E16</f>
        <v>42825</v>
      </c>
      <c r="G3" s="108">
        <f>'Data Sheet'!F16</f>
        <v>43190</v>
      </c>
      <c r="H3" s="108">
        <f>'Data Sheet'!G16</f>
        <v>43555</v>
      </c>
      <c r="I3" s="108">
        <f>'Data Sheet'!H16</f>
        <v>43921</v>
      </c>
      <c r="J3" s="108">
        <f>'Data Sheet'!I16</f>
        <v>44286</v>
      </c>
      <c r="K3" s="108">
        <f>'Data Sheet'!J16</f>
        <v>44651</v>
      </c>
      <c r="L3" s="108">
        <f>'Data Sheet'!K16</f>
        <v>45016</v>
      </c>
      <c r="M3" s="124" t="s">
        <v>55</v>
      </c>
    </row>
    <row r="5" spans="1:13" x14ac:dyDescent="0.2">
      <c r="A5" t="s">
        <v>56</v>
      </c>
      <c r="B5" s="9" t="s">
        <v>57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outlineLevel="1" x14ac:dyDescent="0.2"/>
    <row r="7" spans="1:13" outlineLevel="1" x14ac:dyDescent="0.2">
      <c r="B7" t="s">
        <v>12</v>
      </c>
      <c r="C7" s="13">
        <f>IFERROR('Data Sheet'!B17, 0)</f>
        <v>232833.66</v>
      </c>
      <c r="D7" s="13">
        <f>IFERROR('Data Sheet'!C17, 0)</f>
        <v>263158.98</v>
      </c>
      <c r="E7" s="13">
        <f>IFERROR('Data Sheet'!D17, 0)</f>
        <v>273045.59999999998</v>
      </c>
      <c r="F7" s="13">
        <f>IFERROR('Data Sheet'!E17, 0)</f>
        <v>269692.51</v>
      </c>
      <c r="G7" s="13">
        <f>IFERROR('Data Sheet'!F17, 0)</f>
        <v>291550.48</v>
      </c>
      <c r="H7" s="13">
        <f>IFERROR('Data Sheet'!G17, 0)</f>
        <v>301938.40000000002</v>
      </c>
      <c r="I7" s="13">
        <f>IFERROR('Data Sheet'!H17, 0)</f>
        <v>261067.97</v>
      </c>
      <c r="J7" s="13">
        <f>IFERROR('Data Sheet'!I17, 0)</f>
        <v>249794.75</v>
      </c>
      <c r="K7" s="13">
        <f>IFERROR('Data Sheet'!J17, 0)</f>
        <v>278453.62</v>
      </c>
      <c r="L7" s="13">
        <f>IFERROR('Data Sheet'!K17, 0)</f>
        <v>345966.97</v>
      </c>
      <c r="M7" s="13">
        <f>IFERROR(SUM('Data Sheet'!H42:K42), 0)</f>
        <v>401785.26</v>
      </c>
    </row>
    <row r="8" spans="1:13" outlineLevel="1" x14ac:dyDescent="0.2">
      <c r="B8" s="17" t="s">
        <v>58</v>
      </c>
      <c r="C8" s="14" t="s">
        <v>59</v>
      </c>
      <c r="D8" s="12">
        <f>D7/C7 - 1</f>
        <v>0.13024457030826198</v>
      </c>
      <c r="E8" s="12">
        <f t="shared" ref="E8:M8" si="0">E7/D7 - 1</f>
        <v>3.75690010654397E-2</v>
      </c>
      <c r="F8" s="12">
        <f t="shared" si="0"/>
        <v>-1.2280329732469508E-2</v>
      </c>
      <c r="G8" s="12">
        <f t="shared" si="0"/>
        <v>8.104774581985974E-2</v>
      </c>
      <c r="H8" s="12">
        <f t="shared" si="0"/>
        <v>3.5629919045237157E-2</v>
      </c>
      <c r="I8" s="12">
        <f t="shared" si="0"/>
        <v>-0.135360159555724</v>
      </c>
      <c r="J8" s="12">
        <f t="shared" si="0"/>
        <v>-4.3181168490336042E-2</v>
      </c>
      <c r="K8" s="12">
        <f t="shared" si="0"/>
        <v>0.11472967306158344</v>
      </c>
      <c r="L8" s="12">
        <f t="shared" si="0"/>
        <v>0.24245815155859707</v>
      </c>
      <c r="M8" s="12">
        <f t="shared" si="0"/>
        <v>0.16133993947456893</v>
      </c>
    </row>
    <row r="9" spans="1:13" outlineLevel="1" x14ac:dyDescent="0.2"/>
    <row r="10" spans="1:13" outlineLevel="1" x14ac:dyDescent="0.2">
      <c r="B10" t="s">
        <v>60</v>
      </c>
      <c r="C10" s="13">
        <f>IFERROR(SUM('Data Sheet'!B18,'Data Sheet'!B20:B22) -1*'Data Sheet'!B19, 0)</f>
        <v>180131.06000000003</v>
      </c>
      <c r="D10" s="13">
        <f>IFERROR(SUM('Data Sheet'!C18,'Data Sheet'!C20:C22) -1*'Data Sheet'!C19, 0)</f>
        <v>202856.88</v>
      </c>
      <c r="E10" s="13">
        <f>IFERROR(SUM('Data Sheet'!D18,'Data Sheet'!D20:D22) -1*'Data Sheet'!D19, 0)</f>
        <v>205509.07</v>
      </c>
      <c r="F10" s="13">
        <f>IFERROR(SUM('Data Sheet'!E18,'Data Sheet'!E20:E22) -1*'Data Sheet'!E19, 0)</f>
        <v>205454.23999999996</v>
      </c>
      <c r="G10" s="13">
        <f>IFERROR(SUM('Data Sheet'!F18,'Data Sheet'!F20:F22) -1*'Data Sheet'!F19, 0)</f>
        <v>228429.83</v>
      </c>
      <c r="H10" s="13">
        <f>IFERROR(SUM('Data Sheet'!G18,'Data Sheet'!G20:G22) -1*'Data Sheet'!G19, 0)</f>
        <v>242845.53</v>
      </c>
      <c r="I10" s="13">
        <f>IFERROR(SUM('Data Sheet'!H18,'Data Sheet'!H20:H22) -1*'Data Sheet'!H19, 0)</f>
        <v>210376.07000000004</v>
      </c>
      <c r="J10" s="13">
        <f>IFERROR(SUM('Data Sheet'!I18,'Data Sheet'!I20:I22) -1*'Data Sheet'!I19, 0)</f>
        <v>195326.04</v>
      </c>
      <c r="K10" s="13">
        <f>IFERROR(SUM('Data Sheet'!J18,'Data Sheet'!J20:J22) -1*'Data Sheet'!J19, 0)</f>
        <v>223300.00999999998</v>
      </c>
      <c r="L10" s="13">
        <f>IFERROR(SUM('Data Sheet'!K18,'Data Sheet'!K20:K22) -1*'Data Sheet'!K19, 0)</f>
        <v>274403.64</v>
      </c>
      <c r="M10" s="13">
        <f>IFERROR(SUM('Data Sheet'!H43:K43), 0)</f>
        <v>350865.95999999996</v>
      </c>
    </row>
    <row r="11" spans="1:13" outlineLevel="1" x14ac:dyDescent="0.2">
      <c r="B11" s="17" t="s">
        <v>61</v>
      </c>
      <c r="C11" s="14">
        <f>C10/C7</f>
        <v>0.77364698901353024</v>
      </c>
      <c r="D11" s="12">
        <f t="shared" ref="D11:M11" si="1">D10/D7</f>
        <v>0.77085296500237244</v>
      </c>
      <c r="E11" s="12">
        <f t="shared" si="1"/>
        <v>0.75265475803309057</v>
      </c>
      <c r="F11" s="12">
        <f t="shared" si="1"/>
        <v>0.76180921746770036</v>
      </c>
      <c r="G11" s="12">
        <f t="shared" si="1"/>
        <v>0.78350009919380004</v>
      </c>
      <c r="H11" s="12">
        <f t="shared" si="1"/>
        <v>0.80428832503583503</v>
      </c>
      <c r="I11" s="12">
        <f t="shared" si="1"/>
        <v>0.80582872728508226</v>
      </c>
      <c r="J11" s="12">
        <f t="shared" si="1"/>
        <v>0.7819461377791167</v>
      </c>
      <c r="K11" s="12">
        <f t="shared" si="1"/>
        <v>0.80192891728252624</v>
      </c>
      <c r="L11" s="12">
        <f t="shared" si="1"/>
        <v>0.79314982005363122</v>
      </c>
      <c r="M11" s="12">
        <f t="shared" si="1"/>
        <v>0.8732673767076472</v>
      </c>
    </row>
    <row r="12" spans="1:13" outlineLevel="1" x14ac:dyDescent="0.2"/>
    <row r="13" spans="1:13" outlineLevel="1" x14ac:dyDescent="0.2">
      <c r="B13" s="18" t="s">
        <v>62</v>
      </c>
      <c r="C13" s="19">
        <f>C7-C10</f>
        <v>52702.599999999977</v>
      </c>
      <c r="D13" s="19">
        <f t="shared" ref="D13:M13" si="2">D7-D10</f>
        <v>60302.099999999977</v>
      </c>
      <c r="E13" s="19">
        <f t="shared" si="2"/>
        <v>67536.52999999997</v>
      </c>
      <c r="F13" s="19">
        <f t="shared" si="2"/>
        <v>64238.270000000048</v>
      </c>
      <c r="G13" s="19">
        <f t="shared" si="2"/>
        <v>63120.649999999994</v>
      </c>
      <c r="H13" s="19">
        <f t="shared" si="2"/>
        <v>59092.870000000024</v>
      </c>
      <c r="I13" s="19">
        <f t="shared" si="2"/>
        <v>50691.899999999965</v>
      </c>
      <c r="J13" s="19">
        <f t="shared" si="2"/>
        <v>54468.709999999992</v>
      </c>
      <c r="K13" s="19">
        <f t="shared" si="2"/>
        <v>55153.610000000015</v>
      </c>
      <c r="L13" s="19">
        <f t="shared" si="2"/>
        <v>71563.329999999958</v>
      </c>
      <c r="M13" s="19">
        <f t="shared" si="2"/>
        <v>50919.300000000047</v>
      </c>
    </row>
    <row r="14" spans="1:13" outlineLevel="1" x14ac:dyDescent="0.2">
      <c r="B14" s="17" t="s">
        <v>63</v>
      </c>
      <c r="C14" s="14">
        <f>C13/C7</f>
        <v>0.22635301098646982</v>
      </c>
      <c r="D14" s="12">
        <f t="shared" ref="D14:M14" si="3">D13/D7</f>
        <v>0.22914703499762759</v>
      </c>
      <c r="E14" s="12">
        <f t="shared" si="3"/>
        <v>0.24734524196690946</v>
      </c>
      <c r="F14" s="12">
        <f t="shared" si="3"/>
        <v>0.23819078253229964</v>
      </c>
      <c r="G14" s="12">
        <f t="shared" si="3"/>
        <v>0.21649990080619999</v>
      </c>
      <c r="H14" s="12">
        <f t="shared" si="3"/>
        <v>0.19571167496416494</v>
      </c>
      <c r="I14" s="12">
        <f t="shared" si="3"/>
        <v>0.19417127271491774</v>
      </c>
      <c r="J14" s="12">
        <f t="shared" si="3"/>
        <v>0.2180538622208833</v>
      </c>
      <c r="K14" s="12">
        <f t="shared" si="3"/>
        <v>0.19807108271747378</v>
      </c>
      <c r="L14" s="12">
        <f t="shared" si="3"/>
        <v>0.20685017994636876</v>
      </c>
      <c r="M14" s="12">
        <f t="shared" si="3"/>
        <v>0.12673262329235285</v>
      </c>
    </row>
    <row r="15" spans="1:13" outlineLevel="1" x14ac:dyDescent="0.2"/>
    <row r="16" spans="1:13" outlineLevel="1" x14ac:dyDescent="0.2">
      <c r="B16" t="s">
        <v>64</v>
      </c>
      <c r="C16" s="15">
        <f>IFERROR(SUM('Data Sheet'!B23:B24), 0)</f>
        <v>17849.240000000002</v>
      </c>
      <c r="D16" s="15">
        <f>IFERROR(SUM('Data Sheet'!C23:C24), 0)</f>
        <v>21063.449999999997</v>
      </c>
      <c r="E16" s="15">
        <f>IFERROR(SUM('Data Sheet'!D23:D24), 0)</f>
        <v>29141.280000000002</v>
      </c>
      <c r="F16" s="15">
        <f>IFERROR(SUM('Data Sheet'!E23:E24), 0)</f>
        <v>34649.58</v>
      </c>
      <c r="G16" s="15">
        <f>IFERROR(SUM('Data Sheet'!F23:F24), 0)</f>
        <v>31662.97</v>
      </c>
      <c r="H16" s="15">
        <f>IFERROR(SUM('Data Sheet'!G23:G24), 0)</f>
        <v>34428.54</v>
      </c>
      <c r="I16" s="15">
        <f>IFERROR(SUM('Data Sheet'!H23:H24), 0)</f>
        <v>32704.83</v>
      </c>
      <c r="J16" s="15">
        <f>IFERROR(SUM('Data Sheet'!I23:I24), 0)</f>
        <v>22181.280000000002</v>
      </c>
      <c r="K16" s="15">
        <f>IFERROR(SUM('Data Sheet'!J23:J24), 0)</f>
        <v>30433.52</v>
      </c>
      <c r="L16" s="15">
        <f>IFERROR(SUM('Data Sheet'!K23:K24), 0)</f>
        <v>39747.53</v>
      </c>
      <c r="M16" s="15"/>
    </row>
    <row r="17" spans="2:13" outlineLevel="1" x14ac:dyDescent="0.2">
      <c r="B17" s="17" t="s">
        <v>65</v>
      </c>
      <c r="C17" s="14">
        <f>C16/C7</f>
        <v>7.6660908908102038E-2</v>
      </c>
      <c r="D17" s="12">
        <f t="shared" ref="D17:M17" si="4">D16/D7</f>
        <v>8.0040779911823637E-2</v>
      </c>
      <c r="E17" s="12">
        <f t="shared" si="4"/>
        <v>0.10672678849247161</v>
      </c>
      <c r="F17" s="12">
        <f t="shared" si="4"/>
        <v>0.12847809529452636</v>
      </c>
      <c r="G17" s="12">
        <f t="shared" si="4"/>
        <v>0.10860201636437025</v>
      </c>
      <c r="H17" s="12">
        <f t="shared" si="4"/>
        <v>0.11402504616835751</v>
      </c>
      <c r="I17" s="12">
        <f t="shared" si="4"/>
        <v>0.12527323822987554</v>
      </c>
      <c r="J17" s="12">
        <f t="shared" si="4"/>
        <v>8.8798023177028354E-2</v>
      </c>
      <c r="K17" s="12">
        <f t="shared" si="4"/>
        <v>0.10929475436519734</v>
      </c>
      <c r="L17" s="12">
        <f t="shared" si="4"/>
        <v>0.11488822184383672</v>
      </c>
      <c r="M17" s="12">
        <f t="shared" si="4"/>
        <v>0</v>
      </c>
    </row>
    <row r="18" spans="2:13" outlineLevel="1" x14ac:dyDescent="0.2"/>
    <row r="19" spans="2:13" outlineLevel="1" x14ac:dyDescent="0.2">
      <c r="B19" s="18" t="s">
        <v>66</v>
      </c>
      <c r="C19" s="19">
        <f>C13-C16</f>
        <v>34853.359999999971</v>
      </c>
      <c r="D19" s="19">
        <f t="shared" ref="D19:M19" si="5">D13-D16</f>
        <v>39238.64999999998</v>
      </c>
      <c r="E19" s="19">
        <f t="shared" si="5"/>
        <v>38395.249999999971</v>
      </c>
      <c r="F19" s="19">
        <f t="shared" si="5"/>
        <v>29588.690000000046</v>
      </c>
      <c r="G19" s="19">
        <f t="shared" si="5"/>
        <v>31457.679999999993</v>
      </c>
      <c r="H19" s="19">
        <f t="shared" si="5"/>
        <v>24664.330000000024</v>
      </c>
      <c r="I19" s="19">
        <f t="shared" si="5"/>
        <v>17987.069999999963</v>
      </c>
      <c r="J19" s="19">
        <f t="shared" si="5"/>
        <v>32287.429999999989</v>
      </c>
      <c r="K19" s="19">
        <f t="shared" si="5"/>
        <v>24720.090000000015</v>
      </c>
      <c r="L19" s="19">
        <f t="shared" si="5"/>
        <v>31815.799999999959</v>
      </c>
      <c r="M19" s="19">
        <f t="shared" si="5"/>
        <v>50919.300000000047</v>
      </c>
    </row>
    <row r="20" spans="2:13" outlineLevel="1" x14ac:dyDescent="0.2">
      <c r="B20" s="17" t="s">
        <v>67</v>
      </c>
      <c r="C20" s="14">
        <f>C19/C7</f>
        <v>0.14969210207836775</v>
      </c>
      <c r="D20" s="12">
        <f t="shared" ref="D20:M20" si="6">D19/D7</f>
        <v>0.14910625508580397</v>
      </c>
      <c r="E20" s="12">
        <f t="shared" si="6"/>
        <v>0.14061845347443788</v>
      </c>
      <c r="F20" s="12">
        <f t="shared" si="6"/>
        <v>0.10971268723777329</v>
      </c>
      <c r="G20" s="12">
        <f t="shared" si="6"/>
        <v>0.10789788444182975</v>
      </c>
      <c r="H20" s="12">
        <f t="shared" si="6"/>
        <v>8.1686628795807431E-2</v>
      </c>
      <c r="I20" s="12">
        <f t="shared" si="6"/>
        <v>6.8898034485042198E-2</v>
      </c>
      <c r="J20" s="12">
        <f t="shared" si="6"/>
        <v>0.12925583904385496</v>
      </c>
      <c r="K20" s="12">
        <f t="shared" si="6"/>
        <v>8.877632835227646E-2</v>
      </c>
      <c r="L20" s="12">
        <f t="shared" si="6"/>
        <v>9.1961958102532049E-2</v>
      </c>
      <c r="M20" s="12">
        <f t="shared" si="6"/>
        <v>0.12673262329235285</v>
      </c>
    </row>
    <row r="21" spans="2:13" outlineLevel="1" x14ac:dyDescent="0.2"/>
    <row r="22" spans="2:13" outlineLevel="1" x14ac:dyDescent="0.2">
      <c r="B22" t="s">
        <v>22</v>
      </c>
      <c r="C22" s="15">
        <f>IFERROR('Data Sheet'!B27, 0)</f>
        <v>4749.4399999999996</v>
      </c>
      <c r="D22" s="15">
        <f>IFERROR('Data Sheet'!C27, 0)</f>
        <v>4861.49</v>
      </c>
      <c r="E22" s="15">
        <f>IFERROR('Data Sheet'!D27, 0)</f>
        <v>4889.08</v>
      </c>
      <c r="F22" s="15">
        <f>IFERROR('Data Sheet'!E27, 0)</f>
        <v>4238.01</v>
      </c>
      <c r="G22" s="15">
        <f>IFERROR('Data Sheet'!F27, 0)</f>
        <v>4681.79</v>
      </c>
      <c r="H22" s="15">
        <f>IFERROR('Data Sheet'!G27, 0)</f>
        <v>5758.6</v>
      </c>
      <c r="I22" s="15">
        <f>IFERROR('Data Sheet'!H27, 0)</f>
        <v>7243.33</v>
      </c>
      <c r="J22" s="15">
        <f>IFERROR('Data Sheet'!I27, 0)</f>
        <v>8097.17</v>
      </c>
      <c r="K22" s="15">
        <f>IFERROR('Data Sheet'!J27, 0)</f>
        <v>9311.86</v>
      </c>
      <c r="L22" s="15">
        <f>IFERROR('Data Sheet'!K27, 0)</f>
        <v>10225.48</v>
      </c>
      <c r="M22" s="15">
        <f>IFERROR(SUM('Data Sheet'!H46:K46), 0)</f>
        <v>10584.58</v>
      </c>
    </row>
    <row r="23" spans="2:13" outlineLevel="1" x14ac:dyDescent="0.2">
      <c r="B23" s="17" t="s">
        <v>68</v>
      </c>
      <c r="C23" s="14">
        <f>C22/C7</f>
        <v>2.0398425210512945E-2</v>
      </c>
      <c r="D23" s="12">
        <f t="shared" ref="D23:M23" si="7">D22/D7</f>
        <v>1.8473585814932098E-2</v>
      </c>
      <c r="E23" s="12">
        <f t="shared" si="7"/>
        <v>1.7905727101993223E-2</v>
      </c>
      <c r="F23" s="12">
        <f t="shared" si="7"/>
        <v>1.5714229512714312E-2</v>
      </c>
      <c r="G23" s="12">
        <f t="shared" si="7"/>
        <v>1.605824830060304E-2</v>
      </c>
      <c r="H23" s="12">
        <f t="shared" si="7"/>
        <v>1.9072102124141878E-2</v>
      </c>
      <c r="I23" s="12">
        <f t="shared" si="7"/>
        <v>2.7744996829752802E-2</v>
      </c>
      <c r="J23" s="12">
        <f t="shared" si="7"/>
        <v>3.2415292955516477E-2</v>
      </c>
      <c r="K23" s="12">
        <f t="shared" si="7"/>
        <v>3.3441332168710897E-2</v>
      </c>
      <c r="L23" s="12">
        <f t="shared" si="7"/>
        <v>2.9556231914277829E-2</v>
      </c>
      <c r="M23" s="12">
        <f t="shared" si="7"/>
        <v>2.6343873341695013E-2</v>
      </c>
    </row>
    <row r="24" spans="2:13" outlineLevel="1" x14ac:dyDescent="0.2"/>
    <row r="25" spans="2:13" outlineLevel="1" x14ac:dyDescent="0.2">
      <c r="B25" t="s">
        <v>69</v>
      </c>
      <c r="C25" s="15">
        <f>IFERROR('Data Sheet'!B26, 0)</f>
        <v>11078.16</v>
      </c>
      <c r="D25" s="15">
        <f>IFERROR('Data Sheet'!C26, 0)</f>
        <v>13388.63</v>
      </c>
      <c r="E25" s="15">
        <f>IFERROR('Data Sheet'!D26, 0)</f>
        <v>16710.78</v>
      </c>
      <c r="F25" s="15">
        <f>IFERROR('Data Sheet'!E26, 0)</f>
        <v>17904.990000000002</v>
      </c>
      <c r="G25" s="15">
        <f>IFERROR('Data Sheet'!F26, 0)</f>
        <v>21553.59</v>
      </c>
      <c r="H25" s="15">
        <f>IFERROR('Data Sheet'!G26, 0)</f>
        <v>23590.63</v>
      </c>
      <c r="I25" s="15">
        <f>IFERROR('Data Sheet'!H26, 0)</f>
        <v>21425.43</v>
      </c>
      <c r="J25" s="15">
        <f>IFERROR('Data Sheet'!I26, 0)</f>
        <v>23546.71</v>
      </c>
      <c r="K25" s="15">
        <f>IFERROR('Data Sheet'!J26, 0)</f>
        <v>24835.69</v>
      </c>
      <c r="L25" s="15">
        <f>IFERROR('Data Sheet'!K26, 0)</f>
        <v>24860.36</v>
      </c>
      <c r="M25" s="15">
        <f>IFERROR(SUM('Data Sheet'!H45:K45), 0)</f>
        <v>26391.58</v>
      </c>
    </row>
    <row r="26" spans="2:13" outlineLevel="1" x14ac:dyDescent="0.2">
      <c r="B26" s="17" t="s">
        <v>70</v>
      </c>
      <c r="C26" s="14">
        <f>C25/C7</f>
        <v>4.757971849946438E-2</v>
      </c>
      <c r="D26" s="12">
        <f t="shared" ref="D26:M26" si="8">D25/D7</f>
        <v>5.0876584184966822E-2</v>
      </c>
      <c r="E26" s="12">
        <f t="shared" si="8"/>
        <v>6.1201425695927715E-2</v>
      </c>
      <c r="F26" s="12">
        <f t="shared" si="8"/>
        <v>6.63903865924938E-2</v>
      </c>
      <c r="G26" s="12">
        <f t="shared" si="8"/>
        <v>7.3927472182518786E-2</v>
      </c>
      <c r="H26" s="12">
        <f t="shared" si="8"/>
        <v>7.8130605447998658E-2</v>
      </c>
      <c r="I26" s="12">
        <f t="shared" si="8"/>
        <v>8.206839774331566E-2</v>
      </c>
      <c r="J26" s="12">
        <f t="shared" si="8"/>
        <v>9.4264230933596482E-2</v>
      </c>
      <c r="K26" s="12">
        <f t="shared" si="8"/>
        <v>8.9191478279219347E-2</v>
      </c>
      <c r="L26" s="12">
        <f t="shared" si="8"/>
        <v>7.1857611147098821E-2</v>
      </c>
      <c r="M26" s="12">
        <f t="shared" si="8"/>
        <v>6.5685784490949223E-2</v>
      </c>
    </row>
    <row r="27" spans="2:13" outlineLevel="1" x14ac:dyDescent="0.2"/>
    <row r="28" spans="2:13" outlineLevel="1" x14ac:dyDescent="0.2">
      <c r="B28" s="18" t="s">
        <v>71</v>
      </c>
      <c r="C28" s="19">
        <f>C19-SUM(C22,C25)</f>
        <v>19025.759999999973</v>
      </c>
      <c r="D28" s="19">
        <f t="shared" ref="D28:M28" si="9">D19-SUM(D22,D25)</f>
        <v>20988.529999999981</v>
      </c>
      <c r="E28" s="19">
        <f t="shared" si="9"/>
        <v>16795.38999999997</v>
      </c>
      <c r="F28" s="19">
        <f t="shared" si="9"/>
        <v>7445.690000000046</v>
      </c>
      <c r="G28" s="19">
        <f t="shared" si="9"/>
        <v>5222.299999999992</v>
      </c>
      <c r="H28" s="19">
        <f t="shared" si="9"/>
        <v>-4684.8999999999796</v>
      </c>
      <c r="I28" s="19">
        <f t="shared" si="9"/>
        <v>-10681.690000000039</v>
      </c>
      <c r="J28" s="19">
        <f t="shared" si="9"/>
        <v>643.549999999992</v>
      </c>
      <c r="K28" s="19">
        <f t="shared" si="9"/>
        <v>-9427.4599999999882</v>
      </c>
      <c r="L28" s="19">
        <f t="shared" si="9"/>
        <v>-3270.0400000000373</v>
      </c>
      <c r="M28" s="19">
        <f t="shared" si="9"/>
        <v>13943.140000000043</v>
      </c>
    </row>
    <row r="29" spans="2:13" outlineLevel="1" x14ac:dyDescent="0.2">
      <c r="B29" s="17" t="s">
        <v>72</v>
      </c>
      <c r="C29" s="14">
        <f>C28/C7</f>
        <v>8.1713958368390432E-2</v>
      </c>
      <c r="D29" s="12">
        <f t="shared" ref="D29:M29" si="10">D28/D7</f>
        <v>7.9756085085905037E-2</v>
      </c>
      <c r="E29" s="12">
        <f t="shared" si="10"/>
        <v>6.1511300676516931E-2</v>
      </c>
      <c r="F29" s="12">
        <f t="shared" si="10"/>
        <v>2.7608071132565179E-2</v>
      </c>
      <c r="G29" s="12">
        <f t="shared" si="10"/>
        <v>1.7912163958707913E-2</v>
      </c>
      <c r="H29" s="12">
        <f t="shared" si="10"/>
        <v>-1.5516078776333117E-2</v>
      </c>
      <c r="I29" s="12">
        <f t="shared" si="10"/>
        <v>-4.0915360088026265E-2</v>
      </c>
      <c r="J29" s="12">
        <f t="shared" si="10"/>
        <v>2.5763151547420113E-3</v>
      </c>
      <c r="K29" s="12">
        <f t="shared" si="10"/>
        <v>-3.3856482095653805E-2</v>
      </c>
      <c r="L29" s="12">
        <f t="shared" si="10"/>
        <v>-9.4518849588445895E-3</v>
      </c>
      <c r="M29" s="12">
        <f t="shared" si="10"/>
        <v>3.4702965459708607E-2</v>
      </c>
    </row>
    <row r="30" spans="2:13" outlineLevel="1" x14ac:dyDescent="0.2"/>
    <row r="31" spans="2:13" outlineLevel="1" x14ac:dyDescent="0.2">
      <c r="B31" t="s">
        <v>24</v>
      </c>
      <c r="C31" s="15">
        <f>IFERROR('Data Sheet'!B29, 0)</f>
        <v>4764.79</v>
      </c>
      <c r="D31" s="15">
        <f>IFERROR('Data Sheet'!C29, 0)</f>
        <v>7642.91</v>
      </c>
      <c r="E31" s="15">
        <f>IFERROR('Data Sheet'!D29, 0)</f>
        <v>3025.05</v>
      </c>
      <c r="F31" s="15">
        <f>IFERROR('Data Sheet'!E29, 0)</f>
        <v>3251.23</v>
      </c>
      <c r="G31" s="15">
        <f>IFERROR('Data Sheet'!F29, 0)</f>
        <v>4341.93</v>
      </c>
      <c r="H31" s="15">
        <f>IFERROR('Data Sheet'!G29, 0)</f>
        <v>-2437.4499999999998</v>
      </c>
      <c r="I31" s="15">
        <f>IFERROR('Data Sheet'!H29, 0)</f>
        <v>395.25</v>
      </c>
      <c r="J31" s="15">
        <f>IFERROR('Data Sheet'!I29, 0)</f>
        <v>2541.86</v>
      </c>
      <c r="K31" s="15">
        <f>IFERROR('Data Sheet'!J29, 0)</f>
        <v>4231.29</v>
      </c>
      <c r="L31" s="15">
        <f>IFERROR('Data Sheet'!K29, 0)</f>
        <v>704.06</v>
      </c>
      <c r="M31" s="15">
        <f>IFERROR(SUM('Data Sheet'!H48:K48), 0)</f>
        <v>3408.03</v>
      </c>
    </row>
    <row r="32" spans="2:13" outlineLevel="1" x14ac:dyDescent="0.2">
      <c r="B32" s="17" t="s">
        <v>73</v>
      </c>
      <c r="C32" s="14">
        <f>C31/C28</f>
        <v>0.25043887865714731</v>
      </c>
      <c r="D32" s="12">
        <f t="shared" ref="D32:M32" si="11">D31/D28</f>
        <v>0.3641469888553418</v>
      </c>
      <c r="E32" s="12">
        <f t="shared" si="11"/>
        <v>0.18011192356950362</v>
      </c>
      <c r="F32" s="12">
        <f t="shared" si="11"/>
        <v>0.43665932908836924</v>
      </c>
      <c r="G32" s="12">
        <f t="shared" si="11"/>
        <v>0.8314210213890445</v>
      </c>
      <c r="H32" s="12">
        <f t="shared" si="11"/>
        <v>0.52027791414971725</v>
      </c>
      <c r="I32" s="12">
        <f t="shared" si="11"/>
        <v>-3.7002571690434617E-2</v>
      </c>
      <c r="J32" s="12">
        <f t="shared" si="11"/>
        <v>3.9497474943672315</v>
      </c>
      <c r="K32" s="12">
        <f t="shared" si="11"/>
        <v>-0.4488260888935095</v>
      </c>
      <c r="L32" s="12">
        <f t="shared" si="11"/>
        <v>-0.21530623478611635</v>
      </c>
      <c r="M32" s="12">
        <f t="shared" si="11"/>
        <v>0.2444234225576154</v>
      </c>
    </row>
    <row r="33" spans="1:13" outlineLevel="1" x14ac:dyDescent="0.2"/>
    <row r="34" spans="1:13" outlineLevel="1" x14ac:dyDescent="0.2">
      <c r="B34" s="18" t="s">
        <v>74</v>
      </c>
      <c r="C34" s="19">
        <f>C28-C31</f>
        <v>14260.969999999972</v>
      </c>
      <c r="D34" s="19">
        <f t="shared" ref="D34:M34" si="12">D28-D31</f>
        <v>13345.619999999981</v>
      </c>
      <c r="E34" s="19">
        <f t="shared" si="12"/>
        <v>13770.339999999971</v>
      </c>
      <c r="F34" s="19">
        <f t="shared" si="12"/>
        <v>4194.4600000000464</v>
      </c>
      <c r="G34" s="19">
        <f t="shared" si="12"/>
        <v>880.36999999999171</v>
      </c>
      <c r="H34" s="19">
        <f t="shared" si="12"/>
        <v>-2247.4499999999798</v>
      </c>
      <c r="I34" s="19">
        <f t="shared" si="12"/>
        <v>-11076.940000000039</v>
      </c>
      <c r="J34" s="19">
        <f t="shared" si="12"/>
        <v>-1898.3100000000081</v>
      </c>
      <c r="K34" s="19">
        <f t="shared" si="12"/>
        <v>-13658.749999999989</v>
      </c>
      <c r="L34" s="19">
        <f t="shared" si="12"/>
        <v>-3974.1000000000372</v>
      </c>
      <c r="M34" s="19">
        <f t="shared" si="12"/>
        <v>10535.110000000042</v>
      </c>
    </row>
    <row r="35" spans="1:13" outlineLevel="1" x14ac:dyDescent="0.2">
      <c r="B35" s="17" t="s">
        <v>75</v>
      </c>
      <c r="C35" s="14">
        <f>C34/C7</f>
        <v>6.124960626397391E-2</v>
      </c>
      <c r="D35" s="12">
        <f t="shared" ref="D35:M35" si="13">D34/D7</f>
        <v>5.0713146858982282E-2</v>
      </c>
      <c r="E35" s="12">
        <f t="shared" si="13"/>
        <v>5.0432381990407359E-2</v>
      </c>
      <c r="F35" s="12">
        <f t="shared" si="13"/>
        <v>1.5552749314395296E-2</v>
      </c>
      <c r="G35" s="12">
        <f t="shared" si="13"/>
        <v>3.01961430487095E-3</v>
      </c>
      <c r="H35" s="12">
        <f t="shared" si="13"/>
        <v>-7.4434056747998256E-3</v>
      </c>
      <c r="I35" s="12">
        <f t="shared" si="13"/>
        <v>-4.2429333632923408E-2</v>
      </c>
      <c r="J35" s="12">
        <f t="shared" si="13"/>
        <v>-7.5994791724005731E-3</v>
      </c>
      <c r="K35" s="12">
        <f t="shared" si="13"/>
        <v>-4.9052154538339235E-2</v>
      </c>
      <c r="L35" s="12">
        <f t="shared" si="13"/>
        <v>-1.1486934720964945E-2</v>
      </c>
      <c r="M35" s="12">
        <f t="shared" si="13"/>
        <v>2.6220747869147919E-2</v>
      </c>
    </row>
    <row r="36" spans="1:13" outlineLevel="1" x14ac:dyDescent="0.2"/>
    <row r="37" spans="1:13" outlineLevel="1" x14ac:dyDescent="0.2">
      <c r="B37" t="s">
        <v>76</v>
      </c>
      <c r="C37">
        <f>IFERROR('Data Sheet'!B93, 0)</f>
        <v>288.74</v>
      </c>
      <c r="D37">
        <f>IFERROR('Data Sheet'!C93, 0)</f>
        <v>288.74</v>
      </c>
      <c r="E37">
        <f>IFERROR('Data Sheet'!D93, 0)</f>
        <v>288.72000000000003</v>
      </c>
      <c r="F37">
        <f>IFERROR('Data Sheet'!E93, 0)</f>
        <v>288.73</v>
      </c>
      <c r="G37">
        <f>IFERROR('Data Sheet'!F93, 0)</f>
        <v>288.73</v>
      </c>
      <c r="H37">
        <f>IFERROR('Data Sheet'!G93, 0)</f>
        <v>288.73</v>
      </c>
      <c r="I37">
        <f>IFERROR('Data Sheet'!H93, 0)</f>
        <v>308.89999999999998</v>
      </c>
      <c r="J37">
        <f>IFERROR('Data Sheet'!I93, 0)</f>
        <v>332.03</v>
      </c>
      <c r="K37">
        <f>IFERROR('Data Sheet'!J93, 0)</f>
        <v>332.07</v>
      </c>
      <c r="L37">
        <f>IFERROR('Data Sheet'!K93, 0)</f>
        <v>332.13</v>
      </c>
      <c r="M37">
        <f>L37</f>
        <v>332.13</v>
      </c>
    </row>
    <row r="38" spans="1:13" outlineLevel="1" x14ac:dyDescent="0.2"/>
    <row r="39" spans="1:13" outlineLevel="1" x14ac:dyDescent="0.2">
      <c r="B39" t="s">
        <v>77</v>
      </c>
      <c r="C39" s="15">
        <f>C34/C37</f>
        <v>49.390351180993186</v>
      </c>
      <c r="D39" s="15">
        <f t="shared" ref="D39:M39" si="14">D34/D37</f>
        <v>46.220198102098706</v>
      </c>
      <c r="E39" s="15">
        <f t="shared" si="14"/>
        <v>47.694444444444336</v>
      </c>
      <c r="F39" s="15">
        <f t="shared" si="14"/>
        <v>14.527274616423808</v>
      </c>
      <c r="G39" s="15">
        <f t="shared" si="14"/>
        <v>3.049111626779315</v>
      </c>
      <c r="H39" s="15">
        <f t="shared" si="14"/>
        <v>-7.7839157690575265</v>
      </c>
      <c r="I39" s="15">
        <f t="shared" si="14"/>
        <v>-35.859307219164904</v>
      </c>
      <c r="J39" s="15">
        <f t="shared" si="14"/>
        <v>-5.7172845827184542</v>
      </c>
      <c r="K39" s="15">
        <f t="shared" si="14"/>
        <v>-41.132140813683833</v>
      </c>
      <c r="L39" s="15">
        <f t="shared" si="14"/>
        <v>-11.965495438533218</v>
      </c>
      <c r="M39" s="15">
        <f t="shared" si="14"/>
        <v>31.719838617408975</v>
      </c>
    </row>
    <row r="40" spans="1:13" outlineLevel="1" x14ac:dyDescent="0.2">
      <c r="B40" s="17" t="s">
        <v>78</v>
      </c>
      <c r="C40" s="14" t="s">
        <v>59</v>
      </c>
      <c r="D40" s="12">
        <f>IFERROR(D39/C39-1, 0)</f>
        <v>-6.4185676009415493E-2</v>
      </c>
      <c r="E40" s="12">
        <f t="shared" ref="E40:M40" si="15">IFERROR(E39/D39-1, 0)</f>
        <v>3.189614936502605E-2</v>
      </c>
      <c r="F40" s="12">
        <f t="shared" si="15"/>
        <v>-0.69540950134463697</v>
      </c>
      <c r="G40" s="12">
        <f t="shared" si="15"/>
        <v>-0.79011124197155724</v>
      </c>
      <c r="H40" s="12">
        <f t="shared" si="15"/>
        <v>-3.5528470983790919</v>
      </c>
      <c r="I40" s="12">
        <f t="shared" si="15"/>
        <v>3.6068467700681115</v>
      </c>
      <c r="J40" s="12">
        <f t="shared" si="15"/>
        <v>-0.84056344011958861</v>
      </c>
      <c r="K40" s="12">
        <f t="shared" si="15"/>
        <v>6.194349033807641</v>
      </c>
      <c r="L40" s="12">
        <f t="shared" si="15"/>
        <v>-0.70909621522659627</v>
      </c>
      <c r="M40" s="12">
        <f t="shared" si="15"/>
        <v>-3.6509423517274211</v>
      </c>
    </row>
    <row r="41" spans="1:13" outlineLevel="1" x14ac:dyDescent="0.2"/>
    <row r="42" spans="1:13" outlineLevel="1" x14ac:dyDescent="0.2">
      <c r="B42" t="s">
        <v>79</v>
      </c>
      <c r="C42" s="13">
        <f>IFERROR('Data Sheet'!B31/HistoricalFS!C37, 0)</f>
        <v>2.2296183417607534</v>
      </c>
      <c r="D42" s="13">
        <f>IFERROR('Data Sheet'!C31/HistoricalFS!D37, 0)</f>
        <v>0</v>
      </c>
      <c r="E42" s="13">
        <f>IFERROR('Data Sheet'!D31/HistoricalFS!E37, 0)</f>
        <v>0.23524522028262676</v>
      </c>
      <c r="F42" s="13">
        <f>IFERROR('Data Sheet'!E31/HistoricalFS!F37, 0)</f>
        <v>0</v>
      </c>
      <c r="G42" s="13">
        <f>IFERROR('Data Sheet'!F31/HistoricalFS!G37, 0)</f>
        <v>0</v>
      </c>
      <c r="H42" s="13">
        <f>IFERROR('Data Sheet'!G31/HistoricalFS!H37, 0)</f>
        <v>0</v>
      </c>
      <c r="I42" s="13">
        <f>IFERROR('Data Sheet'!H31/HistoricalFS!I37, 0)</f>
        <v>0</v>
      </c>
      <c r="J42" s="13">
        <f>IFERROR('Data Sheet'!I31/HistoricalFS!J37, 0)</f>
        <v>0</v>
      </c>
      <c r="K42" s="13">
        <f>IFERROR('Data Sheet'!J31/HistoricalFS!K37, 0)</f>
        <v>0</v>
      </c>
      <c r="L42" s="13">
        <f>IFERROR('Data Sheet'!K31/HistoricalFS!L37, 0)</f>
        <v>2.3063860536536898</v>
      </c>
      <c r="M42" s="13">
        <f>IFERROR('Data Sheet'!L31/HistoricalFS!M37, 0)</f>
        <v>0</v>
      </c>
    </row>
    <row r="43" spans="1:13" outlineLevel="1" x14ac:dyDescent="0.2">
      <c r="B43" s="17" t="s">
        <v>80</v>
      </c>
      <c r="C43" s="14">
        <f>C42/C39</f>
        <v>4.5142791829728357E-2</v>
      </c>
      <c r="D43" s="12">
        <f t="shared" ref="D43:M43" si="16">D42/D39</f>
        <v>0</v>
      </c>
      <c r="E43" s="12">
        <f t="shared" si="16"/>
        <v>4.9323400874633563E-3</v>
      </c>
      <c r="F43" s="12">
        <f t="shared" si="16"/>
        <v>0</v>
      </c>
      <c r="G43" s="12">
        <f t="shared" si="16"/>
        <v>0</v>
      </c>
      <c r="H43" s="12">
        <f t="shared" si="16"/>
        <v>0</v>
      </c>
      <c r="I43" s="12">
        <f t="shared" si="16"/>
        <v>0</v>
      </c>
      <c r="J43" s="12">
        <f t="shared" si="16"/>
        <v>0</v>
      </c>
      <c r="K43" s="12">
        <f t="shared" si="16"/>
        <v>0</v>
      </c>
      <c r="L43" s="12">
        <f t="shared" si="16"/>
        <v>-0.19275307616818721</v>
      </c>
      <c r="M43" s="12">
        <f t="shared" si="16"/>
        <v>0</v>
      </c>
    </row>
    <row r="44" spans="1:13" outlineLevel="1" x14ac:dyDescent="0.2"/>
    <row r="45" spans="1:13" outlineLevel="1" x14ac:dyDescent="0.2">
      <c r="B45" t="s">
        <v>81</v>
      </c>
      <c r="C45" s="11">
        <f>IFERROR(IF(C39&gt;C42,1-C43,0), 0)</f>
        <v>0.95485720817027164</v>
      </c>
      <c r="D45" s="11">
        <f t="shared" ref="D45:M45" si="17">IFERROR(IF(D39&gt;D42,1-D43,0), 0)</f>
        <v>1</v>
      </c>
      <c r="E45" s="11">
        <f t="shared" si="17"/>
        <v>0.99506765991253665</v>
      </c>
      <c r="F45" s="11">
        <f t="shared" si="17"/>
        <v>1</v>
      </c>
      <c r="G45" s="11">
        <f t="shared" si="17"/>
        <v>1</v>
      </c>
      <c r="H45" s="11">
        <f t="shared" si="17"/>
        <v>0</v>
      </c>
      <c r="I45" s="11">
        <f t="shared" si="17"/>
        <v>0</v>
      </c>
      <c r="J45" s="11">
        <f t="shared" si="17"/>
        <v>0</v>
      </c>
      <c r="K45" s="11">
        <f t="shared" si="17"/>
        <v>0</v>
      </c>
      <c r="L45" s="11">
        <f t="shared" si="17"/>
        <v>0</v>
      </c>
      <c r="M45" s="11">
        <f t="shared" si="17"/>
        <v>1</v>
      </c>
    </row>
    <row r="47" spans="1:13" x14ac:dyDescent="0.2">
      <c r="A47" t="s">
        <v>56</v>
      </c>
      <c r="B47" s="9" t="s">
        <v>82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</row>
    <row r="48" spans="1:13" outlineLevel="1" x14ac:dyDescent="0.2"/>
    <row r="49" spans="2:13" outlineLevel="1" x14ac:dyDescent="0.2">
      <c r="B49" t="s">
        <v>31</v>
      </c>
      <c r="C49" s="13">
        <f>IFERROR('Data Sheet'!B57, 0)</f>
        <v>643.78</v>
      </c>
      <c r="D49" s="13">
        <f>IFERROR('Data Sheet'!C57, 0)</f>
        <v>643.78</v>
      </c>
      <c r="E49" s="13">
        <f>IFERROR('Data Sheet'!D57, 0)</f>
        <v>679.18</v>
      </c>
      <c r="F49" s="13">
        <f>IFERROR('Data Sheet'!E57, 0)</f>
        <v>679.22</v>
      </c>
      <c r="G49" s="13">
        <f>IFERROR('Data Sheet'!F57, 0)</f>
        <v>679.22</v>
      </c>
      <c r="H49" s="13">
        <f>IFERROR('Data Sheet'!G57, 0)</f>
        <v>679.22</v>
      </c>
      <c r="I49" s="13">
        <f>IFERROR('Data Sheet'!H57, 0)</f>
        <v>719.54</v>
      </c>
      <c r="J49" s="13">
        <f>IFERROR('Data Sheet'!I57, 0)</f>
        <v>765.81</v>
      </c>
      <c r="K49" s="13">
        <f>IFERROR('Data Sheet'!J57, 0)</f>
        <v>765.88</v>
      </c>
      <c r="L49" s="13">
        <f>IFERROR('Data Sheet'!K57, 0)</f>
        <v>766.02</v>
      </c>
      <c r="M49" s="13"/>
    </row>
    <row r="50" spans="2:13" outlineLevel="1" x14ac:dyDescent="0.2">
      <c r="B50" t="s">
        <v>32</v>
      </c>
      <c r="C50" s="13">
        <f>IFERROR('Data Sheet'!B58, 0)</f>
        <v>64959.67</v>
      </c>
      <c r="D50" s="13">
        <f>IFERROR('Data Sheet'!C58, 0)</f>
        <v>55618.14</v>
      </c>
      <c r="E50" s="13">
        <f>IFERROR('Data Sheet'!D58, 0)</f>
        <v>78273.23</v>
      </c>
      <c r="F50" s="13">
        <f>IFERROR('Data Sheet'!E58, 0)</f>
        <v>57382.67</v>
      </c>
      <c r="G50" s="13">
        <f>IFERROR('Data Sheet'!F58, 0)</f>
        <v>94748.69</v>
      </c>
      <c r="H50" s="13">
        <f>IFERROR('Data Sheet'!G58, 0)</f>
        <v>59500.34</v>
      </c>
      <c r="I50" s="13">
        <f>IFERROR('Data Sheet'!H58, 0)</f>
        <v>61491.49</v>
      </c>
      <c r="J50" s="13">
        <f>IFERROR('Data Sheet'!I58, 0)</f>
        <v>54480.91</v>
      </c>
      <c r="K50" s="13">
        <f>IFERROR('Data Sheet'!J58, 0)</f>
        <v>43795.360000000001</v>
      </c>
      <c r="L50" s="13">
        <f>IFERROR('Data Sheet'!K58, 0)</f>
        <v>44555.77</v>
      </c>
      <c r="M50" s="13"/>
    </row>
    <row r="51" spans="2:13" outlineLevel="1" x14ac:dyDescent="0.2">
      <c r="B51" t="s">
        <v>33</v>
      </c>
      <c r="C51" s="13">
        <f>IFERROR('Data Sheet'!B59, 0)</f>
        <v>60642.28</v>
      </c>
      <c r="D51" s="13">
        <f>IFERROR('Data Sheet'!C59, 0)</f>
        <v>73610.39</v>
      </c>
      <c r="E51" s="13">
        <f>IFERROR('Data Sheet'!D59, 0)</f>
        <v>69359.960000000006</v>
      </c>
      <c r="F51" s="13">
        <f>IFERROR('Data Sheet'!E59, 0)</f>
        <v>78603.98</v>
      </c>
      <c r="G51" s="13">
        <f>IFERROR('Data Sheet'!F59, 0)</f>
        <v>88950.47</v>
      </c>
      <c r="H51" s="13">
        <f>IFERROR('Data Sheet'!G59, 0)</f>
        <v>106175.34</v>
      </c>
      <c r="I51" s="13">
        <f>IFERROR('Data Sheet'!H59, 0)</f>
        <v>124787.64</v>
      </c>
      <c r="J51" s="13">
        <f>IFERROR('Data Sheet'!I59, 0)</f>
        <v>142130.57</v>
      </c>
      <c r="K51" s="13">
        <f>IFERROR('Data Sheet'!J59, 0)</f>
        <v>146449.03</v>
      </c>
      <c r="L51" s="13">
        <f>IFERROR('Data Sheet'!K59, 0)</f>
        <v>134113.44</v>
      </c>
    </row>
    <row r="52" spans="2:13" outlineLevel="1" x14ac:dyDescent="0.2">
      <c r="B52" t="s">
        <v>34</v>
      </c>
      <c r="C52" s="13">
        <f>IFERROR('Data Sheet'!B60, 0)</f>
        <v>92180.26</v>
      </c>
      <c r="D52" s="13">
        <f>IFERROR('Data Sheet'!C60, 0)</f>
        <v>107442.48</v>
      </c>
      <c r="E52" s="13">
        <f>IFERROR('Data Sheet'!D60, 0)</f>
        <v>114871.75</v>
      </c>
      <c r="F52" s="13">
        <f>IFERROR('Data Sheet'!E60, 0)</f>
        <v>135914.49</v>
      </c>
      <c r="G52" s="13">
        <f>IFERROR('Data Sheet'!F60, 0)</f>
        <v>142813.43</v>
      </c>
      <c r="H52" s="13">
        <f>IFERROR('Data Sheet'!G60, 0)</f>
        <v>139348.59</v>
      </c>
      <c r="I52" s="13">
        <f>IFERROR('Data Sheet'!H60, 0)</f>
        <v>133180.72</v>
      </c>
      <c r="J52" s="13">
        <f>IFERROR('Data Sheet'!I60, 0)</f>
        <v>144192.62</v>
      </c>
      <c r="K52" s="13">
        <f>IFERROR('Data Sheet'!J60, 0)</f>
        <v>138051.22</v>
      </c>
      <c r="L52" s="13">
        <f>IFERROR('Data Sheet'!K60, 0)</f>
        <v>155239.20000000001</v>
      </c>
    </row>
    <row r="53" spans="2:13" outlineLevel="1" x14ac:dyDescent="0.2">
      <c r="B53" s="18" t="s">
        <v>83</v>
      </c>
      <c r="C53" s="21">
        <f>SUM(C49:C52)</f>
        <v>218425.99</v>
      </c>
      <c r="D53" s="21">
        <f t="shared" ref="D53:L53" si="18">SUM(D49:D52)</f>
        <v>237314.78999999998</v>
      </c>
      <c r="E53" s="21">
        <f t="shared" si="18"/>
        <v>263184.12</v>
      </c>
      <c r="F53" s="21">
        <f t="shared" si="18"/>
        <v>272580.36</v>
      </c>
      <c r="G53" s="21">
        <f t="shared" si="18"/>
        <v>327191.81</v>
      </c>
      <c r="H53" s="21">
        <f t="shared" si="18"/>
        <v>305703.49</v>
      </c>
      <c r="I53" s="21">
        <f t="shared" si="18"/>
        <v>320179.39</v>
      </c>
      <c r="J53" s="21">
        <f t="shared" si="18"/>
        <v>341569.91000000003</v>
      </c>
      <c r="K53" s="21">
        <f t="shared" si="18"/>
        <v>329061.49</v>
      </c>
      <c r="L53" s="21">
        <f t="shared" si="18"/>
        <v>334674.43</v>
      </c>
    </row>
    <row r="54" spans="2:13" outlineLevel="1" x14ac:dyDescent="0.2"/>
    <row r="55" spans="2:13" outlineLevel="1" x14ac:dyDescent="0.2">
      <c r="B55" t="s">
        <v>116</v>
      </c>
      <c r="C55" s="13">
        <f>IFERROR('Data Sheet'!B62, 0)</f>
        <v>69091.67</v>
      </c>
      <c r="D55" s="13">
        <f>IFERROR('Data Sheet'!C62, 0)</f>
        <v>88479.49</v>
      </c>
      <c r="E55" s="13">
        <f>IFERROR('Data Sheet'!D62, 0)</f>
        <v>107231.76</v>
      </c>
      <c r="F55" s="13">
        <f>IFERROR('Data Sheet'!E62, 0)</f>
        <v>95944.08</v>
      </c>
      <c r="G55" s="13">
        <f>IFERROR('Data Sheet'!F62, 0)</f>
        <v>121413.86</v>
      </c>
      <c r="H55" s="13">
        <f>IFERROR('Data Sheet'!G62, 0)</f>
        <v>111234.47</v>
      </c>
      <c r="I55" s="13">
        <f>IFERROR('Data Sheet'!H62, 0)</f>
        <v>127107.14</v>
      </c>
      <c r="J55" s="13">
        <f>IFERROR('Data Sheet'!I62, 0)</f>
        <v>138707.60999999999</v>
      </c>
      <c r="K55" s="13">
        <f>IFERROR('Data Sheet'!J62, 0)</f>
        <v>138855.45000000001</v>
      </c>
      <c r="L55" s="13">
        <f>IFERROR('Data Sheet'!K62, 0)</f>
        <v>132079.76</v>
      </c>
    </row>
    <row r="56" spans="2:13" outlineLevel="1" x14ac:dyDescent="0.2">
      <c r="B56" t="s">
        <v>37</v>
      </c>
      <c r="C56" s="13">
        <f>IFERROR('Data Sheet'!B63, 0)</f>
        <v>33262.559999999998</v>
      </c>
      <c r="D56" s="13">
        <f>IFERROR('Data Sheet'!C63, 0)</f>
        <v>28640.09</v>
      </c>
      <c r="E56" s="13">
        <f>IFERROR('Data Sheet'!D63, 0)</f>
        <v>25918.94</v>
      </c>
      <c r="F56" s="13">
        <f>IFERROR('Data Sheet'!E63, 0)</f>
        <v>33698.839999999997</v>
      </c>
      <c r="G56" s="13">
        <f>IFERROR('Data Sheet'!F63, 0)</f>
        <v>40033.5</v>
      </c>
      <c r="H56" s="13">
        <f>IFERROR('Data Sheet'!G63, 0)</f>
        <v>31883.84</v>
      </c>
      <c r="I56" s="13">
        <f>IFERROR('Data Sheet'!H63, 0)</f>
        <v>35622.29</v>
      </c>
      <c r="J56" s="13">
        <f>IFERROR('Data Sheet'!I63, 0)</f>
        <v>20963.93</v>
      </c>
      <c r="K56" s="13">
        <f>IFERROR('Data Sheet'!J63, 0)</f>
        <v>10251.09</v>
      </c>
      <c r="L56" s="13">
        <f>IFERROR('Data Sheet'!K63, 0)</f>
        <v>14274.5</v>
      </c>
    </row>
    <row r="57" spans="2:13" outlineLevel="1" x14ac:dyDescent="0.2">
      <c r="B57" t="s">
        <v>38</v>
      </c>
      <c r="C57" s="13">
        <f>IFERROR('Data Sheet'!B64, 0)</f>
        <v>10686.67</v>
      </c>
      <c r="D57" s="13">
        <f>IFERROR('Data Sheet'!C64, 0)</f>
        <v>15336.74</v>
      </c>
      <c r="E57" s="13">
        <f>IFERROR('Data Sheet'!D64, 0)</f>
        <v>23767.02</v>
      </c>
      <c r="F57" s="13">
        <f>IFERROR('Data Sheet'!E64, 0)</f>
        <v>20337.919999999998</v>
      </c>
      <c r="G57" s="13">
        <f>IFERROR('Data Sheet'!F64, 0)</f>
        <v>20812.75</v>
      </c>
      <c r="H57" s="13">
        <f>IFERROR('Data Sheet'!G64, 0)</f>
        <v>15770.72</v>
      </c>
      <c r="I57" s="13">
        <f>IFERROR('Data Sheet'!H64, 0)</f>
        <v>16308.48</v>
      </c>
      <c r="J57" s="13">
        <f>IFERROR('Data Sheet'!I64, 0)</f>
        <v>24620.28</v>
      </c>
      <c r="K57" s="13">
        <f>IFERROR('Data Sheet'!J64, 0)</f>
        <v>29379.53</v>
      </c>
      <c r="L57" s="13">
        <f>IFERROR('Data Sheet'!K64, 0)</f>
        <v>26379.16</v>
      </c>
    </row>
    <row r="58" spans="2:13" outlineLevel="1" x14ac:dyDescent="0.2">
      <c r="B58" t="s">
        <v>39</v>
      </c>
      <c r="C58" s="13">
        <f>IFERROR('Data Sheet'!B65-SUM('Data Sheet'!B67:B69), 0)</f>
        <v>37828.179999999993</v>
      </c>
      <c r="D58" s="13">
        <f>IFERROR('Data Sheet'!C65-SUM('Data Sheet'!C67:C69), 0)</f>
        <v>30891.17</v>
      </c>
      <c r="E58" s="13">
        <f>IFERROR('Data Sheet'!D65-SUM('Data Sheet'!D67:D69), 0)</f>
        <v>29579.359999999986</v>
      </c>
      <c r="F58" s="13">
        <f>IFERROR('Data Sheet'!E65-SUM('Data Sheet'!E67:E69), 0)</f>
        <v>37360.780000000013</v>
      </c>
      <c r="G58" s="13">
        <f>IFERROR('Data Sheet'!F65-SUM('Data Sheet'!F67:F69), 0)</f>
        <v>48286.860000000015</v>
      </c>
      <c r="H58" s="13">
        <f>IFERROR('Data Sheet'!G65-SUM('Data Sheet'!G67:G69), 0)</f>
        <v>56155.739999999991</v>
      </c>
      <c r="I58" s="13">
        <f>IFERROR('Data Sheet'!H65-SUM('Data Sheet'!H67:H69), 0)</f>
        <v>58784.94</v>
      </c>
      <c r="J58" s="13">
        <f>IFERROR('Data Sheet'!I65-SUM('Data Sheet'!I67:I69), 0)</f>
        <v>61717.959999999992</v>
      </c>
      <c r="K58" s="13">
        <f>IFERROR('Data Sheet'!J65-SUM('Data Sheet'!J67:J69), 0)</f>
        <v>62223.770000000019</v>
      </c>
      <c r="L58" s="13">
        <f>IFERROR('Data Sheet'!K65-SUM('Data Sheet'!K67:K69), 0)</f>
        <v>68432.090000000011</v>
      </c>
    </row>
    <row r="59" spans="2:13" outlineLevel="1" x14ac:dyDescent="0.2">
      <c r="B59" s="18" t="s">
        <v>84</v>
      </c>
      <c r="C59" s="21">
        <f>SUM(C55:C58)</f>
        <v>150869.07999999999</v>
      </c>
      <c r="D59" s="21">
        <f t="shared" ref="D59:L59" si="19">SUM(D55:D58)</f>
        <v>163347.49</v>
      </c>
      <c r="E59" s="21">
        <f t="shared" si="19"/>
        <v>186497.07999999996</v>
      </c>
      <c r="F59" s="21">
        <f t="shared" si="19"/>
        <v>187341.62</v>
      </c>
      <c r="G59" s="21">
        <f t="shared" si="19"/>
        <v>230546.97</v>
      </c>
      <c r="H59" s="21">
        <f t="shared" si="19"/>
        <v>215044.77</v>
      </c>
      <c r="I59" s="21">
        <f t="shared" si="19"/>
        <v>237822.85</v>
      </c>
      <c r="J59" s="21">
        <f t="shared" si="19"/>
        <v>246009.77999999997</v>
      </c>
      <c r="K59" s="21">
        <f t="shared" si="19"/>
        <v>240709.84000000003</v>
      </c>
      <c r="L59" s="21">
        <f t="shared" si="19"/>
        <v>241165.51</v>
      </c>
    </row>
    <row r="60" spans="2:13" outlineLevel="1" x14ac:dyDescent="0.2"/>
    <row r="61" spans="2:13" outlineLevel="1" x14ac:dyDescent="0.2">
      <c r="B61" t="s">
        <v>40</v>
      </c>
      <c r="C61" s="13">
        <f>IFERROR('Data Sheet'!B67, 0)</f>
        <v>10574.23</v>
      </c>
      <c r="D61" s="13">
        <f>IFERROR('Data Sheet'!C67, 0)</f>
        <v>12579.2</v>
      </c>
      <c r="E61" s="13">
        <f>IFERROR('Data Sheet'!D67, 0)</f>
        <v>13570.91</v>
      </c>
      <c r="F61" s="13">
        <f>IFERROR('Data Sheet'!E67, 0)</f>
        <v>14075.55</v>
      </c>
      <c r="G61" s="13">
        <f>IFERROR('Data Sheet'!F67, 0)</f>
        <v>19893.3</v>
      </c>
      <c r="H61" s="13">
        <f>IFERROR('Data Sheet'!G67, 0)</f>
        <v>18996.169999999998</v>
      </c>
      <c r="I61" s="13">
        <f>IFERROR('Data Sheet'!H67, 0)</f>
        <v>11172.69</v>
      </c>
      <c r="J61" s="13">
        <f>IFERROR('Data Sheet'!I67, 0)</f>
        <v>12679.08</v>
      </c>
      <c r="K61" s="13">
        <f>IFERROR('Data Sheet'!J67, 0)</f>
        <v>12442.12</v>
      </c>
      <c r="L61" s="13">
        <f>IFERROR('Data Sheet'!K67, 0)</f>
        <v>15737.97</v>
      </c>
    </row>
    <row r="62" spans="2:13" outlineLevel="1" x14ac:dyDescent="0.2">
      <c r="B62" t="s">
        <v>41</v>
      </c>
      <c r="C62" s="13">
        <f>IFERROR('Data Sheet'!B68, 0)</f>
        <v>27270.89</v>
      </c>
      <c r="D62" s="13">
        <f>IFERROR('Data Sheet'!C68, 0)</f>
        <v>29272.34</v>
      </c>
      <c r="E62" s="13">
        <f>IFERROR('Data Sheet'!D68, 0)</f>
        <v>32655.73</v>
      </c>
      <c r="F62" s="13">
        <f>IFERROR('Data Sheet'!E68, 0)</f>
        <v>35085.31</v>
      </c>
      <c r="G62" s="13">
        <f>IFERROR('Data Sheet'!F68, 0)</f>
        <v>42137.63</v>
      </c>
      <c r="H62" s="13">
        <f>IFERROR('Data Sheet'!G68, 0)</f>
        <v>39013.730000000003</v>
      </c>
      <c r="I62" s="13">
        <f>IFERROR('Data Sheet'!H68, 0)</f>
        <v>37456.879999999997</v>
      </c>
      <c r="J62" s="13">
        <f>IFERROR('Data Sheet'!I68, 0)</f>
        <v>36088.589999999997</v>
      </c>
      <c r="K62" s="13">
        <f>IFERROR('Data Sheet'!J68, 0)</f>
        <v>35240.339999999997</v>
      </c>
      <c r="L62" s="13">
        <f>IFERROR('Data Sheet'!K68, 0)</f>
        <v>40755.39</v>
      </c>
    </row>
    <row r="63" spans="2:13" outlineLevel="1" x14ac:dyDescent="0.2">
      <c r="B63" t="s">
        <v>42</v>
      </c>
      <c r="C63" s="13">
        <f>IFERROR('Data Sheet'!B69, 0)</f>
        <v>29711.79</v>
      </c>
      <c r="D63" s="13">
        <f>IFERROR('Data Sheet'!C69, 0)</f>
        <v>32115.759999999998</v>
      </c>
      <c r="E63" s="13">
        <f>IFERROR('Data Sheet'!D69, 0)</f>
        <v>30460.400000000001</v>
      </c>
      <c r="F63" s="13">
        <f>IFERROR('Data Sheet'!E69, 0)</f>
        <v>36077.879999999997</v>
      </c>
      <c r="G63" s="13">
        <f>IFERROR('Data Sheet'!F69, 0)</f>
        <v>34613.910000000003</v>
      </c>
      <c r="H63" s="13">
        <f>IFERROR('Data Sheet'!G69, 0)</f>
        <v>32648.82</v>
      </c>
      <c r="I63" s="13">
        <f>IFERROR('Data Sheet'!H69, 0)</f>
        <v>33726.97</v>
      </c>
      <c r="J63" s="13">
        <f>IFERROR('Data Sheet'!I69, 0)</f>
        <v>46792.46</v>
      </c>
      <c r="K63" s="13">
        <f>IFERROR('Data Sheet'!J69, 0)</f>
        <v>40669.19</v>
      </c>
      <c r="L63" s="13">
        <f>IFERROR('Data Sheet'!K69, 0)</f>
        <v>37015.56</v>
      </c>
    </row>
    <row r="64" spans="2:13" outlineLevel="1" x14ac:dyDescent="0.2">
      <c r="B64" s="18" t="s">
        <v>85</v>
      </c>
      <c r="C64" s="21">
        <f>SUM(C61:C63)</f>
        <v>67556.91</v>
      </c>
      <c r="D64" s="21">
        <f t="shared" ref="D64:L64" si="20">SUM(D61:D63)</f>
        <v>73967.3</v>
      </c>
      <c r="E64" s="21">
        <f t="shared" si="20"/>
        <v>76687.040000000008</v>
      </c>
      <c r="F64" s="21">
        <f t="shared" si="20"/>
        <v>85238.739999999991</v>
      </c>
      <c r="G64" s="21">
        <f t="shared" si="20"/>
        <v>96644.84</v>
      </c>
      <c r="H64" s="21">
        <f t="shared" si="20"/>
        <v>90658.72</v>
      </c>
      <c r="I64" s="21">
        <f t="shared" si="20"/>
        <v>82356.540000000008</v>
      </c>
      <c r="J64" s="21">
        <f t="shared" si="20"/>
        <v>95560.13</v>
      </c>
      <c r="K64" s="21">
        <f t="shared" si="20"/>
        <v>88351.65</v>
      </c>
      <c r="L64" s="21">
        <f t="shared" si="20"/>
        <v>93508.92</v>
      </c>
    </row>
    <row r="65" spans="1:13" outlineLevel="1" x14ac:dyDescent="0.2"/>
    <row r="66" spans="1:13" outlineLevel="1" x14ac:dyDescent="0.2">
      <c r="B66" s="18" t="s">
        <v>86</v>
      </c>
      <c r="C66" s="19">
        <f>C59+C64</f>
        <v>218425.99</v>
      </c>
      <c r="D66" s="19">
        <f t="shared" ref="D66:L66" si="21">D59+D64</f>
        <v>237314.78999999998</v>
      </c>
      <c r="E66" s="19">
        <f t="shared" si="21"/>
        <v>263184.12</v>
      </c>
      <c r="F66" s="19">
        <f t="shared" si="21"/>
        <v>272580.36</v>
      </c>
      <c r="G66" s="19">
        <f t="shared" si="21"/>
        <v>327191.81</v>
      </c>
      <c r="H66" s="19">
        <f t="shared" si="21"/>
        <v>305703.49</v>
      </c>
      <c r="I66" s="19">
        <f t="shared" si="21"/>
        <v>320179.39</v>
      </c>
      <c r="J66" s="19">
        <f t="shared" si="21"/>
        <v>341569.91</v>
      </c>
      <c r="K66" s="19">
        <f t="shared" si="21"/>
        <v>329061.49</v>
      </c>
      <c r="L66" s="19">
        <f t="shared" si="21"/>
        <v>334674.43</v>
      </c>
    </row>
    <row r="67" spans="1:13" outlineLevel="1" x14ac:dyDescent="0.2"/>
    <row r="68" spans="1:13" outlineLevel="1" x14ac:dyDescent="0.2">
      <c r="B68" s="16" t="s">
        <v>87</v>
      </c>
      <c r="C68" s="16" t="b">
        <f>C66=C53</f>
        <v>1</v>
      </c>
      <c r="D68" s="16" t="b">
        <f t="shared" ref="D68:L68" si="22">D66=D53</f>
        <v>1</v>
      </c>
      <c r="E68" s="16" t="b">
        <f t="shared" si="22"/>
        <v>1</v>
      </c>
      <c r="F68" s="16" t="b">
        <f t="shared" si="22"/>
        <v>1</v>
      </c>
      <c r="G68" s="16" t="b">
        <f t="shared" si="22"/>
        <v>1</v>
      </c>
      <c r="H68" s="16" t="b">
        <f t="shared" si="22"/>
        <v>1</v>
      </c>
      <c r="I68" s="16" t="b">
        <f t="shared" si="22"/>
        <v>1</v>
      </c>
      <c r="J68" s="16" t="b">
        <f t="shared" si="22"/>
        <v>1</v>
      </c>
      <c r="K68" s="16" t="b">
        <f t="shared" si="22"/>
        <v>1</v>
      </c>
      <c r="L68" s="16" t="b">
        <f t="shared" si="22"/>
        <v>1</v>
      </c>
    </row>
    <row r="70" spans="1:13" x14ac:dyDescent="0.2">
      <c r="A70" t="s">
        <v>56</v>
      </c>
      <c r="B70" s="9" t="s">
        <v>88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</row>
    <row r="71" spans="1:13" outlineLevel="1" x14ac:dyDescent="0.2"/>
    <row r="72" spans="1:13" outlineLevel="1" x14ac:dyDescent="0.2">
      <c r="B72" t="s">
        <v>123</v>
      </c>
      <c r="C72" s="13">
        <f>IFERROR('Data Sheet'!B82, 0)</f>
        <v>36151.160000000003</v>
      </c>
      <c r="D72" s="13">
        <f>IFERROR('Data Sheet'!C82, 0)</f>
        <v>35531.26</v>
      </c>
      <c r="E72" s="13">
        <f>IFERROR('Data Sheet'!D82, 0)</f>
        <v>37899.54</v>
      </c>
      <c r="F72" s="13">
        <f>IFERROR('Data Sheet'!E82, 0)</f>
        <v>30199.25</v>
      </c>
      <c r="G72" s="13">
        <f>IFERROR('Data Sheet'!F82, 0)</f>
        <v>23857.42</v>
      </c>
      <c r="H72" s="13">
        <f>IFERROR('Data Sheet'!G82, 0)</f>
        <v>18890.75</v>
      </c>
      <c r="I72" s="13">
        <f>IFERROR('Data Sheet'!H82, 0)</f>
        <v>26632.94</v>
      </c>
      <c r="J72" s="13">
        <f>IFERROR('Data Sheet'!I82, 0)</f>
        <v>29000.51</v>
      </c>
      <c r="K72" s="13">
        <f>IFERROR('Data Sheet'!J82, 0)</f>
        <v>14282.83</v>
      </c>
      <c r="L72" s="13">
        <f>IFERROR('Data Sheet'!K82, 0)</f>
        <v>35388.01</v>
      </c>
    </row>
    <row r="73" spans="1:13" outlineLevel="1" x14ac:dyDescent="0.2"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1:13" outlineLevel="1" x14ac:dyDescent="0.2">
      <c r="B74" t="s">
        <v>124</v>
      </c>
      <c r="C74" s="13">
        <f>IFERROR('Data Sheet'!B83, 0)</f>
        <v>-27990.91</v>
      </c>
      <c r="D74" s="13">
        <f>IFERROR('Data Sheet'!C83, 0)</f>
        <v>-36232.35</v>
      </c>
      <c r="E74" s="13">
        <f>IFERROR('Data Sheet'!D83, 0)</f>
        <v>-36693.9</v>
      </c>
      <c r="F74" s="13">
        <f>IFERROR('Data Sheet'!E83, 0)</f>
        <v>-39571.4</v>
      </c>
      <c r="G74" s="13">
        <f>IFERROR('Data Sheet'!F83, 0)</f>
        <v>-25139.14</v>
      </c>
      <c r="H74" s="13">
        <f>IFERROR('Data Sheet'!G83, 0)</f>
        <v>-20878.07</v>
      </c>
      <c r="I74" s="13">
        <f>IFERROR('Data Sheet'!H83, 0)</f>
        <v>-33114.550000000003</v>
      </c>
      <c r="J74" s="13">
        <f>IFERROR('Data Sheet'!I83, 0)</f>
        <v>-25672.5</v>
      </c>
      <c r="K74" s="13">
        <f>IFERROR('Data Sheet'!J83, 0)</f>
        <v>-4443.66</v>
      </c>
      <c r="L74" s="13">
        <f>IFERROR('Data Sheet'!K83, 0)</f>
        <v>-15417.17</v>
      </c>
    </row>
    <row r="75" spans="1:13" outlineLevel="1" x14ac:dyDescent="0.2"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1:13" outlineLevel="1" x14ac:dyDescent="0.2">
      <c r="B76" t="s">
        <v>125</v>
      </c>
      <c r="C76" s="13">
        <f>IFERROR('Data Sheet'!B84, 0)</f>
        <v>-3883.24</v>
      </c>
      <c r="D76" s="13">
        <f>IFERROR('Data Sheet'!C84, 0)</f>
        <v>5201.4399999999996</v>
      </c>
      <c r="E76" s="13">
        <f>IFERROR('Data Sheet'!D84, 0)</f>
        <v>-3795.12</v>
      </c>
      <c r="F76" s="13">
        <f>IFERROR('Data Sheet'!E84, 0)</f>
        <v>6205.3</v>
      </c>
      <c r="G76" s="13">
        <f>IFERROR('Data Sheet'!F84, 0)</f>
        <v>2011.71</v>
      </c>
      <c r="H76" s="13">
        <f>IFERROR('Data Sheet'!G84, 0)</f>
        <v>8830.3700000000008</v>
      </c>
      <c r="I76" s="13">
        <f>IFERROR('Data Sheet'!H84, 0)</f>
        <v>3389.61</v>
      </c>
      <c r="J76" s="13">
        <f>IFERROR('Data Sheet'!I84, 0)</f>
        <v>9904.2000000000007</v>
      </c>
      <c r="K76" s="13">
        <f>IFERROR('Data Sheet'!J84, 0)</f>
        <v>-3380.17</v>
      </c>
      <c r="L76" s="13">
        <f>IFERROR('Data Sheet'!K84, 0)</f>
        <v>-26242.9</v>
      </c>
    </row>
    <row r="77" spans="1:13" outlineLevel="1" x14ac:dyDescent="0.2"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1:13" outlineLevel="1" x14ac:dyDescent="0.2">
      <c r="B78" s="18" t="s">
        <v>50</v>
      </c>
      <c r="C78" s="21">
        <f>C72+C74+C76</f>
        <v>4277.0100000000039</v>
      </c>
      <c r="D78" s="21">
        <f t="shared" ref="D78:L78" si="23">D72+D74+D76</f>
        <v>4500.3500000000031</v>
      </c>
      <c r="E78" s="21">
        <f t="shared" si="23"/>
        <v>-2589.4800000000005</v>
      </c>
      <c r="F78" s="21">
        <f t="shared" si="23"/>
        <v>-3166.8500000000013</v>
      </c>
      <c r="G78" s="21">
        <f t="shared" si="23"/>
        <v>729.98999999999887</v>
      </c>
      <c r="H78" s="21">
        <f t="shared" si="23"/>
        <v>6843.0500000000011</v>
      </c>
      <c r="I78" s="21">
        <f t="shared" si="23"/>
        <v>-3092.0000000000041</v>
      </c>
      <c r="J78" s="21">
        <f t="shared" si="23"/>
        <v>13232.21</v>
      </c>
      <c r="K78" s="21">
        <f t="shared" si="23"/>
        <v>6459</v>
      </c>
      <c r="L78" s="21">
        <f t="shared" si="23"/>
        <v>-6272.0599999999977</v>
      </c>
    </row>
    <row r="79" spans="1:13" x14ac:dyDescent="0.2"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1:13" x14ac:dyDescent="0.2"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2:12" x14ac:dyDescent="0.2">
      <c r="B81" s="8"/>
      <c r="C81" s="46"/>
      <c r="D81" s="46"/>
      <c r="E81" s="46"/>
      <c r="F81" s="46"/>
      <c r="G81" s="46"/>
      <c r="H81" s="46"/>
      <c r="I81" s="46"/>
      <c r="J81" s="46"/>
      <c r="K81" s="46"/>
      <c r="L81" s="46"/>
    </row>
    <row r="83" spans="2:12" x14ac:dyDescent="0.2">
      <c r="B83" s="8"/>
    </row>
    <row r="84" spans="2:12" x14ac:dyDescent="0.2"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2:12" x14ac:dyDescent="0.2"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2:12" x14ac:dyDescent="0.2"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2:12" x14ac:dyDescent="0.2"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2:12" x14ac:dyDescent="0.2"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2:12" x14ac:dyDescent="0.2"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2:12" x14ac:dyDescent="0.2"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2:12" x14ac:dyDescent="0.2"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2:12" x14ac:dyDescent="0.2"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2:12" x14ac:dyDescent="0.2"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2:12" x14ac:dyDescent="0.2"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2:12" x14ac:dyDescent="0.2"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2:12" x14ac:dyDescent="0.2">
      <c r="B96" s="8"/>
      <c r="C96" s="46"/>
      <c r="D96" s="46"/>
      <c r="E96" s="46"/>
      <c r="F96" s="46"/>
      <c r="G96" s="46"/>
      <c r="H96" s="46"/>
      <c r="I96" s="46"/>
      <c r="J96" s="46"/>
      <c r="K96" s="46"/>
      <c r="L96" s="46"/>
    </row>
    <row r="98" spans="2:12" x14ac:dyDescent="0.2">
      <c r="B98" s="8"/>
    </row>
    <row r="99" spans="2:12" x14ac:dyDescent="0.2"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2:12" x14ac:dyDescent="0.2"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  <row r="101" spans="2:12" x14ac:dyDescent="0.2">
      <c r="C101" s="13"/>
      <c r="D101" s="13"/>
      <c r="E101" s="13"/>
      <c r="F101" s="13"/>
      <c r="G101" s="13"/>
      <c r="H101" s="13"/>
      <c r="I101" s="13"/>
      <c r="J101" s="13"/>
      <c r="K101" s="13"/>
      <c r="L101" s="13"/>
    </row>
    <row r="102" spans="2:12" x14ac:dyDescent="0.2">
      <c r="C102" s="13"/>
      <c r="D102" s="13"/>
      <c r="E102" s="13"/>
      <c r="F102" s="13"/>
      <c r="G102" s="13"/>
      <c r="H102" s="13"/>
      <c r="I102" s="13"/>
      <c r="J102" s="13"/>
      <c r="K102" s="13"/>
      <c r="L102" s="13"/>
    </row>
    <row r="103" spans="2:12" x14ac:dyDescent="0.2">
      <c r="C103" s="13"/>
      <c r="D103" s="13"/>
      <c r="E103" s="13"/>
      <c r="F103" s="13"/>
      <c r="G103" s="13"/>
      <c r="H103" s="13"/>
      <c r="I103" s="13"/>
      <c r="J103" s="13"/>
      <c r="K103" s="13"/>
      <c r="L103" s="13"/>
    </row>
    <row r="104" spans="2:12" x14ac:dyDescent="0.2">
      <c r="C104" s="13"/>
      <c r="D104" s="13"/>
      <c r="E104" s="13"/>
      <c r="F104" s="13"/>
      <c r="G104" s="13"/>
      <c r="H104" s="13"/>
      <c r="I104" s="13"/>
      <c r="J104" s="13"/>
      <c r="K104" s="13"/>
      <c r="L104" s="13"/>
    </row>
    <row r="105" spans="2:12" x14ac:dyDescent="0.2">
      <c r="C105" s="13"/>
      <c r="D105" s="13"/>
      <c r="E105" s="13"/>
      <c r="F105" s="13"/>
      <c r="G105" s="13"/>
      <c r="H105" s="13"/>
      <c r="I105" s="13"/>
      <c r="J105" s="13"/>
      <c r="K105" s="13"/>
      <c r="L105" s="13"/>
    </row>
    <row r="106" spans="2:12" x14ac:dyDescent="0.2">
      <c r="C106" s="13"/>
      <c r="D106" s="13"/>
      <c r="E106" s="13"/>
      <c r="F106" s="13"/>
      <c r="G106" s="13"/>
      <c r="H106" s="13"/>
      <c r="I106" s="13"/>
      <c r="J106" s="13"/>
      <c r="K106" s="13"/>
      <c r="L106" s="13"/>
    </row>
    <row r="107" spans="2:12" x14ac:dyDescent="0.2">
      <c r="B107" s="8"/>
      <c r="C107" s="46"/>
      <c r="D107" s="46"/>
      <c r="E107" s="46"/>
      <c r="F107" s="46"/>
      <c r="G107" s="46"/>
      <c r="H107" s="46"/>
      <c r="I107" s="46"/>
      <c r="J107" s="46"/>
      <c r="K107" s="46"/>
      <c r="L107" s="46"/>
    </row>
    <row r="109" spans="2:12" x14ac:dyDescent="0.2">
      <c r="B109" s="8"/>
      <c r="C109" s="47"/>
      <c r="D109" s="47"/>
      <c r="E109" s="47"/>
      <c r="F109" s="47"/>
      <c r="G109" s="47"/>
      <c r="H109" s="47"/>
      <c r="I109" s="47"/>
      <c r="J109" s="47"/>
      <c r="K109" s="47"/>
      <c r="L109" s="47"/>
    </row>
  </sheetData>
  <mergeCells count="1">
    <mergeCell ref="B2:M2"/>
  </mergeCells>
  <pageMargins left="0.7" right="0.7" top="0.75" bottom="0.75" header="0.3" footer="0.3"/>
  <pageSetup paperSize="9" orientation="portrait" horizontalDpi="0" verticalDpi="0"/>
  <ignoredErrors>
    <ignoredError sqref="M7 M10 C16:L16 M22 M25 M31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84B5-9254-1440-A5AE-B8C212134C87}">
  <dimension ref="B2:O40"/>
  <sheetViews>
    <sheetView showGridLines="0" zoomScale="150" zoomScaleNormal="150" workbookViewId="0">
      <pane xSplit="2" ySplit="3" topLeftCell="C22" activePane="bottomRight" state="frozen"/>
      <selection pane="topRight" activeCell="C1" sqref="C1"/>
      <selection pane="bottomLeft" activeCell="A4" sqref="A4"/>
      <selection pane="bottomRight" activeCell="C7" sqref="C7"/>
    </sheetView>
  </sheetViews>
  <sheetFormatPr baseColWidth="10" defaultRowHeight="15" x14ac:dyDescent="0.2"/>
  <cols>
    <col min="1" max="1" width="2" customWidth="1"/>
    <col min="2" max="2" width="26.6640625" customWidth="1"/>
    <col min="13" max="13" width="15.5" customWidth="1"/>
  </cols>
  <sheetData>
    <row r="2" spans="2:15" x14ac:dyDescent="0.2">
      <c r="B2" s="175" t="str">
        <f>"Ratio Analysis - " &amp;'Data Sheet'!B1</f>
        <v>Ratio Analysis - TATA MOTORS LTD</v>
      </c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</row>
    <row r="3" spans="2:15" x14ac:dyDescent="0.2">
      <c r="B3" s="107" t="s">
        <v>54</v>
      </c>
      <c r="C3" s="108">
        <f>'Data Sheet'!B16</f>
        <v>41729</v>
      </c>
      <c r="D3" s="108">
        <f>'Data Sheet'!C16</f>
        <v>42094</v>
      </c>
      <c r="E3" s="108">
        <f>'Data Sheet'!D16</f>
        <v>42460</v>
      </c>
      <c r="F3" s="108">
        <f>'Data Sheet'!E16</f>
        <v>42825</v>
      </c>
      <c r="G3" s="108">
        <f>'Data Sheet'!F16</f>
        <v>43190</v>
      </c>
      <c r="H3" s="108">
        <f>'Data Sheet'!G16</f>
        <v>43555</v>
      </c>
      <c r="I3" s="108">
        <f>'Data Sheet'!H16</f>
        <v>43921</v>
      </c>
      <c r="J3" s="108">
        <f>'Data Sheet'!I16</f>
        <v>44286</v>
      </c>
      <c r="K3" s="108">
        <f>'Data Sheet'!J16</f>
        <v>44651</v>
      </c>
      <c r="L3" s="108">
        <f>'Data Sheet'!K16</f>
        <v>45016</v>
      </c>
      <c r="M3" s="125" t="s">
        <v>120</v>
      </c>
      <c r="N3" s="124" t="s">
        <v>118</v>
      </c>
      <c r="O3" s="126" t="s">
        <v>119</v>
      </c>
    </row>
    <row r="5" spans="2:15" x14ac:dyDescent="0.2">
      <c r="B5" s="20" t="s">
        <v>58</v>
      </c>
      <c r="C5" s="23">
        <v>0</v>
      </c>
      <c r="D5" s="24">
        <f>IFERROR(HistoricalFS!D8, 0)</f>
        <v>0.13024457030826198</v>
      </c>
      <c r="E5" s="24">
        <f>IFERROR(HistoricalFS!E8, 0)</f>
        <v>3.75690010654397E-2</v>
      </c>
      <c r="F5" s="24">
        <f>IFERROR(HistoricalFS!F8, 0)</f>
        <v>-1.2280329732469508E-2</v>
      </c>
      <c r="G5" s="24">
        <f>IFERROR(HistoricalFS!G8, 0)</f>
        <v>8.104774581985974E-2</v>
      </c>
      <c r="H5" s="24">
        <f>IFERROR(HistoricalFS!H8, 0)</f>
        <v>3.5629919045237157E-2</v>
      </c>
      <c r="I5" s="24">
        <f>IFERROR(HistoricalFS!I8, 0)</f>
        <v>-0.135360159555724</v>
      </c>
      <c r="J5" s="24">
        <f>IFERROR(HistoricalFS!J8, 0)</f>
        <v>-4.3181168490336042E-2</v>
      </c>
      <c r="K5" s="24">
        <f>IFERROR(HistoricalFS!K8, 0)</f>
        <v>0.11472967306158344</v>
      </c>
      <c r="L5" s="24">
        <f>IFERROR(HistoricalFS!L8, 0)</f>
        <v>0.24245815155859707</v>
      </c>
      <c r="M5" s="20"/>
      <c r="N5" s="36">
        <f>IFERROR(AVERAGE(D5:L5), 0)</f>
        <v>5.0095267008938835E-2</v>
      </c>
      <c r="O5" s="36">
        <f>IFERROR(MEDIAN(C5:L5), 0)</f>
        <v>3.6599460055338429E-2</v>
      </c>
    </row>
    <row r="6" spans="2:15" x14ac:dyDescent="0.2">
      <c r="B6" t="s">
        <v>89</v>
      </c>
      <c r="C6" s="25">
        <v>0</v>
      </c>
      <c r="D6" s="26">
        <f>IFERROR(HistoricalFS!D19/HistoricalFS!C19 - 1, 0)</f>
        <v>0.12582115468924693</v>
      </c>
      <c r="E6" s="26">
        <f>IFERROR(HistoricalFS!E19/HistoricalFS!D19 - 1, 0)</f>
        <v>-2.1494113584437979E-2</v>
      </c>
      <c r="F6" s="26">
        <f>IFERROR(HistoricalFS!F19/HistoricalFS!E19 - 1, 0)</f>
        <v>-0.22936587208052905</v>
      </c>
      <c r="G6" s="26">
        <f>IFERROR(HistoricalFS!G19/HistoricalFS!F19 - 1, 0)</f>
        <v>6.3165689322506102E-2</v>
      </c>
      <c r="H6" s="26">
        <f>IFERROR(HistoricalFS!H19/HistoricalFS!G19 - 1, 0)</f>
        <v>-0.21595203460649259</v>
      </c>
      <c r="I6" s="26">
        <f>IFERROR(HistoricalFS!I19/HistoricalFS!H19 - 1, 0)</f>
        <v>-0.27072537547138131</v>
      </c>
      <c r="J6" s="26">
        <f>IFERROR(HistoricalFS!J19/HistoricalFS!I19 - 1, 0)</f>
        <v>0.79503554497758966</v>
      </c>
      <c r="K6" s="26">
        <f>IFERROR(HistoricalFS!K19/HistoricalFS!J19 - 1, 0)</f>
        <v>-0.234374182150762</v>
      </c>
      <c r="L6" s="26">
        <f>IFERROR(HistoricalFS!L19/HistoricalFS!K19 - 1, 0)</f>
        <v>0.28704223973294352</v>
      </c>
      <c r="N6" s="11">
        <f t="shared" ref="N6:N9" si="0">IFERROR(AVERAGE(D6:L6), 0)</f>
        <v>3.3239227869853699E-2</v>
      </c>
      <c r="O6" s="11">
        <f t="shared" ref="O6:O9" si="1">IFERROR(MEDIAN(C6:L6), 0)</f>
        <v>-1.074705679221899E-2</v>
      </c>
    </row>
    <row r="7" spans="2:15" x14ac:dyDescent="0.2">
      <c r="B7" t="s">
        <v>90</v>
      </c>
      <c r="C7" s="25">
        <v>0</v>
      </c>
      <c r="D7" s="26">
        <f>IFERROR(HistoricalFS!D28/HistoricalFS!C28 -1, 0)</f>
        <v>0.103163815795007</v>
      </c>
      <c r="E7" s="26">
        <f>IFERROR(HistoricalFS!E28/HistoricalFS!D28 -1, 0)</f>
        <v>-0.19978245260625749</v>
      </c>
      <c r="F7" s="26">
        <f>IFERROR(HistoricalFS!F28/HistoricalFS!E28 -1, 0)</f>
        <v>-0.55668251823863213</v>
      </c>
      <c r="G7" s="26">
        <f>IFERROR(HistoricalFS!G28/HistoricalFS!F28 -1, 0)</f>
        <v>-0.29861436616351744</v>
      </c>
      <c r="H7" s="26">
        <f>IFERROR(HistoricalFS!H28/HistoricalFS!G28 -1, 0)</f>
        <v>-1.897095149646705</v>
      </c>
      <c r="I7" s="26">
        <f>IFERROR(HistoricalFS!I28/HistoricalFS!H28 -1, 0)</f>
        <v>1.2800251873039095</v>
      </c>
      <c r="J7" s="26">
        <f>IFERROR(HistoricalFS!J28/HistoricalFS!I28 -1, 0)</f>
        <v>-1.0602479570180365</v>
      </c>
      <c r="K7" s="26">
        <f>IFERROR(HistoricalFS!K28/HistoricalFS!J28 -1, 0)</f>
        <v>-15.64914925025267</v>
      </c>
      <c r="L7" s="26">
        <f>IFERROR(HistoricalFS!L28/HistoricalFS!K28 -1, 0)</f>
        <v>-0.65313668793078505</v>
      </c>
      <c r="N7" s="11">
        <f t="shared" si="0"/>
        <v>-2.1035021531952989</v>
      </c>
      <c r="O7" s="11">
        <f t="shared" si="1"/>
        <v>-0.42764844220107479</v>
      </c>
    </row>
    <row r="8" spans="2:15" x14ac:dyDescent="0.2">
      <c r="B8" t="s">
        <v>91</v>
      </c>
      <c r="C8" s="25">
        <v>0</v>
      </c>
      <c r="D8" s="26">
        <f>IFERROR(HistoricalFS!D34/HistoricalFS!C34 -1, 0)</f>
        <v>-6.4185676009415382E-2</v>
      </c>
      <c r="E8" s="26">
        <f>IFERROR(HistoricalFS!E34/HistoricalFS!D34 -1, 0)</f>
        <v>3.1824673563310757E-2</v>
      </c>
      <c r="F8" s="26">
        <f>IFERROR(HistoricalFS!F34/HistoricalFS!E34 -1, 0)</f>
        <v>-0.69539895165986787</v>
      </c>
      <c r="G8" s="26">
        <f>IFERROR(HistoricalFS!G34/HistoricalFS!F34 -1, 0)</f>
        <v>-0.79011124197155724</v>
      </c>
      <c r="H8" s="26">
        <f>IFERROR(HistoricalFS!H34/HistoricalFS!G34 -1, 0)</f>
        <v>-3.5528470983790919</v>
      </c>
      <c r="I8" s="26">
        <f>IFERROR(HistoricalFS!I34/HistoricalFS!H34 -1, 0)</f>
        <v>3.9286702707513577</v>
      </c>
      <c r="J8" s="26">
        <f>IFERROR(HistoricalFS!J34/HistoricalFS!I34 -1, 0)</f>
        <v>-0.82862505348950144</v>
      </c>
      <c r="K8" s="26">
        <f>IFERROR(HistoricalFS!K34/HistoricalFS!J34 -1, 0)</f>
        <v>6.1952157445306248</v>
      </c>
      <c r="L8" s="26">
        <f>IFERROR(HistoricalFS!L34/HistoricalFS!K34 -1, 0)</f>
        <v>-0.7090436533357708</v>
      </c>
      <c r="N8" s="11">
        <f t="shared" si="0"/>
        <v>0.39061100155556538</v>
      </c>
      <c r="O8" s="11">
        <f t="shared" si="1"/>
        <v>-0.37979231383464163</v>
      </c>
    </row>
    <row r="9" spans="2:15" x14ac:dyDescent="0.2">
      <c r="B9" s="27" t="s">
        <v>92</v>
      </c>
      <c r="C9" s="28">
        <v>0</v>
      </c>
      <c r="D9" s="29">
        <f>IFERROR(HistoricalFS!D42/HistoricalFS!C42 - 1, 0)</f>
        <v>-1</v>
      </c>
      <c r="E9" s="29">
        <f>IFERROR(HistoricalFS!E42/HistoricalFS!D42 - 1, 0)</f>
        <v>0</v>
      </c>
      <c r="F9" s="29">
        <f>IFERROR(HistoricalFS!F42/HistoricalFS!E42 - 1, 0)</f>
        <v>-1</v>
      </c>
      <c r="G9" s="29">
        <f>IFERROR(HistoricalFS!G42/HistoricalFS!F42 - 1, 0)</f>
        <v>0</v>
      </c>
      <c r="H9" s="29">
        <f>IFERROR(HistoricalFS!H42/HistoricalFS!G42 - 1, 0)</f>
        <v>0</v>
      </c>
      <c r="I9" s="29">
        <f>IFERROR(HistoricalFS!I42/HistoricalFS!H42 - 1, 0)</f>
        <v>0</v>
      </c>
      <c r="J9" s="29">
        <f>IFERROR(HistoricalFS!J42/HistoricalFS!I42 - 1, 0)</f>
        <v>0</v>
      </c>
      <c r="K9" s="29">
        <f>IFERROR(HistoricalFS!K42/HistoricalFS!J42 - 1, 0)</f>
        <v>0</v>
      </c>
      <c r="L9" s="29">
        <f>IFERROR(HistoricalFS!L42/HistoricalFS!K42 - 1, 0)</f>
        <v>0</v>
      </c>
      <c r="M9" s="27"/>
      <c r="N9" s="37">
        <f t="shared" si="0"/>
        <v>-0.22222222222222221</v>
      </c>
      <c r="O9" s="37">
        <f t="shared" si="1"/>
        <v>0</v>
      </c>
    </row>
    <row r="11" spans="2:15" x14ac:dyDescent="0.2">
      <c r="B11" s="20" t="s">
        <v>93</v>
      </c>
      <c r="C11" s="24">
        <f>IFERROR(HistoricalFS!C14, 0)</f>
        <v>0.22635301098646982</v>
      </c>
      <c r="D11" s="24">
        <f>IFERROR(HistoricalFS!D14, 0)</f>
        <v>0.22914703499762759</v>
      </c>
      <c r="E11" s="24">
        <f>IFERROR(HistoricalFS!E14, 0)</f>
        <v>0.24734524196690946</v>
      </c>
      <c r="F11" s="24">
        <f>IFERROR(HistoricalFS!F14, 0)</f>
        <v>0.23819078253229964</v>
      </c>
      <c r="G11" s="24">
        <f>IFERROR(HistoricalFS!G14, 0)</f>
        <v>0.21649990080619999</v>
      </c>
      <c r="H11" s="24">
        <f>IFERROR(HistoricalFS!H14, 0)</f>
        <v>0.19571167496416494</v>
      </c>
      <c r="I11" s="24">
        <f>IFERROR(HistoricalFS!I14, 0)</f>
        <v>0.19417127271491774</v>
      </c>
      <c r="J11" s="24">
        <f>IFERROR(HistoricalFS!J14, 0)</f>
        <v>0.2180538622208833</v>
      </c>
      <c r="K11" s="24">
        <f>IFERROR(HistoricalFS!K14, 0)</f>
        <v>0.19807108271747378</v>
      </c>
      <c r="L11" s="24">
        <f>IFERROR(HistoricalFS!L14, 0)</f>
        <v>0.20685017994636876</v>
      </c>
      <c r="M11" s="20"/>
      <c r="N11" s="36">
        <f>IFERROR(AVERAGE(C11:L11), 0)</f>
        <v>0.21703940438533151</v>
      </c>
      <c r="O11" s="36">
        <f t="shared" ref="O11:O15" si="2">IFERROR(MEDIAN(C11:L11), 0)</f>
        <v>0.21727688151354163</v>
      </c>
    </row>
    <row r="12" spans="2:15" x14ac:dyDescent="0.2">
      <c r="B12" t="s">
        <v>94</v>
      </c>
      <c r="C12" s="26">
        <f>IFERROR(HistoricalFS!C20, 0)</f>
        <v>0.14969210207836775</v>
      </c>
      <c r="D12" s="26">
        <f>IFERROR(HistoricalFS!D20, 0)</f>
        <v>0.14910625508580397</v>
      </c>
      <c r="E12" s="26">
        <f>IFERROR(HistoricalFS!E20, 0)</f>
        <v>0.14061845347443788</v>
      </c>
      <c r="F12" s="26">
        <f>IFERROR(HistoricalFS!F20, 0)</f>
        <v>0.10971268723777329</v>
      </c>
      <c r="G12" s="26">
        <f>IFERROR(HistoricalFS!G20, 0)</f>
        <v>0.10789788444182975</v>
      </c>
      <c r="H12" s="26">
        <f>IFERROR(HistoricalFS!H20, 0)</f>
        <v>8.1686628795807431E-2</v>
      </c>
      <c r="I12" s="26">
        <f>IFERROR(HistoricalFS!I20, 0)</f>
        <v>6.8898034485042198E-2</v>
      </c>
      <c r="J12" s="26">
        <f>IFERROR(HistoricalFS!J20, 0)</f>
        <v>0.12925583904385496</v>
      </c>
      <c r="K12" s="26">
        <f>IFERROR(HistoricalFS!K20, 0)</f>
        <v>8.877632835227646E-2</v>
      </c>
      <c r="L12" s="26">
        <f>IFERROR(HistoricalFS!L20, 0)</f>
        <v>9.1961958102532049E-2</v>
      </c>
      <c r="N12" s="11">
        <f t="shared" ref="N12:N40" si="3">IFERROR(AVERAGE(C12:L12), 0)</f>
        <v>0.11176061710977256</v>
      </c>
      <c r="O12" s="11">
        <f t="shared" si="2"/>
        <v>0.10880528583980152</v>
      </c>
    </row>
    <row r="13" spans="2:15" x14ac:dyDescent="0.2">
      <c r="B13" t="s">
        <v>97</v>
      </c>
      <c r="C13" s="26">
        <f>IFERROR((HistoricalFS!C19-HistoricalFS!C25)/HistoricalFS!C7, 0)</f>
        <v>0.10211238357890337</v>
      </c>
      <c r="D13" s="26">
        <f>IFERROR((HistoricalFS!D19-HistoricalFS!D25)/HistoricalFS!D7, 0)</f>
        <v>9.8229670900837146E-2</v>
      </c>
      <c r="E13" s="26">
        <f>IFERROR((HistoricalFS!E19-HistoricalFS!E25)/HistoricalFS!E7, 0)</f>
        <v>7.941702777851016E-2</v>
      </c>
      <c r="F13" s="26">
        <f>IFERROR((HistoricalFS!F19-HistoricalFS!F25)/HistoricalFS!F7, 0)</f>
        <v>4.3322300645279484E-2</v>
      </c>
      <c r="G13" s="26">
        <f>IFERROR((HistoricalFS!G19-HistoricalFS!G25)/HistoricalFS!G7, 0)</f>
        <v>3.3970412259310953E-2</v>
      </c>
      <c r="H13" s="26">
        <f>IFERROR((HistoricalFS!H19-HistoricalFS!H25)/HistoricalFS!H7, 0)</f>
        <v>3.5560233478087663E-3</v>
      </c>
      <c r="I13" s="26">
        <f>IFERROR((HistoricalFS!I19-HistoricalFS!I25)/HistoricalFS!I7, 0)</f>
        <v>-1.3170363258273456E-2</v>
      </c>
      <c r="J13" s="26">
        <f>IFERROR((HistoricalFS!J19-HistoricalFS!J25)/HistoricalFS!J7, 0)</f>
        <v>3.4991608110258483E-2</v>
      </c>
      <c r="K13" s="26">
        <f>IFERROR((HistoricalFS!K19-HistoricalFS!K25)/HistoricalFS!K7, 0)</f>
        <v>-4.1514992694289269E-4</v>
      </c>
      <c r="L13" s="26">
        <f>IFERROR((HistoricalFS!L19-HistoricalFS!L25)/HistoricalFS!L7, 0)</f>
        <v>2.0104346955433228E-2</v>
      </c>
      <c r="N13" s="11">
        <f t="shared" si="3"/>
        <v>4.0211826039112518E-2</v>
      </c>
      <c r="O13" s="11">
        <f t="shared" si="2"/>
        <v>3.4481010184784722E-2</v>
      </c>
    </row>
    <row r="14" spans="2:15" x14ac:dyDescent="0.2">
      <c r="B14" t="s">
        <v>95</v>
      </c>
      <c r="C14" s="26">
        <f>IFERROR(HistoricalFS!C29, 0)</f>
        <v>8.1713958368390432E-2</v>
      </c>
      <c r="D14" s="26">
        <f>IFERROR(HistoricalFS!D29, 0)</f>
        <v>7.9756085085905037E-2</v>
      </c>
      <c r="E14" s="26">
        <f>IFERROR(HistoricalFS!E29, 0)</f>
        <v>6.1511300676516931E-2</v>
      </c>
      <c r="F14" s="26">
        <f>IFERROR(HistoricalFS!F29, 0)</f>
        <v>2.7608071132565179E-2</v>
      </c>
      <c r="G14" s="26">
        <f>IFERROR(HistoricalFS!G29, 0)</f>
        <v>1.7912163958707913E-2</v>
      </c>
      <c r="H14" s="26">
        <f>IFERROR(HistoricalFS!H29, 0)</f>
        <v>-1.5516078776333117E-2</v>
      </c>
      <c r="I14" s="26">
        <f>IFERROR(HistoricalFS!I29, 0)</f>
        <v>-4.0915360088026265E-2</v>
      </c>
      <c r="J14" s="26">
        <f>IFERROR(HistoricalFS!J29, 0)</f>
        <v>2.5763151547420113E-3</v>
      </c>
      <c r="K14" s="26">
        <f>IFERROR(HistoricalFS!K29, 0)</f>
        <v>-3.3856482095653805E-2</v>
      </c>
      <c r="L14" s="26">
        <f>IFERROR(HistoricalFS!L29, 0)</f>
        <v>-9.4518849588445895E-3</v>
      </c>
      <c r="N14" s="11">
        <f t="shared" si="3"/>
        <v>1.7133808845796978E-2</v>
      </c>
      <c r="O14" s="11">
        <f t="shared" si="2"/>
        <v>1.0244239556724962E-2</v>
      </c>
    </row>
    <row r="15" spans="2:15" x14ac:dyDescent="0.2">
      <c r="B15" s="27" t="s">
        <v>96</v>
      </c>
      <c r="C15" s="29">
        <f>IFERROR(HistoricalFS!C35, 0)</f>
        <v>6.124960626397391E-2</v>
      </c>
      <c r="D15" s="29">
        <f>IFERROR(HistoricalFS!D35, 0)</f>
        <v>5.0713146858982282E-2</v>
      </c>
      <c r="E15" s="29">
        <f>IFERROR(HistoricalFS!E35, 0)</f>
        <v>5.0432381990407359E-2</v>
      </c>
      <c r="F15" s="29">
        <f>IFERROR(HistoricalFS!F35, 0)</f>
        <v>1.5552749314395296E-2</v>
      </c>
      <c r="G15" s="29">
        <f>IFERROR(HistoricalFS!G35, 0)</f>
        <v>3.01961430487095E-3</v>
      </c>
      <c r="H15" s="29">
        <f>IFERROR(HistoricalFS!H35, 0)</f>
        <v>-7.4434056747998256E-3</v>
      </c>
      <c r="I15" s="29">
        <f>IFERROR(HistoricalFS!I35, 0)</f>
        <v>-4.2429333632923408E-2</v>
      </c>
      <c r="J15" s="29">
        <f>IFERROR(HistoricalFS!J35, 0)</f>
        <v>-7.5994791724005731E-3</v>
      </c>
      <c r="K15" s="29">
        <f>IFERROR(HistoricalFS!K35, 0)</f>
        <v>-4.9052154538339235E-2</v>
      </c>
      <c r="L15" s="29">
        <f>IFERROR(HistoricalFS!L35, 0)</f>
        <v>-1.1486934720964945E-2</v>
      </c>
      <c r="M15" s="27"/>
      <c r="N15" s="37">
        <f t="shared" si="3"/>
        <v>6.2956190993201811E-3</v>
      </c>
      <c r="O15" s="37">
        <f t="shared" si="2"/>
        <v>-2.2118956849644378E-3</v>
      </c>
    </row>
    <row r="17" spans="2:15" x14ac:dyDescent="0.2">
      <c r="B17" s="20" t="s">
        <v>98</v>
      </c>
      <c r="C17" s="24">
        <f>IFERROR(HistoricalFS!C17, 0)</f>
        <v>7.6660908908102038E-2</v>
      </c>
      <c r="D17" s="24">
        <f>IFERROR(HistoricalFS!D17, 0)</f>
        <v>8.0040779911823637E-2</v>
      </c>
      <c r="E17" s="24">
        <f>IFERROR(HistoricalFS!E17, 0)</f>
        <v>0.10672678849247161</v>
      </c>
      <c r="F17" s="24">
        <f>IFERROR(HistoricalFS!F17, 0)</f>
        <v>0.12847809529452636</v>
      </c>
      <c r="G17" s="24">
        <f>IFERROR(HistoricalFS!G17, 0)</f>
        <v>0.10860201636437025</v>
      </c>
      <c r="H17" s="24">
        <f>IFERROR(HistoricalFS!H17, 0)</f>
        <v>0.11402504616835751</v>
      </c>
      <c r="I17" s="24">
        <f>IFERROR(HistoricalFS!I17, 0)</f>
        <v>0.12527323822987554</v>
      </c>
      <c r="J17" s="24">
        <f>IFERROR(HistoricalFS!J17, 0)</f>
        <v>8.8798023177028354E-2</v>
      </c>
      <c r="K17" s="24">
        <f>IFERROR(HistoricalFS!K17, 0)</f>
        <v>0.10929475436519734</v>
      </c>
      <c r="L17" s="24">
        <f>IFERROR(HistoricalFS!L17, 0)</f>
        <v>0.11488822184383672</v>
      </c>
      <c r="M17" s="20"/>
      <c r="N17" s="36">
        <f t="shared" si="3"/>
        <v>0.10527878727555892</v>
      </c>
      <c r="O17" s="36">
        <f t="shared" ref="O17:O19" si="4">IFERROR(MEDIAN(C17:L17), 0)</f>
        <v>0.1089483853647838</v>
      </c>
    </row>
    <row r="18" spans="2:15" x14ac:dyDescent="0.2">
      <c r="B18" t="s">
        <v>70</v>
      </c>
      <c r="C18" s="26">
        <f>IFERROR(HistoricalFS!C26, 0)</f>
        <v>4.757971849946438E-2</v>
      </c>
      <c r="D18" s="26">
        <f>IFERROR(HistoricalFS!D26, 0)</f>
        <v>5.0876584184966822E-2</v>
      </c>
      <c r="E18" s="26">
        <f>IFERROR(HistoricalFS!E26, 0)</f>
        <v>6.1201425695927715E-2</v>
      </c>
      <c r="F18" s="26">
        <f>IFERROR(HistoricalFS!F26, 0)</f>
        <v>6.63903865924938E-2</v>
      </c>
      <c r="G18" s="26">
        <f>IFERROR(HistoricalFS!G26, 0)</f>
        <v>7.3927472182518786E-2</v>
      </c>
      <c r="H18" s="26">
        <f>IFERROR(HistoricalFS!H26, 0)</f>
        <v>7.8130605447998658E-2</v>
      </c>
      <c r="I18" s="26">
        <f>IFERROR(HistoricalFS!I26, 0)</f>
        <v>8.206839774331566E-2</v>
      </c>
      <c r="J18" s="26">
        <f>IFERROR(HistoricalFS!J26, 0)</f>
        <v>9.4264230933596482E-2</v>
      </c>
      <c r="K18" s="26">
        <f>IFERROR(HistoricalFS!K26, 0)</f>
        <v>8.9191478279219347E-2</v>
      </c>
      <c r="L18" s="26">
        <f>IFERROR(HistoricalFS!L26, 0)</f>
        <v>7.1857611147098821E-2</v>
      </c>
      <c r="N18" s="11">
        <f t="shared" si="3"/>
        <v>7.1548791070660034E-2</v>
      </c>
      <c r="O18" s="11">
        <f t="shared" si="4"/>
        <v>7.2892541664808796E-2</v>
      </c>
    </row>
    <row r="19" spans="2:15" x14ac:dyDescent="0.2">
      <c r="B19" s="27" t="s">
        <v>99</v>
      </c>
      <c r="C19" s="29">
        <f>C13</f>
        <v>0.10211238357890337</v>
      </c>
      <c r="D19" s="29">
        <f t="shared" ref="D19:L19" si="5">D13</f>
        <v>9.8229670900837146E-2</v>
      </c>
      <c r="E19" s="29">
        <f t="shared" si="5"/>
        <v>7.941702777851016E-2</v>
      </c>
      <c r="F19" s="29">
        <f t="shared" si="5"/>
        <v>4.3322300645279484E-2</v>
      </c>
      <c r="G19" s="29">
        <f t="shared" si="5"/>
        <v>3.3970412259310953E-2</v>
      </c>
      <c r="H19" s="29">
        <f t="shared" si="5"/>
        <v>3.5560233478087663E-3</v>
      </c>
      <c r="I19" s="29">
        <f t="shared" si="5"/>
        <v>-1.3170363258273456E-2</v>
      </c>
      <c r="J19" s="29">
        <f t="shared" si="5"/>
        <v>3.4991608110258483E-2</v>
      </c>
      <c r="K19" s="29">
        <f t="shared" si="5"/>
        <v>-4.1514992694289269E-4</v>
      </c>
      <c r="L19" s="29">
        <f t="shared" si="5"/>
        <v>2.0104346955433228E-2</v>
      </c>
      <c r="M19" s="27"/>
      <c r="N19" s="37">
        <f t="shared" si="3"/>
        <v>4.0211826039112518E-2</v>
      </c>
      <c r="O19" s="37">
        <f t="shared" si="4"/>
        <v>3.4481010184784722E-2</v>
      </c>
    </row>
    <row r="21" spans="2:15" x14ac:dyDescent="0.2">
      <c r="B21" s="20" t="s">
        <v>100</v>
      </c>
      <c r="C21" s="24">
        <f>IFERROR((HistoricalFS!C19-HistoricalFS!C25)/SUM(HistoricalFS!C49:C51), 0)</f>
        <v>0.18832478532145183</v>
      </c>
      <c r="D21" s="24">
        <f>IFERROR((HistoricalFS!D19-HistoricalFS!D25)/SUM(HistoricalFS!D49:D51), 0)</f>
        <v>0.19904181268509033</v>
      </c>
      <c r="E21" s="24">
        <f>IFERROR((HistoricalFS!E19-HistoricalFS!E25)/SUM(HistoricalFS!E49:E51), 0)</f>
        <v>0.1462081011853561</v>
      </c>
      <c r="F21" s="24">
        <f>IFERROR((HistoricalFS!F19-HistoricalFS!F25)/SUM(HistoricalFS!F49:F51), 0)</f>
        <v>8.5490986154773282E-2</v>
      </c>
      <c r="G21" s="24">
        <f>IFERROR((HistoricalFS!G19-HistoricalFS!G25)/SUM(HistoricalFS!G49:G51), 0)</f>
        <v>5.3716113570365424E-2</v>
      </c>
      <c r="H21" s="24">
        <f>IFERROR((HistoricalFS!H19-HistoricalFS!H25)/SUM(HistoricalFS!H49:H51), 0)</f>
        <v>6.4542733637543747E-3</v>
      </c>
      <c r="I21" s="24">
        <f>IFERROR((HistoricalFS!I19-HistoricalFS!I25)/SUM(HistoricalFS!I49:I51), 0)</f>
        <v>-1.8387082646096023E-2</v>
      </c>
      <c r="J21" s="24">
        <f>IFERROR((HistoricalFS!J19-HistoricalFS!J25)/SUM(HistoricalFS!J49:J51), 0)</f>
        <v>4.4284324706251613E-2</v>
      </c>
      <c r="K21" s="24">
        <f>IFERROR((HistoricalFS!K19-HistoricalFS!K25)/SUM(HistoricalFS!K49:K51), 0)</f>
        <v>-6.0520306054739361E-4</v>
      </c>
      <c r="L21" s="24">
        <f>IFERROR((HistoricalFS!L19-HistoricalFS!L25)/SUM(HistoricalFS!L49:L51), 0)</f>
        <v>3.8762956416083731E-2</v>
      </c>
      <c r="M21" s="20"/>
      <c r="N21" s="36">
        <f t="shared" si="3"/>
        <v>7.4329106769648337E-2</v>
      </c>
      <c r="O21" s="36">
        <f t="shared" ref="O21:O25" si="6">IFERROR(MEDIAN(C21:L21), 0)</f>
        <v>4.9000219138308515E-2</v>
      </c>
    </row>
    <row r="22" spans="2:15" x14ac:dyDescent="0.2">
      <c r="B22" t="s">
        <v>101</v>
      </c>
      <c r="C22" s="26">
        <f>IFERROR(HistoricalFS!C45, 0)</f>
        <v>0.95485720817027164</v>
      </c>
      <c r="D22" s="26">
        <f>IFERROR(HistoricalFS!D45, 0)</f>
        <v>1</v>
      </c>
      <c r="E22" s="26">
        <f>IFERROR(HistoricalFS!E45, 0)</f>
        <v>0.99506765991253665</v>
      </c>
      <c r="F22" s="26">
        <f>IFERROR(HistoricalFS!F45, 0)</f>
        <v>1</v>
      </c>
      <c r="G22" s="26">
        <f>IFERROR(HistoricalFS!G45, 0)</f>
        <v>1</v>
      </c>
      <c r="H22" s="26">
        <f>IFERROR(HistoricalFS!H45, 0)</f>
        <v>0</v>
      </c>
      <c r="I22" s="26">
        <f>IFERROR(HistoricalFS!I45, 0)</f>
        <v>0</v>
      </c>
      <c r="J22" s="26">
        <f>IFERROR(HistoricalFS!J45, 0)</f>
        <v>0</v>
      </c>
      <c r="K22" s="26">
        <f>IFERROR(HistoricalFS!K45, 0)</f>
        <v>0</v>
      </c>
      <c r="L22" s="26">
        <f>IFERROR(HistoricalFS!L45, 0)</f>
        <v>0</v>
      </c>
      <c r="N22" s="11">
        <f t="shared" si="3"/>
        <v>0.49499248680828084</v>
      </c>
      <c r="O22" s="11">
        <f t="shared" si="6"/>
        <v>0.47742860408513582</v>
      </c>
    </row>
    <row r="23" spans="2:15" x14ac:dyDescent="0.2">
      <c r="B23" t="s">
        <v>102</v>
      </c>
      <c r="C23" s="26">
        <f>IFERROR(HistoricalFS!C34/SUM(HistoricalFS!C49:C50), 0)</f>
        <v>0.21738140295975247</v>
      </c>
      <c r="D23" s="26">
        <f>IFERROR(HistoricalFS!D34/SUM(HistoricalFS!D49:D50), 0)</f>
        <v>0.2372052002491202</v>
      </c>
      <c r="E23" s="26">
        <f>IFERROR(HistoricalFS!E34/SUM(HistoricalFS!E49:E50), 0)</f>
        <v>0.17441316864171685</v>
      </c>
      <c r="F23" s="26">
        <f>IFERROR(HistoricalFS!F34/SUM(HistoricalFS!F49:F50), 0)</f>
        <v>7.2241189530689517E-2</v>
      </c>
      <c r="G23" s="26">
        <f>IFERROR(HistoricalFS!G34/SUM(HistoricalFS!G49:G50), 0)</f>
        <v>9.2254980749341738E-3</v>
      </c>
      <c r="H23" s="26">
        <f>IFERROR(HistoricalFS!H34/SUM(HistoricalFS!H49:H50), 0)</f>
        <v>-3.7345736658758885E-2</v>
      </c>
      <c r="I23" s="26">
        <f>IFERROR(HistoricalFS!I34/SUM(HistoricalFS!I49:I50), 0)</f>
        <v>-0.1780542775131683</v>
      </c>
      <c r="J23" s="26">
        <f>IFERROR(HistoricalFS!J34/SUM(HistoricalFS!J49:J50), 0)</f>
        <v>-3.4360591904822733E-2</v>
      </c>
      <c r="K23" s="26">
        <f>IFERROR(HistoricalFS!K34/SUM(HistoricalFS!K49:K50), 0)</f>
        <v>-0.30651638060341208</v>
      </c>
      <c r="L23" s="26">
        <f>IFERROR(HistoricalFS!L34/SUM(HistoricalFS!L49:L50), 0)</f>
        <v>-8.7686298356707396E-2</v>
      </c>
      <c r="N23" s="11">
        <f t="shared" si="3"/>
        <v>6.6503174419343929E-3</v>
      </c>
      <c r="O23" s="11">
        <f t="shared" si="6"/>
        <v>-1.2567546914944279E-2</v>
      </c>
    </row>
    <row r="24" spans="2:15" x14ac:dyDescent="0.2">
      <c r="B24" t="s">
        <v>103</v>
      </c>
      <c r="C24" s="26">
        <f>IFERROR(C22*C23, 0)</f>
        <v>0.20756819953828606</v>
      </c>
      <c r="D24" s="26">
        <f t="shared" ref="D24:L24" si="7">IFERROR(D22*D23, 0)</f>
        <v>0.2372052002491202</v>
      </c>
      <c r="E24" s="26">
        <f t="shared" si="7"/>
        <v>0.17355290357824379</v>
      </c>
      <c r="F24" s="26">
        <f t="shared" si="7"/>
        <v>7.2241189530689517E-2</v>
      </c>
      <c r="G24" s="26">
        <f t="shared" si="7"/>
        <v>9.2254980749341738E-3</v>
      </c>
      <c r="H24" s="26">
        <f t="shared" si="7"/>
        <v>0</v>
      </c>
      <c r="I24" s="26">
        <f t="shared" si="7"/>
        <v>0</v>
      </c>
      <c r="J24" s="26">
        <f t="shared" si="7"/>
        <v>0</v>
      </c>
      <c r="K24" s="26">
        <f t="shared" si="7"/>
        <v>0</v>
      </c>
      <c r="L24" s="26">
        <f t="shared" si="7"/>
        <v>0</v>
      </c>
      <c r="N24" s="11">
        <f t="shared" si="3"/>
        <v>6.9979299097127384E-2</v>
      </c>
      <c r="O24" s="11">
        <f t="shared" si="6"/>
        <v>4.6127490374670869E-3</v>
      </c>
    </row>
    <row r="25" spans="2:15" x14ac:dyDescent="0.2">
      <c r="B25" s="27" t="s">
        <v>104</v>
      </c>
      <c r="C25" s="30">
        <f>IFERROR((HistoricalFS!C19-HistoricalFS!C25)/HistoricalFS!C22, 0)</f>
        <v>5.0058954318824904</v>
      </c>
      <c r="D25" s="30">
        <f>IFERROR((HistoricalFS!D19-HistoricalFS!D25)/HistoricalFS!D22, 0)</f>
        <v>5.3173039541375138</v>
      </c>
      <c r="E25" s="30">
        <f>IFERROR((HistoricalFS!E19-HistoricalFS!E25)/HistoricalFS!E22, 0)</f>
        <v>4.4352863933500721</v>
      </c>
      <c r="F25" s="30">
        <f>IFERROR((HistoricalFS!F19-HistoricalFS!F25)/HistoricalFS!F22, 0)</f>
        <v>2.7568835373205922</v>
      </c>
      <c r="G25" s="30">
        <f>IFERROR((HistoricalFS!G19-HistoricalFS!G25)/HistoricalFS!G22, 0)</f>
        <v>2.1154494328024094</v>
      </c>
      <c r="H25" s="30">
        <f>IFERROR((HistoricalFS!H19-HistoricalFS!H25)/HistoricalFS!H22, 0)</f>
        <v>0.18645156808947008</v>
      </c>
      <c r="I25" s="30">
        <f>IFERROR((HistoricalFS!I19-HistoricalFS!I25)/HistoricalFS!I22, 0)</f>
        <v>-0.47469326953211261</v>
      </c>
      <c r="J25" s="30">
        <f>IFERROR((HistoricalFS!J19-HistoricalFS!J25)/HistoricalFS!J22, 0)</f>
        <v>1.079478385658198</v>
      </c>
      <c r="K25" s="30">
        <f>IFERROR((HistoricalFS!K19-HistoricalFS!K25)/HistoricalFS!K22, 0)</f>
        <v>-1.2414275987824557E-2</v>
      </c>
      <c r="L25" s="30">
        <f>IFERROR((HistoricalFS!L19-HistoricalFS!L25)/HistoricalFS!L22, 0)</f>
        <v>0.68020669934320532</v>
      </c>
      <c r="M25" s="27"/>
      <c r="N25" s="30">
        <f t="shared" si="3"/>
        <v>2.1089847857064017</v>
      </c>
      <c r="O25" s="30">
        <f t="shared" si="6"/>
        <v>1.5974639092303038</v>
      </c>
    </row>
    <row r="27" spans="2:15" x14ac:dyDescent="0.2">
      <c r="B27" s="20" t="s">
        <v>105</v>
      </c>
      <c r="C27" s="31">
        <f>IFERROR(HistoricalFS!C7/HistoricalFS!C61, 0)</f>
        <v>22.018970648453838</v>
      </c>
      <c r="D27" s="31">
        <f>IFERROR(HistoricalFS!D7/HistoricalFS!D61, 0)</f>
        <v>20.92016821419486</v>
      </c>
      <c r="E27" s="31">
        <f>IFERROR(HistoricalFS!E7/HistoricalFS!E61, 0)</f>
        <v>20.119918266350599</v>
      </c>
      <c r="F27" s="31">
        <f>IFERROR(HistoricalFS!F7/HistoricalFS!F61, 0)</f>
        <v>19.160353236640844</v>
      </c>
      <c r="G27" s="31">
        <f>IFERROR(HistoricalFS!G7/HistoricalFS!G61, 0)</f>
        <v>14.655712224718874</v>
      </c>
      <c r="H27" s="31">
        <f>IFERROR(HistoricalFS!H7/HistoricalFS!H61, 0)</f>
        <v>15.894698773489607</v>
      </c>
      <c r="I27" s="31">
        <f>IFERROR(HistoricalFS!I7/HistoricalFS!I61, 0)</f>
        <v>23.366617170976728</v>
      </c>
      <c r="J27" s="31">
        <f>IFERROR(HistoricalFS!J7/HistoricalFS!J61, 0)</f>
        <v>19.701330853658153</v>
      </c>
      <c r="K27" s="31">
        <f>IFERROR(HistoricalFS!K7/HistoricalFS!K61, 0)</f>
        <v>22.379917570317598</v>
      </c>
      <c r="L27" s="31">
        <f>IFERROR(HistoricalFS!L7/HistoricalFS!L61, 0)</f>
        <v>21.982947610142858</v>
      </c>
      <c r="M27" s="20"/>
      <c r="N27" s="31">
        <f t="shared" si="3"/>
        <v>20.020063456894395</v>
      </c>
      <c r="O27" s="31">
        <f t="shared" ref="O27:O31" si="8">IFERROR(MEDIAN(C27:L27), 0)</f>
        <v>20.520043240272727</v>
      </c>
    </row>
    <row r="28" spans="2:15" x14ac:dyDescent="0.2">
      <c r="B28" t="s">
        <v>106</v>
      </c>
      <c r="C28" s="32">
        <f>IFERROR(HistoricalFS!C7/HistoricalFS!C52, 0)</f>
        <v>2.5258516302731193</v>
      </c>
      <c r="D28" s="32">
        <f>IFERROR(HistoricalFS!D7/HistoricalFS!D52, 0)</f>
        <v>2.4493010585757142</v>
      </c>
      <c r="E28" s="32">
        <f>IFERROR(HistoricalFS!E7/HistoricalFS!E52, 0)</f>
        <v>2.3769603927858673</v>
      </c>
      <c r="F28" s="32">
        <f>IFERROR(HistoricalFS!F7/HistoricalFS!F52, 0)</f>
        <v>1.9842807783040648</v>
      </c>
      <c r="G28" s="32">
        <f>IFERROR(HistoricalFS!G7/HistoricalFS!G52, 0)</f>
        <v>2.0414780318629697</v>
      </c>
      <c r="H28" s="32">
        <f>IFERROR(HistoricalFS!H7/HistoricalFS!H52, 0)</f>
        <v>2.1667847518227492</v>
      </c>
      <c r="I28" s="32">
        <f>IFERROR(HistoricalFS!I7/HistoricalFS!I52, 0)</f>
        <v>1.9602534811345065</v>
      </c>
      <c r="J28" s="32">
        <f>IFERROR(HistoricalFS!J7/HistoricalFS!J52, 0)</f>
        <v>1.7323684804395676</v>
      </c>
      <c r="K28" s="32">
        <f>IFERROR(HistoricalFS!K7/HistoricalFS!K52, 0)</f>
        <v>2.0170312149360217</v>
      </c>
      <c r="L28" s="32">
        <f>IFERROR(HistoricalFS!L7/HistoricalFS!L52, 0)</f>
        <v>2.2286057258733614</v>
      </c>
      <c r="N28" s="32">
        <f t="shared" si="3"/>
        <v>2.1482915546007941</v>
      </c>
      <c r="O28" s="32">
        <f t="shared" si="8"/>
        <v>2.1041313918428592</v>
      </c>
    </row>
    <row r="29" spans="2:15" x14ac:dyDescent="0.2">
      <c r="B29" t="s">
        <v>107</v>
      </c>
      <c r="C29" s="32">
        <f>IFERROR(HistoricalFS!C7/HistoricalFS!C62, 0)</f>
        <v>8.5378093637574715</v>
      </c>
      <c r="D29" s="32">
        <f>IFERROR(HistoricalFS!D7/HistoricalFS!D62, 0)</f>
        <v>8.9900219797938927</v>
      </c>
      <c r="E29" s="32">
        <f>IFERROR(HistoricalFS!E7/HistoricalFS!E62, 0)</f>
        <v>8.3613381173839922</v>
      </c>
      <c r="F29" s="32">
        <f>IFERROR(HistoricalFS!F7/HistoricalFS!F62, 0)</f>
        <v>7.6867643466738649</v>
      </c>
      <c r="G29" s="32">
        <f>IFERROR(HistoricalFS!G7/HistoricalFS!G62, 0)</f>
        <v>6.9190051742350009</v>
      </c>
      <c r="H29" s="32">
        <f>IFERROR(HistoricalFS!H7/HistoricalFS!H62, 0)</f>
        <v>7.7392856309817084</v>
      </c>
      <c r="I29" s="32">
        <f>IFERROR(HistoricalFS!I7/HistoricalFS!I62, 0)</f>
        <v>6.9698269049637886</v>
      </c>
      <c r="J29" s="32">
        <f>IFERROR(HistoricalFS!J7/HistoricalFS!J62, 0)</f>
        <v>6.9217098811563442</v>
      </c>
      <c r="K29" s="32">
        <f>IFERROR(HistoricalFS!K7/HistoricalFS!K62, 0)</f>
        <v>7.9015588385356104</v>
      </c>
      <c r="L29" s="32">
        <f>IFERROR(HistoricalFS!L7/HistoricalFS!L62, 0)</f>
        <v>8.4888641723217457</v>
      </c>
      <c r="N29" s="32">
        <f t="shared" si="3"/>
        <v>7.8516184409803413</v>
      </c>
      <c r="O29" s="32">
        <f t="shared" si="8"/>
        <v>7.8204222347586594</v>
      </c>
    </row>
    <row r="30" spans="2:15" x14ac:dyDescent="0.2">
      <c r="B30" t="s">
        <v>108</v>
      </c>
      <c r="C30" s="32">
        <f>IFERROR(HistoricalFS!C7/HistoricalFS!C55, 0)</f>
        <v>3.3699237549186467</v>
      </c>
      <c r="D30" s="32">
        <f>IFERROR(HistoricalFS!D7/HistoricalFS!D55, 0)</f>
        <v>2.9742370802544178</v>
      </c>
      <c r="E30" s="32">
        <f>IFERROR(HistoricalFS!E7/HistoricalFS!E55, 0)</f>
        <v>2.546312771514708</v>
      </c>
      <c r="F30" s="32">
        <f>IFERROR(HistoricalFS!F7/HistoricalFS!F55, 0)</f>
        <v>2.8109343484246239</v>
      </c>
      <c r="G30" s="32">
        <f>IFERROR(HistoricalFS!G7/HistoricalFS!G55, 0)</f>
        <v>2.4012948768781421</v>
      </c>
      <c r="H30" s="32">
        <f>IFERROR(HistoricalFS!H7/HistoricalFS!H55, 0)</f>
        <v>2.7144319562092578</v>
      </c>
      <c r="I30" s="32">
        <f>IFERROR(HistoricalFS!I7/HistoricalFS!I55, 0)</f>
        <v>2.0539205744067566</v>
      </c>
      <c r="J30" s="32">
        <f>IFERROR(HistoricalFS!J7/HistoricalFS!J55, 0)</f>
        <v>1.8008727134726064</v>
      </c>
      <c r="K30" s="32">
        <f>IFERROR(HistoricalFS!K7/HistoricalFS!K55, 0)</f>
        <v>2.0053488717943728</v>
      </c>
      <c r="L30" s="32">
        <f>IFERROR(HistoricalFS!L7/HistoricalFS!L55, 0)</f>
        <v>2.6193791539294131</v>
      </c>
      <c r="N30" s="32">
        <f t="shared" si="3"/>
        <v>2.5296656101802943</v>
      </c>
      <c r="O30" s="32">
        <f t="shared" si="8"/>
        <v>2.5828459627220606</v>
      </c>
    </row>
    <row r="31" spans="2:15" x14ac:dyDescent="0.2">
      <c r="B31" s="27" t="s">
        <v>109</v>
      </c>
      <c r="C31" s="30">
        <f>IFERROR(HistoricalFS!C7/SUM(HistoricalFS!C49:C50), 0)</f>
        <v>3.549106944832932</v>
      </c>
      <c r="D31" s="30">
        <f>IFERROR(HistoricalFS!D7/SUM(HistoricalFS!D49:D50), 0)</f>
        <v>4.6773906756114965</v>
      </c>
      <c r="E31" s="30">
        <f>IFERROR(HistoricalFS!E7/SUM(HistoricalFS!E49:E50), 0)</f>
        <v>3.4583567493379874</v>
      </c>
      <c r="F31" s="30">
        <f>IFERROR(HistoricalFS!F7/SUM(HistoricalFS!F49:F50), 0)</f>
        <v>4.6449144180459854</v>
      </c>
      <c r="G31" s="30">
        <f>IFERROR(HistoricalFS!G7/SUM(HistoricalFS!G49:G50), 0)</f>
        <v>3.0551908765475422</v>
      </c>
      <c r="H31" s="30">
        <f>IFERROR(HistoricalFS!H7/SUM(HistoricalFS!H49:H50), 0)</f>
        <v>5.0172915853821474</v>
      </c>
      <c r="I31" s="30">
        <f>IFERROR(HistoricalFS!I7/SUM(HistoricalFS!I49:I50), 0)</f>
        <v>4.196490075795241</v>
      </c>
      <c r="J31" s="30">
        <f>IFERROR(HistoricalFS!J7/SUM(HistoricalFS!J49:J50), 0)</f>
        <v>4.5214403678625628</v>
      </c>
      <c r="K31" s="30">
        <f>IFERROR(HistoricalFS!K7/SUM(HistoricalFS!K49:K50), 0)</f>
        <v>6.2487852671963351</v>
      </c>
      <c r="L31" s="30">
        <f>IFERROR(HistoricalFS!L7/SUM(HistoricalFS!L49:L50), 0)</f>
        <v>7.6335680916398054</v>
      </c>
      <c r="M31" s="27"/>
      <c r="N31" s="30">
        <f t="shared" si="3"/>
        <v>4.700253505225203</v>
      </c>
      <c r="O31" s="30">
        <f t="shared" si="8"/>
        <v>4.5831773929542745</v>
      </c>
    </row>
    <row r="32" spans="2:15" x14ac:dyDescent="0.2">
      <c r="C32" s="22"/>
      <c r="D32" s="22"/>
      <c r="E32" s="22"/>
      <c r="F32" s="22"/>
      <c r="G32" s="22"/>
      <c r="H32" s="22"/>
      <c r="I32" s="22"/>
      <c r="J32" s="22"/>
      <c r="K32" s="22"/>
      <c r="L32" s="22"/>
    </row>
    <row r="33" spans="2:15" x14ac:dyDescent="0.2">
      <c r="B33" s="20" t="s">
        <v>110</v>
      </c>
      <c r="C33" s="33">
        <f>IFERROR(365/C27, 0)</f>
        <v>16.576615039251624</v>
      </c>
      <c r="D33" s="33">
        <f t="shared" ref="D33:L33" si="9">IFERROR(365/D27, 0)</f>
        <v>17.447278447423685</v>
      </c>
      <c r="E33" s="33">
        <f t="shared" si="9"/>
        <v>18.141226776772818</v>
      </c>
      <c r="F33" s="33">
        <f t="shared" si="9"/>
        <v>19.049753180019717</v>
      </c>
      <c r="G33" s="33">
        <f t="shared" si="9"/>
        <v>24.904964999543136</v>
      </c>
      <c r="H33" s="33">
        <f t="shared" si="9"/>
        <v>22.963631157878556</v>
      </c>
      <c r="I33" s="33">
        <f t="shared" si="9"/>
        <v>15.620575170519771</v>
      </c>
      <c r="J33" s="33">
        <f t="shared" si="9"/>
        <v>18.52666719376608</v>
      </c>
      <c r="K33" s="33">
        <f t="shared" si="9"/>
        <v>16.309264717046954</v>
      </c>
      <c r="L33" s="33">
        <f t="shared" si="9"/>
        <v>16.603778823163378</v>
      </c>
      <c r="M33" s="20"/>
      <c r="N33" s="33">
        <f t="shared" si="3"/>
        <v>18.614375550538572</v>
      </c>
      <c r="O33" s="33">
        <f t="shared" ref="O33:O36" si="10">IFERROR(MEDIAN(C33:L33), 0)</f>
        <v>17.794252612098251</v>
      </c>
    </row>
    <row r="34" spans="2:15" x14ac:dyDescent="0.2">
      <c r="B34" t="s">
        <v>111</v>
      </c>
      <c r="C34" s="34">
        <f>IFERROR(365/C28, 0)</f>
        <v>144.50571665626009</v>
      </c>
      <c r="D34" s="34">
        <f t="shared" ref="D34:L34" si="11">IFERROR(365/D28, 0)</f>
        <v>149.02210519283818</v>
      </c>
      <c r="E34" s="34">
        <f t="shared" si="11"/>
        <v>153.55745981623585</v>
      </c>
      <c r="F34" s="34">
        <f t="shared" si="11"/>
        <v>183.94574194885871</v>
      </c>
      <c r="G34" s="34">
        <f t="shared" si="11"/>
        <v>178.79202925682029</v>
      </c>
      <c r="H34" s="34">
        <f t="shared" si="11"/>
        <v>168.45235766633192</v>
      </c>
      <c r="I34" s="34">
        <f t="shared" si="11"/>
        <v>186.20040903524091</v>
      </c>
      <c r="J34" s="34">
        <f t="shared" si="11"/>
        <v>210.69420514242194</v>
      </c>
      <c r="K34" s="34">
        <f t="shared" si="11"/>
        <v>180.95902398395825</v>
      </c>
      <c r="L34" s="34">
        <f t="shared" si="11"/>
        <v>163.77953074537726</v>
      </c>
      <c r="N34" s="34">
        <f t="shared" si="3"/>
        <v>171.99085794443434</v>
      </c>
      <c r="O34" s="34">
        <f t="shared" si="10"/>
        <v>173.6221934615761</v>
      </c>
    </row>
    <row r="35" spans="2:15" x14ac:dyDescent="0.2">
      <c r="B35" t="s">
        <v>112</v>
      </c>
      <c r="C35" s="34">
        <f>IFERROR(365/C29, 0)</f>
        <v>42.751013105235728</v>
      </c>
      <c r="D35" s="34">
        <f t="shared" ref="D35:L35" si="12">IFERROR(365/D29, 0)</f>
        <v>40.600568143256986</v>
      </c>
      <c r="E35" s="34">
        <f t="shared" si="12"/>
        <v>43.653299851746382</v>
      </c>
      <c r="F35" s="34">
        <f t="shared" si="12"/>
        <v>47.484218786795374</v>
      </c>
      <c r="G35" s="34">
        <f t="shared" si="12"/>
        <v>52.753248596949661</v>
      </c>
      <c r="H35" s="34">
        <f t="shared" si="12"/>
        <v>47.161975588398164</v>
      </c>
      <c r="I35" s="34">
        <f t="shared" si="12"/>
        <v>52.368588915752468</v>
      </c>
      <c r="J35" s="34">
        <f t="shared" si="12"/>
        <v>52.732634893247351</v>
      </c>
      <c r="K35" s="34">
        <f t="shared" si="12"/>
        <v>46.193416698982041</v>
      </c>
      <c r="L35" s="34">
        <f t="shared" si="12"/>
        <v>42.997507392107408</v>
      </c>
      <c r="N35" s="34">
        <f t="shared" si="3"/>
        <v>46.869647197247154</v>
      </c>
      <c r="O35" s="34">
        <f t="shared" si="10"/>
        <v>46.677696143690099</v>
      </c>
    </row>
    <row r="36" spans="2:15" x14ac:dyDescent="0.2">
      <c r="B36" s="27" t="s">
        <v>117</v>
      </c>
      <c r="C36" s="35">
        <f>IFERROR(SUM(C33,C35)-C34, 0)</f>
        <v>-85.178088511772742</v>
      </c>
      <c r="D36" s="35">
        <f t="shared" ref="D36:L36" si="13">IFERROR(SUM(D33,D35)-D34, 0)</f>
        <v>-90.974258602157505</v>
      </c>
      <c r="E36" s="35">
        <f t="shared" si="13"/>
        <v>-91.762933187716641</v>
      </c>
      <c r="F36" s="35">
        <f t="shared" si="13"/>
        <v>-117.41176998204362</v>
      </c>
      <c r="G36" s="35">
        <f t="shared" si="13"/>
        <v>-101.13381566032749</v>
      </c>
      <c r="H36" s="35">
        <f t="shared" si="13"/>
        <v>-98.326750920055204</v>
      </c>
      <c r="I36" s="35">
        <f t="shared" si="13"/>
        <v>-118.21124494896867</v>
      </c>
      <c r="J36" s="35">
        <f t="shared" si="13"/>
        <v>-139.43490305540851</v>
      </c>
      <c r="K36" s="35">
        <f t="shared" si="13"/>
        <v>-118.45634256792925</v>
      </c>
      <c r="L36" s="35">
        <f t="shared" si="13"/>
        <v>-104.17824453010647</v>
      </c>
      <c r="M36" s="27"/>
      <c r="N36" s="35">
        <f t="shared" si="3"/>
        <v>-106.50683519664862</v>
      </c>
      <c r="O36" s="35">
        <f t="shared" si="10"/>
        <v>-102.65603009521698</v>
      </c>
    </row>
    <row r="38" spans="2:15" x14ac:dyDescent="0.2">
      <c r="B38" s="20" t="s">
        <v>113</v>
      </c>
      <c r="C38" s="24">
        <f>IFERROR(HistoricalFS!C72/HistoricalFS!C7, 0)</f>
        <v>0.15526603842416944</v>
      </c>
      <c r="D38" s="24">
        <f>IFERROR(HistoricalFS!D72/HistoricalFS!D7, 0)</f>
        <v>0.13501823118481462</v>
      </c>
      <c r="E38" s="24">
        <f>IFERROR(HistoricalFS!E72/HistoricalFS!E7, 0)</f>
        <v>0.13880296917437968</v>
      </c>
      <c r="F38" s="24">
        <f>IFERROR(HistoricalFS!F72/HistoricalFS!F7, 0)</f>
        <v>0.11197659883101685</v>
      </c>
      <c r="G38" s="24">
        <f>IFERROR(HistoricalFS!G72/HistoricalFS!G7, 0)</f>
        <v>8.1829465689783804E-2</v>
      </c>
      <c r="H38" s="24">
        <f>IFERROR(HistoricalFS!H72/HistoricalFS!H7, 0)</f>
        <v>6.2564913902968283E-2</v>
      </c>
      <c r="I38" s="24">
        <f>IFERROR(HistoricalFS!I72/HistoricalFS!I7, 0)</f>
        <v>0.10201534872316967</v>
      </c>
      <c r="J38" s="24">
        <f>IFERROR(HistoricalFS!J72/HistoricalFS!J7, 0)</f>
        <v>0.11609735592921788</v>
      </c>
      <c r="K38" s="24">
        <f>IFERROR(HistoricalFS!K72/HistoricalFS!K7, 0)</f>
        <v>5.1293389541856201E-2</v>
      </c>
      <c r="L38" s="24">
        <f>IFERROR(HistoricalFS!L72/HistoricalFS!L7, 0)</f>
        <v>0.1022872501383586</v>
      </c>
      <c r="M38" s="20"/>
      <c r="N38" s="36">
        <f t="shared" si="3"/>
        <v>0.10571515615397349</v>
      </c>
      <c r="O38" s="36">
        <f t="shared" ref="O38:O40" si="14">IFERROR(MEDIAN(C38:L38), 0)</f>
        <v>0.10713192448468772</v>
      </c>
    </row>
    <row r="39" spans="2:15" x14ac:dyDescent="0.2">
      <c r="B39" t="s">
        <v>114</v>
      </c>
      <c r="C39" s="26">
        <f>IFERROR(HistoricalFS!C72/HistoricalFS!C66, 0)</f>
        <v>0.16550759367051515</v>
      </c>
      <c r="D39" s="26">
        <f>IFERROR(HistoricalFS!D72/HistoricalFS!D66, 0)</f>
        <v>0.14972206325615023</v>
      </c>
      <c r="E39" s="26">
        <f>IFERROR(HistoricalFS!E72/HistoricalFS!E66, 0)</f>
        <v>0.14400390114722728</v>
      </c>
      <c r="F39" s="26">
        <f>IFERROR(HistoricalFS!F72/HistoricalFS!F66, 0)</f>
        <v>0.11079026383265471</v>
      </c>
      <c r="G39" s="26">
        <f>IFERROR(HistoricalFS!G72/HistoricalFS!G66, 0)</f>
        <v>7.2915700426609081E-2</v>
      </c>
      <c r="H39" s="26">
        <f>IFERROR(HistoricalFS!H72/HistoricalFS!H66, 0)</f>
        <v>6.1794355046453676E-2</v>
      </c>
      <c r="I39" s="26">
        <f>IFERROR(HistoricalFS!I72/HistoricalFS!I66, 0)</f>
        <v>8.3181306579414735E-2</v>
      </c>
      <c r="J39" s="26">
        <f>IFERROR(HistoricalFS!J72/HistoricalFS!J66, 0)</f>
        <v>8.4903585330452558E-2</v>
      </c>
      <c r="K39" s="26">
        <f>IFERROR(HistoricalFS!K72/HistoricalFS!K66, 0)</f>
        <v>4.3404744809245228E-2</v>
      </c>
      <c r="L39" s="26">
        <f>IFERROR(HistoricalFS!L72/HistoricalFS!L66, 0)</f>
        <v>0.10573861289612117</v>
      </c>
      <c r="N39" s="11">
        <f t="shared" si="3"/>
        <v>0.10219621269948438</v>
      </c>
      <c r="O39" s="11">
        <f t="shared" si="14"/>
        <v>9.5321099113286872E-2</v>
      </c>
    </row>
    <row r="40" spans="2:15" x14ac:dyDescent="0.2">
      <c r="B40" s="27" t="s">
        <v>115</v>
      </c>
      <c r="C40" s="29">
        <f>IFERROR(HistoricalFS!C72/HistoricalFS!C51, 0)</f>
        <v>0.59613787608249569</v>
      </c>
      <c r="D40" s="29">
        <f>IFERROR(HistoricalFS!D72/HistoricalFS!D51, 0)</f>
        <v>0.48269354366958256</v>
      </c>
      <c r="E40" s="29">
        <f>IFERROR(HistoricalFS!E72/HistoricalFS!E51, 0)</f>
        <v>0.54641813518923599</v>
      </c>
      <c r="F40" s="29">
        <f>IFERROR(HistoricalFS!F72/HistoricalFS!F51, 0)</f>
        <v>0.38419492244540293</v>
      </c>
      <c r="G40" s="29">
        <f>IFERROR(HistoricalFS!G72/HistoricalFS!G51, 0)</f>
        <v>0.26821016235214945</v>
      </c>
      <c r="H40" s="29">
        <f>IFERROR(HistoricalFS!H72/HistoricalFS!H51, 0)</f>
        <v>0.17792031558363741</v>
      </c>
      <c r="I40" s="29">
        <f>IFERROR(HistoricalFS!I72/HistoricalFS!I51, 0)</f>
        <v>0.21342610534184314</v>
      </c>
      <c r="J40" s="29">
        <f>IFERROR(HistoricalFS!J72/HistoricalFS!J51, 0)</f>
        <v>0.20404132622559662</v>
      </c>
      <c r="K40" s="29">
        <f>IFERROR(HistoricalFS!K72/HistoricalFS!K51, 0)</f>
        <v>9.7527651770721868E-2</v>
      </c>
      <c r="L40" s="29">
        <f>IFERROR(HistoricalFS!L72/HistoricalFS!L51, 0)</f>
        <v>0.26386624636576322</v>
      </c>
      <c r="M40" s="27"/>
      <c r="N40" s="37">
        <f t="shared" si="3"/>
        <v>0.32344362850264285</v>
      </c>
      <c r="O40" s="37">
        <f t="shared" si="14"/>
        <v>0.26603820435895631</v>
      </c>
    </row>
  </sheetData>
  <mergeCells count="1">
    <mergeCell ref="B2:O2"/>
  </mergeCell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low="1" xr2:uid="{C583B191-3FEA-AA46-BCA7-34FABD0F270A}">
          <x14:colorSeries theme="4" tint="-0.499984740745262"/>
          <x14:colorNegative rgb="FF0070C0"/>
          <x14:colorAxis rgb="FF000000"/>
          <x14:colorMarkers rgb="FF0070C0"/>
          <x14:colorFirst rgb="FF0070C0"/>
          <x14:colorLast rgb="FF0070C0"/>
          <x14:colorHigh rgb="FF00B050"/>
          <x14:colorLow rgb="FFFF0000"/>
          <x14:sparklines>
            <x14:sparkline>
              <xm:f>'Ratio Analysis'!D5:L5</xm:f>
              <xm:sqref>M5</xm:sqref>
            </x14:sparkline>
            <x14:sparkline>
              <xm:f>'Ratio Analysis'!D6:L6</xm:f>
              <xm:sqref>M6</xm:sqref>
            </x14:sparkline>
            <x14:sparkline>
              <xm:f>'Ratio Analysis'!D7:L7</xm:f>
              <xm:sqref>M7</xm:sqref>
            </x14:sparkline>
            <x14:sparkline>
              <xm:f>'Ratio Analysis'!D8:L8</xm:f>
              <xm:sqref>M8</xm:sqref>
            </x14:sparkline>
            <x14:sparkline>
              <xm:f>'Ratio Analysis'!D9:L9</xm:f>
              <xm:sqref>M9</xm:sqref>
            </x14:sparkline>
          </x14:sparklines>
        </x14:sparklineGroup>
        <x14:sparklineGroup displayEmptyCellsAs="gap" high="1" low="1" xr2:uid="{04418E4A-EF77-5940-967D-FDB30C86E6F3}">
          <x14:colorSeries theme="4" tint="-0.499984740745262"/>
          <x14:colorNegative rgb="FF0070C0"/>
          <x14:colorAxis rgb="FF000000"/>
          <x14:colorMarkers rgb="FF0070C0"/>
          <x14:colorFirst rgb="FF0070C0"/>
          <x14:colorLast rgb="FF0070C0"/>
          <x14:colorHigh rgb="FF00B050"/>
          <x14:colorLow rgb="FFFF0000"/>
          <x14:sparklines>
            <x14:sparkline>
              <xm:f>'Ratio Analysis'!C11:L11</xm:f>
              <xm:sqref>M11</xm:sqref>
            </x14:sparkline>
            <x14:sparkline>
              <xm:f>'Ratio Analysis'!C12:L12</xm:f>
              <xm:sqref>M12</xm:sqref>
            </x14:sparkline>
            <x14:sparkline>
              <xm:f>'Ratio Analysis'!C13:L13</xm:f>
              <xm:sqref>M13</xm:sqref>
            </x14:sparkline>
            <x14:sparkline>
              <xm:f>'Ratio Analysis'!C14:L14</xm:f>
              <xm:sqref>M14</xm:sqref>
            </x14:sparkline>
            <x14:sparkline>
              <xm:f>'Ratio Analysis'!C15:L15</xm:f>
              <xm:sqref>M15</xm:sqref>
            </x14:sparkline>
            <x14:sparkline>
              <xm:f>'Ratio Analysis'!C16:L16</xm:f>
              <xm:sqref>M16</xm:sqref>
            </x14:sparkline>
            <x14:sparkline>
              <xm:f>'Ratio Analysis'!C17:L17</xm:f>
              <xm:sqref>M17</xm:sqref>
            </x14:sparkline>
            <x14:sparkline>
              <xm:f>'Ratio Analysis'!C18:L18</xm:f>
              <xm:sqref>M18</xm:sqref>
            </x14:sparkline>
            <x14:sparkline>
              <xm:f>'Ratio Analysis'!C19:L19</xm:f>
              <xm:sqref>M19</xm:sqref>
            </x14:sparkline>
            <x14:sparkline>
              <xm:f>'Ratio Analysis'!C20:L20</xm:f>
              <xm:sqref>M20</xm:sqref>
            </x14:sparkline>
            <x14:sparkline>
              <xm:f>'Ratio Analysis'!C21:L21</xm:f>
              <xm:sqref>M21</xm:sqref>
            </x14:sparkline>
            <x14:sparkline>
              <xm:f>'Ratio Analysis'!C22:L22</xm:f>
              <xm:sqref>M22</xm:sqref>
            </x14:sparkline>
            <x14:sparkline>
              <xm:f>'Ratio Analysis'!C23:L23</xm:f>
              <xm:sqref>M23</xm:sqref>
            </x14:sparkline>
            <x14:sparkline>
              <xm:f>'Ratio Analysis'!C24:L24</xm:f>
              <xm:sqref>M24</xm:sqref>
            </x14:sparkline>
            <x14:sparkline>
              <xm:f>'Ratio Analysis'!C25:L25</xm:f>
              <xm:sqref>M25</xm:sqref>
            </x14:sparkline>
            <x14:sparkline>
              <xm:f>'Ratio Analysis'!C26:L26</xm:f>
              <xm:sqref>M26</xm:sqref>
            </x14:sparkline>
            <x14:sparkline>
              <xm:f>'Ratio Analysis'!C27:L27</xm:f>
              <xm:sqref>M27</xm:sqref>
            </x14:sparkline>
            <x14:sparkline>
              <xm:f>'Ratio Analysis'!C28:L28</xm:f>
              <xm:sqref>M28</xm:sqref>
            </x14:sparkline>
            <x14:sparkline>
              <xm:f>'Ratio Analysis'!C29:L29</xm:f>
              <xm:sqref>M29</xm:sqref>
            </x14:sparkline>
            <x14:sparkline>
              <xm:f>'Ratio Analysis'!C30:L30</xm:f>
              <xm:sqref>M30</xm:sqref>
            </x14:sparkline>
            <x14:sparkline>
              <xm:f>'Ratio Analysis'!C31:L31</xm:f>
              <xm:sqref>M31</xm:sqref>
            </x14:sparkline>
            <x14:sparkline>
              <xm:f>'Ratio Analysis'!C32:L32</xm:f>
              <xm:sqref>M32</xm:sqref>
            </x14:sparkline>
            <x14:sparkline>
              <xm:f>'Ratio Analysis'!C33:L33</xm:f>
              <xm:sqref>M33</xm:sqref>
            </x14:sparkline>
            <x14:sparkline>
              <xm:f>'Ratio Analysis'!C34:L34</xm:f>
              <xm:sqref>M34</xm:sqref>
            </x14:sparkline>
            <x14:sparkline>
              <xm:f>'Ratio Analysis'!C35:L35</xm:f>
              <xm:sqref>M35</xm:sqref>
            </x14:sparkline>
            <x14:sparkline>
              <xm:f>'Ratio Analysis'!C36:L36</xm:f>
              <xm:sqref>M36</xm:sqref>
            </x14:sparkline>
            <x14:sparkline>
              <xm:f>'Ratio Analysis'!C37:L37</xm:f>
              <xm:sqref>M37</xm:sqref>
            </x14:sparkline>
            <x14:sparkline>
              <xm:f>'Ratio Analysis'!C38:L38</xm:f>
              <xm:sqref>M38</xm:sqref>
            </x14:sparkline>
            <x14:sparkline>
              <xm:f>'Ratio Analysis'!C39:L39</xm:f>
              <xm:sqref>M39</xm:sqref>
            </x14:sparkline>
            <x14:sparkline>
              <xm:f>'Ratio Analysis'!C40:L40</xm:f>
              <xm:sqref>M40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CDE70-CE5F-C54D-9943-CD5DCC7279FD}">
  <dimension ref="B2:O18"/>
  <sheetViews>
    <sheetView showGridLines="0" zoomScale="150" zoomScaleNormal="150" workbookViewId="0">
      <selection activeCell="L2" sqref="L2:O3"/>
    </sheetView>
  </sheetViews>
  <sheetFormatPr baseColWidth="10" defaultRowHeight="15" x14ac:dyDescent="0.2"/>
  <cols>
    <col min="1" max="1" width="2" customWidth="1"/>
    <col min="4" max="4" width="11.1640625" bestFit="1" customWidth="1"/>
    <col min="6" max="6" width="2.83203125" customWidth="1"/>
    <col min="10" max="10" width="12.83203125" bestFit="1" customWidth="1"/>
    <col min="11" max="11" width="2.83203125" customWidth="1"/>
  </cols>
  <sheetData>
    <row r="2" spans="2:15" x14ac:dyDescent="0.2">
      <c r="B2" s="175" t="str">
        <f>'Data Sheet'!$B$1&amp;" - "&amp;'Data Sheet'!A17&amp;" Forecast"</f>
        <v>TATA MOTORS LTD - Sales Forecast</v>
      </c>
      <c r="C2" s="175"/>
      <c r="D2" s="175"/>
      <c r="E2" s="175"/>
      <c r="G2" s="175" t="str">
        <f>'Data Sheet'!$B$1&amp;" - "&amp;HistoricalFS!B19&amp;" Forecast"</f>
        <v>TATA MOTORS LTD - EBITDA Forecast</v>
      </c>
      <c r="H2" s="175"/>
      <c r="I2" s="175"/>
      <c r="J2" s="175"/>
      <c r="L2" s="175" t="str">
        <f>'Data Sheet'!$B$1&amp;" - "&amp;HistoricalFS!B39&amp;" Forecast"</f>
        <v>TATA MOTORS LTD - Earning per shares Forecast</v>
      </c>
      <c r="M2" s="175"/>
      <c r="N2" s="175"/>
      <c r="O2" s="175"/>
    </row>
    <row r="3" spans="2:15" x14ac:dyDescent="0.2">
      <c r="B3" s="107" t="s">
        <v>121</v>
      </c>
      <c r="C3" s="127" t="s">
        <v>122</v>
      </c>
      <c r="D3" s="128" t="s">
        <v>12</v>
      </c>
      <c r="E3" s="128" t="s">
        <v>58</v>
      </c>
      <c r="G3" s="107" t="s">
        <v>121</v>
      </c>
      <c r="H3" s="127" t="s">
        <v>122</v>
      </c>
      <c r="I3" s="128" t="s">
        <v>66</v>
      </c>
      <c r="J3" s="128" t="s">
        <v>89</v>
      </c>
      <c r="L3" s="107" t="s">
        <v>121</v>
      </c>
      <c r="M3" s="127" t="s">
        <v>122</v>
      </c>
      <c r="N3" s="128" t="s">
        <v>126</v>
      </c>
      <c r="O3" s="128" t="s">
        <v>127</v>
      </c>
    </row>
    <row r="4" spans="2:15" x14ac:dyDescent="0.2">
      <c r="B4" s="38">
        <v>1</v>
      </c>
      <c r="C4" s="40">
        <f>'Data Sheet'!$B$16</f>
        <v>41729</v>
      </c>
      <c r="D4" s="41">
        <f t="array" ref="D4:D13">TRANSPOSE(HistoricalFS!C7:L7)</f>
        <v>232833.66</v>
      </c>
      <c r="G4" s="38">
        <v>1</v>
      </c>
      <c r="H4" s="40">
        <f>'Data Sheet'!$B$16</f>
        <v>41729</v>
      </c>
      <c r="I4" s="41">
        <f t="array" ref="I4:I13">TRANSPOSE(HistoricalFS!C19:L19)</f>
        <v>34853.359999999971</v>
      </c>
      <c r="L4" s="38">
        <v>1</v>
      </c>
      <c r="M4" s="40">
        <f>'Data Sheet'!$B$16</f>
        <v>41729</v>
      </c>
      <c r="N4" s="41">
        <f t="array" ref="N4:N13">TRANSPOSE(HistoricalFS!C39:L39)</f>
        <v>49.390351180993186</v>
      </c>
    </row>
    <row r="5" spans="2:15" x14ac:dyDescent="0.2">
      <c r="B5" s="38">
        <f>B4+1</f>
        <v>2</v>
      </c>
      <c r="C5" s="40">
        <f>C4+365</f>
        <v>42094</v>
      </c>
      <c r="D5" s="41">
        <v>263158.98</v>
      </c>
      <c r="E5" s="39">
        <f>IFERROR(D5/D4-1, 0)</f>
        <v>0.13024457030826198</v>
      </c>
      <c r="G5" s="38">
        <f>G4+1</f>
        <v>2</v>
      </c>
      <c r="H5" s="40">
        <f>H4+365</f>
        <v>42094</v>
      </c>
      <c r="I5" s="41">
        <v>39238.64999999998</v>
      </c>
      <c r="J5" s="39">
        <f>IFERROR(I5/I4-1, 0)</f>
        <v>0.12582115468924693</v>
      </c>
      <c r="L5" s="38">
        <f>L4+1</f>
        <v>2</v>
      </c>
      <c r="M5" s="40">
        <f>M4+365</f>
        <v>42094</v>
      </c>
      <c r="N5" s="41">
        <v>46.220198102098706</v>
      </c>
      <c r="O5" s="39">
        <f>IFERROR(N5/N4-1, 0)</f>
        <v>-6.4185676009415493E-2</v>
      </c>
    </row>
    <row r="6" spans="2:15" x14ac:dyDescent="0.2">
      <c r="B6" s="38">
        <f t="shared" ref="B6:B18" si="0">B5+1</f>
        <v>3</v>
      </c>
      <c r="C6" s="40">
        <f t="shared" ref="C6:C18" si="1">C5+365</f>
        <v>42459</v>
      </c>
      <c r="D6" s="41">
        <v>273045.59999999998</v>
      </c>
      <c r="E6" s="39">
        <f t="shared" ref="E6:E18" si="2">IFERROR(D6/D5-1, 0)</f>
        <v>3.75690010654397E-2</v>
      </c>
      <c r="G6" s="38">
        <f t="shared" ref="G6:G18" si="3">G5+1</f>
        <v>3</v>
      </c>
      <c r="H6" s="40">
        <f t="shared" ref="H6:H18" si="4">H5+365</f>
        <v>42459</v>
      </c>
      <c r="I6" s="41">
        <v>38395.249999999971</v>
      </c>
      <c r="J6" s="39">
        <f t="shared" ref="J6:J18" si="5">IFERROR(I6/I5-1, 0)</f>
        <v>-2.1494113584437979E-2</v>
      </c>
      <c r="L6" s="38">
        <f t="shared" ref="L6:L18" si="6">L5+1</f>
        <v>3</v>
      </c>
      <c r="M6" s="40">
        <f t="shared" ref="M6:M18" si="7">M5+365</f>
        <v>42459</v>
      </c>
      <c r="N6" s="41">
        <v>47.694444444444336</v>
      </c>
      <c r="O6" s="39">
        <f t="shared" ref="O6:O18" si="8">IFERROR(N6/N5-1, 0)</f>
        <v>3.189614936502605E-2</v>
      </c>
    </row>
    <row r="7" spans="2:15" x14ac:dyDescent="0.2">
      <c r="B7" s="38">
        <f t="shared" si="0"/>
        <v>4</v>
      </c>
      <c r="C7" s="40">
        <f t="shared" si="1"/>
        <v>42824</v>
      </c>
      <c r="D7" s="41">
        <v>269692.51</v>
      </c>
      <c r="E7" s="39">
        <f t="shared" si="2"/>
        <v>-1.2280329732469508E-2</v>
      </c>
      <c r="G7" s="38">
        <f t="shared" si="3"/>
        <v>4</v>
      </c>
      <c r="H7" s="40">
        <f t="shared" si="4"/>
        <v>42824</v>
      </c>
      <c r="I7" s="41">
        <v>29588.690000000046</v>
      </c>
      <c r="J7" s="39">
        <f t="shared" si="5"/>
        <v>-0.22936587208052905</v>
      </c>
      <c r="L7" s="38">
        <f t="shared" si="6"/>
        <v>4</v>
      </c>
      <c r="M7" s="40">
        <f t="shared" si="7"/>
        <v>42824</v>
      </c>
      <c r="N7" s="41">
        <v>14.527274616423808</v>
      </c>
      <c r="O7" s="39">
        <f t="shared" si="8"/>
        <v>-0.69540950134463697</v>
      </c>
    </row>
    <row r="8" spans="2:15" x14ac:dyDescent="0.2">
      <c r="B8" s="38">
        <f t="shared" si="0"/>
        <v>5</v>
      </c>
      <c r="C8" s="40">
        <f t="shared" si="1"/>
        <v>43189</v>
      </c>
      <c r="D8" s="41">
        <v>291550.48</v>
      </c>
      <c r="E8" s="39">
        <f t="shared" si="2"/>
        <v>8.104774581985974E-2</v>
      </c>
      <c r="G8" s="38">
        <f t="shared" si="3"/>
        <v>5</v>
      </c>
      <c r="H8" s="40">
        <f t="shared" si="4"/>
        <v>43189</v>
      </c>
      <c r="I8" s="41">
        <v>31457.679999999993</v>
      </c>
      <c r="J8" s="39">
        <f t="shared" si="5"/>
        <v>6.3165689322506102E-2</v>
      </c>
      <c r="L8" s="38">
        <f t="shared" si="6"/>
        <v>5</v>
      </c>
      <c r="M8" s="40">
        <f t="shared" si="7"/>
        <v>43189</v>
      </c>
      <c r="N8" s="41">
        <v>3.049111626779315</v>
      </c>
      <c r="O8" s="39">
        <f t="shared" si="8"/>
        <v>-0.79011124197155724</v>
      </c>
    </row>
    <row r="9" spans="2:15" x14ac:dyDescent="0.2">
      <c r="B9" s="38">
        <f t="shared" si="0"/>
        <v>6</v>
      </c>
      <c r="C9" s="40">
        <f t="shared" si="1"/>
        <v>43554</v>
      </c>
      <c r="D9" s="41">
        <v>301938.40000000002</v>
      </c>
      <c r="E9" s="39">
        <f t="shared" si="2"/>
        <v>3.5629919045237157E-2</v>
      </c>
      <c r="G9" s="38">
        <f t="shared" si="3"/>
        <v>6</v>
      </c>
      <c r="H9" s="40">
        <f t="shared" si="4"/>
        <v>43554</v>
      </c>
      <c r="I9" s="41">
        <v>24664.330000000024</v>
      </c>
      <c r="J9" s="39">
        <f t="shared" si="5"/>
        <v>-0.21595203460649259</v>
      </c>
      <c r="L9" s="38">
        <f t="shared" si="6"/>
        <v>6</v>
      </c>
      <c r="M9" s="40">
        <f t="shared" si="7"/>
        <v>43554</v>
      </c>
      <c r="N9" s="41">
        <v>-7.7839157690575265</v>
      </c>
      <c r="O9" s="39">
        <f t="shared" si="8"/>
        <v>-3.5528470983790919</v>
      </c>
    </row>
    <row r="10" spans="2:15" x14ac:dyDescent="0.2">
      <c r="B10" s="38">
        <f t="shared" si="0"/>
        <v>7</v>
      </c>
      <c r="C10" s="40">
        <f t="shared" si="1"/>
        <v>43919</v>
      </c>
      <c r="D10" s="41">
        <v>261067.97</v>
      </c>
      <c r="E10" s="39">
        <f t="shared" si="2"/>
        <v>-0.135360159555724</v>
      </c>
      <c r="G10" s="38">
        <f t="shared" si="3"/>
        <v>7</v>
      </c>
      <c r="H10" s="40">
        <f t="shared" si="4"/>
        <v>43919</v>
      </c>
      <c r="I10" s="41">
        <v>17987.069999999963</v>
      </c>
      <c r="J10" s="39">
        <f t="shared" si="5"/>
        <v>-0.27072537547138131</v>
      </c>
      <c r="L10" s="38">
        <f t="shared" si="6"/>
        <v>7</v>
      </c>
      <c r="M10" s="40">
        <f t="shared" si="7"/>
        <v>43919</v>
      </c>
      <c r="N10" s="41">
        <v>-35.859307219164904</v>
      </c>
      <c r="O10" s="39">
        <f t="shared" si="8"/>
        <v>3.6068467700681115</v>
      </c>
    </row>
    <row r="11" spans="2:15" x14ac:dyDescent="0.2">
      <c r="B11" s="38">
        <f t="shared" si="0"/>
        <v>8</v>
      </c>
      <c r="C11" s="40">
        <f t="shared" si="1"/>
        <v>44284</v>
      </c>
      <c r="D11" s="41">
        <v>249794.75</v>
      </c>
      <c r="E11" s="39">
        <f t="shared" si="2"/>
        <v>-4.3181168490336042E-2</v>
      </c>
      <c r="G11" s="38">
        <f t="shared" si="3"/>
        <v>8</v>
      </c>
      <c r="H11" s="40">
        <f t="shared" si="4"/>
        <v>44284</v>
      </c>
      <c r="I11" s="41">
        <v>32287.429999999989</v>
      </c>
      <c r="J11" s="39">
        <f t="shared" si="5"/>
        <v>0.79503554497758966</v>
      </c>
      <c r="L11" s="38">
        <f t="shared" si="6"/>
        <v>8</v>
      </c>
      <c r="M11" s="40">
        <f t="shared" si="7"/>
        <v>44284</v>
      </c>
      <c r="N11" s="41">
        <v>-5.7172845827184542</v>
      </c>
      <c r="O11" s="39">
        <f t="shared" si="8"/>
        <v>-0.84056344011958861</v>
      </c>
    </row>
    <row r="12" spans="2:15" x14ac:dyDescent="0.2">
      <c r="B12" s="38">
        <f t="shared" si="0"/>
        <v>9</v>
      </c>
      <c r="C12" s="40">
        <f t="shared" si="1"/>
        <v>44649</v>
      </c>
      <c r="D12" s="41">
        <v>278453.62</v>
      </c>
      <c r="E12" s="39">
        <f t="shared" si="2"/>
        <v>0.11472967306158344</v>
      </c>
      <c r="G12" s="38">
        <f t="shared" si="3"/>
        <v>9</v>
      </c>
      <c r="H12" s="40">
        <f t="shared" si="4"/>
        <v>44649</v>
      </c>
      <c r="I12" s="41">
        <v>24720.090000000015</v>
      </c>
      <c r="J12" s="39">
        <f t="shared" si="5"/>
        <v>-0.234374182150762</v>
      </c>
      <c r="L12" s="38">
        <f t="shared" si="6"/>
        <v>9</v>
      </c>
      <c r="M12" s="40">
        <f t="shared" si="7"/>
        <v>44649</v>
      </c>
      <c r="N12" s="41">
        <v>-41.132140813683833</v>
      </c>
      <c r="O12" s="39">
        <f t="shared" si="8"/>
        <v>6.194349033807641</v>
      </c>
    </row>
    <row r="13" spans="2:15" x14ac:dyDescent="0.2">
      <c r="B13" s="38">
        <f t="shared" si="0"/>
        <v>10</v>
      </c>
      <c r="C13" s="40">
        <f t="shared" si="1"/>
        <v>45014</v>
      </c>
      <c r="D13" s="41">
        <v>345966.97</v>
      </c>
      <c r="E13" s="39">
        <f t="shared" si="2"/>
        <v>0.24245815155859707</v>
      </c>
      <c r="G13" s="38">
        <f t="shared" si="3"/>
        <v>10</v>
      </c>
      <c r="H13" s="40">
        <f t="shared" si="4"/>
        <v>45014</v>
      </c>
      <c r="I13" s="41">
        <v>31815.799999999959</v>
      </c>
      <c r="J13" s="39">
        <f t="shared" si="5"/>
        <v>0.28704223973294352</v>
      </c>
      <c r="L13" s="38">
        <f t="shared" si="6"/>
        <v>10</v>
      </c>
      <c r="M13" s="40">
        <f t="shared" si="7"/>
        <v>45014</v>
      </c>
      <c r="N13" s="41">
        <v>-11.965495438533218</v>
      </c>
      <c r="O13" s="39">
        <f t="shared" si="8"/>
        <v>-0.70909621522659627</v>
      </c>
    </row>
    <row r="14" spans="2:15" x14ac:dyDescent="0.2">
      <c r="B14" s="42">
        <f t="shared" si="0"/>
        <v>11</v>
      </c>
      <c r="C14" s="43">
        <f t="shared" si="1"/>
        <v>45379</v>
      </c>
      <c r="D14" s="44">
        <f>FORECAST(B14,$D$4:$D$13,$B$4:$B$13)</f>
        <v>309867.70466666657</v>
      </c>
      <c r="E14" s="45">
        <f t="shared" si="2"/>
        <v>-0.10434309764696148</v>
      </c>
      <c r="G14" s="42">
        <f t="shared" si="3"/>
        <v>11</v>
      </c>
      <c r="H14" s="43">
        <f t="shared" si="4"/>
        <v>45379</v>
      </c>
      <c r="I14" s="44">
        <f>FORECAST(G14,I4:I13,G4:G13)</f>
        <v>23797.325999999983</v>
      </c>
      <c r="J14" s="45">
        <f t="shared" si="5"/>
        <v>-0.25202804895680719</v>
      </c>
      <c r="L14" s="42">
        <f t="shared" si="6"/>
        <v>11</v>
      </c>
      <c r="M14" s="43">
        <f t="shared" si="7"/>
        <v>45379</v>
      </c>
      <c r="N14" s="44">
        <f>FORECAST(L14,$N$4:$N$13,$L$4:$L$13)</f>
        <v>-47.24835671939627</v>
      </c>
      <c r="O14" s="45">
        <f t="shared" si="8"/>
        <v>2.9487171226725386</v>
      </c>
    </row>
    <row r="15" spans="2:15" x14ac:dyDescent="0.2">
      <c r="B15" s="42">
        <f t="shared" si="0"/>
        <v>12</v>
      </c>
      <c r="C15" s="43">
        <f t="shared" si="1"/>
        <v>45744</v>
      </c>
      <c r="D15" s="44">
        <f t="shared" ref="D15:D18" si="9">FORECAST(B15,$D$4:$D$13,$B$4:$B$13)</f>
        <v>315889.05206060596</v>
      </c>
      <c r="E15" s="45">
        <f t="shared" si="2"/>
        <v>1.9431994051838153E-2</v>
      </c>
      <c r="G15" s="42">
        <f t="shared" si="3"/>
        <v>12</v>
      </c>
      <c r="H15" s="43">
        <f t="shared" si="4"/>
        <v>45744</v>
      </c>
      <c r="I15" s="44">
        <f t="shared" ref="I15:I18" si="10">FORECAST(G15,I5:I14,G5:G14)</f>
        <v>22276.595733333321</v>
      </c>
      <c r="J15" s="45">
        <f t="shared" si="5"/>
        <v>-6.3903409427876978E-2</v>
      </c>
      <c r="L15" s="42">
        <f t="shared" si="6"/>
        <v>12</v>
      </c>
      <c r="M15" s="43">
        <f t="shared" si="7"/>
        <v>45744</v>
      </c>
      <c r="N15" s="44">
        <f t="shared" ref="N15:N18" si="11">FORECAST(L15,$N$4:$N$13,$L$4:$L$13)</f>
        <v>-56.90120768924254</v>
      </c>
      <c r="O15" s="45">
        <f t="shared" si="8"/>
        <v>0.20430024745989961</v>
      </c>
    </row>
    <row r="16" spans="2:15" x14ac:dyDescent="0.2">
      <c r="B16" s="42">
        <f t="shared" si="0"/>
        <v>13</v>
      </c>
      <c r="C16" s="43">
        <f t="shared" si="1"/>
        <v>46109</v>
      </c>
      <c r="D16" s="44">
        <f t="shared" si="9"/>
        <v>321910.39945454535</v>
      </c>
      <c r="E16" s="45">
        <f t="shared" si="2"/>
        <v>1.90615893607613E-2</v>
      </c>
      <c r="G16" s="42">
        <f t="shared" si="3"/>
        <v>13</v>
      </c>
      <c r="H16" s="43">
        <f t="shared" si="4"/>
        <v>46109</v>
      </c>
      <c r="I16" s="44">
        <f t="shared" si="10"/>
        <v>22054.052959999979</v>
      </c>
      <c r="J16" s="45">
        <f t="shared" si="5"/>
        <v>-9.9899812339971916E-3</v>
      </c>
      <c r="L16" s="42">
        <f t="shared" si="6"/>
        <v>13</v>
      </c>
      <c r="M16" s="43">
        <f t="shared" si="7"/>
        <v>46109</v>
      </c>
      <c r="N16" s="44">
        <f t="shared" si="11"/>
        <v>-66.554058659088795</v>
      </c>
      <c r="O16" s="45">
        <f t="shared" si="8"/>
        <v>0.16964228637402323</v>
      </c>
    </row>
    <row r="17" spans="2:15" x14ac:dyDescent="0.2">
      <c r="B17" s="42">
        <f t="shared" si="0"/>
        <v>14</v>
      </c>
      <c r="C17" s="43">
        <f t="shared" si="1"/>
        <v>46474</v>
      </c>
      <c r="D17" s="44">
        <f t="shared" si="9"/>
        <v>327931.74684848473</v>
      </c>
      <c r="E17" s="45">
        <f t="shared" si="2"/>
        <v>1.8705041539950784E-2</v>
      </c>
      <c r="G17" s="42">
        <f t="shared" si="3"/>
        <v>14</v>
      </c>
      <c r="H17" s="43">
        <f t="shared" si="4"/>
        <v>46474</v>
      </c>
      <c r="I17" s="44">
        <f t="shared" si="10"/>
        <v>22648.39002844441</v>
      </c>
      <c r="J17" s="45">
        <f t="shared" si="5"/>
        <v>2.694910860703903E-2</v>
      </c>
      <c r="L17" s="42">
        <f t="shared" si="6"/>
        <v>14</v>
      </c>
      <c r="M17" s="43">
        <f t="shared" si="7"/>
        <v>46474</v>
      </c>
      <c r="N17" s="44">
        <f t="shared" si="11"/>
        <v>-76.206909628935051</v>
      </c>
      <c r="O17" s="45">
        <f t="shared" si="8"/>
        <v>0.14503775072969249</v>
      </c>
    </row>
    <row r="18" spans="2:15" x14ac:dyDescent="0.2">
      <c r="B18" s="42">
        <f t="shared" si="0"/>
        <v>15</v>
      </c>
      <c r="C18" s="43">
        <f t="shared" si="1"/>
        <v>46839</v>
      </c>
      <c r="D18" s="44">
        <f t="shared" si="9"/>
        <v>333953.09424242418</v>
      </c>
      <c r="E18" s="45">
        <f t="shared" si="2"/>
        <v>1.8361587287007985E-2</v>
      </c>
      <c r="G18" s="42">
        <f t="shared" si="3"/>
        <v>15</v>
      </c>
      <c r="H18" s="43">
        <f t="shared" si="4"/>
        <v>46839</v>
      </c>
      <c r="I18" s="44">
        <f t="shared" si="10"/>
        <v>22221.459060266632</v>
      </c>
      <c r="J18" s="45">
        <f t="shared" si="5"/>
        <v>-1.8850389261293565E-2</v>
      </c>
      <c r="L18" s="42">
        <f t="shared" si="6"/>
        <v>15</v>
      </c>
      <c r="M18" s="43">
        <f t="shared" si="7"/>
        <v>46839</v>
      </c>
      <c r="N18" s="44">
        <f t="shared" si="11"/>
        <v>-85.859760598781293</v>
      </c>
      <c r="O18" s="45">
        <f t="shared" si="8"/>
        <v>0.12666634845642855</v>
      </c>
    </row>
  </sheetData>
  <mergeCells count="3">
    <mergeCell ref="B2:E2"/>
    <mergeCell ref="G2:J2"/>
    <mergeCell ref="L2:O2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B2237-D1AA-6D42-8D30-9522D0197D6C}">
  <dimension ref="A2:M39"/>
  <sheetViews>
    <sheetView showGridLines="0" zoomScale="150" zoomScaleNormal="150" workbookViewId="0">
      <selection activeCell="B14" sqref="B14"/>
    </sheetView>
  </sheetViews>
  <sheetFormatPr baseColWidth="10" defaultRowHeight="15" x14ac:dyDescent="0.2"/>
  <cols>
    <col min="1" max="1" width="2" customWidth="1"/>
    <col min="2" max="2" width="21.33203125" bestFit="1" customWidth="1"/>
  </cols>
  <sheetData>
    <row r="2" spans="1:13" x14ac:dyDescent="0.2">
      <c r="A2" t="s">
        <v>56</v>
      </c>
      <c r="B2" s="176" t="str">
        <f>"Common Size Income Statement - "&amp;'Data Sheet'!$B$1</f>
        <v>Common Size Income Statement - TATA MOTORS LTD</v>
      </c>
      <c r="C2" s="176"/>
      <c r="D2" s="176"/>
      <c r="E2" s="176"/>
      <c r="F2" s="176"/>
      <c r="G2" s="176"/>
      <c r="H2" s="176"/>
      <c r="I2" s="176"/>
      <c r="J2" s="176"/>
      <c r="K2" s="176"/>
      <c r="L2" s="176"/>
    </row>
    <row r="4" spans="1:13" x14ac:dyDescent="0.2">
      <c r="B4" s="51" t="s">
        <v>128</v>
      </c>
      <c r="C4" s="49">
        <f>'Data Sheet'!B16</f>
        <v>41729</v>
      </c>
      <c r="D4" s="49">
        <f>'Data Sheet'!C16</f>
        <v>42094</v>
      </c>
      <c r="E4" s="49">
        <f>'Data Sheet'!D16</f>
        <v>42460</v>
      </c>
      <c r="F4" s="49">
        <f>'Data Sheet'!E16</f>
        <v>42825</v>
      </c>
      <c r="G4" s="49">
        <f>'Data Sheet'!F16</f>
        <v>43190</v>
      </c>
      <c r="H4" s="49">
        <f>'Data Sheet'!G16</f>
        <v>43555</v>
      </c>
      <c r="I4" s="49">
        <f>'Data Sheet'!H16</f>
        <v>43921</v>
      </c>
      <c r="J4" s="49">
        <f>'Data Sheet'!I16</f>
        <v>44286</v>
      </c>
      <c r="K4" s="49">
        <f>'Data Sheet'!J16</f>
        <v>44651</v>
      </c>
      <c r="L4" s="49">
        <f>'Data Sheet'!K16</f>
        <v>45016</v>
      </c>
      <c r="M4" s="48"/>
    </row>
    <row r="5" spans="1:13" x14ac:dyDescent="0.2">
      <c r="B5" s="38"/>
    </row>
    <row r="6" spans="1:13" x14ac:dyDescent="0.2">
      <c r="B6" s="53" t="str">
        <f>'Data Sheet'!A17</f>
        <v>Sales</v>
      </c>
      <c r="C6" s="55">
        <f>'Data Sheet'!B17/'Data Sheet'!B$17</f>
        <v>1</v>
      </c>
      <c r="D6" s="55">
        <f>'Data Sheet'!C17/'Data Sheet'!C$17</f>
        <v>1</v>
      </c>
      <c r="E6" s="55">
        <f>'Data Sheet'!D17/'Data Sheet'!D$17</f>
        <v>1</v>
      </c>
      <c r="F6" s="55">
        <f>'Data Sheet'!E17/'Data Sheet'!E$17</f>
        <v>1</v>
      </c>
      <c r="G6" s="55">
        <f>'Data Sheet'!F17/'Data Sheet'!F$17</f>
        <v>1</v>
      </c>
      <c r="H6" s="55">
        <f>'Data Sheet'!G17/'Data Sheet'!G$17</f>
        <v>1</v>
      </c>
      <c r="I6" s="55">
        <f>'Data Sheet'!H17/'Data Sheet'!H$17</f>
        <v>1</v>
      </c>
      <c r="J6" s="55">
        <f>'Data Sheet'!I17/'Data Sheet'!I$17</f>
        <v>1</v>
      </c>
      <c r="K6" s="55">
        <f>'Data Sheet'!J17/'Data Sheet'!J$17</f>
        <v>1</v>
      </c>
      <c r="L6" s="55">
        <f>'Data Sheet'!K17/'Data Sheet'!K$17</f>
        <v>1</v>
      </c>
    </row>
    <row r="7" spans="1:13" x14ac:dyDescent="0.2">
      <c r="B7" s="54" t="str">
        <f>'Data Sheet'!A18</f>
        <v>Raw Material Cost</v>
      </c>
      <c r="C7" s="39">
        <f>'Data Sheet'!B18/'Data Sheet'!B$17</f>
        <v>0.62889098595108628</v>
      </c>
      <c r="D7" s="39">
        <f>'Data Sheet'!C18/'Data Sheet'!C$17</f>
        <v>0.62034880968150885</v>
      </c>
      <c r="E7" s="39">
        <f>'Data Sheet'!D18/'Data Sheet'!D$17</f>
        <v>0.60844785632875986</v>
      </c>
      <c r="F7" s="39">
        <f>'Data Sheet'!E18/'Data Sheet'!E$17</f>
        <v>0.64256170851760019</v>
      </c>
      <c r="G7" s="39">
        <f>'Data Sheet'!F18/'Data Sheet'!F$17</f>
        <v>0.6444735745247272</v>
      </c>
      <c r="H7" s="39">
        <f>'Data Sheet'!G18/'Data Sheet'!G$17</f>
        <v>0.64340246222408271</v>
      </c>
      <c r="I7" s="39">
        <f>'Data Sheet'!H18/'Data Sheet'!H$17</f>
        <v>0.63163558516963991</v>
      </c>
      <c r="J7" s="39">
        <f>'Data Sheet'!I18/'Data Sheet'!I$17</f>
        <v>0.6149343010611712</v>
      </c>
      <c r="K7" s="39">
        <f>'Data Sheet'!J18/'Data Sheet'!J$17</f>
        <v>0.64389656704768283</v>
      </c>
      <c r="L7" s="39">
        <f>'Data Sheet'!K18/'Data Sheet'!K$17</f>
        <v>0.66842005177546293</v>
      </c>
    </row>
    <row r="8" spans="1:13" x14ac:dyDescent="0.2">
      <c r="B8" s="54" t="str">
        <f>'Data Sheet'!A19</f>
        <v>Change in Inventory</v>
      </c>
      <c r="C8" s="39">
        <f>'Data Sheet'!B19/'Data Sheet'!B$17</f>
        <v>1.220004014883415E-2</v>
      </c>
      <c r="D8" s="39">
        <f>'Data Sheet'!C19/'Data Sheet'!C$17</f>
        <v>1.2655277809634314E-2</v>
      </c>
      <c r="E8" s="39">
        <f>'Data Sheet'!D19/'Data Sheet'!D$17</f>
        <v>1.0075203555743071E-2</v>
      </c>
      <c r="F8" s="39">
        <f>'Data Sheet'!E19/'Data Sheet'!E$17</f>
        <v>2.7438359337454348E-2</v>
      </c>
      <c r="G8" s="39">
        <f>'Data Sheet'!F19/'Data Sheet'!F$17</f>
        <v>7.0196420187680708E-3</v>
      </c>
      <c r="H8" s="39">
        <f>'Data Sheet'!G19/'Data Sheet'!G$17</f>
        <v>-6.8003274840166073E-3</v>
      </c>
      <c r="I8" s="39">
        <f>'Data Sheet'!H19/'Data Sheet'!H$17</f>
        <v>-8.5463950250197294E-3</v>
      </c>
      <c r="J8" s="39">
        <f>'Data Sheet'!I19/'Data Sheet'!I$17</f>
        <v>-1.8752035421080705E-2</v>
      </c>
      <c r="K8" s="39">
        <f>'Data Sheet'!J19/'Data Sheet'!J$17</f>
        <v>-5.7118668451859233E-3</v>
      </c>
      <c r="L8" s="39">
        <f>'Data Sheet'!K19/'Data Sheet'!K$17</f>
        <v>1.3821030371772196E-2</v>
      </c>
    </row>
    <row r="9" spans="1:13" x14ac:dyDescent="0.2">
      <c r="B9" s="54" t="str">
        <f>'Data Sheet'!A20</f>
        <v>Power and Fuel</v>
      </c>
      <c r="C9" s="39">
        <f>'Data Sheet'!B20/'Data Sheet'!B$17</f>
        <v>4.847623835831984E-3</v>
      </c>
      <c r="D9" s="39">
        <f>'Data Sheet'!C20/'Data Sheet'!C$17</f>
        <v>4.2626324209038965E-3</v>
      </c>
      <c r="E9" s="39">
        <f>'Data Sheet'!D20/'Data Sheet'!D$17</f>
        <v>4.1884212746881849E-3</v>
      </c>
      <c r="F9" s="39">
        <f>'Data Sheet'!E20/'Data Sheet'!E$17</f>
        <v>4.3005272931013168E-3</v>
      </c>
      <c r="G9" s="39">
        <f>'Data Sheet'!F20/'Data Sheet'!F$17</f>
        <v>4.4866329837632236E-3</v>
      </c>
      <c r="H9" s="39">
        <f>'Data Sheet'!G20/'Data Sheet'!G$17</f>
        <v>5.252495210943689E-3</v>
      </c>
      <c r="I9" s="39">
        <f>'Data Sheet'!H20/'Data Sheet'!H$17</f>
        <v>4.8452899066859867E-3</v>
      </c>
      <c r="J9" s="39">
        <f>'Data Sheet'!I20/'Data Sheet'!I$17</f>
        <v>4.4551376680254488E-3</v>
      </c>
      <c r="K9" s="39">
        <f>'Data Sheet'!J20/'Data Sheet'!J$17</f>
        <v>7.8228108508698862E-3</v>
      </c>
      <c r="L9" s="39">
        <f>'Data Sheet'!K20/'Data Sheet'!K$17</f>
        <v>7.2646530389880865E-3</v>
      </c>
    </row>
    <row r="10" spans="1:13" x14ac:dyDescent="0.2">
      <c r="B10" s="54" t="str">
        <f>'Data Sheet'!A21</f>
        <v>Other Mfr. Exp</v>
      </c>
      <c r="C10" s="39">
        <f>'Data Sheet'!B21/'Data Sheet'!B$17</f>
        <v>5.9295722104785023E-2</v>
      </c>
      <c r="D10" s="39">
        <f>'Data Sheet'!C21/'Data Sheet'!C$17</f>
        <v>6.1457792548063536E-2</v>
      </c>
      <c r="E10" s="39">
        <f>'Data Sheet'!D21/'Data Sheet'!D$17</f>
        <v>4.4320545725695638E-2</v>
      </c>
      <c r="F10" s="39">
        <f>'Data Sheet'!E21/'Data Sheet'!E$17</f>
        <v>3.7329067833585743E-2</v>
      </c>
      <c r="G10" s="39">
        <f>'Data Sheet'!F21/'Data Sheet'!F$17</f>
        <v>3.7632110912662539E-2</v>
      </c>
      <c r="H10" s="39">
        <f>'Data Sheet'!G21/'Data Sheet'!G$17</f>
        <v>3.8731542592793759E-2</v>
      </c>
      <c r="I10" s="39">
        <f>'Data Sheet'!H21/'Data Sheet'!H$17</f>
        <v>4.4208831899217663E-2</v>
      </c>
      <c r="J10" s="39">
        <f>'Data Sheet'!I21/'Data Sheet'!I$17</f>
        <v>3.3119871414431248E-2</v>
      </c>
      <c r="K10" s="39">
        <f>'Data Sheet'!J21/'Data Sheet'!J$17</f>
        <v>3.3856194794666339E-2</v>
      </c>
      <c r="L10" s="39">
        <f>'Data Sheet'!K21/'Data Sheet'!K$17</f>
        <v>3.4008940217616732E-2</v>
      </c>
    </row>
    <row r="11" spans="1:13" x14ac:dyDescent="0.2">
      <c r="B11" s="54" t="str">
        <f>'Data Sheet'!A22</f>
        <v>Employee Cost</v>
      </c>
      <c r="C11" s="39">
        <f>'Data Sheet'!B22/'Data Sheet'!B$17</f>
        <v>9.2812697270660938E-2</v>
      </c>
      <c r="D11" s="39">
        <f>'Data Sheet'!C22/'Data Sheet'!C$17</f>
        <v>9.7439008161530352E-2</v>
      </c>
      <c r="E11" s="39">
        <f>'Data Sheet'!D22/'Data Sheet'!D$17</f>
        <v>0.10577313825968997</v>
      </c>
      <c r="F11" s="39">
        <f>'Data Sheet'!E22/'Data Sheet'!E$17</f>
        <v>0.10505627316086753</v>
      </c>
      <c r="G11" s="39">
        <f>'Data Sheet'!F22/'Data Sheet'!F$17</f>
        <v>0.10392742279141506</v>
      </c>
      <c r="H11" s="39">
        <f>'Data Sheet'!G22/'Data Sheet'!G$17</f>
        <v>0.11010149752399827</v>
      </c>
      <c r="I11" s="39">
        <f>'Data Sheet'!H22/'Data Sheet'!H$17</f>
        <v>0.11659262528451882</v>
      </c>
      <c r="J11" s="39">
        <f>'Data Sheet'!I22/'Data Sheet'!I$17</f>
        <v>0.11068479221440802</v>
      </c>
      <c r="K11" s="39">
        <f>'Data Sheet'!J22/'Data Sheet'!J$17</f>
        <v>0.11064147774412127</v>
      </c>
      <c r="L11" s="39">
        <f>'Data Sheet'!K22/'Data Sheet'!K$17</f>
        <v>9.7277205393335675E-2</v>
      </c>
    </row>
    <row r="12" spans="1:13" x14ac:dyDescent="0.2">
      <c r="B12" s="54" t="str">
        <f>'Data Sheet'!A23</f>
        <v>Selling and admin</v>
      </c>
      <c r="C12" s="39">
        <f>'Data Sheet'!B23/'Data Sheet'!B$17</f>
        <v>9.6024732850052696E-2</v>
      </c>
      <c r="D12" s="39">
        <f>'Data Sheet'!C23/'Data Sheet'!C$17</f>
        <v>8.96910681140351E-2</v>
      </c>
      <c r="E12" s="39">
        <f>'Data Sheet'!D23/'Data Sheet'!D$17</f>
        <v>8.0542956927341092E-2</v>
      </c>
      <c r="F12" s="39">
        <f>'Data Sheet'!E23/'Data Sheet'!E$17</f>
        <v>0.1113838126242364</v>
      </c>
      <c r="G12" s="39">
        <f>'Data Sheet'!F23/'Data Sheet'!F$17</f>
        <v>0.10634377964323709</v>
      </c>
      <c r="H12" s="39">
        <f>'Data Sheet'!G23/'Data Sheet'!G$17</f>
        <v>0.1083658123643763</v>
      </c>
      <c r="I12" s="39">
        <f>'Data Sheet'!H23/'Data Sheet'!H$17</f>
        <v>0.11203335284677013</v>
      </c>
      <c r="J12" s="39">
        <f>'Data Sheet'!I23/'Data Sheet'!I$17</f>
        <v>9.2138805959692913E-2</v>
      </c>
      <c r="K12" s="39">
        <f>'Data Sheet'!J23/'Data Sheet'!J$17</f>
        <v>0.10488425325553319</v>
      </c>
      <c r="L12" s="39">
        <f>'Data Sheet'!K23/'Data Sheet'!K$17</f>
        <v>0.10070091373173573</v>
      </c>
    </row>
    <row r="13" spans="1:13" x14ac:dyDescent="0.2">
      <c r="B13" s="54" t="str">
        <f>'Data Sheet'!A24</f>
        <v>Other Expenses</v>
      </c>
      <c r="C13" s="39">
        <f>'Data Sheet'!B24/'Data Sheet'!B$17</f>
        <v>-1.9363823941950662E-2</v>
      </c>
      <c r="D13" s="39">
        <f>'Data Sheet'!C24/'Data Sheet'!C$17</f>
        <v>-9.6502882022114541E-3</v>
      </c>
      <c r="E13" s="39">
        <f>'Data Sheet'!D24/'Data Sheet'!D$17</f>
        <v>2.6183831565130516E-2</v>
      </c>
      <c r="F13" s="39">
        <f>'Data Sheet'!E24/'Data Sheet'!E$17</f>
        <v>1.7094282670289951E-2</v>
      </c>
      <c r="G13" s="39">
        <f>'Data Sheet'!F24/'Data Sheet'!F$17</f>
        <v>2.2582367211331639E-3</v>
      </c>
      <c r="H13" s="39">
        <f>'Data Sheet'!G24/'Data Sheet'!G$17</f>
        <v>5.6592338039812094E-3</v>
      </c>
      <c r="I13" s="39">
        <f>'Data Sheet'!H24/'Data Sheet'!H$17</f>
        <v>1.3239885383105405E-2</v>
      </c>
      <c r="J13" s="39">
        <f>'Data Sheet'!I24/'Data Sheet'!I$17</f>
        <v>-3.3407827826645677E-3</v>
      </c>
      <c r="K13" s="39">
        <f>'Data Sheet'!J24/'Data Sheet'!J$17</f>
        <v>4.4105011096641517E-3</v>
      </c>
      <c r="L13" s="39">
        <f>'Data Sheet'!K24/'Data Sheet'!K$17</f>
        <v>1.4187308112100993E-2</v>
      </c>
    </row>
    <row r="14" spans="1:13" x14ac:dyDescent="0.2">
      <c r="B14" s="54" t="str">
        <f>'Data Sheet'!A25</f>
        <v>Other Income</v>
      </c>
      <c r="C14" s="39">
        <f>'Data Sheet'!B25/'Data Sheet'!B$17</f>
        <v>-6.7339919838050905E-4</v>
      </c>
      <c r="D14" s="39">
        <f>'Data Sheet'!C25/'Data Sheet'!C$17</f>
        <v>2.7133028103392101E-3</v>
      </c>
      <c r="E14" s="39">
        <f>'Data Sheet'!D25/'Data Sheet'!D$17</f>
        <v>-9.7771947249836663E-3</v>
      </c>
      <c r="F14" s="39">
        <f>'Data Sheet'!E25/'Data Sheet'!E$17</f>
        <v>6.9304853887117582E-3</v>
      </c>
      <c r="G14" s="39">
        <f>'Data Sheet'!F25/'Data Sheet'!F$17</f>
        <v>2.034889464081829E-2</v>
      </c>
      <c r="H14" s="39">
        <f>'Data Sheet'!G25/'Data Sheet'!G$17</f>
        <v>-8.8383094035074702E-2</v>
      </c>
      <c r="I14" s="39">
        <f>'Data Sheet'!H25/'Data Sheet'!H$17</f>
        <v>3.8959202846676288E-4</v>
      </c>
      <c r="J14" s="39">
        <f>'Data Sheet'!I25/'Data Sheet'!I$17</f>
        <v>-4.4507860953843105E-2</v>
      </c>
      <c r="K14" s="39">
        <f>'Data Sheet'!J25/'Data Sheet'!J$17</f>
        <v>8.7053994844814731E-3</v>
      </c>
      <c r="L14" s="39">
        <f>'Data Sheet'!K25/'Data Sheet'!K$17</f>
        <v>1.8289578337492739E-2</v>
      </c>
    </row>
    <row r="15" spans="1:13" x14ac:dyDescent="0.2">
      <c r="B15" s="54" t="str">
        <f>'Data Sheet'!A26</f>
        <v>Depreciation</v>
      </c>
      <c r="C15" s="39">
        <f>'Data Sheet'!B26/'Data Sheet'!B$17</f>
        <v>4.757971849946438E-2</v>
      </c>
      <c r="D15" s="39">
        <f>'Data Sheet'!C26/'Data Sheet'!C$17</f>
        <v>5.0876584184966822E-2</v>
      </c>
      <c r="E15" s="39">
        <f>'Data Sheet'!D26/'Data Sheet'!D$17</f>
        <v>6.1201425695927715E-2</v>
      </c>
      <c r="F15" s="39">
        <f>'Data Sheet'!E26/'Data Sheet'!E$17</f>
        <v>6.63903865924938E-2</v>
      </c>
      <c r="G15" s="39">
        <f>'Data Sheet'!F26/'Data Sheet'!F$17</f>
        <v>7.3927472182518786E-2</v>
      </c>
      <c r="H15" s="39">
        <f>'Data Sheet'!G26/'Data Sheet'!G$17</f>
        <v>7.8130605447998658E-2</v>
      </c>
      <c r="I15" s="39">
        <f>'Data Sheet'!H26/'Data Sheet'!H$17</f>
        <v>8.206839774331566E-2</v>
      </c>
      <c r="J15" s="39">
        <f>'Data Sheet'!I26/'Data Sheet'!I$17</f>
        <v>9.4264230933596482E-2</v>
      </c>
      <c r="K15" s="39">
        <f>'Data Sheet'!J26/'Data Sheet'!J$17</f>
        <v>8.9191478279219347E-2</v>
      </c>
      <c r="L15" s="39">
        <f>'Data Sheet'!K26/'Data Sheet'!K$17</f>
        <v>7.1857611147098821E-2</v>
      </c>
    </row>
    <row r="16" spans="1:13" x14ac:dyDescent="0.2">
      <c r="B16" s="54" t="str">
        <f>'Data Sheet'!A27</f>
        <v>Interest</v>
      </c>
      <c r="C16" s="39">
        <f>'Data Sheet'!B27/'Data Sheet'!B$17</f>
        <v>2.0398425210512945E-2</v>
      </c>
      <c r="D16" s="39">
        <f>'Data Sheet'!C27/'Data Sheet'!C$17</f>
        <v>1.8473585814932098E-2</v>
      </c>
      <c r="E16" s="39">
        <f>'Data Sheet'!D27/'Data Sheet'!D$17</f>
        <v>1.7905727101993223E-2</v>
      </c>
      <c r="F16" s="39">
        <f>'Data Sheet'!E27/'Data Sheet'!E$17</f>
        <v>1.5714229512714312E-2</v>
      </c>
      <c r="G16" s="39">
        <f>'Data Sheet'!F27/'Data Sheet'!F$17</f>
        <v>1.605824830060304E-2</v>
      </c>
      <c r="H16" s="39">
        <f>'Data Sheet'!G27/'Data Sheet'!G$17</f>
        <v>1.9072102124141878E-2</v>
      </c>
      <c r="I16" s="39">
        <f>'Data Sheet'!H27/'Data Sheet'!H$17</f>
        <v>2.7744996829752802E-2</v>
      </c>
      <c r="J16" s="39">
        <f>'Data Sheet'!I27/'Data Sheet'!I$17</f>
        <v>3.2415292955516477E-2</v>
      </c>
      <c r="K16" s="39">
        <f>'Data Sheet'!J27/'Data Sheet'!J$17</f>
        <v>3.3441332168710897E-2</v>
      </c>
      <c r="L16" s="39">
        <f>'Data Sheet'!K27/'Data Sheet'!K$17</f>
        <v>2.9556231914277829E-2</v>
      </c>
    </row>
    <row r="17" spans="1:12" x14ac:dyDescent="0.2">
      <c r="B17" s="54" t="str">
        <f>'Data Sheet'!A28</f>
        <v>Profit before tax</v>
      </c>
      <c r="C17" s="39">
        <f>'Data Sheet'!B28/'Data Sheet'!B$17</f>
        <v>8.1040559170010046E-2</v>
      </c>
      <c r="D17" s="39">
        <f>'Data Sheet'!C28/'Data Sheet'!C$17</f>
        <v>8.246938789624432E-2</v>
      </c>
      <c r="E17" s="39">
        <f>'Data Sheet'!D28/'Data Sheet'!D$17</f>
        <v>5.1734105951533375E-2</v>
      </c>
      <c r="F17" s="39">
        <f>'Data Sheet'!E28/'Data Sheet'!E$17</f>
        <v>3.453855652127677E-2</v>
      </c>
      <c r="G17" s="39">
        <f>'Data Sheet'!F28/'Data Sheet'!F$17</f>
        <v>3.8261058599526235E-2</v>
      </c>
      <c r="H17" s="39">
        <f>'Data Sheet'!G28/'Data Sheet'!G$17</f>
        <v>-0.10389917281140788</v>
      </c>
      <c r="I17" s="39">
        <f>'Data Sheet'!H28/'Data Sheet'!H$17</f>
        <v>-4.0525768059559354E-2</v>
      </c>
      <c r="J17" s="39">
        <f>'Data Sheet'!I28/'Data Sheet'!I$17</f>
        <v>-4.1931545799101064E-2</v>
      </c>
      <c r="K17" s="39">
        <f>'Data Sheet'!J28/'Data Sheet'!J$17</f>
        <v>-2.5151082611172375E-2</v>
      </c>
      <c r="L17" s="39">
        <f>'Data Sheet'!K28/'Data Sheet'!K$17</f>
        <v>8.8376933786482575E-3</v>
      </c>
    </row>
    <row r="18" spans="1:12" x14ac:dyDescent="0.2">
      <c r="B18" s="54" t="str">
        <f>'Data Sheet'!A29</f>
        <v>Tax</v>
      </c>
      <c r="C18" s="39">
        <f>'Data Sheet'!B29/'Data Sheet'!B$17</f>
        <v>2.0464352104416519E-2</v>
      </c>
      <c r="D18" s="39">
        <f>'Data Sheet'!C29/'Data Sheet'!C$17</f>
        <v>2.9042938226922752E-2</v>
      </c>
      <c r="E18" s="39">
        <f>'Data Sheet'!D29/'Data Sheet'!D$17</f>
        <v>1.1078918686109574E-2</v>
      </c>
      <c r="F18" s="39">
        <f>'Data Sheet'!E29/'Data Sheet'!E$17</f>
        <v>1.2055321818169885E-2</v>
      </c>
      <c r="G18" s="39">
        <f>'Data Sheet'!F29/'Data Sheet'!F$17</f>
        <v>1.4892549653836963E-2</v>
      </c>
      <c r="H18" s="39">
        <f>'Data Sheet'!G29/'Data Sheet'!G$17</f>
        <v>-8.0726731015332912E-3</v>
      </c>
      <c r="I18" s="39">
        <f>'Data Sheet'!H29/'Data Sheet'!H$17</f>
        <v>1.5139735448971392E-3</v>
      </c>
      <c r="J18" s="39">
        <f>'Data Sheet'!I29/'Data Sheet'!I$17</f>
        <v>1.0175794327142584E-2</v>
      </c>
      <c r="K18" s="39">
        <f>'Data Sheet'!J29/'Data Sheet'!J$17</f>
        <v>1.5195672442685429E-2</v>
      </c>
      <c r="L18" s="39">
        <f>'Data Sheet'!K29/'Data Sheet'!K$17</f>
        <v>2.0350497621203548E-3</v>
      </c>
    </row>
    <row r="19" spans="1:12" x14ac:dyDescent="0.2">
      <c r="B19" s="54" t="str">
        <f>'Data Sheet'!A30</f>
        <v>Net profit</v>
      </c>
      <c r="C19" s="39">
        <f>'Data Sheet'!B30/'Data Sheet'!B$17</f>
        <v>6.0090194862718736E-2</v>
      </c>
      <c r="D19" s="39">
        <f>'Data Sheet'!C30/'Data Sheet'!C$17</f>
        <v>5.3147682818956064E-2</v>
      </c>
      <c r="E19" s="39">
        <f>'Data Sheet'!D30/'Data Sheet'!D$17</f>
        <v>4.2407971415763523E-2</v>
      </c>
      <c r="F19" s="39">
        <f>'Data Sheet'!E30/'Data Sheet'!E$17</f>
        <v>2.764021885516954E-2</v>
      </c>
      <c r="G19" s="39">
        <f>'Data Sheet'!F30/'Data Sheet'!F$17</f>
        <v>3.0831401821049997E-2</v>
      </c>
      <c r="H19" s="39">
        <f>'Data Sheet'!G30/'Data Sheet'!G$17</f>
        <v>-9.5470566181711222E-2</v>
      </c>
      <c r="I19" s="39">
        <f>'Data Sheet'!H30/'Data Sheet'!H$17</f>
        <v>-4.6236426475450051E-2</v>
      </c>
      <c r="J19" s="39">
        <f>'Data Sheet'!I30/'Data Sheet'!I$17</f>
        <v>-5.3849770661713266E-2</v>
      </c>
      <c r="K19" s="39">
        <f>'Data Sheet'!J30/'Data Sheet'!J$17</f>
        <v>-4.1089320368684734E-2</v>
      </c>
      <c r="L19" s="39">
        <f>'Data Sheet'!K30/'Data Sheet'!K$17</f>
        <v>6.9783829363826268E-3</v>
      </c>
    </row>
    <row r="20" spans="1:12" x14ac:dyDescent="0.2">
      <c r="B20" s="54" t="str">
        <f>'Data Sheet'!A31</f>
        <v>Dividend Amount</v>
      </c>
      <c r="C20" s="39">
        <f>'Data Sheet'!B31/'Data Sheet'!B$17</f>
        <v>2.7649782252274005E-3</v>
      </c>
      <c r="D20" s="39">
        <f>'Data Sheet'!C31/'Data Sheet'!C$17</f>
        <v>0</v>
      </c>
      <c r="E20" s="39">
        <f>'Data Sheet'!D31/'Data Sheet'!D$17</f>
        <v>2.487496593975512E-4</v>
      </c>
      <c r="F20" s="39">
        <f>'Data Sheet'!E31/'Data Sheet'!E$17</f>
        <v>0</v>
      </c>
      <c r="G20" s="39">
        <f>'Data Sheet'!F31/'Data Sheet'!F$17</f>
        <v>0</v>
      </c>
      <c r="H20" s="39">
        <f>'Data Sheet'!G31/'Data Sheet'!G$17</f>
        <v>0</v>
      </c>
      <c r="I20" s="39">
        <f>'Data Sheet'!H31/'Data Sheet'!H$17</f>
        <v>0</v>
      </c>
      <c r="J20" s="39">
        <f>'Data Sheet'!I31/'Data Sheet'!I$17</f>
        <v>0</v>
      </c>
      <c r="K20" s="39">
        <f>'Data Sheet'!J31/'Data Sheet'!J$17</f>
        <v>0</v>
      </c>
      <c r="L20" s="39">
        <f>'Data Sheet'!K31/'Data Sheet'!K$17</f>
        <v>2.2141420032091505E-3</v>
      </c>
    </row>
    <row r="21" spans="1:12" x14ac:dyDescent="0.2">
      <c r="B21" s="50"/>
    </row>
    <row r="22" spans="1:12" x14ac:dyDescent="0.2">
      <c r="A22" t="s">
        <v>56</v>
      </c>
      <c r="B22" s="176" t="str">
        <f>"Common Size Balance Sheet - "&amp;'Data Sheet'!$B$1</f>
        <v>Common Size Balance Sheet - TATA MOTORS LTD</v>
      </c>
      <c r="C22" s="176"/>
      <c r="D22" s="176"/>
      <c r="E22" s="176"/>
      <c r="F22" s="176"/>
      <c r="G22" s="176"/>
      <c r="H22" s="176"/>
      <c r="I22" s="176"/>
      <c r="J22" s="176"/>
      <c r="K22" s="176"/>
      <c r="L22" s="176"/>
    </row>
    <row r="23" spans="1:12" x14ac:dyDescent="0.2">
      <c r="B23" s="50"/>
    </row>
    <row r="24" spans="1:12" x14ac:dyDescent="0.2">
      <c r="B24" s="51" t="s">
        <v>128</v>
      </c>
      <c r="C24" s="49">
        <f>'Data Sheet'!B56</f>
        <v>41729</v>
      </c>
      <c r="D24" s="49">
        <f>'Data Sheet'!C56</f>
        <v>42094</v>
      </c>
      <c r="E24" s="49">
        <f>'Data Sheet'!D56</f>
        <v>42460</v>
      </c>
      <c r="F24" s="49">
        <f>'Data Sheet'!E56</f>
        <v>42825</v>
      </c>
      <c r="G24" s="49">
        <f>'Data Sheet'!F56</f>
        <v>43190</v>
      </c>
      <c r="H24" s="49">
        <f>'Data Sheet'!G56</f>
        <v>43555</v>
      </c>
      <c r="I24" s="49">
        <f>'Data Sheet'!H56</f>
        <v>43921</v>
      </c>
      <c r="J24" s="49">
        <f>'Data Sheet'!I56</f>
        <v>44286</v>
      </c>
      <c r="K24" s="49">
        <f>'Data Sheet'!J56</f>
        <v>44651</v>
      </c>
      <c r="L24" s="49">
        <f>'Data Sheet'!K56</f>
        <v>45016</v>
      </c>
    </row>
    <row r="25" spans="1:12" x14ac:dyDescent="0.2">
      <c r="B25" s="52"/>
    </row>
    <row r="26" spans="1:12" x14ac:dyDescent="0.2">
      <c r="B26" s="53" t="s">
        <v>83</v>
      </c>
      <c r="C26" s="55">
        <f>'Data Sheet'!B61/'Data Sheet'!B$61</f>
        <v>1</v>
      </c>
      <c r="D26" s="55">
        <f>'Data Sheet'!C61/'Data Sheet'!C$61</f>
        <v>1</v>
      </c>
      <c r="E26" s="55">
        <f>'Data Sheet'!D61/'Data Sheet'!D$61</f>
        <v>1</v>
      </c>
      <c r="F26" s="55">
        <f>'Data Sheet'!E61/'Data Sheet'!E$61</f>
        <v>1</v>
      </c>
      <c r="G26" s="55">
        <f>'Data Sheet'!F61/'Data Sheet'!F$61</f>
        <v>1</v>
      </c>
      <c r="H26" s="55">
        <f>'Data Sheet'!G61/'Data Sheet'!G$61</f>
        <v>1</v>
      </c>
      <c r="I26" s="55">
        <f>'Data Sheet'!H61/'Data Sheet'!H$61</f>
        <v>1</v>
      </c>
      <c r="J26" s="55">
        <f>'Data Sheet'!I61/'Data Sheet'!I$61</f>
        <v>1</v>
      </c>
      <c r="K26" s="55">
        <f>'Data Sheet'!J61/'Data Sheet'!J$61</f>
        <v>1</v>
      </c>
      <c r="L26" s="55">
        <f>'Data Sheet'!K61/'Data Sheet'!K$61</f>
        <v>1</v>
      </c>
    </row>
    <row r="27" spans="1:12" x14ac:dyDescent="0.2">
      <c r="B27" s="54" t="str">
        <f>'Data Sheet'!A57</f>
        <v>Equity Share Capital</v>
      </c>
      <c r="C27" s="39">
        <f>'Data Sheet'!B57/'Data Sheet'!B$61</f>
        <v>2.9473598814866307E-3</v>
      </c>
      <c r="D27" s="39">
        <f>'Data Sheet'!C57/'Data Sheet'!C$61</f>
        <v>2.7127681338360746E-3</v>
      </c>
      <c r="E27" s="39">
        <f>'Data Sheet'!D57/'Data Sheet'!D$61</f>
        <v>2.5806268250531225E-3</v>
      </c>
      <c r="F27" s="39">
        <f>'Data Sheet'!E57/'Data Sheet'!E$61</f>
        <v>2.491815624573979E-3</v>
      </c>
      <c r="G27" s="39">
        <f>'Data Sheet'!F57/'Data Sheet'!F$61</f>
        <v>2.0759077068585549E-3</v>
      </c>
      <c r="H27" s="39">
        <f>'Data Sheet'!G57/'Data Sheet'!G$61</f>
        <v>2.2218261230841693E-3</v>
      </c>
      <c r="I27" s="39">
        <f>'Data Sheet'!H57/'Data Sheet'!H$61</f>
        <v>2.2473026761653833E-3</v>
      </c>
      <c r="J27" s="39">
        <f>'Data Sheet'!I57/'Data Sheet'!I$61</f>
        <v>2.2420300429859294E-3</v>
      </c>
      <c r="K27" s="39">
        <f>'Data Sheet'!J57/'Data Sheet'!J$61</f>
        <v>2.3274677325505334E-3</v>
      </c>
      <c r="L27" s="39">
        <f>'Data Sheet'!K57/'Data Sheet'!K$61</f>
        <v>2.2888512875034999E-3</v>
      </c>
    </row>
    <row r="28" spans="1:12" x14ac:dyDescent="0.2">
      <c r="B28" s="54" t="str">
        <f>'Data Sheet'!A58</f>
        <v>Reserves</v>
      </c>
      <c r="C28" s="39">
        <f>'Data Sheet'!B58/'Data Sheet'!B$61</f>
        <v>0.29739899542174447</v>
      </c>
      <c r="D28" s="39">
        <f>'Data Sheet'!C58/'Data Sheet'!C$61</f>
        <v>0.23436440687072221</v>
      </c>
      <c r="E28" s="39">
        <f>'Data Sheet'!D58/'Data Sheet'!D$61</f>
        <v>0.2974086354450261</v>
      </c>
      <c r="F28" s="39">
        <f>'Data Sheet'!E58/'Data Sheet'!E$61</f>
        <v>0.21051652437468349</v>
      </c>
      <c r="G28" s="39">
        <f>'Data Sheet'!F58/'Data Sheet'!F$61</f>
        <v>0.28958148432871839</v>
      </c>
      <c r="H28" s="39">
        <f>'Data Sheet'!G58/'Data Sheet'!G$61</f>
        <v>0.19463415350606564</v>
      </c>
      <c r="I28" s="39">
        <f>'Data Sheet'!H58/'Data Sheet'!H$61</f>
        <v>0.19205324240264182</v>
      </c>
      <c r="J28" s="39">
        <f>'Data Sheet'!I58/'Data Sheet'!I$61</f>
        <v>0.15950149121742019</v>
      </c>
      <c r="K28" s="39">
        <f>'Data Sheet'!J58/'Data Sheet'!J$61</f>
        <v>0.13309172094249011</v>
      </c>
      <c r="L28" s="39">
        <f>'Data Sheet'!K58/'Data Sheet'!K$61</f>
        <v>0.13313168263258116</v>
      </c>
    </row>
    <row r="29" spans="1:12" x14ac:dyDescent="0.2">
      <c r="B29" s="54" t="str">
        <f>'Data Sheet'!A59</f>
        <v>Borrowings</v>
      </c>
      <c r="C29" s="39">
        <f>'Data Sheet'!B59/'Data Sheet'!B$61</f>
        <v>0.27763307837130552</v>
      </c>
      <c r="D29" s="39">
        <f>'Data Sheet'!C59/'Data Sheet'!C$61</f>
        <v>0.31018037266029647</v>
      </c>
      <c r="E29" s="39">
        <f>'Data Sheet'!D59/'Data Sheet'!D$61</f>
        <v>0.2635415844998551</v>
      </c>
      <c r="F29" s="39">
        <f>'Data Sheet'!E59/'Data Sheet'!E$61</f>
        <v>0.2883699324485447</v>
      </c>
      <c r="G29" s="39">
        <f>'Data Sheet'!F59/'Data Sheet'!F$61</f>
        <v>0.27186031948660327</v>
      </c>
      <c r="H29" s="39">
        <f>'Data Sheet'!G59/'Data Sheet'!G$61</f>
        <v>0.34731477877468786</v>
      </c>
      <c r="I29" s="39">
        <f>'Data Sheet'!H59/'Data Sheet'!H$61</f>
        <v>0.38974288757311953</v>
      </c>
      <c r="J29" s="39">
        <f>'Data Sheet'!I59/'Data Sheet'!I$61</f>
        <v>0.41610975041683274</v>
      </c>
      <c r="K29" s="39">
        <f>'Data Sheet'!J59/'Data Sheet'!J$61</f>
        <v>0.445050649956031</v>
      </c>
      <c r="L29" s="39">
        <f>'Data Sheet'!K59/'Data Sheet'!K$61</f>
        <v>0.40072807474416255</v>
      </c>
    </row>
    <row r="30" spans="1:12" x14ac:dyDescent="0.2">
      <c r="B30" s="54" t="str">
        <f>'Data Sheet'!A60</f>
        <v>Other Liabilities</v>
      </c>
      <c r="C30" s="39">
        <f>'Data Sheet'!B60/'Data Sheet'!B$61</f>
        <v>0.42202056632546336</v>
      </c>
      <c r="D30" s="39">
        <f>'Data Sheet'!C60/'Data Sheet'!C$61</f>
        <v>0.45274245233514521</v>
      </c>
      <c r="E30" s="39">
        <f>'Data Sheet'!D60/'Data Sheet'!D$61</f>
        <v>0.43646915323006569</v>
      </c>
      <c r="F30" s="39">
        <f>'Data Sheet'!E60/'Data Sheet'!E$61</f>
        <v>0.4986217275521978</v>
      </c>
      <c r="G30" s="39">
        <f>'Data Sheet'!F60/'Data Sheet'!F$61</f>
        <v>0.43648228847781978</v>
      </c>
      <c r="H30" s="39">
        <f>'Data Sheet'!G60/'Data Sheet'!G$61</f>
        <v>0.45582924159616234</v>
      </c>
      <c r="I30" s="39">
        <f>'Data Sheet'!H60/'Data Sheet'!H$61</f>
        <v>0.41595656734807318</v>
      </c>
      <c r="J30" s="39">
        <f>'Data Sheet'!I60/'Data Sheet'!I$61</f>
        <v>0.42214672832276123</v>
      </c>
      <c r="K30" s="39">
        <f>'Data Sheet'!J60/'Data Sheet'!J$61</f>
        <v>0.41953016136892834</v>
      </c>
      <c r="L30" s="39">
        <f>'Data Sheet'!K60/'Data Sheet'!K$61</f>
        <v>0.46385139133575282</v>
      </c>
    </row>
    <row r="31" spans="1:12" x14ac:dyDescent="0.2">
      <c r="B31" s="54"/>
    </row>
    <row r="32" spans="1:12" x14ac:dyDescent="0.2">
      <c r="B32" s="52" t="s">
        <v>86</v>
      </c>
      <c r="C32" s="55">
        <f>'Data Sheet'!B77/'Data Sheet'!B$77</f>
        <v>1</v>
      </c>
      <c r="D32" s="55">
        <f>'Data Sheet'!C77/'Data Sheet'!C$77</f>
        <v>1</v>
      </c>
      <c r="E32" s="55">
        <f>'Data Sheet'!D77/'Data Sheet'!D$77</f>
        <v>1</v>
      </c>
      <c r="F32" s="55">
        <f>'Data Sheet'!E77/'Data Sheet'!E$77</f>
        <v>1</v>
      </c>
      <c r="G32" s="55">
        <f>'Data Sheet'!F77/'Data Sheet'!F$77</f>
        <v>1</v>
      </c>
      <c r="H32" s="55">
        <f>'Data Sheet'!G77/'Data Sheet'!G$77</f>
        <v>1</v>
      </c>
      <c r="I32" s="55">
        <f>'Data Sheet'!H77/'Data Sheet'!H$77</f>
        <v>1</v>
      </c>
      <c r="J32" s="55">
        <f>'Data Sheet'!I77/'Data Sheet'!I$77</f>
        <v>1</v>
      </c>
      <c r="K32" s="55">
        <f>'Data Sheet'!J77/'Data Sheet'!J$77</f>
        <v>1</v>
      </c>
      <c r="L32" s="55">
        <f>'Data Sheet'!K77/'Data Sheet'!K$77</f>
        <v>1</v>
      </c>
    </row>
    <row r="33" spans="2:12" x14ac:dyDescent="0.2">
      <c r="B33" s="54" t="str">
        <f>'Data Sheet'!A62</f>
        <v>Net Block</v>
      </c>
      <c r="C33" s="39">
        <f>'Data Sheet'!B62/'Data Sheet'!B$77</f>
        <v>0.31631615816414521</v>
      </c>
      <c r="D33" s="39">
        <f>'Data Sheet'!C62/'Data Sheet'!C$77</f>
        <v>0.37283597031605153</v>
      </c>
      <c r="E33" s="39">
        <f>'Data Sheet'!D62/'Data Sheet'!D$77</f>
        <v>0.40744008415097382</v>
      </c>
      <c r="F33" s="39">
        <f>'Data Sheet'!E62/'Data Sheet'!E$77</f>
        <v>0.35198456704657666</v>
      </c>
      <c r="G33" s="39">
        <f>'Data Sheet'!F62/'Data Sheet'!F$77</f>
        <v>0.37107854258332446</v>
      </c>
      <c r="H33" s="39">
        <f>'Data Sheet'!G62/'Data Sheet'!G$77</f>
        <v>0.36386391925064382</v>
      </c>
      <c r="I33" s="39">
        <f>'Data Sheet'!H62/'Data Sheet'!H$77</f>
        <v>0.39698726392101624</v>
      </c>
      <c r="J33" s="39">
        <f>'Data Sheet'!I62/'Data Sheet'!I$77</f>
        <v>0.40608849298230043</v>
      </c>
      <c r="K33" s="39">
        <f>'Data Sheet'!J62/'Data Sheet'!J$77</f>
        <v>0.42197417266906562</v>
      </c>
      <c r="L33" s="39">
        <f>'Data Sheet'!K62/'Data Sheet'!K$77</f>
        <v>0.39465148263642374</v>
      </c>
    </row>
    <row r="34" spans="2:12" x14ac:dyDescent="0.2">
      <c r="B34" s="54" t="str">
        <f>'Data Sheet'!A63</f>
        <v>Capital Work in Progress</v>
      </c>
      <c r="C34" s="39">
        <f>'Data Sheet'!B63/'Data Sheet'!B$77</f>
        <v>0.15228297694793555</v>
      </c>
      <c r="D34" s="39">
        <f>'Data Sheet'!C63/'Data Sheet'!C$77</f>
        <v>0.12068396579918175</v>
      </c>
      <c r="E34" s="39">
        <f>'Data Sheet'!D63/'Data Sheet'!D$77</f>
        <v>9.8482157662096018E-2</v>
      </c>
      <c r="F34" s="39">
        <f>'Data Sheet'!E63/'Data Sheet'!E$77</f>
        <v>0.12362900980833688</v>
      </c>
      <c r="G34" s="39">
        <f>'Data Sheet'!F63/'Data Sheet'!F$77</f>
        <v>0.12235483522646853</v>
      </c>
      <c r="H34" s="39">
        <f>'Data Sheet'!G63/'Data Sheet'!G$77</f>
        <v>0.1042966176146697</v>
      </c>
      <c r="I34" s="39">
        <f>'Data Sheet'!H63/'Data Sheet'!H$77</f>
        <v>0.11125728611076434</v>
      </c>
      <c r="J34" s="39">
        <f>'Data Sheet'!I63/'Data Sheet'!I$77</f>
        <v>6.137522476731045E-2</v>
      </c>
      <c r="K34" s="39">
        <f>'Data Sheet'!J63/'Data Sheet'!J$77</f>
        <v>3.1152505873598278E-2</v>
      </c>
      <c r="L34" s="39">
        <f>'Data Sheet'!K63/'Data Sheet'!K$77</f>
        <v>4.2651899041106903E-2</v>
      </c>
    </row>
    <row r="35" spans="2:12" x14ac:dyDescent="0.2">
      <c r="B35" s="54" t="str">
        <f>'Data Sheet'!A64</f>
        <v>Investments</v>
      </c>
      <c r="C35" s="39">
        <f>'Data Sheet'!B64/'Data Sheet'!B$77</f>
        <v>4.8925816932316527E-2</v>
      </c>
      <c r="D35" s="39">
        <f>'Data Sheet'!C64/'Data Sheet'!C$77</f>
        <v>6.4626144877021785E-2</v>
      </c>
      <c r="E35" s="39">
        <f>'Data Sheet'!D64/'Data Sheet'!D$77</f>
        <v>9.0305676497502971E-2</v>
      </c>
      <c r="F35" s="39">
        <f>'Data Sheet'!E64/'Data Sheet'!E$77</f>
        <v>7.4612565630187005E-2</v>
      </c>
      <c r="G35" s="39">
        <f>'Data Sheet'!F64/'Data Sheet'!F$77</f>
        <v>6.3610241344366172E-2</v>
      </c>
      <c r="H35" s="39">
        <f>'Data Sheet'!G64/'Data Sheet'!G$77</f>
        <v>5.1588289031309388E-2</v>
      </c>
      <c r="I35" s="39">
        <f>'Data Sheet'!H64/'Data Sheet'!H$77</f>
        <v>5.0935445907370862E-2</v>
      </c>
      <c r="J35" s="39">
        <f>'Data Sheet'!I64/'Data Sheet'!I$77</f>
        <v>7.207976838475029E-2</v>
      </c>
      <c r="K35" s="39">
        <f>'Data Sheet'!J64/'Data Sheet'!J$77</f>
        <v>8.928279635517361E-2</v>
      </c>
      <c r="L35" s="39">
        <f>'Data Sheet'!K64/'Data Sheet'!K$77</f>
        <v>7.8820362822460022E-2</v>
      </c>
    </row>
    <row r="36" spans="2:12" x14ac:dyDescent="0.2">
      <c r="B36" s="54" t="str">
        <f>'Data Sheet'!A65</f>
        <v>Other Assets</v>
      </c>
      <c r="C36" s="39">
        <f>'Data Sheet'!B75/'Data Sheet'!B$77</f>
        <v>0.17318534300794514</v>
      </c>
      <c r="D36" s="39">
        <f>'Data Sheet'!C75/'Data Sheet'!C$77</f>
        <v>0.13016959457099153</v>
      </c>
      <c r="E36" s="39">
        <f>'Data Sheet'!D75/'Data Sheet'!D$77</f>
        <v>0.11239036762552386</v>
      </c>
      <c r="F36" s="39">
        <f>'Data Sheet'!E75/'Data Sheet'!E$77</f>
        <v>0.13706335995740859</v>
      </c>
      <c r="G36" s="39">
        <f>'Data Sheet'!F75/'Data Sheet'!F$77</f>
        <v>0.14757967199729119</v>
      </c>
      <c r="H36" s="39">
        <f>'Data Sheet'!G75/'Data Sheet'!G$77</f>
        <v>0.1836934867835496</v>
      </c>
      <c r="I36" s="39">
        <f>'Data Sheet'!H75/'Data Sheet'!H$77</f>
        <v>0.1836000124805035</v>
      </c>
      <c r="J36" s="39">
        <f>'Data Sheet'!I75/'Data Sheet'!I$77</f>
        <v>0.18068910109792749</v>
      </c>
      <c r="K36" s="39">
        <f>'Data Sheet'!J75/'Data Sheet'!J$77</f>
        <v>0.18909465826584576</v>
      </c>
      <c r="L36" s="39">
        <f>'Data Sheet'!K75/'Data Sheet'!K$77</f>
        <v>0.20447361335612049</v>
      </c>
    </row>
    <row r="37" spans="2:12" x14ac:dyDescent="0.2">
      <c r="B37" s="54" t="str">
        <f>'Data Sheet'!A67</f>
        <v>Receivables</v>
      </c>
      <c r="C37" s="39">
        <f>'Data Sheet'!B67/'Data Sheet'!B$77</f>
        <v>4.8411043026518961E-2</v>
      </c>
      <c r="D37" s="39">
        <f>'Data Sheet'!C67/'Data Sheet'!C$77</f>
        <v>5.3006388687363314E-2</v>
      </c>
      <c r="E37" s="39">
        <f>'Data Sheet'!D67/'Data Sheet'!D$77</f>
        <v>5.1564319306195219E-2</v>
      </c>
      <c r="F37" s="39">
        <f>'Data Sheet'!E67/'Data Sheet'!E$77</f>
        <v>5.1638166447501938E-2</v>
      </c>
      <c r="G37" s="39">
        <f>'Data Sheet'!F67/'Data Sheet'!F$77</f>
        <v>6.0800115993123419E-2</v>
      </c>
      <c r="H37" s="39">
        <f>'Data Sheet'!G67/'Data Sheet'!G$77</f>
        <v>6.2139198999658127E-2</v>
      </c>
      <c r="I37" s="39">
        <f>'Data Sheet'!H67/'Data Sheet'!H$77</f>
        <v>3.4895094278241959E-2</v>
      </c>
      <c r="J37" s="39">
        <f>'Data Sheet'!I67/'Data Sheet'!I$77</f>
        <v>3.7120014464974392E-2</v>
      </c>
      <c r="K37" s="39">
        <f>'Data Sheet'!J67/'Data Sheet'!J$77</f>
        <v>3.7810927070195913E-2</v>
      </c>
      <c r="L37" s="39">
        <f>'Data Sheet'!K67/'Data Sheet'!K$77</f>
        <v>4.7024715930643397E-2</v>
      </c>
    </row>
    <row r="38" spans="2:12" x14ac:dyDescent="0.2">
      <c r="B38" s="54" t="str">
        <f>'Data Sheet'!A68</f>
        <v>Inventory</v>
      </c>
      <c r="C38" s="39">
        <f>'Data Sheet'!B68/'Data Sheet'!B$77</f>
        <v>0.12485185485481834</v>
      </c>
      <c r="D38" s="39">
        <f>'Data Sheet'!C68/'Data Sheet'!C$77</f>
        <v>0.1233481486762793</v>
      </c>
      <c r="E38" s="39">
        <f>'Data Sheet'!D68/'Data Sheet'!D$77</f>
        <v>0.12407940874244236</v>
      </c>
      <c r="F38" s="39">
        <f>'Data Sheet'!E68/'Data Sheet'!E$77</f>
        <v>0.12871547311772571</v>
      </c>
      <c r="G38" s="39">
        <f>'Data Sheet'!F68/'Data Sheet'!F$77</f>
        <v>0.12878571135383859</v>
      </c>
      <c r="H38" s="39">
        <f>'Data Sheet'!G68/'Data Sheet'!G$77</f>
        <v>0.12761951131143451</v>
      </c>
      <c r="I38" s="39">
        <f>'Data Sheet'!H68/'Data Sheet'!H$77</f>
        <v>0.11698716772494318</v>
      </c>
      <c r="J38" s="39">
        <f>'Data Sheet'!I68/'Data Sheet'!I$77</f>
        <v>0.1056550619461767</v>
      </c>
      <c r="K38" s="39">
        <f>'Data Sheet'!J68/'Data Sheet'!J$77</f>
        <v>0.1070934797019244</v>
      </c>
      <c r="L38" s="39">
        <f>'Data Sheet'!K68/'Data Sheet'!K$77</f>
        <v>0.12177622891596469</v>
      </c>
    </row>
    <row r="39" spans="2:12" x14ac:dyDescent="0.2">
      <c r="B39" s="54" t="str">
        <f>'Data Sheet'!A69</f>
        <v>Cash &amp; Bank</v>
      </c>
      <c r="C39" s="39">
        <f>'Data Sheet'!B69/'Data Sheet'!B$77</f>
        <v>0.13602680706632028</v>
      </c>
      <c r="D39" s="39">
        <f>'Data Sheet'!C69/'Data Sheet'!C$77</f>
        <v>0.13532978707311077</v>
      </c>
      <c r="E39" s="39">
        <f>'Data Sheet'!D69/'Data Sheet'!D$77</f>
        <v>0.11573798601526566</v>
      </c>
      <c r="F39" s="39">
        <f>'Data Sheet'!E69/'Data Sheet'!E$77</f>
        <v>0.13235685799226327</v>
      </c>
      <c r="G39" s="39">
        <f>'Data Sheet'!F69/'Data Sheet'!F$77</f>
        <v>0.10579088150158772</v>
      </c>
      <c r="H39" s="39">
        <f>'Data Sheet'!G69/'Data Sheet'!G$77</f>
        <v>0.10679897700873484</v>
      </c>
      <c r="I39" s="39">
        <f>'Data Sheet'!H69/'Data Sheet'!H$77</f>
        <v>0.10533772957715985</v>
      </c>
      <c r="J39" s="39">
        <f>'Data Sheet'!I69/'Data Sheet'!I$77</f>
        <v>0.13699233635656022</v>
      </c>
      <c r="K39" s="39">
        <f>'Data Sheet'!J69/'Data Sheet'!J$77</f>
        <v>0.12359146006419652</v>
      </c>
      <c r="L39" s="39">
        <f>'Data Sheet'!K69/'Data Sheet'!K$77</f>
        <v>0.11060169729728082</v>
      </c>
    </row>
  </sheetData>
  <mergeCells count="2">
    <mergeCell ref="B2:L2"/>
    <mergeCell ref="B22:L22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3FA42-9269-1840-94F0-C81405C6FE12}">
  <sheetPr>
    <tabColor theme="8" tint="-0.249977111117893"/>
  </sheetPr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1FA55-D51A-054C-BA11-916422043BFD}">
  <dimension ref="A1:K41"/>
  <sheetViews>
    <sheetView showGridLines="0" zoomScale="150" zoomScaleNormal="150" workbookViewId="0">
      <selection activeCell="G12" sqref="G12"/>
    </sheetView>
  </sheetViews>
  <sheetFormatPr baseColWidth="10" defaultRowHeight="15" x14ac:dyDescent="0.2"/>
  <cols>
    <col min="1" max="1" width="2" customWidth="1"/>
    <col min="2" max="2" width="18.83203125" customWidth="1"/>
    <col min="3" max="3" width="9.6640625" bestFit="1" customWidth="1"/>
    <col min="4" max="4" width="8" bestFit="1" customWidth="1"/>
    <col min="5" max="5" width="9.6640625" bestFit="1" customWidth="1"/>
    <col min="6" max="6" width="10.1640625" bestFit="1" customWidth="1"/>
    <col min="7" max="7" width="8.6640625" customWidth="1"/>
    <col min="8" max="8" width="7" bestFit="1" customWidth="1"/>
  </cols>
  <sheetData>
    <row r="1" spans="1:11" x14ac:dyDescent="0.2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ht="19" x14ac:dyDescent="0.25">
      <c r="A2" s="60"/>
      <c r="B2" s="61" t="s">
        <v>130</v>
      </c>
      <c r="C2" s="61"/>
      <c r="D2" s="61"/>
      <c r="E2" s="62"/>
      <c r="F2" s="62"/>
      <c r="G2" s="62"/>
      <c r="H2" s="62"/>
      <c r="I2" s="62"/>
      <c r="J2" s="62"/>
      <c r="K2" s="62"/>
    </row>
    <row r="3" spans="1:11" x14ac:dyDescent="0.2">
      <c r="A3" s="60"/>
      <c r="B3" s="60"/>
      <c r="C3" s="60"/>
      <c r="D3" s="60"/>
      <c r="E3" s="60"/>
      <c r="F3" s="60"/>
      <c r="G3" s="60"/>
      <c r="H3" s="60"/>
      <c r="I3" s="60"/>
      <c r="J3" s="60"/>
      <c r="K3" s="60"/>
    </row>
    <row r="4" spans="1:11" x14ac:dyDescent="0.2">
      <c r="A4" s="60"/>
      <c r="B4" s="63" t="s">
        <v>131</v>
      </c>
      <c r="C4" s="63"/>
      <c r="D4" s="63"/>
      <c r="E4" s="60"/>
      <c r="F4" s="60"/>
      <c r="G4" s="60"/>
      <c r="H4" s="60"/>
      <c r="I4" s="60"/>
      <c r="J4" s="60"/>
      <c r="K4" s="60"/>
    </row>
    <row r="5" spans="1:11" x14ac:dyDescent="0.2">
      <c r="A5" s="60"/>
      <c r="B5" s="60"/>
      <c r="C5" s="60"/>
      <c r="D5" s="60"/>
      <c r="E5" s="60"/>
      <c r="F5" s="60"/>
      <c r="G5" s="60"/>
      <c r="H5" s="60"/>
      <c r="I5" s="60"/>
      <c r="J5" s="60"/>
      <c r="K5" s="60"/>
    </row>
    <row r="6" spans="1:11" x14ac:dyDescent="0.2">
      <c r="A6" s="60"/>
      <c r="B6" s="64" t="s">
        <v>132</v>
      </c>
      <c r="C6" s="60"/>
      <c r="D6" s="60"/>
      <c r="E6" s="60"/>
      <c r="F6" s="60"/>
      <c r="G6" s="60"/>
      <c r="H6" s="60"/>
      <c r="I6" s="60"/>
      <c r="J6" s="60"/>
      <c r="K6" s="60"/>
    </row>
    <row r="7" spans="1:11" x14ac:dyDescent="0.2">
      <c r="A7" s="60"/>
      <c r="B7" s="65"/>
      <c r="C7" s="65"/>
      <c r="D7" s="65"/>
      <c r="E7" s="65"/>
      <c r="F7" s="65"/>
      <c r="G7" s="65"/>
      <c r="H7" s="65" t="s">
        <v>133</v>
      </c>
      <c r="I7" s="65" t="s">
        <v>133</v>
      </c>
      <c r="J7" s="65" t="s">
        <v>134</v>
      </c>
      <c r="K7" s="65" t="s">
        <v>135</v>
      </c>
    </row>
    <row r="8" spans="1:11" ht="17" x14ac:dyDescent="0.2">
      <c r="A8" s="60"/>
      <c r="B8" s="66" t="s">
        <v>136</v>
      </c>
      <c r="C8" s="66"/>
      <c r="D8" s="66" t="s">
        <v>137</v>
      </c>
      <c r="E8" s="66" t="s">
        <v>138</v>
      </c>
      <c r="F8" s="66" t="s">
        <v>139</v>
      </c>
      <c r="G8" s="66" t="s">
        <v>168</v>
      </c>
      <c r="H8" s="66" t="s">
        <v>140</v>
      </c>
      <c r="I8" s="66" t="s">
        <v>141</v>
      </c>
      <c r="J8" s="66" t="s">
        <v>169</v>
      </c>
      <c r="K8" s="66" t="s">
        <v>170</v>
      </c>
    </row>
    <row r="9" spans="1:11" x14ac:dyDescent="0.2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</row>
    <row r="10" spans="1:11" x14ac:dyDescent="0.2">
      <c r="A10" s="60"/>
      <c r="B10" s="56" t="s">
        <v>172</v>
      </c>
      <c r="C10" s="56"/>
      <c r="D10" s="56" t="s">
        <v>142</v>
      </c>
      <c r="E10" s="67">
        <f>'Beta Comps'!F4</f>
        <v>127864.3</v>
      </c>
      <c r="F10" s="67">
        <f>'Beta Comps'!E4</f>
        <v>285543.07</v>
      </c>
      <c r="G10" s="57">
        <v>0.3</v>
      </c>
      <c r="H10" s="68">
        <f>E10/F10</f>
        <v>0.44779339242938027</v>
      </c>
      <c r="I10" s="68">
        <f>E10/SUM(E10:F10)</f>
        <v>0.30929371191423122</v>
      </c>
      <c r="J10" s="58">
        <v>0.92</v>
      </c>
      <c r="K10" s="69">
        <f>J10/(1+H10*(1-G10))</f>
        <v>0.7004425256623098</v>
      </c>
    </row>
    <row r="11" spans="1:11" x14ac:dyDescent="0.2">
      <c r="A11" s="60"/>
      <c r="B11" s="56" t="s">
        <v>173</v>
      </c>
      <c r="C11" s="56"/>
      <c r="D11" s="56" t="s">
        <v>142</v>
      </c>
      <c r="E11" s="67">
        <f>'Beta Comps'!F3</f>
        <v>392.5</v>
      </c>
      <c r="F11" s="67">
        <f>'Beta Comps'!E3</f>
        <v>323908.53999999998</v>
      </c>
      <c r="G11" s="57">
        <v>0.3</v>
      </c>
      <c r="H11" s="68">
        <f t="shared" ref="H11:H14" si="0">E11/F11</f>
        <v>1.2117618139984826E-3</v>
      </c>
      <c r="I11" s="68">
        <f t="shared" ref="I11:I14" si="1">E11/SUM(E11:F11)</f>
        <v>1.2102952244618149E-3</v>
      </c>
      <c r="J11" s="58">
        <v>0.53</v>
      </c>
      <c r="K11" s="69">
        <f t="shared" ref="K11:K14" si="2">J11/(1+H11*(1-G11))</f>
        <v>0.52955081737865017</v>
      </c>
    </row>
    <row r="12" spans="1:11" x14ac:dyDescent="0.2">
      <c r="A12" s="60"/>
      <c r="B12" s="56" t="s">
        <v>174</v>
      </c>
      <c r="C12" s="56"/>
      <c r="D12" s="56" t="s">
        <v>142</v>
      </c>
      <c r="E12" s="67">
        <f>'Beta Comps'!F5</f>
        <v>99711.679999999993</v>
      </c>
      <c r="F12" s="67">
        <f>'Beta Comps'!E5</f>
        <v>215055.88</v>
      </c>
      <c r="G12" s="57">
        <v>0.3</v>
      </c>
      <c r="H12" s="68">
        <f t="shared" si="0"/>
        <v>0.46365474870996315</v>
      </c>
      <c r="I12" s="68">
        <f t="shared" si="1"/>
        <v>0.31677876843471414</v>
      </c>
      <c r="J12" s="58">
        <v>1.1100000000000001</v>
      </c>
      <c r="K12" s="69">
        <f t="shared" si="2"/>
        <v>0.83801519329603658</v>
      </c>
    </row>
    <row r="13" spans="1:11" x14ac:dyDescent="0.2">
      <c r="A13" s="60"/>
      <c r="B13" s="56" t="s">
        <v>175</v>
      </c>
      <c r="C13" s="56"/>
      <c r="D13" s="56" t="s">
        <v>142</v>
      </c>
      <c r="E13" s="67">
        <f>'Beta Comps'!F6</f>
        <v>125.04</v>
      </c>
      <c r="F13" s="67">
        <f>'Beta Comps'!E6</f>
        <v>192484.36</v>
      </c>
      <c r="G13" s="57">
        <v>0.3</v>
      </c>
      <c r="H13" s="68">
        <f t="shared" si="0"/>
        <v>6.4961122036096865E-4</v>
      </c>
      <c r="I13" s="68">
        <f t="shared" si="1"/>
        <v>6.4918949957790226E-4</v>
      </c>
      <c r="J13" s="58">
        <v>0.51</v>
      </c>
      <c r="K13" s="69">
        <f t="shared" si="2"/>
        <v>0.50976819420288388</v>
      </c>
    </row>
    <row r="14" spans="1:11" x14ac:dyDescent="0.2">
      <c r="A14" s="60"/>
      <c r="B14" s="56" t="s">
        <v>176</v>
      </c>
      <c r="C14" s="56"/>
      <c r="D14" s="56" t="s">
        <v>142</v>
      </c>
      <c r="E14" s="67">
        <f>'Beta Comps'!F7</f>
        <v>416.16</v>
      </c>
      <c r="F14" s="67">
        <f>'Beta Comps'!E7</f>
        <v>113438.88</v>
      </c>
      <c r="G14" s="57">
        <v>0.3</v>
      </c>
      <c r="H14" s="68">
        <f t="shared" si="0"/>
        <v>3.6685834697944833E-3</v>
      </c>
      <c r="I14" s="68">
        <f t="shared" si="1"/>
        <v>3.6551741582981304E-3</v>
      </c>
      <c r="J14" s="58">
        <v>0.97</v>
      </c>
      <c r="K14" s="69">
        <f t="shared" si="2"/>
        <v>0.96751541226625193</v>
      </c>
    </row>
    <row r="15" spans="1:11" x14ac:dyDescent="0.2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</row>
    <row r="16" spans="1:11" x14ac:dyDescent="0.2">
      <c r="A16" s="60"/>
      <c r="B16" s="60"/>
      <c r="C16" s="60"/>
      <c r="D16" s="60"/>
      <c r="E16" s="60"/>
      <c r="F16" s="70" t="s">
        <v>143</v>
      </c>
      <c r="G16" s="71">
        <f>AVERAGE(G10:G14)</f>
        <v>0.3</v>
      </c>
      <c r="H16" s="71">
        <f t="shared" ref="H16:K16" si="3">AVERAGE(H10:H14)</f>
        <v>0.18339561952869948</v>
      </c>
      <c r="I16" s="71">
        <f t="shared" si="3"/>
        <v>0.12631742784625663</v>
      </c>
      <c r="J16" s="85">
        <f t="shared" si="3"/>
        <v>0.80800000000000005</v>
      </c>
      <c r="K16" s="85">
        <f t="shared" si="3"/>
        <v>0.70905842856122647</v>
      </c>
    </row>
    <row r="17" spans="1:11" x14ac:dyDescent="0.2">
      <c r="A17" s="60"/>
      <c r="B17" s="60"/>
      <c r="C17" s="60"/>
      <c r="D17" s="60"/>
      <c r="E17" s="60"/>
      <c r="F17" s="72" t="s">
        <v>119</v>
      </c>
      <c r="G17" s="73">
        <f>MEDIAN(G10:G14)</f>
        <v>0.3</v>
      </c>
      <c r="H17" s="73">
        <f t="shared" ref="H17:K17" si="4">MEDIAN(H10:H14)</f>
        <v>3.6685834697944833E-3</v>
      </c>
      <c r="I17" s="73">
        <f t="shared" si="4"/>
        <v>3.6551741582981304E-3</v>
      </c>
      <c r="J17" s="86">
        <f t="shared" si="4"/>
        <v>0.92</v>
      </c>
      <c r="K17" s="86">
        <f t="shared" si="4"/>
        <v>0.7004425256623098</v>
      </c>
    </row>
    <row r="18" spans="1:11" x14ac:dyDescent="0.2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</row>
    <row r="19" spans="1:11" x14ac:dyDescent="0.2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</row>
    <row r="20" spans="1:11" x14ac:dyDescent="0.2">
      <c r="A20" s="60"/>
      <c r="B20" s="72" t="s">
        <v>144</v>
      </c>
      <c r="C20" s="72"/>
      <c r="D20" s="66"/>
      <c r="E20" s="66"/>
      <c r="F20" s="60"/>
      <c r="G20" s="72" t="s">
        <v>145</v>
      </c>
      <c r="H20" s="72"/>
      <c r="I20" s="66"/>
      <c r="J20" s="66"/>
      <c r="K20" s="66"/>
    </row>
    <row r="21" spans="1:11" x14ac:dyDescent="0.2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</row>
    <row r="22" spans="1:11" x14ac:dyDescent="0.2">
      <c r="A22" s="60"/>
      <c r="B22" s="60" t="s">
        <v>146</v>
      </c>
      <c r="C22" s="60"/>
      <c r="D22" s="60"/>
      <c r="E22" s="59">
        <f>10225/127864</f>
        <v>7.9967778264405931E-2</v>
      </c>
      <c r="F22" s="60"/>
      <c r="G22" s="60" t="s">
        <v>147</v>
      </c>
      <c r="H22" s="60"/>
      <c r="I22" s="60"/>
      <c r="J22" s="60"/>
      <c r="K22" s="59">
        <v>7.1760000000000004E-2</v>
      </c>
    </row>
    <row r="23" spans="1:11" x14ac:dyDescent="0.2">
      <c r="A23" s="60"/>
      <c r="B23" s="60" t="s">
        <v>148</v>
      </c>
      <c r="C23" s="60"/>
      <c r="D23" s="60"/>
      <c r="E23" s="11">
        <f>G10</f>
        <v>0.3</v>
      </c>
      <c r="F23" s="60"/>
      <c r="G23" s="60" t="s">
        <v>149</v>
      </c>
      <c r="H23" s="60"/>
      <c r="I23" s="60"/>
      <c r="J23" s="60"/>
      <c r="K23" s="74">
        <f>Rm!G7-WACC!K22</f>
        <v>9.617478260869565E-2</v>
      </c>
    </row>
    <row r="24" spans="1:11" ht="17" x14ac:dyDescent="0.2">
      <c r="A24" s="60"/>
      <c r="B24" s="75" t="s">
        <v>150</v>
      </c>
      <c r="C24" s="75"/>
      <c r="D24" s="75"/>
      <c r="E24" s="76">
        <f>E22*(1-E23)</f>
        <v>5.5977444785084145E-2</v>
      </c>
      <c r="F24" s="60"/>
      <c r="G24" s="60" t="s">
        <v>171</v>
      </c>
      <c r="H24" s="60"/>
      <c r="I24" s="60"/>
      <c r="J24" s="60"/>
      <c r="K24" s="77">
        <f>K33</f>
        <v>0.70224126797213993</v>
      </c>
    </row>
    <row r="25" spans="1:11" x14ac:dyDescent="0.2">
      <c r="A25" s="60"/>
      <c r="B25" s="60"/>
      <c r="C25" s="60"/>
      <c r="D25" s="60"/>
      <c r="E25" s="60"/>
      <c r="F25" s="60"/>
      <c r="G25" s="75" t="s">
        <v>145</v>
      </c>
      <c r="H25" s="75"/>
      <c r="I25" s="75"/>
      <c r="J25" s="75"/>
      <c r="K25" s="76">
        <f>K22+(K24*K23)</f>
        <v>0.13929790128607533</v>
      </c>
    </row>
    <row r="26" spans="1:11" x14ac:dyDescent="0.2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</row>
    <row r="27" spans="1:11" x14ac:dyDescent="0.2">
      <c r="A27" s="60"/>
      <c r="B27" s="60"/>
      <c r="C27" s="60"/>
      <c r="D27" s="60"/>
      <c r="E27" s="60"/>
      <c r="F27" s="60"/>
      <c r="G27" s="60"/>
      <c r="H27" s="60"/>
      <c r="I27" s="60"/>
      <c r="J27" s="60"/>
      <c r="K27" s="60"/>
    </row>
    <row r="28" spans="1:11" x14ac:dyDescent="0.2">
      <c r="A28" s="60"/>
      <c r="B28" s="72" t="s">
        <v>151</v>
      </c>
      <c r="C28" s="72"/>
      <c r="D28" s="66"/>
      <c r="E28" s="66"/>
      <c r="F28" s="60"/>
      <c r="G28" s="72" t="s">
        <v>152</v>
      </c>
      <c r="H28" s="72"/>
      <c r="I28" s="66"/>
      <c r="J28" s="66"/>
      <c r="K28" s="72"/>
    </row>
    <row r="29" spans="1:11" x14ac:dyDescent="0.2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</row>
    <row r="30" spans="1:11" x14ac:dyDescent="0.2">
      <c r="A30" s="60"/>
      <c r="B30" s="60"/>
      <c r="C30" s="60"/>
      <c r="D30" s="78" t="s">
        <v>153</v>
      </c>
      <c r="E30" s="78" t="s">
        <v>154</v>
      </c>
      <c r="F30" s="60"/>
      <c r="G30" s="60" t="s">
        <v>155</v>
      </c>
      <c r="H30" s="60"/>
      <c r="I30" s="60"/>
      <c r="J30" s="60"/>
      <c r="K30" s="77">
        <f>K17</f>
        <v>0.7004425256623098</v>
      </c>
    </row>
    <row r="31" spans="1:11" x14ac:dyDescent="0.2">
      <c r="A31" s="60"/>
      <c r="B31" s="60" t="s">
        <v>138</v>
      </c>
      <c r="C31" s="67">
        <f>E10</f>
        <v>127864.3</v>
      </c>
      <c r="D31" s="74">
        <f>C31/$C$33</f>
        <v>0.30929371191423122</v>
      </c>
      <c r="E31" s="11">
        <f>I17</f>
        <v>3.6551741582981304E-3</v>
      </c>
      <c r="F31" s="60"/>
      <c r="G31" s="60" t="s">
        <v>156</v>
      </c>
      <c r="H31" s="60"/>
      <c r="I31" s="60"/>
      <c r="J31" s="60"/>
      <c r="K31" s="74">
        <f>E35</f>
        <v>3.6685834697944828E-3</v>
      </c>
    </row>
    <row r="32" spans="1:11" x14ac:dyDescent="0.2">
      <c r="A32" s="60"/>
      <c r="B32" s="60" t="s">
        <v>9</v>
      </c>
      <c r="C32" s="67">
        <f>F10</f>
        <v>285543.07</v>
      </c>
      <c r="D32" s="74">
        <f>C32/$C$33</f>
        <v>0.69070628808576884</v>
      </c>
      <c r="E32" s="74">
        <f>E33-E31</f>
        <v>0.99634482584170192</v>
      </c>
      <c r="F32" s="60"/>
      <c r="G32" s="60" t="s">
        <v>148</v>
      </c>
      <c r="H32" s="60"/>
      <c r="I32" s="60"/>
      <c r="J32" s="60"/>
      <c r="K32" s="79">
        <f>G17</f>
        <v>0.3</v>
      </c>
    </row>
    <row r="33" spans="1:11" x14ac:dyDescent="0.2">
      <c r="A33" s="60"/>
      <c r="B33" s="75" t="s">
        <v>157</v>
      </c>
      <c r="C33" s="80">
        <f>SUM(C31:C32)</f>
        <v>413407.37</v>
      </c>
      <c r="D33" s="81">
        <f>SUM(D31:D32)</f>
        <v>1</v>
      </c>
      <c r="E33" s="81">
        <f>D33</f>
        <v>1</v>
      </c>
      <c r="F33" s="60"/>
      <c r="G33" s="75" t="s">
        <v>152</v>
      </c>
      <c r="H33" s="75"/>
      <c r="I33" s="75"/>
      <c r="J33" s="75"/>
      <c r="K33" s="82">
        <f>K30*(1+K31*(1-K32))</f>
        <v>0.70224126797213993</v>
      </c>
    </row>
    <row r="34" spans="1:11" x14ac:dyDescent="0.2">
      <c r="A34" s="60"/>
      <c r="B34" s="60"/>
      <c r="C34" s="60"/>
      <c r="D34" s="60"/>
      <c r="E34" s="60"/>
      <c r="F34" s="60"/>
      <c r="G34" s="60"/>
      <c r="H34" s="60"/>
      <c r="I34" s="60"/>
      <c r="J34" s="60"/>
      <c r="K34" s="60"/>
    </row>
    <row r="35" spans="1:11" x14ac:dyDescent="0.2">
      <c r="A35" s="60"/>
      <c r="B35" s="60" t="s">
        <v>158</v>
      </c>
      <c r="C35" s="60"/>
      <c r="D35" s="68">
        <f>D31/D32</f>
        <v>0.44779339242938021</v>
      </c>
      <c r="E35" s="68">
        <f>E31/E32</f>
        <v>3.6685834697944828E-3</v>
      </c>
      <c r="F35" s="60"/>
      <c r="G35" s="72" t="s">
        <v>159</v>
      </c>
      <c r="H35" s="72"/>
      <c r="I35" s="72"/>
      <c r="J35" s="72"/>
      <c r="K35" s="72"/>
    </row>
    <row r="36" spans="1:11" x14ac:dyDescent="0.2">
      <c r="A36" s="60"/>
      <c r="B36" s="60"/>
      <c r="C36" s="60"/>
      <c r="D36" s="60"/>
      <c r="E36" s="60"/>
      <c r="F36" s="60"/>
      <c r="G36" s="60"/>
      <c r="H36" s="60"/>
      <c r="I36" s="60"/>
      <c r="J36" s="60"/>
      <c r="K36" s="60"/>
    </row>
    <row r="37" spans="1:11" x14ac:dyDescent="0.2">
      <c r="A37" s="60"/>
      <c r="B37" s="83" t="s">
        <v>160</v>
      </c>
      <c r="C37" s="60"/>
      <c r="D37" s="60"/>
      <c r="E37" s="60"/>
      <c r="F37" s="60"/>
      <c r="G37" s="60"/>
      <c r="H37" s="60"/>
      <c r="I37" s="60"/>
      <c r="J37" s="78" t="s">
        <v>161</v>
      </c>
      <c r="K37" s="78" t="s">
        <v>162</v>
      </c>
    </row>
    <row r="38" spans="1:11" x14ac:dyDescent="0.2">
      <c r="A38" s="60"/>
      <c r="B38" s="84" t="s">
        <v>163</v>
      </c>
      <c r="C38" s="84"/>
      <c r="D38" s="84"/>
      <c r="E38" s="60"/>
      <c r="F38" s="60"/>
      <c r="G38" s="60" t="s">
        <v>164</v>
      </c>
      <c r="H38" s="60"/>
      <c r="I38" s="60"/>
      <c r="J38" s="74">
        <f>E24</f>
        <v>5.5977444785084145E-2</v>
      </c>
      <c r="K38" s="74">
        <f>E31</f>
        <v>3.6551741582981304E-3</v>
      </c>
    </row>
    <row r="39" spans="1:11" x14ac:dyDescent="0.2">
      <c r="A39" s="60"/>
      <c r="B39" s="84" t="s">
        <v>165</v>
      </c>
      <c r="C39" s="84"/>
      <c r="D39" s="84"/>
      <c r="E39" s="60"/>
      <c r="F39" s="60"/>
      <c r="G39" s="60" t="s">
        <v>140</v>
      </c>
      <c r="H39" s="60"/>
      <c r="I39" s="60"/>
      <c r="J39" s="74">
        <f>K25</f>
        <v>0.13929790128607533</v>
      </c>
      <c r="K39" s="74">
        <f>E32</f>
        <v>0.99634482584170192</v>
      </c>
    </row>
    <row r="40" spans="1:11" x14ac:dyDescent="0.2">
      <c r="A40" s="60"/>
      <c r="B40" s="84" t="s">
        <v>166</v>
      </c>
      <c r="C40" s="84"/>
      <c r="D40" s="84"/>
      <c r="E40" s="84"/>
      <c r="F40" s="60"/>
      <c r="G40" s="75" t="s">
        <v>159</v>
      </c>
      <c r="H40" s="75"/>
      <c r="I40" s="75"/>
      <c r="J40" s="75"/>
      <c r="K40" s="76">
        <f>SUMPRODUCT(J38:J39,K38:K39)</f>
        <v>0.13899335050661529</v>
      </c>
    </row>
    <row r="41" spans="1:11" x14ac:dyDescent="0.2">
      <c r="A41" s="60"/>
      <c r="B41" s="84" t="s">
        <v>167</v>
      </c>
      <c r="C41" s="84"/>
      <c r="D41" s="84"/>
      <c r="E41" s="84"/>
      <c r="F41" s="60"/>
      <c r="G41" s="60"/>
      <c r="H41" s="60"/>
      <c r="I41" s="60"/>
      <c r="J41" s="60"/>
      <c r="K41" s="60"/>
    </row>
  </sheetData>
  <pageMargins left="0.25" right="0.25" top="0.75" bottom="0.75" header="0.3" footer="0.3"/>
  <pageSetup paperSize="9" scale="80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9E85E-83D4-2849-AF58-CA3F759B9926}">
  <dimension ref="A2:K63"/>
  <sheetViews>
    <sheetView showGridLines="0" zoomScale="150" zoomScaleNormal="150" workbookViewId="0">
      <selection activeCell="K34" sqref="K34"/>
    </sheetView>
  </sheetViews>
  <sheetFormatPr baseColWidth="10" defaultRowHeight="15" x14ac:dyDescent="0.2"/>
  <cols>
    <col min="1" max="1" width="2" customWidth="1"/>
    <col min="7" max="7" width="11" bestFit="1" customWidth="1"/>
    <col min="8" max="8" width="11" customWidth="1"/>
    <col min="9" max="11" width="11" bestFit="1" customWidth="1"/>
  </cols>
  <sheetData>
    <row r="2" spans="1:11" x14ac:dyDescent="0.2">
      <c r="A2" t="s">
        <v>56</v>
      </c>
      <c r="B2" s="94" t="s">
        <v>220</v>
      </c>
      <c r="C2" s="94"/>
      <c r="D2" s="94"/>
      <c r="E2" s="94"/>
      <c r="F2" s="94"/>
      <c r="G2" s="95">
        <f>'Raw FS'!J$4</f>
        <v>43525</v>
      </c>
      <c r="H2" s="95">
        <f>'Raw FS'!K$4</f>
        <v>43891</v>
      </c>
      <c r="I2" s="95">
        <f>'Raw FS'!L$4</f>
        <v>44256</v>
      </c>
      <c r="J2" s="95">
        <f>'Raw FS'!M$4</f>
        <v>44621</v>
      </c>
      <c r="K2" s="95">
        <f>'Raw FS'!N$4</f>
        <v>44986</v>
      </c>
    </row>
    <row r="4" spans="1:11" x14ac:dyDescent="0.2">
      <c r="B4" s="8" t="s">
        <v>221</v>
      </c>
    </row>
    <row r="5" spans="1:11" x14ac:dyDescent="0.2">
      <c r="B5" s="109" t="str">
        <f>'Raw FS'!B38</f>
        <v>Inventories</v>
      </c>
      <c r="C5" s="109"/>
      <c r="D5" s="109"/>
      <c r="E5" s="109"/>
      <c r="F5" s="109"/>
      <c r="G5" s="100">
        <f>'Raw FS'!J38</f>
        <v>39014</v>
      </c>
      <c r="H5" s="100">
        <f>'Raw FS'!K38</f>
        <v>37457</v>
      </c>
      <c r="I5" s="100">
        <f>'Raw FS'!L38</f>
        <v>36089</v>
      </c>
      <c r="J5" s="100">
        <f>'Raw FS'!M38</f>
        <v>35240</v>
      </c>
      <c r="K5" s="100">
        <f>'Raw FS'!N38</f>
        <v>40755</v>
      </c>
    </row>
    <row r="6" spans="1:11" x14ac:dyDescent="0.2">
      <c r="B6" s="109" t="str">
        <f>'Raw FS'!B39</f>
        <v>Trade receivables</v>
      </c>
      <c r="C6" s="109"/>
      <c r="D6" s="109"/>
      <c r="E6" s="109"/>
      <c r="F6" s="109"/>
      <c r="G6" s="100">
        <f>'Raw FS'!J39</f>
        <v>18996</v>
      </c>
      <c r="H6" s="100">
        <f>'Raw FS'!K39</f>
        <v>11173</v>
      </c>
      <c r="I6" s="100">
        <f>'Raw FS'!L39</f>
        <v>12679</v>
      </c>
      <c r="J6" s="100">
        <f>'Raw FS'!M39</f>
        <v>12442</v>
      </c>
      <c r="K6" s="100">
        <f>'Raw FS'!N39</f>
        <v>15738</v>
      </c>
    </row>
    <row r="7" spans="1:11" x14ac:dyDescent="0.2">
      <c r="B7" s="109" t="str">
        <f>'Raw FS'!B41</f>
        <v>Short term loans</v>
      </c>
      <c r="C7" s="109"/>
      <c r="D7" s="109"/>
      <c r="E7" s="109"/>
      <c r="F7" s="109"/>
      <c r="G7" s="100">
        <f>'Raw FS'!J41</f>
        <v>974</v>
      </c>
      <c r="H7" s="100">
        <f>'Raw FS'!K41</f>
        <v>39</v>
      </c>
      <c r="I7" s="100">
        <f>'Raw FS'!L41</f>
        <v>142</v>
      </c>
      <c r="J7" s="100">
        <f>'Raw FS'!M41</f>
        <v>47</v>
      </c>
      <c r="K7" s="100">
        <f>'Raw FS'!N41</f>
        <v>50</v>
      </c>
    </row>
    <row r="8" spans="1:11" x14ac:dyDescent="0.2">
      <c r="B8" s="20" t="str">
        <f>'Raw FS'!B42</f>
        <v>Other asset items</v>
      </c>
      <c r="C8" s="20"/>
      <c r="D8" s="20"/>
      <c r="E8" s="20"/>
      <c r="F8" s="20"/>
      <c r="G8" s="106">
        <f>'Raw FS'!J42</f>
        <v>55182</v>
      </c>
      <c r="H8" s="106">
        <f>'Raw FS'!K42</f>
        <v>58746</v>
      </c>
      <c r="I8" s="106">
        <f>'Raw FS'!L42</f>
        <v>61576</v>
      </c>
      <c r="J8" s="106">
        <f>'Raw FS'!M42</f>
        <v>62177</v>
      </c>
      <c r="K8" s="106">
        <f>'Raw FS'!N42</f>
        <v>68382</v>
      </c>
    </row>
    <row r="9" spans="1:11" x14ac:dyDescent="0.2">
      <c r="B9" s="110" t="s">
        <v>85</v>
      </c>
      <c r="C9" s="110"/>
      <c r="D9" s="110"/>
      <c r="E9" s="110"/>
      <c r="F9" s="110"/>
      <c r="G9" s="111">
        <f>SUM(G5:G8)</f>
        <v>114166</v>
      </c>
      <c r="H9" s="111">
        <f t="shared" ref="H9:K9" si="0">SUM(H5:H8)</f>
        <v>107415</v>
      </c>
      <c r="I9" s="111">
        <f t="shared" si="0"/>
        <v>110486</v>
      </c>
      <c r="J9" s="111">
        <f t="shared" si="0"/>
        <v>109906</v>
      </c>
      <c r="K9" s="111">
        <f t="shared" si="0"/>
        <v>124925</v>
      </c>
    </row>
    <row r="11" spans="1:11" x14ac:dyDescent="0.2">
      <c r="B11" s="8" t="s">
        <v>222</v>
      </c>
    </row>
    <row r="12" spans="1:11" x14ac:dyDescent="0.2">
      <c r="B12" s="109" t="str">
        <f>'Raw FS'!B15</f>
        <v>Trade Payables</v>
      </c>
      <c r="C12" s="109"/>
      <c r="D12" s="109"/>
      <c r="E12" s="109"/>
      <c r="F12" s="109"/>
      <c r="G12" s="100">
        <f>'Raw FS'!J15</f>
        <v>71691</v>
      </c>
      <c r="H12" s="100">
        <f>'Raw FS'!K15</f>
        <v>66398</v>
      </c>
      <c r="I12" s="100">
        <f>'Raw FS'!L15</f>
        <v>76040</v>
      </c>
      <c r="J12" s="100">
        <f>'Raw FS'!M15</f>
        <v>69750</v>
      </c>
      <c r="K12" s="100">
        <f>'Raw FS'!N15</f>
        <v>79252</v>
      </c>
    </row>
    <row r="13" spans="1:11" x14ac:dyDescent="0.2">
      <c r="B13" s="109" t="str">
        <f>'Raw FS'!B16</f>
        <v>Advance from Customers</v>
      </c>
      <c r="C13" s="109"/>
      <c r="D13" s="109"/>
      <c r="E13" s="109"/>
      <c r="F13" s="109"/>
      <c r="G13" s="100">
        <f>'Raw FS'!J16</f>
        <v>0</v>
      </c>
      <c r="H13" s="100">
        <f>'Raw FS'!K16</f>
        <v>0</v>
      </c>
      <c r="I13" s="100">
        <f>'Raw FS'!L16</f>
        <v>0</v>
      </c>
      <c r="J13" s="100">
        <f>'Raw FS'!M16</f>
        <v>0</v>
      </c>
      <c r="K13" s="100">
        <f>'Raw FS'!N16</f>
        <v>0</v>
      </c>
    </row>
    <row r="14" spans="1:11" x14ac:dyDescent="0.2">
      <c r="B14" s="109" t="str">
        <f>'Raw FS'!B17</f>
        <v>Other liability items</v>
      </c>
      <c r="C14" s="109"/>
      <c r="D14" s="109"/>
      <c r="E14" s="109"/>
      <c r="F14" s="109"/>
      <c r="G14" s="100">
        <f>'Raw FS'!J17</f>
        <v>67135</v>
      </c>
      <c r="H14" s="100">
        <f>'Raw FS'!K17</f>
        <v>65969</v>
      </c>
      <c r="I14" s="100">
        <f>'Raw FS'!L17</f>
        <v>66579</v>
      </c>
      <c r="J14" s="100">
        <f>'Raw FS'!M17</f>
        <v>64030</v>
      </c>
      <c r="K14" s="100">
        <f>'Raw FS'!N17</f>
        <v>68710</v>
      </c>
    </row>
    <row r="15" spans="1:11" x14ac:dyDescent="0.2">
      <c r="B15" s="110" t="s">
        <v>223</v>
      </c>
      <c r="C15" s="110"/>
      <c r="D15" s="110"/>
      <c r="E15" s="110"/>
      <c r="F15" s="110"/>
      <c r="G15" s="111">
        <f>SUM(G12:G14)</f>
        <v>138826</v>
      </c>
      <c r="H15" s="111">
        <f>SUM(H12:H14)</f>
        <v>132367</v>
      </c>
      <c r="I15" s="111">
        <f>SUM(I12:I14)</f>
        <v>142619</v>
      </c>
      <c r="J15" s="111">
        <f>SUM(J12:J14)</f>
        <v>133780</v>
      </c>
      <c r="K15" s="111">
        <f>SUM(K12:K14)</f>
        <v>147962</v>
      </c>
    </row>
    <row r="17" spans="1:11" ht="16" thickBot="1" x14ac:dyDescent="0.25">
      <c r="A17" t="s">
        <v>56</v>
      </c>
      <c r="B17" s="113" t="s">
        <v>224</v>
      </c>
      <c r="C17" s="113"/>
      <c r="D17" s="113"/>
      <c r="E17" s="113"/>
      <c r="F17" s="113"/>
      <c r="G17" s="114">
        <f>G9-G15</f>
        <v>-24660</v>
      </c>
      <c r="H17" s="114">
        <f t="shared" ref="H17:K17" si="1">H9-H15</f>
        <v>-24952</v>
      </c>
      <c r="I17" s="114">
        <f t="shared" si="1"/>
        <v>-32133</v>
      </c>
      <c r="J17" s="114">
        <f t="shared" si="1"/>
        <v>-23874</v>
      </c>
      <c r="K17" s="114">
        <f t="shared" si="1"/>
        <v>-23037</v>
      </c>
    </row>
    <row r="19" spans="1:11" x14ac:dyDescent="0.2">
      <c r="B19" s="8" t="s">
        <v>225</v>
      </c>
    </row>
    <row r="20" spans="1:11" x14ac:dyDescent="0.2">
      <c r="B20" s="109" t="str">
        <f>'Raw FS'!B21</f>
        <v>Land</v>
      </c>
      <c r="C20" s="109"/>
      <c r="D20" s="109"/>
      <c r="E20" s="109"/>
      <c r="F20" s="109"/>
      <c r="G20" s="100">
        <f>'Raw FS'!J21</f>
        <v>7286</v>
      </c>
      <c r="H20" s="100">
        <f>'Raw FS'!K21</f>
        <v>7675</v>
      </c>
      <c r="I20" s="100">
        <f>'Raw FS'!L21</f>
        <v>7819</v>
      </c>
      <c r="J20" s="100">
        <f>'Raw FS'!M21</f>
        <v>7760</v>
      </c>
      <c r="K20" s="100">
        <f>'Raw FS'!N21</f>
        <v>8045</v>
      </c>
    </row>
    <row r="21" spans="1:11" x14ac:dyDescent="0.2">
      <c r="B21" s="109" t="str">
        <f>'Raw FS'!B22</f>
        <v>Building</v>
      </c>
      <c r="C21" s="109"/>
      <c r="D21" s="109"/>
      <c r="E21" s="109"/>
      <c r="F21" s="109"/>
      <c r="G21" s="100">
        <f>'Raw FS'!J22</f>
        <v>22938</v>
      </c>
      <c r="H21" s="100">
        <f>'Raw FS'!K22</f>
        <v>32665</v>
      </c>
      <c r="I21" s="100">
        <f>'Raw FS'!L22</f>
        <v>35537</v>
      </c>
      <c r="J21" s="100">
        <f>'Raw FS'!M22</f>
        <v>36466</v>
      </c>
      <c r="K21" s="100">
        <f>'Raw FS'!N22</f>
        <v>38781</v>
      </c>
    </row>
    <row r="22" spans="1:11" x14ac:dyDescent="0.2">
      <c r="B22" s="109" t="str">
        <f>'Raw FS'!B23</f>
        <v>Plant Machinery</v>
      </c>
      <c r="C22" s="109"/>
      <c r="D22" s="109"/>
      <c r="E22" s="109"/>
      <c r="F22" s="109"/>
      <c r="G22" s="100">
        <f>'Raw FS'!J23</f>
        <v>109415</v>
      </c>
      <c r="H22" s="100">
        <f>'Raw FS'!K23</f>
        <v>124158</v>
      </c>
      <c r="I22" s="100">
        <f>'Raw FS'!L23</f>
        <v>138868</v>
      </c>
      <c r="J22" s="100">
        <f>'Raw FS'!M23</f>
        <v>148585</v>
      </c>
      <c r="K22" s="100">
        <f>'Raw FS'!N23</f>
        <v>153672</v>
      </c>
    </row>
    <row r="23" spans="1:11" x14ac:dyDescent="0.2">
      <c r="B23" s="109" t="str">
        <f>'Raw FS'!B24</f>
        <v>Equipments</v>
      </c>
      <c r="C23" s="109"/>
      <c r="D23" s="109"/>
      <c r="E23" s="109"/>
      <c r="F23" s="109"/>
      <c r="G23" s="100">
        <f>'Raw FS'!J24</f>
        <v>0</v>
      </c>
      <c r="H23" s="100">
        <f>'Raw FS'!K24</f>
        <v>0</v>
      </c>
      <c r="I23" s="100">
        <f>'Raw FS'!L24</f>
        <v>0</v>
      </c>
      <c r="J23" s="100">
        <f>'Raw FS'!M24</f>
        <v>0</v>
      </c>
      <c r="K23" s="100">
        <f>'Raw FS'!N24</f>
        <v>0</v>
      </c>
    </row>
    <row r="24" spans="1:11" x14ac:dyDescent="0.2">
      <c r="B24" s="109" t="str">
        <f>'Raw FS'!B25</f>
        <v>Computers</v>
      </c>
      <c r="C24" s="109"/>
      <c r="D24" s="109"/>
      <c r="E24" s="109"/>
      <c r="F24" s="109"/>
      <c r="G24" s="100">
        <f>'Raw FS'!J25</f>
        <v>2335</v>
      </c>
      <c r="H24" s="100">
        <f>'Raw FS'!K25</f>
        <v>3054</v>
      </c>
      <c r="I24" s="100">
        <f>'Raw FS'!L25</f>
        <v>3172</v>
      </c>
      <c r="J24" s="100">
        <f>'Raw FS'!M25</f>
        <v>3383</v>
      </c>
      <c r="K24" s="100">
        <f>'Raw FS'!N25</f>
        <v>3499</v>
      </c>
    </row>
    <row r="25" spans="1:11" x14ac:dyDescent="0.2">
      <c r="B25" s="109" t="str">
        <f>'Raw FS'!B26</f>
        <v>Furniture n fittings</v>
      </c>
      <c r="C25" s="109"/>
      <c r="D25" s="109"/>
      <c r="E25" s="109"/>
      <c r="F25" s="109"/>
      <c r="G25" s="100">
        <f>'Raw FS'!J26</f>
        <v>1626</v>
      </c>
      <c r="H25" s="100">
        <f>'Raw FS'!K26</f>
        <v>1890</v>
      </c>
      <c r="I25" s="100">
        <f>'Raw FS'!L26</f>
        <v>1956</v>
      </c>
      <c r="J25" s="100">
        <f>'Raw FS'!M26</f>
        <v>1984</v>
      </c>
      <c r="K25" s="100">
        <f>'Raw FS'!N26</f>
        <v>2084</v>
      </c>
    </row>
    <row r="26" spans="1:11" x14ac:dyDescent="0.2">
      <c r="B26" s="109" t="str">
        <f>'Raw FS'!B27</f>
        <v>Vehicles</v>
      </c>
      <c r="C26" s="109"/>
      <c r="D26" s="109"/>
      <c r="E26" s="109"/>
      <c r="F26" s="109"/>
      <c r="G26" s="100">
        <f>'Raw FS'!J27</f>
        <v>387</v>
      </c>
      <c r="H26" s="100">
        <f>'Raw FS'!K27</f>
        <v>601</v>
      </c>
      <c r="I26" s="100">
        <f>'Raw FS'!L27</f>
        <v>845</v>
      </c>
      <c r="J26" s="100">
        <f>'Raw FS'!M27</f>
        <v>725</v>
      </c>
      <c r="K26" s="100">
        <f>'Raw FS'!N27</f>
        <v>788</v>
      </c>
    </row>
    <row r="27" spans="1:11" x14ac:dyDescent="0.2">
      <c r="B27" s="109" t="str">
        <f>'Raw FS'!B28</f>
        <v>Intangible Assets</v>
      </c>
      <c r="C27" s="109"/>
      <c r="D27" s="109"/>
      <c r="E27" s="109"/>
      <c r="F27" s="109"/>
      <c r="G27" s="100">
        <f>'Raw FS'!J28</f>
        <v>80480</v>
      </c>
      <c r="H27" s="100">
        <f>'Raw FS'!K28</f>
        <v>91157</v>
      </c>
      <c r="I27" s="100">
        <f>'Raw FS'!L28</f>
        <v>114809</v>
      </c>
      <c r="J27" s="100">
        <f>'Raw FS'!M28</f>
        <v>114323</v>
      </c>
      <c r="K27" s="100">
        <f>'Raw FS'!N28</f>
        <v>112538</v>
      </c>
    </row>
    <row r="28" spans="1:11" x14ac:dyDescent="0.2">
      <c r="B28" s="109" t="str">
        <f>'Raw FS'!B29</f>
        <v>Other fixed assets</v>
      </c>
      <c r="C28" s="109"/>
      <c r="D28" s="109"/>
      <c r="E28" s="109"/>
      <c r="F28" s="109"/>
      <c r="G28" s="100">
        <f>'Raw FS'!J29</f>
        <v>8049</v>
      </c>
      <c r="H28" s="100">
        <f>'Raw FS'!K29</f>
        <v>9380</v>
      </c>
      <c r="I28" s="100">
        <f>'Raw FS'!L29</f>
        <v>10686</v>
      </c>
      <c r="J28" s="100">
        <f>'Raw FS'!M29</f>
        <v>10870</v>
      </c>
      <c r="K28" s="100">
        <f>'Raw FS'!N29</f>
        <v>11735</v>
      </c>
    </row>
    <row r="29" spans="1:11" x14ac:dyDescent="0.2">
      <c r="B29" s="110" t="s">
        <v>210</v>
      </c>
      <c r="C29" s="110"/>
      <c r="D29" s="110"/>
      <c r="E29" s="110"/>
      <c r="F29" s="110"/>
      <c r="G29" s="111">
        <f>SUM(G20:G28)</f>
        <v>232516</v>
      </c>
      <c r="H29" s="111">
        <f>SUM(H20:H28)</f>
        <v>270580</v>
      </c>
      <c r="I29" s="111">
        <f>SUM(I20:I28)</f>
        <v>313692</v>
      </c>
      <c r="J29" s="111">
        <f>SUM(J20:J28)</f>
        <v>324096</v>
      </c>
      <c r="K29" s="111">
        <f>SUM(K20:K28)</f>
        <v>331142</v>
      </c>
    </row>
    <row r="30" spans="1:11" x14ac:dyDescent="0.2">
      <c r="B30" t="str">
        <f>'Raw FS'!B31</f>
        <v>Accumulated Depreciation</v>
      </c>
      <c r="G30" s="105">
        <f>-'Raw FS'!J31</f>
        <v>-121283</v>
      </c>
      <c r="H30" s="105">
        <f>-'Raw FS'!K31</f>
        <v>-143471</v>
      </c>
      <c r="I30" s="105">
        <f>-'Raw FS'!L31</f>
        <v>-174985</v>
      </c>
      <c r="J30" s="105">
        <f>-'Raw FS'!M31</f>
        <v>-185241</v>
      </c>
      <c r="K30" s="105">
        <f>-'Raw FS'!N31</f>
        <v>-199062</v>
      </c>
    </row>
    <row r="31" spans="1:11" ht="16" thickBot="1" x14ac:dyDescent="0.25">
      <c r="A31" t="s">
        <v>56</v>
      </c>
      <c r="B31" s="113" t="s">
        <v>226</v>
      </c>
      <c r="C31" s="113"/>
      <c r="D31" s="113"/>
      <c r="E31" s="113"/>
      <c r="F31" s="113"/>
      <c r="G31" s="114">
        <f>SUM(G29:G30)</f>
        <v>111233</v>
      </c>
      <c r="H31" s="114">
        <f t="shared" ref="H31:K31" si="2">SUM(H29:H30)</f>
        <v>127109</v>
      </c>
      <c r="I31" s="114">
        <f t="shared" si="2"/>
        <v>138707</v>
      </c>
      <c r="J31" s="114">
        <f t="shared" si="2"/>
        <v>138855</v>
      </c>
      <c r="K31" s="114">
        <f t="shared" si="2"/>
        <v>132080</v>
      </c>
    </row>
    <row r="33" spans="1:11" x14ac:dyDescent="0.2">
      <c r="A33" t="s">
        <v>56</v>
      </c>
      <c r="B33" s="8" t="s">
        <v>227</v>
      </c>
      <c r="C33" s="8"/>
      <c r="D33" s="8"/>
      <c r="E33" s="8"/>
      <c r="F33" s="8"/>
      <c r="G33" s="112">
        <f>SUM(G31,G17)</f>
        <v>86573</v>
      </c>
      <c r="H33" s="112">
        <f t="shared" ref="H33:K33" si="3">SUM(H31,H17)</f>
        <v>102157</v>
      </c>
      <c r="I33" s="112">
        <f t="shared" si="3"/>
        <v>106574</v>
      </c>
      <c r="J33" s="112">
        <f t="shared" si="3"/>
        <v>114981</v>
      </c>
      <c r="K33" s="112">
        <f t="shared" si="3"/>
        <v>109043</v>
      </c>
    </row>
    <row r="34" spans="1:11" x14ac:dyDescent="0.2">
      <c r="B34" s="8" t="s">
        <v>228</v>
      </c>
      <c r="C34" s="8"/>
      <c r="D34" s="8"/>
      <c r="E34" s="8"/>
      <c r="F34" s="8"/>
      <c r="G34" s="112">
        <f>SUM(HistoricalFS!H28,HistoricalFS!H22)</f>
        <v>1073.7000000000207</v>
      </c>
      <c r="H34" s="112">
        <f>SUM(HistoricalFS!I28,HistoricalFS!I22)</f>
        <v>-3438.3600000000388</v>
      </c>
      <c r="I34" s="112">
        <f>SUM(HistoricalFS!J28,HistoricalFS!J22)</f>
        <v>8740.7199999999921</v>
      </c>
      <c r="J34" s="112">
        <f>SUM(HistoricalFS!K28,HistoricalFS!K22)</f>
        <v>-115.59999999998763</v>
      </c>
      <c r="K34" s="112">
        <f>SUM(HistoricalFS!L28,HistoricalFS!L22)</f>
        <v>6955.4399999999623</v>
      </c>
    </row>
    <row r="36" spans="1:11" ht="16" thickBot="1" x14ac:dyDescent="0.25">
      <c r="A36" t="s">
        <v>56</v>
      </c>
      <c r="B36" s="113" t="s">
        <v>229</v>
      </c>
      <c r="C36" s="115"/>
      <c r="D36" s="115"/>
      <c r="E36" s="115"/>
      <c r="F36" s="115"/>
      <c r="G36" s="116">
        <f>G34/G33</f>
        <v>1.2402250124172903E-2</v>
      </c>
      <c r="H36" s="116">
        <f t="shared" ref="H36:K36" si="4">H34/H33</f>
        <v>-3.3657605450434516E-2</v>
      </c>
      <c r="I36" s="116">
        <f t="shared" si="4"/>
        <v>8.2015500966464538E-2</v>
      </c>
      <c r="J36" s="116">
        <f t="shared" si="4"/>
        <v>-1.005383498143064E-3</v>
      </c>
      <c r="K36" s="116">
        <f t="shared" si="4"/>
        <v>6.3786212778444859E-2</v>
      </c>
    </row>
    <row r="39" spans="1:11" x14ac:dyDescent="0.2">
      <c r="A39" t="s">
        <v>56</v>
      </c>
      <c r="B39" s="94" t="s">
        <v>230</v>
      </c>
      <c r="C39" s="94"/>
      <c r="D39" s="94"/>
      <c r="E39" s="94"/>
      <c r="F39" s="94"/>
      <c r="G39" s="95">
        <f>'Raw FS'!J$4</f>
        <v>43525</v>
      </c>
      <c r="H39" s="95">
        <f>'Raw FS'!K$4</f>
        <v>43891</v>
      </c>
      <c r="I39" s="95">
        <f>'Raw FS'!L$4</f>
        <v>44256</v>
      </c>
      <c r="J39" s="95">
        <f>'Raw FS'!M$4</f>
        <v>44621</v>
      </c>
      <c r="K39" s="95">
        <f>'Raw FS'!N$4</f>
        <v>44986</v>
      </c>
    </row>
    <row r="41" spans="1:11" x14ac:dyDescent="0.2">
      <c r="B41" s="109" t="s">
        <v>231</v>
      </c>
      <c r="C41" s="109"/>
      <c r="D41" s="109"/>
      <c r="E41" s="109"/>
      <c r="F41" s="109"/>
      <c r="G41" s="100">
        <f>-SUM('Raw FS'!J61:J62)</f>
        <v>35237</v>
      </c>
      <c r="H41" s="100">
        <f>-SUM('Raw FS'!K61:K62)</f>
        <v>29531</v>
      </c>
      <c r="I41" s="100">
        <f>-SUM('Raw FS'!L61:L62)</f>
        <v>19854</v>
      </c>
      <c r="J41" s="100">
        <f>-SUM('Raw FS'!M61:M62)</f>
        <v>14938</v>
      </c>
      <c r="K41" s="100">
        <f>-SUM('Raw FS'!N61:N62)</f>
        <v>18945</v>
      </c>
    </row>
    <row r="42" spans="1:11" x14ac:dyDescent="0.2">
      <c r="B42" s="109" t="s">
        <v>262</v>
      </c>
      <c r="C42" s="109"/>
      <c r="D42" s="109"/>
      <c r="E42" s="109"/>
      <c r="F42" s="109"/>
      <c r="G42" s="109"/>
      <c r="H42" s="119">
        <f>H17-G17</f>
        <v>-292</v>
      </c>
      <c r="I42" s="119">
        <f t="shared" ref="I42:K42" si="5">I17-H17</f>
        <v>-7181</v>
      </c>
      <c r="J42" s="119">
        <f t="shared" si="5"/>
        <v>8259</v>
      </c>
      <c r="K42" s="119">
        <f t="shared" si="5"/>
        <v>837</v>
      </c>
    </row>
    <row r="43" spans="1:11" x14ac:dyDescent="0.2">
      <c r="B43" s="109"/>
      <c r="C43" s="109"/>
      <c r="D43" s="109"/>
      <c r="E43" s="109"/>
      <c r="F43" s="109"/>
      <c r="G43" s="109"/>
      <c r="H43" s="109"/>
      <c r="I43" s="109"/>
      <c r="J43" s="109"/>
      <c r="K43" s="109"/>
    </row>
    <row r="44" spans="1:11" x14ac:dyDescent="0.2">
      <c r="B44" s="109" t="s">
        <v>228</v>
      </c>
      <c r="C44" s="109"/>
      <c r="D44" s="109"/>
      <c r="E44" s="109"/>
      <c r="F44" s="109"/>
      <c r="G44" s="119">
        <f>G34</f>
        <v>1073.7000000000207</v>
      </c>
      <c r="H44" s="119">
        <f t="shared" ref="H44:K44" si="6">H34</f>
        <v>-3438.3600000000388</v>
      </c>
      <c r="I44" s="119">
        <f t="shared" si="6"/>
        <v>8740.7199999999921</v>
      </c>
      <c r="J44" s="119">
        <f t="shared" si="6"/>
        <v>-115.59999999998763</v>
      </c>
      <c r="K44" s="119">
        <f t="shared" si="6"/>
        <v>6955.4399999999623</v>
      </c>
    </row>
    <row r="45" spans="1:11" x14ac:dyDescent="0.2">
      <c r="B45" s="109" t="s">
        <v>263</v>
      </c>
      <c r="C45" s="109"/>
      <c r="D45" s="109"/>
      <c r="E45" s="109"/>
      <c r="F45" s="109"/>
      <c r="G45" s="120">
        <v>0.25</v>
      </c>
      <c r="H45" s="120">
        <v>0.25</v>
      </c>
      <c r="I45" s="120">
        <v>0.25</v>
      </c>
      <c r="J45" s="120">
        <v>0.25</v>
      </c>
      <c r="K45" s="120">
        <v>0.25</v>
      </c>
    </row>
    <row r="46" spans="1:11" x14ac:dyDescent="0.2">
      <c r="B46" s="109" t="s">
        <v>265</v>
      </c>
      <c r="C46" s="109"/>
      <c r="D46" s="109"/>
      <c r="E46" s="109"/>
      <c r="F46" s="109"/>
      <c r="G46" s="121">
        <f>G44*(1-G45)</f>
        <v>805.27500000001555</v>
      </c>
      <c r="H46" s="121">
        <f t="shared" ref="H46:K46" si="7">H44*(1-H45)</f>
        <v>-2578.7700000000291</v>
      </c>
      <c r="I46" s="121">
        <f t="shared" si="7"/>
        <v>6555.5399999999936</v>
      </c>
      <c r="J46" s="121">
        <f t="shared" si="7"/>
        <v>-86.699999999990723</v>
      </c>
      <c r="K46" s="121">
        <f t="shared" si="7"/>
        <v>5216.5799999999717</v>
      </c>
    </row>
    <row r="47" spans="1:11" x14ac:dyDescent="0.2">
      <c r="B47" s="109"/>
      <c r="C47" s="109"/>
      <c r="D47" s="109"/>
      <c r="E47" s="109"/>
      <c r="F47" s="109"/>
      <c r="G47" s="109"/>
      <c r="H47" s="109"/>
      <c r="I47" s="109"/>
      <c r="J47" s="109"/>
      <c r="K47" s="109"/>
    </row>
    <row r="48" spans="1:11" x14ac:dyDescent="0.2">
      <c r="B48" s="109" t="s">
        <v>264</v>
      </c>
      <c r="C48" s="109"/>
      <c r="D48" s="109"/>
      <c r="E48" s="109"/>
      <c r="F48" s="109"/>
      <c r="G48" s="109"/>
      <c r="H48" s="100">
        <f>SUM(H41:H42)</f>
        <v>29239</v>
      </c>
      <c r="I48" s="100">
        <f t="shared" ref="I48:K48" si="8">SUM(I41:I42)</f>
        <v>12673</v>
      </c>
      <c r="J48" s="100">
        <f t="shared" si="8"/>
        <v>23197</v>
      </c>
      <c r="K48" s="100">
        <f t="shared" si="8"/>
        <v>19782</v>
      </c>
    </row>
    <row r="49" spans="1:11" x14ac:dyDescent="0.2">
      <c r="B49" s="20"/>
      <c r="C49" s="20"/>
      <c r="D49" s="20"/>
      <c r="E49" s="20"/>
      <c r="F49" s="20"/>
      <c r="G49" s="20"/>
      <c r="H49" s="106"/>
      <c r="I49" s="106"/>
      <c r="J49" s="106"/>
      <c r="K49" s="106"/>
    </row>
    <row r="50" spans="1:11" ht="16" thickBot="1" x14ac:dyDescent="0.25">
      <c r="B50" s="113" t="s">
        <v>266</v>
      </c>
      <c r="C50" s="113"/>
      <c r="D50" s="113"/>
      <c r="E50" s="113"/>
      <c r="F50" s="113"/>
      <c r="G50" s="113"/>
      <c r="H50" s="116">
        <f>H48/H46</f>
        <v>-11.338351229461979</v>
      </c>
      <c r="I50" s="116">
        <f t="shared" ref="I50:K50" si="9">I48/I46</f>
        <v>1.9331740787181548</v>
      </c>
      <c r="J50" s="116">
        <f t="shared" si="9"/>
        <v>-267.55478662055918</v>
      </c>
      <c r="K50" s="116">
        <f t="shared" si="9"/>
        <v>3.7921396777199061</v>
      </c>
    </row>
    <row r="51" spans="1:11" x14ac:dyDescent="0.2">
      <c r="H51" s="39"/>
      <c r="I51" s="39"/>
      <c r="J51" s="39"/>
      <c r="K51" s="39"/>
    </row>
    <row r="52" spans="1:11" x14ac:dyDescent="0.2">
      <c r="I52" s="91" t="s">
        <v>267</v>
      </c>
      <c r="J52" s="91"/>
      <c r="K52" s="92">
        <f>AVERAGE(H50:K50)</f>
        <v>-68.291956023395784</v>
      </c>
    </row>
    <row r="53" spans="1:11" x14ac:dyDescent="0.2">
      <c r="I53" s="91" t="s">
        <v>268</v>
      </c>
      <c r="J53" s="91"/>
      <c r="K53" s="92">
        <f>MEDIAN(H50:K50)</f>
        <v>-4.7025885753719123</v>
      </c>
    </row>
    <row r="55" spans="1:11" x14ac:dyDescent="0.2">
      <c r="A55" t="s">
        <v>56</v>
      </c>
      <c r="B55" s="94" t="s">
        <v>269</v>
      </c>
      <c r="C55" s="94"/>
      <c r="D55" s="94"/>
      <c r="E55" s="94"/>
      <c r="F55" s="94"/>
      <c r="G55" s="95">
        <f>'Raw FS'!J$4</f>
        <v>43525</v>
      </c>
      <c r="H55" s="95">
        <f>'Raw FS'!K$4</f>
        <v>43891</v>
      </c>
      <c r="I55" s="95">
        <f>'Raw FS'!L$4</f>
        <v>44256</v>
      </c>
      <c r="J55" s="95">
        <f>'Raw FS'!M$4</f>
        <v>44621</v>
      </c>
      <c r="K55" s="95">
        <f>'Raw FS'!N$4</f>
        <v>44986</v>
      </c>
    </row>
    <row r="57" spans="1:11" x14ac:dyDescent="0.2">
      <c r="B57" s="109" t="s">
        <v>266</v>
      </c>
      <c r="C57" s="109"/>
      <c r="D57" s="109"/>
      <c r="E57" s="109"/>
      <c r="F57" s="109"/>
      <c r="G57" s="109"/>
      <c r="H57" s="122">
        <f>H50</f>
        <v>-11.338351229461979</v>
      </c>
      <c r="I57" s="122">
        <f t="shared" ref="I57:K57" si="10">I50</f>
        <v>1.9331740787181548</v>
      </c>
      <c r="J57" s="122">
        <f t="shared" si="10"/>
        <v>-267.55478662055918</v>
      </c>
      <c r="K57" s="122">
        <f t="shared" si="10"/>
        <v>3.7921396777199061</v>
      </c>
    </row>
    <row r="58" spans="1:11" x14ac:dyDescent="0.2">
      <c r="B58" s="109" t="s">
        <v>229</v>
      </c>
      <c r="C58" s="109"/>
      <c r="D58" s="109"/>
      <c r="E58" s="109"/>
      <c r="F58" s="109"/>
      <c r="G58" s="109"/>
      <c r="H58" s="122">
        <f>H36</f>
        <v>-3.3657605450434516E-2</v>
      </c>
      <c r="I58" s="122">
        <f t="shared" ref="I58:K58" si="11">I36</f>
        <v>8.2015500966464538E-2</v>
      </c>
      <c r="J58" s="122">
        <f t="shared" si="11"/>
        <v>-1.005383498143064E-3</v>
      </c>
      <c r="K58" s="122">
        <f t="shared" si="11"/>
        <v>6.3786212778444859E-2</v>
      </c>
    </row>
    <row r="60" spans="1:11" ht="16" thickBot="1" x14ac:dyDescent="0.25">
      <c r="B60" s="113" t="s">
        <v>270</v>
      </c>
      <c r="C60" s="113"/>
      <c r="D60" s="113"/>
      <c r="E60" s="113"/>
      <c r="F60" s="113"/>
      <c r="G60" s="113"/>
      <c r="H60" s="123">
        <f>H58*H57</f>
        <v>0.38162175213968041</v>
      </c>
      <c r="I60" s="123">
        <f t="shared" ref="I60:K60" si="12">I58*I57</f>
        <v>0.15855024052145303</v>
      </c>
      <c r="J60" s="123">
        <f t="shared" si="12"/>
        <v>0.26899516731749884</v>
      </c>
      <c r="K60" s="123">
        <f t="shared" si="12"/>
        <v>0.24188622836862525</v>
      </c>
    </row>
    <row r="62" spans="1:11" x14ac:dyDescent="0.2">
      <c r="I62" s="91" t="s">
        <v>267</v>
      </c>
      <c r="J62" s="91"/>
      <c r="K62" s="92">
        <f>AVERAGE(H60:K60)</f>
        <v>0.26276334708681437</v>
      </c>
    </row>
    <row r="63" spans="1:11" x14ac:dyDescent="0.2">
      <c r="I63" s="91" t="s">
        <v>268</v>
      </c>
      <c r="J63" s="91"/>
      <c r="K63" s="92">
        <f>MEDIAN(H60:K60)</f>
        <v>0.25544069784306206</v>
      </c>
    </row>
  </sheetData>
  <pageMargins left="0.7" right="0.7" top="0.75" bottom="0.75" header="0.3" footer="0.3"/>
  <pageSetup paperSize="9" orientation="portrait" horizontalDpi="0" verticalDpi="0"/>
  <ignoredErrors>
    <ignoredError sqref="G41:K41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BFA0F-293A-7B45-855A-297958FBE113}">
  <dimension ref="B2:J40"/>
  <sheetViews>
    <sheetView showGridLines="0" tabSelected="1" topLeftCell="A14" zoomScale="150" zoomScaleNormal="150" workbookViewId="0">
      <selection activeCell="F18" sqref="F18"/>
    </sheetView>
  </sheetViews>
  <sheetFormatPr baseColWidth="10" defaultRowHeight="15" outlineLevelRow="1" x14ac:dyDescent="0.2"/>
  <cols>
    <col min="1" max="1" width="2" customWidth="1"/>
    <col min="4" max="4" width="10.1640625" bestFit="1" customWidth="1"/>
    <col min="5" max="9" width="8.6640625" bestFit="1" customWidth="1"/>
  </cols>
  <sheetData>
    <row r="2" spans="2:10" x14ac:dyDescent="0.2">
      <c r="B2" s="94" t="s">
        <v>271</v>
      </c>
      <c r="C2" s="107"/>
      <c r="D2" s="107"/>
      <c r="E2" s="129">
        <f>'Intrinsic Growth'!K2</f>
        <v>44986</v>
      </c>
      <c r="F2" s="130">
        <f>E2+366</f>
        <v>45352</v>
      </c>
      <c r="G2" s="130">
        <f t="shared" ref="G2:J2" si="0">F2+366</f>
        <v>45718</v>
      </c>
      <c r="H2" s="130">
        <f t="shared" si="0"/>
        <v>46084</v>
      </c>
      <c r="I2" s="130">
        <f t="shared" si="0"/>
        <v>46450</v>
      </c>
      <c r="J2" s="130">
        <f t="shared" si="0"/>
        <v>46816</v>
      </c>
    </row>
    <row r="4" spans="2:10" x14ac:dyDescent="0.2">
      <c r="B4" s="109" t="s">
        <v>228</v>
      </c>
      <c r="C4" s="109"/>
      <c r="D4" s="109"/>
      <c r="E4" s="135">
        <f>'Intrinsic Growth'!K34</f>
        <v>6955.4399999999623</v>
      </c>
      <c r="F4" s="100">
        <f>E4*(1+$D$13)</f>
        <v>8732.1424474055002</v>
      </c>
      <c r="G4" s="100">
        <f>F4*(1+$D$13)</f>
        <v>10962.687007835786</v>
      </c>
      <c r="H4" s="100">
        <f>G4*(1+$D$13)</f>
        <v>13763.003427352431</v>
      </c>
      <c r="I4" s="100">
        <f>H4*(1+$D$13)</f>
        <v>17278.634627251791</v>
      </c>
      <c r="J4" s="100">
        <f>I4*(1+$D$13)</f>
        <v>21692.301114212285</v>
      </c>
    </row>
    <row r="5" spans="2:10" x14ac:dyDescent="0.2">
      <c r="B5" s="109" t="s">
        <v>148</v>
      </c>
      <c r="C5" s="109"/>
      <c r="D5" s="109"/>
      <c r="E5" s="136">
        <v>0.3</v>
      </c>
      <c r="F5" s="122">
        <f>E5</f>
        <v>0.3</v>
      </c>
      <c r="G5" s="122">
        <f t="shared" ref="G5:J5" si="1">F5</f>
        <v>0.3</v>
      </c>
      <c r="H5" s="122">
        <f t="shared" si="1"/>
        <v>0.3</v>
      </c>
      <c r="I5" s="122">
        <f t="shared" si="1"/>
        <v>0.3</v>
      </c>
      <c r="J5" s="122">
        <f t="shared" si="1"/>
        <v>0.3</v>
      </c>
    </row>
    <row r="6" spans="2:10" x14ac:dyDescent="0.2">
      <c r="B6" s="109" t="s">
        <v>272</v>
      </c>
      <c r="C6" s="109"/>
      <c r="D6" s="109"/>
      <c r="E6" s="135">
        <f t="shared" ref="E6:J6" si="2">E4*(1-E5)</f>
        <v>4868.8079999999736</v>
      </c>
      <c r="F6" s="100">
        <f t="shared" si="2"/>
        <v>6112.49971318385</v>
      </c>
      <c r="G6" s="100">
        <f t="shared" si="2"/>
        <v>7673.8809054850499</v>
      </c>
      <c r="H6" s="100">
        <f t="shared" si="2"/>
        <v>9634.1023991467009</v>
      </c>
      <c r="I6" s="100">
        <f t="shared" si="2"/>
        <v>12095.044239076253</v>
      </c>
      <c r="J6" s="100">
        <f t="shared" si="2"/>
        <v>15184.610779948598</v>
      </c>
    </row>
    <row r="7" spans="2:10" x14ac:dyDescent="0.2">
      <c r="B7" s="109" t="s">
        <v>273</v>
      </c>
      <c r="C7" s="109"/>
      <c r="D7" s="109"/>
      <c r="E7" s="137">
        <f>'Intrinsic Growth'!K53</f>
        <v>-4.7025885753719123</v>
      </c>
      <c r="F7" s="122">
        <f>E7+(($J$7-$E$7)/4)</f>
        <v>-3.3131914315289341</v>
      </c>
      <c r="G7" s="122">
        <f t="shared" ref="G7:I7" si="3">F7+(($J$7-$E$7)/4)</f>
        <v>-1.923794287685956</v>
      </c>
      <c r="H7" s="122">
        <f t="shared" si="3"/>
        <v>-0.53439714384297776</v>
      </c>
      <c r="I7" s="122">
        <f t="shared" si="3"/>
        <v>0.85500000000000043</v>
      </c>
      <c r="J7" s="120">
        <v>0.85499999999999998</v>
      </c>
    </row>
    <row r="8" spans="2:10" x14ac:dyDescent="0.2">
      <c r="B8" s="109" t="s">
        <v>274</v>
      </c>
      <c r="C8" s="109"/>
      <c r="D8" s="109"/>
      <c r="E8" s="135">
        <f t="shared" ref="E8:J8" si="4">E6*(1-E7)</f>
        <v>27764.808876479219</v>
      </c>
      <c r="F8" s="100">
        <f t="shared" si="4"/>
        <v>26364.381388127647</v>
      </c>
      <c r="G8" s="100">
        <f t="shared" si="4"/>
        <v>22436.849155839522</v>
      </c>
      <c r="H8" s="100">
        <f t="shared" si="4"/>
        <v>14782.539204741477</v>
      </c>
      <c r="I8" s="100">
        <f t="shared" si="4"/>
        <v>1753.7814146660514</v>
      </c>
      <c r="J8" s="100">
        <f t="shared" si="4"/>
        <v>2201.7685630925471</v>
      </c>
    </row>
    <row r="9" spans="2:10" x14ac:dyDescent="0.2">
      <c r="B9" s="109" t="s">
        <v>275</v>
      </c>
      <c r="C9" s="109"/>
      <c r="D9" s="109"/>
      <c r="E9" s="138"/>
      <c r="F9" s="134">
        <v>0.5</v>
      </c>
      <c r="G9" s="109">
        <f>F9+1</f>
        <v>1.5</v>
      </c>
      <c r="H9" s="109">
        <f t="shared" ref="H9:J9" si="5">G9+1</f>
        <v>2.5</v>
      </c>
      <c r="I9" s="109">
        <f t="shared" si="5"/>
        <v>3.5</v>
      </c>
      <c r="J9" s="109">
        <f t="shared" si="5"/>
        <v>4.5</v>
      </c>
    </row>
    <row r="10" spans="2:10" x14ac:dyDescent="0.2">
      <c r="B10" s="20" t="s">
        <v>276</v>
      </c>
      <c r="C10" s="20"/>
      <c r="D10" s="20"/>
      <c r="E10" s="139"/>
      <c r="F10" s="140">
        <f>1/(1+$D$15)^F9</f>
        <v>0.93699960039273911</v>
      </c>
      <c r="G10" s="140">
        <f t="shared" ref="G10:J10" si="6">1/(1+$D$15)^G9</f>
        <v>0.82265590047208703</v>
      </c>
      <c r="H10" s="140">
        <f t="shared" si="6"/>
        <v>0.72226576222431527</v>
      </c>
      <c r="I10" s="140">
        <f t="shared" si="6"/>
        <v>0.63412640811560239</v>
      </c>
      <c r="J10" s="140">
        <f t="shared" si="6"/>
        <v>0.55674285353250574</v>
      </c>
    </row>
    <row r="11" spans="2:10" ht="16" thickBot="1" x14ac:dyDescent="0.25">
      <c r="B11" s="113" t="s">
        <v>277</v>
      </c>
      <c r="C11" s="113"/>
      <c r="D11" s="113"/>
      <c r="E11" s="141"/>
      <c r="F11" s="142">
        <f>F8*F10</f>
        <v>24703.414825277374</v>
      </c>
      <c r="G11" s="142">
        <f t="shared" ref="G11:J11" si="7">G8*G10</f>
        <v>18457.806346053549</v>
      </c>
      <c r="H11" s="142">
        <f t="shared" si="7"/>
        <v>10676.921946323426</v>
      </c>
      <c r="I11" s="142">
        <f t="shared" si="7"/>
        <v>1112.119109102083</v>
      </c>
      <c r="J11" s="142">
        <f t="shared" si="7"/>
        <v>1225.8189126343095</v>
      </c>
    </row>
    <row r="13" spans="2:10" outlineLevel="1" x14ac:dyDescent="0.2">
      <c r="B13" s="131" t="s">
        <v>278</v>
      </c>
      <c r="C13" s="131"/>
      <c r="D13" s="132">
        <f>'Intrinsic Growth'!K63</f>
        <v>0.25544069784306206</v>
      </c>
    </row>
    <row r="14" spans="2:10" outlineLevel="1" x14ac:dyDescent="0.2">
      <c r="B14" s="131" t="s">
        <v>279</v>
      </c>
      <c r="C14" s="131"/>
      <c r="D14" s="133">
        <v>6.5000000000000002E-2</v>
      </c>
    </row>
    <row r="15" spans="2:10" outlineLevel="1" x14ac:dyDescent="0.2">
      <c r="B15" s="131" t="s">
        <v>280</v>
      </c>
      <c r="C15" s="131"/>
      <c r="D15" s="132">
        <f>WACC!K40</f>
        <v>0.13899335050661529</v>
      </c>
    </row>
    <row r="17" spans="2:10" x14ac:dyDescent="0.2">
      <c r="B17" s="94" t="s">
        <v>281</v>
      </c>
      <c r="C17" s="107"/>
      <c r="D17" s="107"/>
      <c r="F17" s="94" t="s">
        <v>335</v>
      </c>
      <c r="G17" s="107"/>
      <c r="H17" s="107"/>
      <c r="I17" s="107"/>
      <c r="J17" s="107"/>
    </row>
    <row r="18" spans="2:10" x14ac:dyDescent="0.2">
      <c r="F18" s="170">
        <f>D30</f>
        <v>73819.519813502717</v>
      </c>
      <c r="G18" s="171">
        <v>0.1</v>
      </c>
      <c r="H18" s="171">
        <v>0.12</v>
      </c>
      <c r="I18" s="171">
        <v>0.13900000000000001</v>
      </c>
      <c r="J18" s="171">
        <v>0.15</v>
      </c>
    </row>
    <row r="19" spans="2:10" x14ac:dyDescent="0.2">
      <c r="B19" t="s">
        <v>282</v>
      </c>
      <c r="D19" s="101">
        <f>J8*(1+D14)</f>
        <v>2344.8835196935624</v>
      </c>
      <c r="F19" s="172">
        <v>0.03</v>
      </c>
      <c r="G19" s="41">
        <f t="dataTable" ref="G19:J23" dt2D="1" dtr="1" r1="D20" r2="D21"/>
        <v>74826.040310184151</v>
      </c>
      <c r="H19" s="41">
        <v>70681.604938896737</v>
      </c>
      <c r="I19" s="41">
        <v>68153.119138982845</v>
      </c>
      <c r="J19" s="41">
        <v>67055.223989020233</v>
      </c>
    </row>
    <row r="20" spans="2:10" x14ac:dyDescent="0.2">
      <c r="B20" t="s">
        <v>280</v>
      </c>
      <c r="D20" s="11">
        <f>D15</f>
        <v>0.13899335050661529</v>
      </c>
      <c r="F20" s="172">
        <v>0.04</v>
      </c>
      <c r="G20" s="41">
        <v>77934.36683864973</v>
      </c>
      <c r="H20" s="41">
        <v>72494.795413834974</v>
      </c>
      <c r="I20" s="41">
        <v>69362.920957123453</v>
      </c>
      <c r="J20" s="41">
        <v>68044.236975350184</v>
      </c>
    </row>
    <row r="21" spans="2:10" x14ac:dyDescent="0.2">
      <c r="B21" t="s">
        <v>283</v>
      </c>
      <c r="D21" s="11">
        <f>D14</f>
        <v>6.5000000000000002E-2</v>
      </c>
      <c r="F21" s="172">
        <v>0.05</v>
      </c>
      <c r="G21" s="41">
        <v>82286.023978501529</v>
      </c>
      <c r="H21" s="41">
        <v>74826.040310184151</v>
      </c>
      <c r="I21" s="41">
        <v>70844.588352374325</v>
      </c>
      <c r="J21" s="41">
        <v>69231.052558946132</v>
      </c>
    </row>
    <row r="22" spans="2:10" x14ac:dyDescent="0.2">
      <c r="F22" s="172">
        <v>6.5000000000000002E-2</v>
      </c>
      <c r="G22" s="41">
        <v>93475.999480977567</v>
      </c>
      <c r="H22" s="41">
        <v>79912.392811309634</v>
      </c>
      <c r="I22" s="44">
        <v>73817.934409060195</v>
      </c>
      <c r="J22" s="41">
        <v>71534.87104475002</v>
      </c>
    </row>
    <row r="23" spans="2:10" ht="16" thickBot="1" x14ac:dyDescent="0.25">
      <c r="B23" s="113" t="s">
        <v>284</v>
      </c>
      <c r="C23" s="113"/>
      <c r="D23" s="142">
        <f>D19/(D20-D21)</f>
        <v>31690.46277319096</v>
      </c>
      <c r="F23" s="172">
        <v>7.0000000000000007E-2</v>
      </c>
      <c r="G23" s="41">
        <v>99692.652537908725</v>
      </c>
      <c r="H23" s="41">
        <v>82286.023978501529</v>
      </c>
      <c r="I23" s="41">
        <v>75096.329573528987</v>
      </c>
      <c r="J23" s="41">
        <v>72494.795413834974</v>
      </c>
    </row>
    <row r="26" spans="2:10" x14ac:dyDescent="0.2">
      <c r="B26" s="94" t="s">
        <v>289</v>
      </c>
      <c r="C26" s="107"/>
      <c r="D26" s="107"/>
    </row>
    <row r="28" spans="2:10" x14ac:dyDescent="0.2">
      <c r="B28" t="s">
        <v>277</v>
      </c>
      <c r="D28" s="101">
        <f>SUM(F11:J11)</f>
        <v>56176.081139390735</v>
      </c>
    </row>
    <row r="29" spans="2:10" x14ac:dyDescent="0.2">
      <c r="B29" t="s">
        <v>285</v>
      </c>
      <c r="D29" s="101">
        <f>D23*J10</f>
        <v>17643.438674111982</v>
      </c>
    </row>
    <row r="30" spans="2:10" x14ac:dyDescent="0.2">
      <c r="B30" s="8" t="s">
        <v>286</v>
      </c>
      <c r="C30" s="8"/>
      <c r="D30" s="105">
        <f>SUM(D28:D29)</f>
        <v>73819.519813502717</v>
      </c>
    </row>
    <row r="31" spans="2:10" x14ac:dyDescent="0.2">
      <c r="B31" s="8"/>
      <c r="C31" s="8"/>
      <c r="D31" s="105"/>
    </row>
    <row r="32" spans="2:10" x14ac:dyDescent="0.2">
      <c r="B32" t="s">
        <v>287</v>
      </c>
      <c r="C32" s="8"/>
      <c r="D32" s="101">
        <f>'Data Sheet'!K69</f>
        <v>37015.56</v>
      </c>
    </row>
    <row r="33" spans="2:4" x14ac:dyDescent="0.2">
      <c r="B33" t="s">
        <v>288</v>
      </c>
      <c r="C33" s="8"/>
      <c r="D33" s="101">
        <f>SUM('Raw FS'!N9:N10)</f>
        <v>125661</v>
      </c>
    </row>
    <row r="34" spans="2:4" x14ac:dyDescent="0.2">
      <c r="B34" s="8" t="s">
        <v>290</v>
      </c>
      <c r="C34" s="8"/>
      <c r="D34" s="105">
        <f>D30+D32-D33</f>
        <v>-14825.920186497286</v>
      </c>
    </row>
    <row r="35" spans="2:4" x14ac:dyDescent="0.2">
      <c r="B35" t="s">
        <v>291</v>
      </c>
      <c r="D35" s="101">
        <f>'Data Sheet'!B6</f>
        <v>366.73490324084867</v>
      </c>
    </row>
    <row r="36" spans="2:4" ht="6" customHeight="1" x14ac:dyDescent="0.2"/>
    <row r="37" spans="2:4" ht="16" thickBot="1" x14ac:dyDescent="0.25">
      <c r="B37" s="113" t="s">
        <v>292</v>
      </c>
      <c r="C37" s="113"/>
      <c r="D37" s="143">
        <f>D34/D35</f>
        <v>-40.42680436326112</v>
      </c>
    </row>
    <row r="39" spans="2:4" x14ac:dyDescent="0.2">
      <c r="B39" t="s">
        <v>293</v>
      </c>
      <c r="D39">
        <v>792</v>
      </c>
    </row>
    <row r="40" spans="2:4" x14ac:dyDescent="0.2">
      <c r="B40" t="s">
        <v>294</v>
      </c>
      <c r="D40" s="22">
        <f>D39/D37</f>
        <v>-19.590962295297079</v>
      </c>
    </row>
  </sheetData>
  <pageMargins left="0.25" right="0.25" top="0.75" bottom="0.75" header="0.3" footer="0.3"/>
  <pageSetup paperSize="9" orientation="portrait" horizontalDpi="0" verticalDpi="0"/>
  <ignoredErrors>
    <ignoredError sqref="D33" formulaRange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63867-2060-9E49-9F23-95A81CCE9201}">
  <sheetPr>
    <tabColor theme="8" tint="-0.249977111117893"/>
  </sheetPr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57F4-546E-0C47-ABE8-2EFC1189FDE4}">
  <dimension ref="B2:P32"/>
  <sheetViews>
    <sheetView showGridLines="0" topLeftCell="B4" zoomScale="140" zoomScaleNormal="140" workbookViewId="0">
      <selection activeCell="O29" sqref="O29"/>
    </sheetView>
  </sheetViews>
  <sheetFormatPr baseColWidth="10" defaultRowHeight="15" x14ac:dyDescent="0.2"/>
  <cols>
    <col min="1" max="1" width="2" customWidth="1"/>
    <col min="2" max="2" width="14.5" customWidth="1"/>
    <col min="8" max="8" width="13.6640625" bestFit="1" customWidth="1"/>
    <col min="9" max="9" width="2" customWidth="1"/>
    <col min="13" max="13" width="2" customWidth="1"/>
  </cols>
  <sheetData>
    <row r="2" spans="2:16" x14ac:dyDescent="0.2">
      <c r="B2" s="16" t="s">
        <v>334</v>
      </c>
    </row>
    <row r="3" spans="2:16" x14ac:dyDescent="0.2">
      <c r="B3" s="145" t="s">
        <v>295</v>
      </c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</row>
    <row r="4" spans="2:16" ht="6" customHeight="1" x14ac:dyDescent="0.2"/>
    <row r="5" spans="2:16" x14ac:dyDescent="0.2">
      <c r="B5" s="107"/>
      <c r="C5" s="107"/>
      <c r="D5" s="177" t="s">
        <v>302</v>
      </c>
      <c r="E5" s="177"/>
      <c r="F5" s="177"/>
      <c r="G5" s="177"/>
      <c r="H5" s="177"/>
      <c r="I5" s="107"/>
      <c r="J5" s="177" t="s">
        <v>306</v>
      </c>
      <c r="K5" s="177"/>
      <c r="L5" s="177"/>
      <c r="M5" s="107"/>
      <c r="N5" s="177" t="s">
        <v>305</v>
      </c>
      <c r="O5" s="177"/>
      <c r="P5" s="177"/>
    </row>
    <row r="6" spans="2:16" x14ac:dyDescent="0.2">
      <c r="B6" s="147" t="s">
        <v>296</v>
      </c>
      <c r="C6" s="147" t="s">
        <v>297</v>
      </c>
      <c r="D6" s="128" t="s">
        <v>293</v>
      </c>
      <c r="E6" s="128" t="s">
        <v>298</v>
      </c>
      <c r="F6" s="128" t="s">
        <v>299</v>
      </c>
      <c r="G6" s="128" t="s">
        <v>300</v>
      </c>
      <c r="H6" s="128" t="s">
        <v>301</v>
      </c>
      <c r="I6" s="128"/>
      <c r="J6" s="128" t="s">
        <v>303</v>
      </c>
      <c r="K6" s="128" t="s">
        <v>66</v>
      </c>
      <c r="L6" s="128" t="s">
        <v>304</v>
      </c>
      <c r="M6" s="128"/>
      <c r="N6" s="128" t="s">
        <v>321</v>
      </c>
      <c r="O6" s="128" t="s">
        <v>322</v>
      </c>
      <c r="P6" s="128" t="s">
        <v>323</v>
      </c>
    </row>
    <row r="7" spans="2:16" ht="6" customHeight="1" x14ac:dyDescent="0.2">
      <c r="B7" s="38"/>
      <c r="C7" s="38"/>
      <c r="D7" s="148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148"/>
      <c r="P7" s="148"/>
    </row>
    <row r="8" spans="2:16" x14ac:dyDescent="0.2">
      <c r="B8" s="149" t="str">
        <f>'Comps Val Data'!C3</f>
        <v>Tata Motors</v>
      </c>
      <c r="C8" s="149"/>
      <c r="D8" s="150">
        <f>'Comps Val Data'!D3</f>
        <v>813.15</v>
      </c>
      <c r="E8" s="151">
        <f>'Comps Val Data'!E3</f>
        <v>332.28</v>
      </c>
      <c r="F8" s="150">
        <f>E8*D8</f>
        <v>270193.48199999996</v>
      </c>
      <c r="G8" s="150">
        <f>'Comps Val Data'!I3</f>
        <v>90848.74</v>
      </c>
      <c r="H8" s="150">
        <f>F8+G8</f>
        <v>361042.22199999995</v>
      </c>
      <c r="I8" s="150"/>
      <c r="J8" s="150">
        <f>'Comps Val Data'!K3</f>
        <v>401785.26</v>
      </c>
      <c r="K8" s="150">
        <f>'Comps Val Data'!N3</f>
        <v>56617.89</v>
      </c>
      <c r="L8" s="150">
        <f>'Comps Val Data'!O3</f>
        <v>15671.92</v>
      </c>
      <c r="M8" s="152"/>
      <c r="N8" s="153">
        <f>$H8/J8</f>
        <v>0.89859499076695826</v>
      </c>
      <c r="O8" s="153">
        <f t="shared" ref="O8:O13" si="0">$H8/K8</f>
        <v>6.3768222729600126</v>
      </c>
      <c r="P8" s="153">
        <f>F8/L8</f>
        <v>17.240611360956407</v>
      </c>
    </row>
    <row r="9" spans="2:16" x14ac:dyDescent="0.2">
      <c r="B9" s="154" t="str">
        <f>'Comps Val Data'!C4</f>
        <v>Ashok Leyland</v>
      </c>
      <c r="C9" s="154"/>
      <c r="D9" s="155">
        <f>'Comps Val Data'!D4</f>
        <v>176.25</v>
      </c>
      <c r="E9" s="156">
        <f>'Comps Val Data'!E4</f>
        <v>293.61</v>
      </c>
      <c r="F9" s="155">
        <f t="shared" ref="F9:F13" si="1">E9*D9</f>
        <v>51748.762500000004</v>
      </c>
      <c r="G9" s="155">
        <f>'Comps Val Data'!I4</f>
        <v>32204.9</v>
      </c>
      <c r="H9" s="155">
        <f t="shared" ref="H9:H13" si="2">F9+G9</f>
        <v>83953.662500000006</v>
      </c>
      <c r="I9" s="155"/>
      <c r="J9" s="155">
        <f>'Comps Val Data'!K4</f>
        <v>44722.65</v>
      </c>
      <c r="K9" s="155">
        <f>'Comps Val Data'!N4</f>
        <v>6834.71</v>
      </c>
      <c r="L9" s="155">
        <f>'Comps Val Data'!O4</f>
        <v>2307.7199999999998</v>
      </c>
      <c r="M9" s="157"/>
      <c r="N9" s="158">
        <f t="shared" ref="N9:N13" si="3">$H9/J9</f>
        <v>1.8772067956617062</v>
      </c>
      <c r="O9" s="158">
        <f t="shared" si="0"/>
        <v>12.2834271680876</v>
      </c>
      <c r="P9" s="158">
        <f t="shared" ref="P9:P13" si="4">F9/L9</f>
        <v>22.424194659664089</v>
      </c>
    </row>
    <row r="10" spans="2:16" x14ac:dyDescent="0.2">
      <c r="B10" s="154" t="str">
        <f>'Comps Val Data'!C5</f>
        <v>Tata Motors-DVR</v>
      </c>
      <c r="C10" s="154"/>
      <c r="D10" s="155">
        <f>'Comps Val Data'!D5</f>
        <v>541.25</v>
      </c>
      <c r="E10" s="156">
        <f>'Comps Val Data'!E5</f>
        <v>50.85</v>
      </c>
      <c r="F10" s="155">
        <f t="shared" si="1"/>
        <v>27522.5625</v>
      </c>
      <c r="G10" s="155">
        <f>'Comps Val Data'!I5</f>
        <v>74209.16</v>
      </c>
      <c r="H10" s="155">
        <f t="shared" si="2"/>
        <v>101731.7225</v>
      </c>
      <c r="I10" s="155"/>
      <c r="J10" s="155">
        <f>'Comps Val Data'!K5</f>
        <v>249794.75</v>
      </c>
      <c r="K10" s="155">
        <f>'Comps Val Data'!N5</f>
        <v>34932.619999999995</v>
      </c>
      <c r="L10" s="155">
        <f>'Comps Val Data'!O5</f>
        <v>-13395.1</v>
      </c>
      <c r="M10" s="157"/>
      <c r="N10" s="158">
        <f t="shared" si="3"/>
        <v>0.40726125148747122</v>
      </c>
      <c r="O10" s="158">
        <f t="shared" si="0"/>
        <v>2.9122270960494809</v>
      </c>
      <c r="P10" s="158">
        <f t="shared" si="4"/>
        <v>-2.0546739106091034</v>
      </c>
    </row>
    <row r="11" spans="2:16" x14ac:dyDescent="0.2">
      <c r="B11" s="154" t="str">
        <f>'Comps Val Data'!C6</f>
        <v>Olectra Greentec</v>
      </c>
      <c r="C11" s="154"/>
      <c r="D11" s="155">
        <f>'Comps Val Data'!D6</f>
        <v>1771.65</v>
      </c>
      <c r="E11" s="156">
        <f>'Comps Val Data'!E6</f>
        <v>8.2100000000000009</v>
      </c>
      <c r="F11" s="155">
        <f t="shared" si="1"/>
        <v>14545.246500000003</v>
      </c>
      <c r="G11" s="155">
        <f>'Comps Val Data'!I6</f>
        <v>-36.28</v>
      </c>
      <c r="H11" s="155">
        <f t="shared" si="2"/>
        <v>14508.966500000002</v>
      </c>
      <c r="I11" s="155"/>
      <c r="J11" s="155">
        <f>'Comps Val Data'!K6</f>
        <v>1155.52</v>
      </c>
      <c r="K11" s="155">
        <f>'Comps Val Data'!N6</f>
        <v>175.39</v>
      </c>
      <c r="L11" s="155">
        <f>'Comps Val Data'!O6</f>
        <v>79.459999999999994</v>
      </c>
      <c r="M11" s="157"/>
      <c r="N11" s="158">
        <f t="shared" si="3"/>
        <v>12.556222739545834</v>
      </c>
      <c r="O11" s="158">
        <f t="shared" si="0"/>
        <v>82.724023604538473</v>
      </c>
      <c r="P11" s="158">
        <f t="shared" si="4"/>
        <v>183.05117669267563</v>
      </c>
    </row>
    <row r="12" spans="2:16" x14ac:dyDescent="0.2">
      <c r="B12" s="154" t="str">
        <f>'Comps Val Data'!C7</f>
        <v>Force Motors</v>
      </c>
      <c r="C12" s="154"/>
      <c r="D12" s="155">
        <f>'Comps Val Data'!D7</f>
        <v>3721</v>
      </c>
      <c r="E12" s="156">
        <f>'Comps Val Data'!E7</f>
        <v>1.32</v>
      </c>
      <c r="F12" s="155">
        <f t="shared" si="1"/>
        <v>4911.72</v>
      </c>
      <c r="G12" s="155">
        <f>'Comps Val Data'!I7</f>
        <v>586.49</v>
      </c>
      <c r="H12" s="155">
        <f t="shared" si="2"/>
        <v>5498.21</v>
      </c>
      <c r="I12" s="155"/>
      <c r="J12" s="155">
        <f>'Comps Val Data'!K7</f>
        <v>6083.34</v>
      </c>
      <c r="K12" s="155">
        <f>'Comps Val Data'!N7</f>
        <v>633.45000000000005</v>
      </c>
      <c r="L12" s="155">
        <f>'Comps Val Data'!O7</f>
        <v>293.52999999999997</v>
      </c>
      <c r="M12" s="157"/>
      <c r="N12" s="158">
        <f t="shared" si="3"/>
        <v>0.90381435198427174</v>
      </c>
      <c r="O12" s="158">
        <f t="shared" si="0"/>
        <v>8.6797853027073959</v>
      </c>
      <c r="P12" s="158">
        <f t="shared" si="4"/>
        <v>16.733281095629071</v>
      </c>
    </row>
    <row r="13" spans="2:16" x14ac:dyDescent="0.2">
      <c r="B13" s="154" t="str">
        <f>'Comps Val Data'!C8</f>
        <v>SML ISUZU</v>
      </c>
      <c r="C13" s="154"/>
      <c r="D13" s="155">
        <f>'Comps Val Data'!D8</f>
        <v>1338.9</v>
      </c>
      <c r="E13" s="156">
        <f>'Comps Val Data'!E8</f>
        <v>1.45</v>
      </c>
      <c r="F13" s="155">
        <f t="shared" si="1"/>
        <v>1941.405</v>
      </c>
      <c r="G13" s="155">
        <f>'Comps Val Data'!I8</f>
        <v>249.23</v>
      </c>
      <c r="H13" s="155">
        <f t="shared" si="2"/>
        <v>2190.6349999999998</v>
      </c>
      <c r="I13" s="155"/>
      <c r="J13" s="155">
        <f>'Comps Val Data'!K8</f>
        <v>2041.17</v>
      </c>
      <c r="K13" s="155">
        <f>'Comps Val Data'!N8</f>
        <v>149.72</v>
      </c>
      <c r="L13" s="155">
        <f>'Comps Val Data'!O8</f>
        <v>79.540000000000006</v>
      </c>
      <c r="M13" s="157"/>
      <c r="N13" s="158">
        <f t="shared" si="3"/>
        <v>1.073225160079758</v>
      </c>
      <c r="O13" s="158">
        <f t="shared" si="0"/>
        <v>14.631545551696499</v>
      </c>
      <c r="P13" s="158">
        <f t="shared" si="4"/>
        <v>24.407907970832284</v>
      </c>
    </row>
    <row r="14" spans="2:16" ht="6" customHeight="1" x14ac:dyDescent="0.2"/>
    <row r="15" spans="2:16" x14ac:dyDescent="0.2">
      <c r="B15" s="163" t="s">
        <v>324</v>
      </c>
      <c r="C15" s="163"/>
      <c r="D15" s="163"/>
      <c r="E15" s="163"/>
      <c r="F15" s="163"/>
      <c r="G15" s="163"/>
      <c r="H15" s="163"/>
      <c r="I15" s="163"/>
      <c r="J15" s="163"/>
      <c r="K15" s="163"/>
      <c r="L15" s="163"/>
      <c r="M15" s="163"/>
      <c r="N15" s="164">
        <f>MAX(N8:N13)</f>
        <v>12.556222739545834</v>
      </c>
      <c r="O15" s="164">
        <f t="shared" ref="O15:P15" si="5">MAX(O8:O13)</f>
        <v>82.724023604538473</v>
      </c>
      <c r="P15" s="164">
        <f t="shared" si="5"/>
        <v>183.05117669267563</v>
      </c>
    </row>
    <row r="16" spans="2:16" x14ac:dyDescent="0.2">
      <c r="B16" s="163" t="s">
        <v>325</v>
      </c>
      <c r="C16" s="163"/>
      <c r="D16" s="163"/>
      <c r="E16" s="163"/>
      <c r="F16" s="163"/>
      <c r="G16" s="163"/>
      <c r="H16" s="163"/>
      <c r="I16" s="163"/>
      <c r="J16" s="163"/>
      <c r="K16" s="163"/>
      <c r="L16" s="163"/>
      <c r="M16" s="163"/>
      <c r="N16" s="164">
        <f>QUARTILE(N8:N13,3)</f>
        <v>1.6762113867662192</v>
      </c>
      <c r="O16" s="164">
        <f t="shared" ref="O16:P16" si="6">QUARTILE(O8:O13,3)</f>
        <v>14.044515955794274</v>
      </c>
      <c r="P16" s="164">
        <f t="shared" si="6"/>
        <v>23.911979643040233</v>
      </c>
    </row>
    <row r="17" spans="2:16" x14ac:dyDescent="0.2">
      <c r="B17" s="165" t="s">
        <v>143</v>
      </c>
      <c r="C17" s="165"/>
      <c r="D17" s="165"/>
      <c r="E17" s="165"/>
      <c r="F17" s="165"/>
      <c r="G17" s="165"/>
      <c r="H17" s="165"/>
      <c r="I17" s="165"/>
      <c r="J17" s="165"/>
      <c r="K17" s="165"/>
      <c r="L17" s="165"/>
      <c r="M17" s="165"/>
      <c r="N17" s="166">
        <f>AVERAGE(N8:N13)</f>
        <v>2.9527208815876667</v>
      </c>
      <c r="O17" s="166">
        <f t="shared" ref="O17:P17" si="7">AVERAGE(O8:O13)</f>
        <v>21.267971832673243</v>
      </c>
      <c r="P17" s="166">
        <f t="shared" si="7"/>
        <v>43.633749644858064</v>
      </c>
    </row>
    <row r="18" spans="2:16" x14ac:dyDescent="0.2">
      <c r="B18" s="165" t="s">
        <v>119</v>
      </c>
      <c r="C18" s="165"/>
      <c r="D18" s="165"/>
      <c r="E18" s="165"/>
      <c r="F18" s="165"/>
      <c r="G18" s="165"/>
      <c r="H18" s="165"/>
      <c r="I18" s="165"/>
      <c r="J18" s="165"/>
      <c r="K18" s="165"/>
      <c r="L18" s="165"/>
      <c r="M18" s="165"/>
      <c r="N18" s="166">
        <f>MEDIAN(N8:N13)</f>
        <v>0.98851975603201492</v>
      </c>
      <c r="O18" s="166">
        <f t="shared" ref="O18:P18" si="8">MEDIAN(O8:O13)</f>
        <v>10.481606235397498</v>
      </c>
      <c r="P18" s="166">
        <f t="shared" si="8"/>
        <v>19.832403010310248</v>
      </c>
    </row>
    <row r="19" spans="2:16" x14ac:dyDescent="0.2">
      <c r="B19" s="163" t="s">
        <v>326</v>
      </c>
      <c r="C19" s="163"/>
      <c r="D19" s="163"/>
      <c r="E19" s="163"/>
      <c r="F19" s="163"/>
      <c r="G19" s="163"/>
      <c r="H19" s="163"/>
      <c r="I19" s="163"/>
      <c r="J19" s="163"/>
      <c r="K19" s="163"/>
      <c r="L19" s="163"/>
      <c r="M19" s="163"/>
      <c r="N19" s="164">
        <f>QUARTILE(N8:N13,1)</f>
        <v>0.89989983107128668</v>
      </c>
      <c r="O19" s="164">
        <f t="shared" ref="O19:P19" si="9">QUARTILE(O8:O13,1)</f>
        <v>6.952563030396858</v>
      </c>
      <c r="P19" s="164">
        <f t="shared" si="9"/>
        <v>16.860113661960906</v>
      </c>
    </row>
    <row r="20" spans="2:16" x14ac:dyDescent="0.2">
      <c r="B20" s="163" t="s">
        <v>327</v>
      </c>
      <c r="C20" s="163"/>
      <c r="D20" s="163"/>
      <c r="E20" s="163"/>
      <c r="F20" s="163"/>
      <c r="G20" s="163"/>
      <c r="H20" s="163"/>
      <c r="I20" s="163"/>
      <c r="J20" s="163"/>
      <c r="K20" s="163"/>
      <c r="L20" s="163"/>
      <c r="M20" s="163"/>
      <c r="N20" s="164">
        <f>MIN(N8:N13)</f>
        <v>0.40726125148747122</v>
      </c>
      <c r="O20" s="164">
        <f t="shared" ref="O20:P20" si="10">MIN(O8:O13)</f>
        <v>2.9122270960494809</v>
      </c>
      <c r="P20" s="164">
        <f t="shared" si="10"/>
        <v>-2.0546739106091034</v>
      </c>
    </row>
    <row r="22" spans="2:16" x14ac:dyDescent="0.2">
      <c r="B22" s="159" t="s">
        <v>328</v>
      </c>
      <c r="C22" s="107"/>
      <c r="D22" s="107"/>
      <c r="E22" s="107"/>
      <c r="F22" s="107"/>
      <c r="G22" s="107"/>
      <c r="H22" s="107"/>
      <c r="I22" s="107"/>
      <c r="J22" s="107"/>
      <c r="K22" s="107"/>
      <c r="L22" s="107"/>
      <c r="M22" s="107"/>
      <c r="N22" s="128" t="s">
        <v>321</v>
      </c>
      <c r="O22" s="128" t="s">
        <v>322</v>
      </c>
      <c r="P22" s="128" t="s">
        <v>323</v>
      </c>
    </row>
    <row r="23" spans="2:16" ht="6" customHeight="1" x14ac:dyDescent="0.2"/>
    <row r="24" spans="2:16" x14ac:dyDescent="0.2">
      <c r="B24" s="109" t="s">
        <v>329</v>
      </c>
      <c r="C24" s="109"/>
      <c r="D24" s="109"/>
      <c r="E24" s="109"/>
      <c r="F24" s="109"/>
      <c r="G24" s="109"/>
      <c r="H24" s="109"/>
      <c r="I24" s="109"/>
      <c r="J24" s="109"/>
      <c r="K24" s="109"/>
      <c r="L24" s="109"/>
      <c r="M24" s="109"/>
      <c r="N24" s="167">
        <f>N18*J8</f>
        <v>397172.66719245969</v>
      </c>
      <c r="O24" s="167">
        <f>O18*K8</f>
        <v>593446.42885904969</v>
      </c>
      <c r="P24" s="167">
        <f>P26+P25</f>
        <v>401660.57338534138</v>
      </c>
    </row>
    <row r="25" spans="2:16" x14ac:dyDescent="0.2">
      <c r="B25" s="109" t="s">
        <v>300</v>
      </c>
      <c r="C25" s="109"/>
      <c r="D25" s="109"/>
      <c r="E25" s="109"/>
      <c r="F25" s="109"/>
      <c r="G25" s="109"/>
      <c r="H25" s="109"/>
      <c r="I25" s="109"/>
      <c r="J25" s="109"/>
      <c r="K25" s="109"/>
      <c r="L25" s="109"/>
      <c r="M25" s="109"/>
      <c r="N25" s="167">
        <f>$G$8</f>
        <v>90848.74</v>
      </c>
      <c r="O25" s="167">
        <f t="shared" ref="O25:P25" si="11">$G$8</f>
        <v>90848.74</v>
      </c>
      <c r="P25" s="167">
        <f t="shared" si="11"/>
        <v>90848.74</v>
      </c>
    </row>
    <row r="26" spans="2:16" x14ac:dyDescent="0.2">
      <c r="B26" s="109" t="s">
        <v>330</v>
      </c>
      <c r="C26" s="109"/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167">
        <f>N24-N25</f>
        <v>306323.9271924597</v>
      </c>
      <c r="O26" s="167">
        <f t="shared" ref="O26" si="12">O24-O25</f>
        <v>502597.6888590497</v>
      </c>
      <c r="P26" s="167">
        <f>P18*L8</f>
        <v>310811.83338534139</v>
      </c>
    </row>
    <row r="27" spans="2:16" x14ac:dyDescent="0.2">
      <c r="B27" s="109" t="s">
        <v>331</v>
      </c>
      <c r="C27" s="109"/>
      <c r="D27" s="109"/>
      <c r="E27" s="109"/>
      <c r="F27" s="109"/>
      <c r="G27" s="109"/>
      <c r="H27" s="109"/>
      <c r="I27" s="109"/>
      <c r="J27" s="109"/>
      <c r="K27" s="109"/>
      <c r="L27" s="109"/>
      <c r="M27" s="109"/>
      <c r="N27" s="167">
        <f>$E$8</f>
        <v>332.28</v>
      </c>
      <c r="O27" s="167">
        <f t="shared" ref="O27:P27" si="13">$E$8</f>
        <v>332.28</v>
      </c>
      <c r="P27" s="167">
        <f t="shared" si="13"/>
        <v>332.28</v>
      </c>
    </row>
    <row r="28" spans="2:16" ht="6" customHeight="1" x14ac:dyDescent="0.2">
      <c r="N28" s="160"/>
      <c r="O28" s="160"/>
      <c r="P28" s="160"/>
    </row>
    <row r="29" spans="2:16" x14ac:dyDescent="0.2">
      <c r="B29" s="161" t="s">
        <v>332</v>
      </c>
      <c r="C29" s="161"/>
      <c r="D29" s="161"/>
      <c r="E29" s="161"/>
      <c r="F29" s="161"/>
      <c r="G29" s="161"/>
      <c r="H29" s="161"/>
      <c r="I29" s="161"/>
      <c r="J29" s="161"/>
      <c r="K29" s="161"/>
      <c r="L29" s="161"/>
      <c r="M29" s="161"/>
      <c r="N29" s="162">
        <f>N26/N27</f>
        <v>921.88493798140041</v>
      </c>
      <c r="O29" s="162">
        <f t="shared" ref="O29:P29" si="14">O26/O27</f>
        <v>1512.5727966144509</v>
      </c>
      <c r="P29" s="162">
        <f t="shared" si="14"/>
        <v>935.39133678024984</v>
      </c>
    </row>
    <row r="30" spans="2:16" s="117" customFormat="1" ht="6" customHeight="1" x14ac:dyDescent="0.2">
      <c r="B30" s="168"/>
      <c r="C30" s="168"/>
      <c r="D30" s="168"/>
      <c r="E30" s="168"/>
      <c r="F30" s="168"/>
      <c r="G30" s="168"/>
      <c r="H30" s="168"/>
      <c r="I30" s="168"/>
      <c r="J30" s="168"/>
      <c r="K30" s="168"/>
      <c r="L30" s="168"/>
      <c r="M30" s="168"/>
      <c r="N30" s="169"/>
      <c r="O30" s="169"/>
      <c r="P30" s="169"/>
    </row>
    <row r="31" spans="2:16" x14ac:dyDescent="0.2">
      <c r="B31" s="16" t="s">
        <v>333</v>
      </c>
    </row>
    <row r="32" spans="2:16" x14ac:dyDescent="0.2">
      <c r="N32" t="str">
        <f>IF(N29&gt;$D$8, "Undervalued", "Overvalued")</f>
        <v>Undervalued</v>
      </c>
      <c r="O32" t="str">
        <f t="shared" ref="O32:P32" si="15">IF(O29&gt;$D$8, "Undervalued", "Overvalued")</f>
        <v>Undervalued</v>
      </c>
      <c r="P32" t="str">
        <f t="shared" si="15"/>
        <v>Undervalued</v>
      </c>
    </row>
  </sheetData>
  <mergeCells count="3">
    <mergeCell ref="D5:H5"/>
    <mergeCell ref="J5:L5"/>
    <mergeCell ref="N5:P5"/>
  </mergeCells>
  <pageMargins left="0.7" right="0.7" top="0.75" bottom="0.75" header="0.3" footer="0.3"/>
  <pageSetup paperSize="9" scale="80" orientation="landscape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F75B0-018F-E84F-8B51-D2525E918CA9}">
  <dimension ref="L2:Q8"/>
  <sheetViews>
    <sheetView showGridLines="0" zoomScale="150" zoomScaleNormal="150" workbookViewId="0">
      <selection activeCell="J11" sqref="J11"/>
    </sheetView>
  </sheetViews>
  <sheetFormatPr baseColWidth="10" defaultRowHeight="15" x14ac:dyDescent="0.2"/>
  <cols>
    <col min="1" max="1" width="2" customWidth="1"/>
  </cols>
  <sheetData>
    <row r="2" spans="12:17" x14ac:dyDescent="0.2">
      <c r="L2" s="107" t="s">
        <v>344</v>
      </c>
      <c r="M2" s="107"/>
      <c r="N2" s="107"/>
      <c r="O2" s="107"/>
      <c r="P2" s="107"/>
      <c r="Q2" s="107"/>
    </row>
    <row r="3" spans="12:17" x14ac:dyDescent="0.2">
      <c r="N3" s="173" t="s">
        <v>342</v>
      </c>
      <c r="O3" s="173" t="s">
        <v>327</v>
      </c>
      <c r="P3" s="173" t="s">
        <v>343</v>
      </c>
      <c r="Q3" s="173" t="s">
        <v>324</v>
      </c>
    </row>
    <row r="4" spans="12:17" x14ac:dyDescent="0.2">
      <c r="L4" t="s">
        <v>336</v>
      </c>
      <c r="N4" s="174">
        <v>921.9</v>
      </c>
      <c r="O4" s="174">
        <v>921.9</v>
      </c>
      <c r="P4" s="174">
        <v>1512.6</v>
      </c>
      <c r="Q4" s="174">
        <v>1512.6</v>
      </c>
    </row>
    <row r="5" spans="12:17" x14ac:dyDescent="0.2">
      <c r="L5" t="s">
        <v>337</v>
      </c>
      <c r="N5">
        <v>-58.9</v>
      </c>
      <c r="O5">
        <v>-58.9</v>
      </c>
      <c r="P5">
        <v>-44</v>
      </c>
      <c r="Q5">
        <v>-44</v>
      </c>
    </row>
    <row r="6" spans="12:17" x14ac:dyDescent="0.2">
      <c r="L6" t="s">
        <v>338</v>
      </c>
      <c r="N6">
        <v>-55.9</v>
      </c>
      <c r="O6">
        <v>-55.9</v>
      </c>
      <c r="P6">
        <v>-36.9</v>
      </c>
      <c r="Q6">
        <v>-36.9</v>
      </c>
    </row>
    <row r="7" spans="12:17" x14ac:dyDescent="0.2">
      <c r="L7" t="s">
        <v>339</v>
      </c>
      <c r="N7">
        <v>-37.700000000000003</v>
      </c>
      <c r="O7">
        <v>-37.700000000000003</v>
      </c>
      <c r="P7">
        <v>30.1</v>
      </c>
      <c r="Q7">
        <v>30.1</v>
      </c>
    </row>
    <row r="8" spans="12:17" x14ac:dyDescent="0.2">
      <c r="L8" t="s">
        <v>340</v>
      </c>
      <c r="M8" t="s">
        <v>341</v>
      </c>
      <c r="N8">
        <v>400.1</v>
      </c>
      <c r="O8">
        <v>400.1</v>
      </c>
      <c r="P8">
        <v>818.5</v>
      </c>
      <c r="Q8">
        <v>818.5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EC954-21D9-F04C-8E7B-738DF1D6E720}">
  <sheetPr>
    <tabColor theme="8" tint="-0.249977111117893"/>
  </sheetPr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E92AE-6FA8-7746-83CE-75FF315452FC}">
  <sheetPr>
    <tabColor rgb="FFFF0000"/>
  </sheetPr>
  <dimension ref="A1:K93"/>
  <sheetViews>
    <sheetView zoomScale="140" zoomScaleNormal="140" workbookViewId="0">
      <pane xSplit="1" topLeftCell="B1" activePane="topRight" state="frozen"/>
      <selection pane="topRight" activeCell="K59" sqref="K59"/>
    </sheetView>
  </sheetViews>
  <sheetFormatPr baseColWidth="10" defaultColWidth="8.83203125" defaultRowHeight="15" x14ac:dyDescent="0.2"/>
  <cols>
    <col min="1" max="1" width="27.6640625" style="2" bestFit="1" customWidth="1"/>
    <col min="2" max="11" width="13.5" style="2" bestFit="1" customWidth="1"/>
    <col min="12" max="16384" width="8.83203125" style="2"/>
  </cols>
  <sheetData>
    <row r="1" spans="1:11" s="1" customFormat="1" x14ac:dyDescent="0.2">
      <c r="A1" s="1" t="s">
        <v>0</v>
      </c>
      <c r="B1" s="1" t="s">
        <v>1</v>
      </c>
      <c r="E1" s="178" t="str">
        <f>IF(B2&lt;&gt;B3, "A NEW VERSION OF THE WORKSHEET IS AVAILABLE", "")</f>
        <v/>
      </c>
      <c r="F1" s="178"/>
      <c r="G1" s="178"/>
      <c r="H1" s="178"/>
      <c r="I1" s="178"/>
      <c r="J1" s="178"/>
      <c r="K1" s="178"/>
    </row>
    <row r="2" spans="1:11" x14ac:dyDescent="0.2">
      <c r="A2" s="1" t="s">
        <v>2</v>
      </c>
      <c r="B2" s="2">
        <v>2.1</v>
      </c>
      <c r="E2" s="179" t="s">
        <v>3</v>
      </c>
      <c r="F2" s="179"/>
      <c r="G2" s="179"/>
      <c r="H2" s="179"/>
      <c r="I2" s="179"/>
      <c r="J2" s="179"/>
      <c r="K2" s="179"/>
    </row>
    <row r="3" spans="1:11" x14ac:dyDescent="0.2">
      <c r="A3" s="1" t="s">
        <v>4</v>
      </c>
      <c r="B3" s="2">
        <v>2.1</v>
      </c>
    </row>
    <row r="4" spans="1:11" x14ac:dyDescent="0.2">
      <c r="A4" s="1"/>
    </row>
    <row r="5" spans="1:11" x14ac:dyDescent="0.2">
      <c r="A5" s="1" t="s">
        <v>5</v>
      </c>
    </row>
    <row r="6" spans="1:11" x14ac:dyDescent="0.2">
      <c r="A6" s="2" t="s">
        <v>6</v>
      </c>
      <c r="B6" s="2">
        <f>IF(B9&gt;0, B9/B8, 0)</f>
        <v>366.73490324084867</v>
      </c>
    </row>
    <row r="7" spans="1:11" x14ac:dyDescent="0.2">
      <c r="A7" s="2" t="s">
        <v>7</v>
      </c>
      <c r="B7">
        <v>2</v>
      </c>
    </row>
    <row r="8" spans="1:11" x14ac:dyDescent="0.2">
      <c r="A8" s="2" t="s">
        <v>8</v>
      </c>
      <c r="B8">
        <v>643.35</v>
      </c>
    </row>
    <row r="9" spans="1:11" x14ac:dyDescent="0.2">
      <c r="A9" s="2" t="s">
        <v>9</v>
      </c>
      <c r="B9">
        <v>235938.9</v>
      </c>
    </row>
    <row r="15" spans="1:11" x14ac:dyDescent="0.2">
      <c r="A15" s="1" t="s">
        <v>10</v>
      </c>
    </row>
    <row r="16" spans="1:11" s="5" customFormat="1" x14ac:dyDescent="0.2">
      <c r="A16" s="3" t="s">
        <v>11</v>
      </c>
      <c r="B16" s="4">
        <v>41729</v>
      </c>
      <c r="C16" s="4">
        <v>42094</v>
      </c>
      <c r="D16" s="4">
        <v>42460</v>
      </c>
      <c r="E16" s="4">
        <v>42825</v>
      </c>
      <c r="F16" s="4">
        <v>43190</v>
      </c>
      <c r="G16" s="4">
        <v>43555</v>
      </c>
      <c r="H16" s="4">
        <v>43921</v>
      </c>
      <c r="I16" s="4">
        <v>44286</v>
      </c>
      <c r="J16" s="4">
        <v>44651</v>
      </c>
      <c r="K16" s="4">
        <v>45016</v>
      </c>
    </row>
    <row r="17" spans="1:11" s="6" customFormat="1" x14ac:dyDescent="0.2">
      <c r="A17" s="6" t="s">
        <v>12</v>
      </c>
      <c r="B17">
        <v>232833.66</v>
      </c>
      <c r="C17">
        <v>263158.98</v>
      </c>
      <c r="D17">
        <v>273045.59999999998</v>
      </c>
      <c r="E17">
        <v>269692.51</v>
      </c>
      <c r="F17">
        <v>291550.48</v>
      </c>
      <c r="G17">
        <v>301938.40000000002</v>
      </c>
      <c r="H17">
        <v>261067.97</v>
      </c>
      <c r="I17">
        <v>249794.75</v>
      </c>
      <c r="J17">
        <v>278453.62</v>
      </c>
      <c r="K17">
        <v>345966.97</v>
      </c>
    </row>
    <row r="18" spans="1:11" s="6" customFormat="1" x14ac:dyDescent="0.2">
      <c r="A18" s="2" t="s">
        <v>13</v>
      </c>
      <c r="B18">
        <v>146426.99</v>
      </c>
      <c r="C18">
        <v>163250.35999999999</v>
      </c>
      <c r="D18">
        <v>166134.01</v>
      </c>
      <c r="E18">
        <v>173294.07999999999</v>
      </c>
      <c r="F18">
        <v>187896.58</v>
      </c>
      <c r="G18">
        <v>194267.91</v>
      </c>
      <c r="H18">
        <v>164899.82</v>
      </c>
      <c r="I18">
        <v>153607.35999999999</v>
      </c>
      <c r="J18">
        <v>179295.33</v>
      </c>
      <c r="K18">
        <v>231251.26</v>
      </c>
    </row>
    <row r="19" spans="1:11" s="6" customFormat="1" x14ac:dyDescent="0.2">
      <c r="A19" s="2" t="s">
        <v>14</v>
      </c>
      <c r="B19">
        <v>2840.58</v>
      </c>
      <c r="C19">
        <v>3330.35</v>
      </c>
      <c r="D19">
        <v>2750.99</v>
      </c>
      <c r="E19">
        <v>7399.92</v>
      </c>
      <c r="F19">
        <v>2046.58</v>
      </c>
      <c r="G19">
        <v>-2053.2800000000002</v>
      </c>
      <c r="H19">
        <v>-2231.19</v>
      </c>
      <c r="I19">
        <v>-4684.16</v>
      </c>
      <c r="J19">
        <v>-1590.49</v>
      </c>
      <c r="K19">
        <v>4781.62</v>
      </c>
    </row>
    <row r="20" spans="1:11" s="6" customFormat="1" x14ac:dyDescent="0.2">
      <c r="A20" s="2" t="s">
        <v>15</v>
      </c>
      <c r="B20">
        <v>1128.69</v>
      </c>
      <c r="C20">
        <v>1121.75</v>
      </c>
      <c r="D20">
        <v>1143.6300000000001</v>
      </c>
      <c r="E20">
        <v>1159.82</v>
      </c>
      <c r="F20">
        <v>1308.08</v>
      </c>
      <c r="G20">
        <v>1585.93</v>
      </c>
      <c r="H20">
        <v>1264.95</v>
      </c>
      <c r="I20">
        <v>1112.8699999999999</v>
      </c>
      <c r="J20">
        <v>2178.29</v>
      </c>
      <c r="K20">
        <v>2513.33</v>
      </c>
    </row>
    <row r="21" spans="1:11" s="6" customFormat="1" x14ac:dyDescent="0.2">
      <c r="A21" s="2" t="s">
        <v>16</v>
      </c>
      <c r="B21">
        <v>13806.04</v>
      </c>
      <c r="C21">
        <v>16173.17</v>
      </c>
      <c r="D21">
        <v>12101.53</v>
      </c>
      <c r="E21">
        <v>10067.370000000001</v>
      </c>
      <c r="F21">
        <v>10971.66</v>
      </c>
      <c r="G21">
        <v>11694.54</v>
      </c>
      <c r="H21">
        <v>11541.51</v>
      </c>
      <c r="I21">
        <v>8273.17</v>
      </c>
      <c r="J21">
        <v>9427.3799999999992</v>
      </c>
      <c r="K21">
        <v>11765.97</v>
      </c>
    </row>
    <row r="22" spans="1:11" s="6" customFormat="1" x14ac:dyDescent="0.2">
      <c r="A22" s="2" t="s">
        <v>17</v>
      </c>
      <c r="B22">
        <v>21609.919999999998</v>
      </c>
      <c r="C22">
        <v>25641.95</v>
      </c>
      <c r="D22">
        <v>28880.89</v>
      </c>
      <c r="E22">
        <v>28332.89</v>
      </c>
      <c r="F22">
        <v>30300.09</v>
      </c>
      <c r="G22">
        <v>33243.870000000003</v>
      </c>
      <c r="H22">
        <v>30438.6</v>
      </c>
      <c r="I22">
        <v>27648.48</v>
      </c>
      <c r="J22">
        <v>30808.52</v>
      </c>
      <c r="K22">
        <v>33654.699999999997</v>
      </c>
    </row>
    <row r="23" spans="1:11" s="6" customFormat="1" x14ac:dyDescent="0.2">
      <c r="A23" s="2" t="s">
        <v>18</v>
      </c>
      <c r="B23">
        <v>22357.79</v>
      </c>
      <c r="C23">
        <v>23603.01</v>
      </c>
      <c r="D23">
        <v>21991.9</v>
      </c>
      <c r="E23">
        <v>30039.38</v>
      </c>
      <c r="F23">
        <v>31004.58</v>
      </c>
      <c r="G23">
        <v>32719.8</v>
      </c>
      <c r="H23">
        <v>29248.32</v>
      </c>
      <c r="I23">
        <v>23015.79</v>
      </c>
      <c r="J23">
        <v>29205.4</v>
      </c>
      <c r="K23">
        <v>34839.19</v>
      </c>
    </row>
    <row r="24" spans="1:11" s="6" customFormat="1" x14ac:dyDescent="0.2">
      <c r="A24" s="2" t="s">
        <v>19</v>
      </c>
      <c r="B24">
        <v>-4508.55</v>
      </c>
      <c r="C24">
        <v>-2539.56</v>
      </c>
      <c r="D24">
        <v>7149.38</v>
      </c>
      <c r="E24">
        <v>4610.2</v>
      </c>
      <c r="F24">
        <v>658.39</v>
      </c>
      <c r="G24">
        <v>1708.74</v>
      </c>
      <c r="H24">
        <v>3456.51</v>
      </c>
      <c r="I24">
        <v>-834.51</v>
      </c>
      <c r="J24">
        <v>1228.1199999999999</v>
      </c>
      <c r="K24">
        <v>4908.34</v>
      </c>
    </row>
    <row r="25" spans="1:11" s="6" customFormat="1" x14ac:dyDescent="0.2">
      <c r="A25" s="6" t="s">
        <v>20</v>
      </c>
      <c r="B25">
        <v>-156.79</v>
      </c>
      <c r="C25">
        <v>714.03</v>
      </c>
      <c r="D25">
        <v>-2669.62</v>
      </c>
      <c r="E25">
        <v>1869.1</v>
      </c>
      <c r="F25">
        <v>5932.73</v>
      </c>
      <c r="G25">
        <v>-26686.25</v>
      </c>
      <c r="H25">
        <v>101.71</v>
      </c>
      <c r="I25">
        <v>-11117.83</v>
      </c>
      <c r="J25">
        <v>2424.0500000000002</v>
      </c>
      <c r="K25">
        <v>6327.59</v>
      </c>
    </row>
    <row r="26" spans="1:11" s="6" customFormat="1" x14ac:dyDescent="0.2">
      <c r="A26" s="6" t="s">
        <v>21</v>
      </c>
      <c r="B26">
        <v>11078.16</v>
      </c>
      <c r="C26">
        <v>13388.63</v>
      </c>
      <c r="D26">
        <v>16710.78</v>
      </c>
      <c r="E26">
        <v>17904.990000000002</v>
      </c>
      <c r="F26">
        <v>21553.59</v>
      </c>
      <c r="G26">
        <v>23590.63</v>
      </c>
      <c r="H26">
        <v>21425.43</v>
      </c>
      <c r="I26">
        <v>23546.71</v>
      </c>
      <c r="J26">
        <v>24835.69</v>
      </c>
      <c r="K26">
        <v>24860.36</v>
      </c>
    </row>
    <row r="27" spans="1:11" s="6" customFormat="1" x14ac:dyDescent="0.2">
      <c r="A27" s="6" t="s">
        <v>22</v>
      </c>
      <c r="B27">
        <v>4749.4399999999996</v>
      </c>
      <c r="C27">
        <v>4861.49</v>
      </c>
      <c r="D27">
        <v>4889.08</v>
      </c>
      <c r="E27">
        <v>4238.01</v>
      </c>
      <c r="F27">
        <v>4681.79</v>
      </c>
      <c r="G27">
        <v>5758.6</v>
      </c>
      <c r="H27">
        <v>7243.33</v>
      </c>
      <c r="I27">
        <v>8097.17</v>
      </c>
      <c r="J27">
        <v>9311.86</v>
      </c>
      <c r="K27">
        <v>10225.48</v>
      </c>
    </row>
    <row r="28" spans="1:11" s="6" customFormat="1" x14ac:dyDescent="0.2">
      <c r="A28" s="6" t="s">
        <v>23</v>
      </c>
      <c r="B28">
        <v>18868.97</v>
      </c>
      <c r="C28">
        <v>21702.560000000001</v>
      </c>
      <c r="D28">
        <v>14125.77</v>
      </c>
      <c r="E28">
        <v>9314.7900000000009</v>
      </c>
      <c r="F28">
        <v>11155.03</v>
      </c>
      <c r="G28">
        <v>-31371.15</v>
      </c>
      <c r="H28">
        <v>-10579.98</v>
      </c>
      <c r="I28">
        <v>-10474.280000000001</v>
      </c>
      <c r="J28">
        <v>-7003.41</v>
      </c>
      <c r="K28">
        <v>3057.55</v>
      </c>
    </row>
    <row r="29" spans="1:11" s="6" customFormat="1" x14ac:dyDescent="0.2">
      <c r="A29" s="6" t="s">
        <v>24</v>
      </c>
      <c r="B29">
        <v>4764.79</v>
      </c>
      <c r="C29">
        <v>7642.91</v>
      </c>
      <c r="D29">
        <v>3025.05</v>
      </c>
      <c r="E29">
        <v>3251.23</v>
      </c>
      <c r="F29">
        <v>4341.93</v>
      </c>
      <c r="G29">
        <v>-2437.4499999999998</v>
      </c>
      <c r="H29">
        <v>395.25</v>
      </c>
      <c r="I29">
        <v>2541.86</v>
      </c>
      <c r="J29">
        <v>4231.29</v>
      </c>
      <c r="K29">
        <v>704.06</v>
      </c>
    </row>
    <row r="30" spans="1:11" s="6" customFormat="1" x14ac:dyDescent="0.2">
      <c r="A30" s="6" t="s">
        <v>25</v>
      </c>
      <c r="B30">
        <v>13991.02</v>
      </c>
      <c r="C30">
        <v>13986.29</v>
      </c>
      <c r="D30">
        <v>11579.31</v>
      </c>
      <c r="E30">
        <v>7454.36</v>
      </c>
      <c r="F30">
        <v>8988.91</v>
      </c>
      <c r="G30">
        <v>-28826.23</v>
      </c>
      <c r="H30">
        <v>-12070.85</v>
      </c>
      <c r="I30">
        <v>-13451.39</v>
      </c>
      <c r="J30">
        <v>-11441.47</v>
      </c>
      <c r="K30">
        <v>2414.29</v>
      </c>
    </row>
    <row r="31" spans="1:11" s="6" customFormat="1" x14ac:dyDescent="0.2">
      <c r="A31" s="6" t="s">
        <v>26</v>
      </c>
      <c r="B31">
        <v>643.78</v>
      </c>
      <c r="D31">
        <v>67.92</v>
      </c>
      <c r="K31">
        <v>766.02</v>
      </c>
    </row>
    <row r="32" spans="1:11" s="6" customFormat="1" x14ac:dyDescent="0.2"/>
    <row r="33" spans="1:11" x14ac:dyDescent="0.2">
      <c r="A33" s="6"/>
    </row>
    <row r="34" spans="1:11" x14ac:dyDescent="0.2">
      <c r="A34" s="6"/>
    </row>
    <row r="35" spans="1:11" x14ac:dyDescent="0.2">
      <c r="A35" s="6"/>
    </row>
    <row r="36" spans="1:11" x14ac:dyDescent="0.2">
      <c r="A36" s="6"/>
    </row>
    <row r="37" spans="1:11" x14ac:dyDescent="0.2">
      <c r="A37" s="6"/>
    </row>
    <row r="38" spans="1:11" x14ac:dyDescent="0.2">
      <c r="A38" s="6"/>
    </row>
    <row r="39" spans="1:11" x14ac:dyDescent="0.2">
      <c r="A39" s="6"/>
    </row>
    <row r="40" spans="1:11" x14ac:dyDescent="0.2">
      <c r="A40" s="1" t="s">
        <v>27</v>
      </c>
    </row>
    <row r="41" spans="1:11" s="5" customFormat="1" x14ac:dyDescent="0.2">
      <c r="A41" s="3" t="s">
        <v>11</v>
      </c>
      <c r="B41" s="4">
        <v>44377</v>
      </c>
      <c r="C41" s="4">
        <v>44469</v>
      </c>
      <c r="D41" s="4">
        <v>44561</v>
      </c>
      <c r="E41" s="4">
        <v>44651</v>
      </c>
      <c r="F41" s="4">
        <v>44742</v>
      </c>
      <c r="G41" s="4">
        <v>44834</v>
      </c>
      <c r="H41" s="4">
        <v>44926</v>
      </c>
      <c r="I41" s="4">
        <v>45016</v>
      </c>
      <c r="J41" s="4">
        <v>45107</v>
      </c>
      <c r="K41" s="4">
        <v>45199</v>
      </c>
    </row>
    <row r="42" spans="1:11" s="6" customFormat="1" x14ac:dyDescent="0.2">
      <c r="A42" s="6" t="s">
        <v>12</v>
      </c>
      <c r="B42">
        <v>66406.45</v>
      </c>
      <c r="C42">
        <v>61378.82</v>
      </c>
      <c r="D42">
        <v>72229.289999999994</v>
      </c>
      <c r="E42">
        <v>78439.06</v>
      </c>
      <c r="F42">
        <v>71934.66</v>
      </c>
      <c r="G42">
        <v>79611.37</v>
      </c>
      <c r="H42">
        <v>88488.59</v>
      </c>
      <c r="I42">
        <v>105932.35</v>
      </c>
      <c r="J42">
        <v>102236.08</v>
      </c>
      <c r="K42">
        <v>105128.24</v>
      </c>
    </row>
    <row r="43" spans="1:11" s="6" customFormat="1" x14ac:dyDescent="0.2">
      <c r="A43" s="6" t="s">
        <v>28</v>
      </c>
      <c r="B43">
        <v>61163.78</v>
      </c>
      <c r="C43">
        <v>57262.21</v>
      </c>
      <c r="D43">
        <v>65151.27</v>
      </c>
      <c r="E43">
        <v>70156.27</v>
      </c>
      <c r="F43">
        <v>69521.929999999993</v>
      </c>
      <c r="G43">
        <v>74039.06</v>
      </c>
      <c r="H43">
        <v>77668.350000000006</v>
      </c>
      <c r="I43">
        <v>92817.95</v>
      </c>
      <c r="J43">
        <v>89018.36</v>
      </c>
      <c r="K43">
        <v>91361.3</v>
      </c>
    </row>
    <row r="44" spans="1:11" s="6" customFormat="1" x14ac:dyDescent="0.2">
      <c r="A44" s="6" t="s">
        <v>20</v>
      </c>
      <c r="B44">
        <v>584.12</v>
      </c>
      <c r="C44">
        <v>862.46</v>
      </c>
      <c r="D44">
        <v>788.73</v>
      </c>
      <c r="E44">
        <v>188.74</v>
      </c>
      <c r="F44">
        <v>2380.98</v>
      </c>
      <c r="G44">
        <v>1351.14</v>
      </c>
      <c r="H44">
        <v>1129.98</v>
      </c>
      <c r="I44">
        <v>1361.61</v>
      </c>
      <c r="J44">
        <v>683.56</v>
      </c>
      <c r="K44">
        <v>1507.05</v>
      </c>
    </row>
    <row r="45" spans="1:11" s="6" customFormat="1" x14ac:dyDescent="0.2">
      <c r="A45" s="6" t="s">
        <v>21</v>
      </c>
      <c r="B45">
        <v>6202.13</v>
      </c>
      <c r="C45">
        <v>6123.32</v>
      </c>
      <c r="D45">
        <v>6078.13</v>
      </c>
      <c r="E45">
        <v>6432.11</v>
      </c>
      <c r="F45">
        <v>5841.04</v>
      </c>
      <c r="G45">
        <v>5897.34</v>
      </c>
      <c r="H45">
        <v>6071.78</v>
      </c>
      <c r="I45">
        <v>7050.2</v>
      </c>
      <c r="J45">
        <v>6633.18</v>
      </c>
      <c r="K45">
        <v>6636.42</v>
      </c>
    </row>
    <row r="46" spans="1:11" s="6" customFormat="1" x14ac:dyDescent="0.2">
      <c r="A46" s="6" t="s">
        <v>22</v>
      </c>
      <c r="B46">
        <v>2203.3000000000002</v>
      </c>
      <c r="C46">
        <v>2327.3000000000002</v>
      </c>
      <c r="D46">
        <v>2400.7399999999998</v>
      </c>
      <c r="E46">
        <v>2380.52</v>
      </c>
      <c r="F46">
        <v>2420.7199999999998</v>
      </c>
      <c r="G46">
        <v>2487.2600000000002</v>
      </c>
      <c r="H46">
        <v>2675.83</v>
      </c>
      <c r="I46">
        <v>2641.67</v>
      </c>
      <c r="J46">
        <v>2615.39</v>
      </c>
      <c r="K46">
        <v>2651.69</v>
      </c>
    </row>
    <row r="47" spans="1:11" s="6" customFormat="1" x14ac:dyDescent="0.2">
      <c r="A47" s="6" t="s">
        <v>23</v>
      </c>
      <c r="B47">
        <v>-2578.64</v>
      </c>
      <c r="C47">
        <v>-3471.55</v>
      </c>
      <c r="D47">
        <v>-612.12</v>
      </c>
      <c r="E47">
        <v>-341.1</v>
      </c>
      <c r="F47">
        <v>-3468.05</v>
      </c>
      <c r="G47">
        <v>-1461.15</v>
      </c>
      <c r="H47">
        <v>3202.61</v>
      </c>
      <c r="I47">
        <v>4784.1400000000003</v>
      </c>
      <c r="J47">
        <v>4652.71</v>
      </c>
      <c r="K47">
        <v>5985.88</v>
      </c>
    </row>
    <row r="48" spans="1:11" s="6" customFormat="1" x14ac:dyDescent="0.2">
      <c r="A48" s="6" t="s">
        <v>24</v>
      </c>
      <c r="B48">
        <v>1741.96</v>
      </c>
      <c r="C48">
        <v>1005.06</v>
      </c>
      <c r="D48">
        <v>726.05</v>
      </c>
      <c r="E48">
        <v>758.22</v>
      </c>
      <c r="F48">
        <v>1518.96</v>
      </c>
      <c r="G48">
        <v>-457.08</v>
      </c>
      <c r="H48">
        <v>262.83</v>
      </c>
      <c r="I48">
        <v>-620.65</v>
      </c>
      <c r="J48">
        <v>1563.01</v>
      </c>
      <c r="K48">
        <v>2202.84</v>
      </c>
    </row>
    <row r="49" spans="1:11" s="6" customFormat="1" x14ac:dyDescent="0.2">
      <c r="A49" s="6" t="s">
        <v>25</v>
      </c>
      <c r="B49">
        <v>-4450.92</v>
      </c>
      <c r="C49">
        <v>-4441.57</v>
      </c>
      <c r="D49">
        <v>-1516.14</v>
      </c>
      <c r="E49">
        <v>-1032.8399999999999</v>
      </c>
      <c r="F49">
        <v>-5006.6000000000004</v>
      </c>
      <c r="G49">
        <v>-944.61</v>
      </c>
      <c r="H49">
        <v>2957.71</v>
      </c>
      <c r="I49">
        <v>5407.79</v>
      </c>
      <c r="J49">
        <v>3202.8</v>
      </c>
      <c r="K49">
        <v>3764</v>
      </c>
    </row>
    <row r="50" spans="1:11" x14ac:dyDescent="0.2">
      <c r="A50" s="6" t="s">
        <v>29</v>
      </c>
      <c r="B50">
        <v>5242.67</v>
      </c>
      <c r="C50">
        <v>4116.6099999999997</v>
      </c>
      <c r="D50">
        <v>7078.02</v>
      </c>
      <c r="E50">
        <v>8282.7900000000009</v>
      </c>
      <c r="F50">
        <v>2412.73</v>
      </c>
      <c r="G50">
        <v>5572.31</v>
      </c>
      <c r="H50">
        <v>10820.24</v>
      </c>
      <c r="I50">
        <v>13114.4</v>
      </c>
      <c r="J50">
        <v>13217.72</v>
      </c>
      <c r="K50">
        <v>13766.94</v>
      </c>
    </row>
    <row r="51" spans="1:11" x14ac:dyDescent="0.2">
      <c r="A51" s="6"/>
    </row>
    <row r="52" spans="1:11" x14ac:dyDescent="0.2">
      <c r="A52" s="6"/>
    </row>
    <row r="53" spans="1:11" x14ac:dyDescent="0.2">
      <c r="A53" s="6"/>
    </row>
    <row r="54" spans="1:11" x14ac:dyDescent="0.2">
      <c r="A54" s="6"/>
    </row>
    <row r="55" spans="1:11" x14ac:dyDescent="0.2">
      <c r="A55" s="1" t="s">
        <v>30</v>
      </c>
    </row>
    <row r="56" spans="1:11" s="5" customFormat="1" x14ac:dyDescent="0.2">
      <c r="A56" s="3" t="s">
        <v>11</v>
      </c>
      <c r="B56" s="4">
        <v>41729</v>
      </c>
      <c r="C56" s="4">
        <v>42094</v>
      </c>
      <c r="D56" s="4">
        <v>42460</v>
      </c>
      <c r="E56" s="4">
        <v>42825</v>
      </c>
      <c r="F56" s="4">
        <v>43190</v>
      </c>
      <c r="G56" s="4">
        <v>43555</v>
      </c>
      <c r="H56" s="4">
        <v>43921</v>
      </c>
      <c r="I56" s="4">
        <v>44286</v>
      </c>
      <c r="J56" s="4">
        <v>44651</v>
      </c>
      <c r="K56" s="4">
        <v>45016</v>
      </c>
    </row>
    <row r="57" spans="1:11" x14ac:dyDescent="0.2">
      <c r="A57" s="6" t="s">
        <v>31</v>
      </c>
      <c r="B57">
        <v>643.78</v>
      </c>
      <c r="C57">
        <v>643.78</v>
      </c>
      <c r="D57">
        <v>679.18</v>
      </c>
      <c r="E57">
        <v>679.22</v>
      </c>
      <c r="F57">
        <v>679.22</v>
      </c>
      <c r="G57">
        <v>679.22</v>
      </c>
      <c r="H57">
        <v>719.54</v>
      </c>
      <c r="I57">
        <v>765.81</v>
      </c>
      <c r="J57">
        <v>765.88</v>
      </c>
      <c r="K57">
        <v>766.02</v>
      </c>
    </row>
    <row r="58" spans="1:11" x14ac:dyDescent="0.2">
      <c r="A58" s="6" t="s">
        <v>32</v>
      </c>
      <c r="B58">
        <v>64959.67</v>
      </c>
      <c r="C58">
        <v>55618.14</v>
      </c>
      <c r="D58">
        <v>78273.23</v>
      </c>
      <c r="E58">
        <v>57382.67</v>
      </c>
      <c r="F58">
        <v>94748.69</v>
      </c>
      <c r="G58">
        <v>59500.34</v>
      </c>
      <c r="H58">
        <v>61491.49</v>
      </c>
      <c r="I58">
        <v>54480.91</v>
      </c>
      <c r="J58">
        <v>43795.360000000001</v>
      </c>
      <c r="K58">
        <v>44555.77</v>
      </c>
    </row>
    <row r="59" spans="1:11" x14ac:dyDescent="0.2">
      <c r="A59" s="6" t="s">
        <v>33</v>
      </c>
      <c r="B59">
        <v>60642.28</v>
      </c>
      <c r="C59">
        <v>73610.39</v>
      </c>
      <c r="D59">
        <v>69359.960000000006</v>
      </c>
      <c r="E59">
        <v>78603.98</v>
      </c>
      <c r="F59">
        <v>88950.47</v>
      </c>
      <c r="G59">
        <v>106175.34</v>
      </c>
      <c r="H59">
        <v>124787.64</v>
      </c>
      <c r="I59">
        <v>142130.57</v>
      </c>
      <c r="J59">
        <v>146449.03</v>
      </c>
      <c r="K59">
        <v>134113.44</v>
      </c>
    </row>
    <row r="60" spans="1:11" x14ac:dyDescent="0.2">
      <c r="A60" s="6" t="s">
        <v>34</v>
      </c>
      <c r="B60">
        <v>92180.26</v>
      </c>
      <c r="C60">
        <v>107442.48</v>
      </c>
      <c r="D60">
        <v>114871.75</v>
      </c>
      <c r="E60">
        <v>135914.49</v>
      </c>
      <c r="F60">
        <v>142813.43</v>
      </c>
      <c r="G60">
        <v>139348.59</v>
      </c>
      <c r="H60">
        <v>133180.72</v>
      </c>
      <c r="I60">
        <v>144192.62</v>
      </c>
      <c r="J60">
        <v>138051.22</v>
      </c>
      <c r="K60">
        <v>155239.20000000001</v>
      </c>
    </row>
    <row r="61" spans="1:11" s="1" customFormat="1" x14ac:dyDescent="0.2">
      <c r="A61" s="1" t="s">
        <v>35</v>
      </c>
      <c r="B61">
        <v>218425.99</v>
      </c>
      <c r="C61">
        <v>237314.79</v>
      </c>
      <c r="D61">
        <v>263184.12</v>
      </c>
      <c r="E61">
        <v>272580.36</v>
      </c>
      <c r="F61">
        <v>327191.81</v>
      </c>
      <c r="G61">
        <v>305703.49</v>
      </c>
      <c r="H61">
        <v>320179.39</v>
      </c>
      <c r="I61">
        <v>341569.91</v>
      </c>
      <c r="J61">
        <v>329061.49</v>
      </c>
      <c r="K61">
        <v>334674.43</v>
      </c>
    </row>
    <row r="62" spans="1:11" x14ac:dyDescent="0.2">
      <c r="A62" s="6" t="s">
        <v>36</v>
      </c>
      <c r="B62">
        <v>69091.67</v>
      </c>
      <c r="C62">
        <v>88479.49</v>
      </c>
      <c r="D62">
        <v>107231.76</v>
      </c>
      <c r="E62">
        <v>95944.08</v>
      </c>
      <c r="F62">
        <v>121413.86</v>
      </c>
      <c r="G62">
        <v>111234.47</v>
      </c>
      <c r="H62">
        <v>127107.14</v>
      </c>
      <c r="I62">
        <v>138707.60999999999</v>
      </c>
      <c r="J62">
        <v>138855.45000000001</v>
      </c>
      <c r="K62">
        <v>132079.76</v>
      </c>
    </row>
    <row r="63" spans="1:11" x14ac:dyDescent="0.2">
      <c r="A63" s="6" t="s">
        <v>37</v>
      </c>
      <c r="B63">
        <v>33262.559999999998</v>
      </c>
      <c r="C63">
        <v>28640.09</v>
      </c>
      <c r="D63">
        <v>25918.94</v>
      </c>
      <c r="E63">
        <v>33698.839999999997</v>
      </c>
      <c r="F63">
        <v>40033.5</v>
      </c>
      <c r="G63">
        <v>31883.84</v>
      </c>
      <c r="H63">
        <v>35622.29</v>
      </c>
      <c r="I63">
        <v>20963.93</v>
      </c>
      <c r="J63">
        <v>10251.09</v>
      </c>
      <c r="K63">
        <v>14274.5</v>
      </c>
    </row>
    <row r="64" spans="1:11" x14ac:dyDescent="0.2">
      <c r="A64" s="6" t="s">
        <v>38</v>
      </c>
      <c r="B64">
        <v>10686.67</v>
      </c>
      <c r="C64">
        <v>15336.74</v>
      </c>
      <c r="D64">
        <v>23767.02</v>
      </c>
      <c r="E64">
        <v>20337.919999999998</v>
      </c>
      <c r="F64">
        <v>20812.75</v>
      </c>
      <c r="G64">
        <v>15770.72</v>
      </c>
      <c r="H64">
        <v>16308.48</v>
      </c>
      <c r="I64">
        <v>24620.28</v>
      </c>
      <c r="J64">
        <v>29379.53</v>
      </c>
      <c r="K64">
        <v>26379.16</v>
      </c>
    </row>
    <row r="65" spans="1:11" x14ac:dyDescent="0.2">
      <c r="A65" s="6" t="s">
        <v>39</v>
      </c>
      <c r="B65">
        <v>105385.09</v>
      </c>
      <c r="C65">
        <v>104858.47</v>
      </c>
      <c r="D65">
        <v>106266.4</v>
      </c>
      <c r="E65">
        <v>122599.52</v>
      </c>
      <c r="F65">
        <v>144931.70000000001</v>
      </c>
      <c r="G65">
        <v>146814.46</v>
      </c>
      <c r="H65">
        <v>141141.48000000001</v>
      </c>
      <c r="I65">
        <v>157278.09</v>
      </c>
      <c r="J65">
        <v>150575.42000000001</v>
      </c>
      <c r="K65">
        <v>161941.01</v>
      </c>
    </row>
    <row r="66" spans="1:11" s="1" customFormat="1" x14ac:dyDescent="0.2">
      <c r="A66" s="1" t="s">
        <v>35</v>
      </c>
      <c r="B66">
        <v>218425.99</v>
      </c>
      <c r="C66">
        <v>237314.79</v>
      </c>
      <c r="D66">
        <v>263184.12</v>
      </c>
      <c r="E66">
        <v>272580.36</v>
      </c>
      <c r="F66">
        <v>327191.81</v>
      </c>
      <c r="G66">
        <v>305703.49</v>
      </c>
      <c r="H66">
        <v>320179.39</v>
      </c>
      <c r="I66">
        <v>341569.91</v>
      </c>
      <c r="J66">
        <v>329061.49</v>
      </c>
      <c r="K66">
        <v>334674.43</v>
      </c>
    </row>
    <row r="67" spans="1:11" s="6" customFormat="1" x14ac:dyDescent="0.2">
      <c r="A67" s="6" t="s">
        <v>40</v>
      </c>
      <c r="B67">
        <v>10574.23</v>
      </c>
      <c r="C67">
        <v>12579.2</v>
      </c>
      <c r="D67">
        <v>13570.91</v>
      </c>
      <c r="E67">
        <v>14075.55</v>
      </c>
      <c r="F67">
        <v>19893.3</v>
      </c>
      <c r="G67">
        <v>18996.169999999998</v>
      </c>
      <c r="H67">
        <v>11172.69</v>
      </c>
      <c r="I67">
        <v>12679.08</v>
      </c>
      <c r="J67">
        <v>12442.12</v>
      </c>
      <c r="K67">
        <v>15737.97</v>
      </c>
    </row>
    <row r="68" spans="1:11" x14ac:dyDescent="0.2">
      <c r="A68" s="6" t="s">
        <v>41</v>
      </c>
      <c r="B68">
        <v>27270.89</v>
      </c>
      <c r="C68">
        <v>29272.34</v>
      </c>
      <c r="D68">
        <v>32655.73</v>
      </c>
      <c r="E68">
        <v>35085.31</v>
      </c>
      <c r="F68">
        <v>42137.63</v>
      </c>
      <c r="G68">
        <v>39013.730000000003</v>
      </c>
      <c r="H68">
        <v>37456.879999999997</v>
      </c>
      <c r="I68">
        <v>36088.589999999997</v>
      </c>
      <c r="J68">
        <v>35240.339999999997</v>
      </c>
      <c r="K68">
        <v>40755.39</v>
      </c>
    </row>
    <row r="69" spans="1:11" x14ac:dyDescent="0.2">
      <c r="A69" s="2" t="s">
        <v>42</v>
      </c>
      <c r="B69">
        <v>29711.79</v>
      </c>
      <c r="C69">
        <v>32115.759999999998</v>
      </c>
      <c r="D69">
        <v>30460.400000000001</v>
      </c>
      <c r="E69">
        <v>36077.879999999997</v>
      </c>
      <c r="F69">
        <v>34613.910000000003</v>
      </c>
      <c r="G69">
        <v>32648.82</v>
      </c>
      <c r="H69">
        <v>33726.97</v>
      </c>
      <c r="I69">
        <v>46792.46</v>
      </c>
      <c r="J69">
        <v>40669.19</v>
      </c>
      <c r="K69">
        <v>37015.56</v>
      </c>
    </row>
    <row r="70" spans="1:11" x14ac:dyDescent="0.2">
      <c r="A70" s="2" t="s">
        <v>43</v>
      </c>
      <c r="B70">
        <v>3218930000</v>
      </c>
      <c r="C70">
        <v>3218930067</v>
      </c>
      <c r="D70">
        <v>3395930306</v>
      </c>
      <c r="E70">
        <v>3396100719</v>
      </c>
      <c r="F70">
        <v>3396100719</v>
      </c>
      <c r="G70">
        <v>3396100719</v>
      </c>
      <c r="H70">
        <v>3597726185</v>
      </c>
      <c r="I70">
        <v>3829060661</v>
      </c>
      <c r="J70">
        <v>3829414903</v>
      </c>
      <c r="K70">
        <v>3830097221</v>
      </c>
    </row>
    <row r="71" spans="1:11" x14ac:dyDescent="0.2">
      <c r="A71" s="2" t="s">
        <v>44</v>
      </c>
    </row>
    <row r="72" spans="1:11" x14ac:dyDescent="0.2">
      <c r="A72" s="2" t="s">
        <v>45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</row>
    <row r="74" spans="1:11" x14ac:dyDescent="0.2">
      <c r="A74" s="6"/>
    </row>
    <row r="75" spans="1:11" x14ac:dyDescent="0.2">
      <c r="A75" s="6" t="s">
        <v>39</v>
      </c>
      <c r="B75" s="2">
        <f>B65-SUM(B67:B69)</f>
        <v>37828.179999999993</v>
      </c>
      <c r="C75" s="2">
        <f t="shared" ref="C75:K75" si="0">C65-SUM(C67:C69)</f>
        <v>30891.17</v>
      </c>
      <c r="D75" s="2">
        <f t="shared" si="0"/>
        <v>29579.359999999986</v>
      </c>
      <c r="E75" s="2">
        <f t="shared" si="0"/>
        <v>37360.780000000013</v>
      </c>
      <c r="F75" s="2">
        <f t="shared" si="0"/>
        <v>48286.860000000015</v>
      </c>
      <c r="G75" s="2">
        <f t="shared" si="0"/>
        <v>56155.739999999991</v>
      </c>
      <c r="H75" s="2">
        <f t="shared" si="0"/>
        <v>58784.94</v>
      </c>
      <c r="I75" s="2">
        <f t="shared" si="0"/>
        <v>61717.959999999992</v>
      </c>
      <c r="J75" s="2">
        <f t="shared" si="0"/>
        <v>62223.770000000019</v>
      </c>
      <c r="K75" s="2">
        <f t="shared" si="0"/>
        <v>68432.090000000011</v>
      </c>
    </row>
    <row r="76" spans="1:11" x14ac:dyDescent="0.2">
      <c r="A76" s="6"/>
    </row>
    <row r="77" spans="1:11" x14ac:dyDescent="0.2">
      <c r="A77" s="6" t="s">
        <v>129</v>
      </c>
      <c r="B77" s="2">
        <f>B61</f>
        <v>218425.99</v>
      </c>
      <c r="C77" s="2">
        <f t="shared" ref="C77:K77" si="1">C61</f>
        <v>237314.79</v>
      </c>
      <c r="D77" s="2">
        <f t="shared" si="1"/>
        <v>263184.12</v>
      </c>
      <c r="E77" s="2">
        <f t="shared" si="1"/>
        <v>272580.36</v>
      </c>
      <c r="F77" s="2">
        <f t="shared" si="1"/>
        <v>327191.81</v>
      </c>
      <c r="G77" s="2">
        <f t="shared" si="1"/>
        <v>305703.49</v>
      </c>
      <c r="H77" s="2">
        <f t="shared" si="1"/>
        <v>320179.39</v>
      </c>
      <c r="I77" s="2">
        <f t="shared" si="1"/>
        <v>341569.91</v>
      </c>
      <c r="J77" s="2">
        <f t="shared" si="1"/>
        <v>329061.49</v>
      </c>
      <c r="K77" s="2">
        <f t="shared" si="1"/>
        <v>334674.43</v>
      </c>
    </row>
    <row r="78" spans="1:11" x14ac:dyDescent="0.2">
      <c r="A78" s="6"/>
    </row>
    <row r="79" spans="1:11" x14ac:dyDescent="0.2">
      <c r="A79" s="6"/>
    </row>
    <row r="80" spans="1:11" x14ac:dyDescent="0.2">
      <c r="A80" s="1" t="s">
        <v>46</v>
      </c>
    </row>
    <row r="81" spans="1:11" s="5" customFormat="1" x14ac:dyDescent="0.2">
      <c r="A81" s="3" t="s">
        <v>11</v>
      </c>
      <c r="B81" s="4">
        <v>41729</v>
      </c>
      <c r="C81" s="4">
        <v>42094</v>
      </c>
      <c r="D81" s="4">
        <v>42460</v>
      </c>
      <c r="E81" s="4">
        <v>42825</v>
      </c>
      <c r="F81" s="4">
        <v>43190</v>
      </c>
      <c r="G81" s="4">
        <v>43555</v>
      </c>
      <c r="H81" s="4">
        <v>43921</v>
      </c>
      <c r="I81" s="4">
        <v>44286</v>
      </c>
      <c r="J81" s="4">
        <v>44651</v>
      </c>
      <c r="K81" s="4">
        <v>45016</v>
      </c>
    </row>
    <row r="82" spans="1:11" s="1" customFormat="1" x14ac:dyDescent="0.2">
      <c r="A82" s="6" t="s">
        <v>47</v>
      </c>
      <c r="B82">
        <v>36151.160000000003</v>
      </c>
      <c r="C82">
        <v>35531.26</v>
      </c>
      <c r="D82">
        <v>37899.54</v>
      </c>
      <c r="E82">
        <v>30199.25</v>
      </c>
      <c r="F82">
        <v>23857.42</v>
      </c>
      <c r="G82">
        <v>18890.75</v>
      </c>
      <c r="H82">
        <v>26632.94</v>
      </c>
      <c r="I82">
        <v>29000.51</v>
      </c>
      <c r="J82">
        <v>14282.83</v>
      </c>
      <c r="K82">
        <v>35388.01</v>
      </c>
    </row>
    <row r="83" spans="1:11" s="6" customFormat="1" x14ac:dyDescent="0.2">
      <c r="A83" s="6" t="s">
        <v>48</v>
      </c>
      <c r="B83">
        <v>-27990.91</v>
      </c>
      <c r="C83">
        <v>-36232.35</v>
      </c>
      <c r="D83">
        <v>-36693.9</v>
      </c>
      <c r="E83">
        <v>-39571.4</v>
      </c>
      <c r="F83">
        <v>-25139.14</v>
      </c>
      <c r="G83">
        <v>-20878.07</v>
      </c>
      <c r="H83">
        <v>-33114.550000000003</v>
      </c>
      <c r="I83">
        <v>-25672.5</v>
      </c>
      <c r="J83">
        <v>-4443.66</v>
      </c>
      <c r="K83">
        <v>-15417.17</v>
      </c>
    </row>
    <row r="84" spans="1:11" s="6" customFormat="1" x14ac:dyDescent="0.2">
      <c r="A84" s="6" t="s">
        <v>49</v>
      </c>
      <c r="B84">
        <v>-3883.24</v>
      </c>
      <c r="C84">
        <v>5201.4399999999996</v>
      </c>
      <c r="D84">
        <v>-3795.12</v>
      </c>
      <c r="E84">
        <v>6205.3</v>
      </c>
      <c r="F84">
        <v>2011.71</v>
      </c>
      <c r="G84">
        <v>8830.3700000000008</v>
      </c>
      <c r="H84">
        <v>3389.61</v>
      </c>
      <c r="I84">
        <v>9904.2000000000007</v>
      </c>
      <c r="J84">
        <v>-3380.17</v>
      </c>
      <c r="K84">
        <v>-26242.9</v>
      </c>
    </row>
    <row r="85" spans="1:11" s="1" customFormat="1" x14ac:dyDescent="0.2">
      <c r="A85" s="6" t="s">
        <v>50</v>
      </c>
      <c r="B85">
        <v>4277.01</v>
      </c>
      <c r="C85">
        <v>4500.3500000000004</v>
      </c>
      <c r="D85">
        <v>-2589.48</v>
      </c>
      <c r="E85">
        <v>-3166.85</v>
      </c>
      <c r="F85">
        <v>729.99</v>
      </c>
      <c r="G85">
        <v>6843.05</v>
      </c>
      <c r="H85">
        <v>-3092</v>
      </c>
      <c r="I85">
        <v>13232.21</v>
      </c>
      <c r="J85">
        <v>6459</v>
      </c>
      <c r="K85">
        <v>-6272.06</v>
      </c>
    </row>
    <row r="86" spans="1:11" x14ac:dyDescent="0.2">
      <c r="A86" s="6"/>
    </row>
    <row r="87" spans="1:11" x14ac:dyDescent="0.2">
      <c r="A87" s="6"/>
    </row>
    <row r="88" spans="1:11" x14ac:dyDescent="0.2">
      <c r="A88" s="6"/>
    </row>
    <row r="89" spans="1:11" x14ac:dyDescent="0.2">
      <c r="A89" s="6"/>
    </row>
    <row r="90" spans="1:11" s="1" customFormat="1" x14ac:dyDescent="0.2">
      <c r="A90" s="1" t="s">
        <v>51</v>
      </c>
      <c r="B90">
        <v>394.42</v>
      </c>
      <c r="C90">
        <v>544.37</v>
      </c>
      <c r="D90">
        <v>386.6</v>
      </c>
      <c r="E90">
        <v>465.85</v>
      </c>
      <c r="F90">
        <v>326.85000000000002</v>
      </c>
      <c r="G90">
        <v>174.25</v>
      </c>
      <c r="H90">
        <v>71.05</v>
      </c>
      <c r="I90">
        <v>301.8</v>
      </c>
      <c r="J90">
        <v>433.75</v>
      </c>
      <c r="K90">
        <v>420.8</v>
      </c>
    </row>
    <row r="92" spans="1:11" s="1" customFormat="1" x14ac:dyDescent="0.2">
      <c r="A92" s="1" t="s">
        <v>52</v>
      </c>
    </row>
    <row r="93" spans="1:11" x14ac:dyDescent="0.2">
      <c r="A93" s="2" t="s">
        <v>53</v>
      </c>
      <c r="B93" s="2">
        <v>288.74</v>
      </c>
      <c r="C93" s="2">
        <v>288.74</v>
      </c>
      <c r="D93" s="2">
        <v>288.72000000000003</v>
      </c>
      <c r="E93" s="2">
        <v>288.73</v>
      </c>
      <c r="F93" s="2">
        <v>288.73</v>
      </c>
      <c r="G93" s="2">
        <v>288.73</v>
      </c>
      <c r="H93" s="2">
        <v>308.89999999999998</v>
      </c>
      <c r="I93" s="2">
        <v>332.03</v>
      </c>
      <c r="J93" s="2">
        <v>332.07</v>
      </c>
      <c r="K93" s="2">
        <v>332.13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31034D18-958F-C049-A22C-B22014E72DCE}"/>
  </hyperlinks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D419-95D9-5D41-B7D5-86EB4B2D6544}">
  <dimension ref="B2:G7"/>
  <sheetViews>
    <sheetView showGridLines="0" zoomScale="150" zoomScaleNormal="150" workbookViewId="0">
      <selection activeCell="E4" sqref="E4"/>
    </sheetView>
  </sheetViews>
  <sheetFormatPr baseColWidth="10" defaultRowHeight="15" x14ac:dyDescent="0.2"/>
  <cols>
    <col min="2" max="2" width="5.33203125" bestFit="1" customWidth="1"/>
    <col min="3" max="3" width="12" bestFit="1" customWidth="1"/>
    <col min="5" max="5" width="12.83203125" bestFit="1" customWidth="1"/>
    <col min="6" max="6" width="9.5" bestFit="1" customWidth="1"/>
  </cols>
  <sheetData>
    <row r="2" spans="2:7" x14ac:dyDescent="0.2">
      <c r="B2" s="52" t="s">
        <v>177</v>
      </c>
      <c r="C2" s="8" t="s">
        <v>178</v>
      </c>
      <c r="D2" s="8" t="s">
        <v>179</v>
      </c>
      <c r="E2" s="8" t="s">
        <v>180</v>
      </c>
      <c r="F2" s="8" t="s">
        <v>181</v>
      </c>
      <c r="G2" s="8" t="s">
        <v>182</v>
      </c>
    </row>
    <row r="3" spans="2:7" x14ac:dyDescent="0.2">
      <c r="B3" s="38">
        <v>1</v>
      </c>
      <c r="C3" t="s">
        <v>173</v>
      </c>
      <c r="D3" s="67">
        <v>10302.35</v>
      </c>
      <c r="E3" s="67">
        <v>323908.53999999998</v>
      </c>
      <c r="F3" s="67">
        <v>392.5</v>
      </c>
      <c r="G3">
        <v>0.01</v>
      </c>
    </row>
    <row r="4" spans="2:7" x14ac:dyDescent="0.2">
      <c r="B4" s="38">
        <v>2</v>
      </c>
      <c r="C4" t="s">
        <v>183</v>
      </c>
      <c r="D4" s="67">
        <v>779.95</v>
      </c>
      <c r="E4" s="67">
        <v>285543.07</v>
      </c>
      <c r="F4" s="67">
        <v>127864.3</v>
      </c>
      <c r="G4">
        <v>2.38</v>
      </c>
    </row>
    <row r="5" spans="2:7" x14ac:dyDescent="0.2">
      <c r="B5" s="38">
        <v>3</v>
      </c>
      <c r="C5" t="s">
        <v>174</v>
      </c>
      <c r="D5" s="67">
        <v>1729.4</v>
      </c>
      <c r="E5" s="67">
        <v>215055.88</v>
      </c>
      <c r="F5" s="67">
        <v>99711.679999999993</v>
      </c>
      <c r="G5">
        <v>1.65</v>
      </c>
    </row>
    <row r="6" spans="2:7" x14ac:dyDescent="0.2">
      <c r="B6" s="38">
        <v>4</v>
      </c>
      <c r="C6" t="s">
        <v>175</v>
      </c>
      <c r="D6" s="67">
        <v>6797.25</v>
      </c>
      <c r="E6" s="67">
        <v>192484.36</v>
      </c>
      <c r="F6" s="67">
        <v>125.04</v>
      </c>
      <c r="G6">
        <v>0</v>
      </c>
    </row>
    <row r="7" spans="2:7" x14ac:dyDescent="0.2">
      <c r="B7" s="38">
        <v>5</v>
      </c>
      <c r="C7" t="s">
        <v>176</v>
      </c>
      <c r="D7" s="67">
        <v>4143.5</v>
      </c>
      <c r="E7" s="67">
        <v>113438.88</v>
      </c>
      <c r="F7" s="67">
        <v>416.16</v>
      </c>
      <c r="G7">
        <v>0.03</v>
      </c>
    </row>
  </sheetData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E54B4-9EA1-F344-B662-98D5DC64DC03}">
  <dimension ref="B2:G27"/>
  <sheetViews>
    <sheetView showGridLines="0" zoomScale="150" zoomScaleNormal="150" workbookViewId="0">
      <selection activeCell="F7" sqref="F7"/>
    </sheetView>
  </sheetViews>
  <sheetFormatPr baseColWidth="10" defaultRowHeight="15" x14ac:dyDescent="0.2"/>
  <cols>
    <col min="1" max="1" width="2" customWidth="1"/>
  </cols>
  <sheetData>
    <row r="2" spans="2:7" x14ac:dyDescent="0.2">
      <c r="B2" s="87" t="s">
        <v>184</v>
      </c>
      <c r="C2" s="7"/>
      <c r="D2" s="7"/>
      <c r="E2" s="7"/>
      <c r="F2" s="7"/>
      <c r="G2" s="7"/>
    </row>
    <row r="4" spans="2:7" x14ac:dyDescent="0.2">
      <c r="B4" s="52" t="s">
        <v>122</v>
      </c>
      <c r="C4" s="88" t="s">
        <v>185</v>
      </c>
    </row>
    <row r="5" spans="2:7" x14ac:dyDescent="0.2">
      <c r="B5" s="38">
        <v>2000</v>
      </c>
      <c r="C5" s="89">
        <v>-0.14649999999999999</v>
      </c>
      <c r="E5" t="s">
        <v>186</v>
      </c>
      <c r="G5" s="11">
        <f>AVERAGE(C5:C27)</f>
        <v>0.15443478260869564</v>
      </c>
    </row>
    <row r="6" spans="2:7" ht="17" x14ac:dyDescent="0.2">
      <c r="B6" s="38">
        <v>2001</v>
      </c>
      <c r="C6" s="89">
        <v>-0.1618</v>
      </c>
      <c r="E6" t="s">
        <v>187</v>
      </c>
      <c r="G6" s="90">
        <v>1.35E-2</v>
      </c>
    </row>
    <row r="7" spans="2:7" x14ac:dyDescent="0.2">
      <c r="B7" s="38">
        <v>2002</v>
      </c>
      <c r="C7" s="89">
        <v>3.2500000000000001E-2</v>
      </c>
      <c r="E7" s="91" t="s">
        <v>188</v>
      </c>
      <c r="F7" s="91"/>
      <c r="G7" s="92">
        <f>SUM(G5:G6)</f>
        <v>0.16793478260869565</v>
      </c>
    </row>
    <row r="8" spans="2:7" x14ac:dyDescent="0.2">
      <c r="B8" s="38">
        <v>2003</v>
      </c>
      <c r="C8" s="89">
        <v>0.71900000000000008</v>
      </c>
    </row>
    <row r="9" spans="2:7" x14ac:dyDescent="0.2">
      <c r="B9" s="38">
        <v>2004</v>
      </c>
      <c r="C9" s="89">
        <v>0.10679999999999999</v>
      </c>
    </row>
    <row r="10" spans="2:7" x14ac:dyDescent="0.2">
      <c r="B10" s="38">
        <v>2005</v>
      </c>
      <c r="C10" s="89">
        <v>0.36340000000000006</v>
      </c>
    </row>
    <row r="11" spans="2:7" x14ac:dyDescent="0.2">
      <c r="B11" s="38">
        <v>2006</v>
      </c>
      <c r="C11" s="89">
        <v>0.39829999999999999</v>
      </c>
    </row>
    <row r="12" spans="2:7" x14ac:dyDescent="0.2">
      <c r="B12" s="38">
        <v>2007</v>
      </c>
      <c r="C12" s="89">
        <v>0.54770000000000008</v>
      </c>
    </row>
    <row r="13" spans="2:7" x14ac:dyDescent="0.2">
      <c r="B13" s="38">
        <v>2008</v>
      </c>
      <c r="C13" s="89">
        <v>-0.51790000000000003</v>
      </c>
    </row>
    <row r="14" spans="2:7" x14ac:dyDescent="0.2">
      <c r="B14" s="38">
        <v>2009</v>
      </c>
      <c r="C14" s="89">
        <v>0.75760000000000005</v>
      </c>
    </row>
    <row r="15" spans="2:7" x14ac:dyDescent="0.2">
      <c r="B15" s="38">
        <v>2010</v>
      </c>
      <c r="C15" s="89">
        <v>0.17949999999999999</v>
      </c>
    </row>
    <row r="16" spans="2:7" x14ac:dyDescent="0.2">
      <c r="B16" s="38">
        <v>2011</v>
      </c>
      <c r="C16" s="89">
        <v>-0.2462</v>
      </c>
    </row>
    <row r="17" spans="2:3" x14ac:dyDescent="0.2">
      <c r="B17" s="38">
        <v>2012</v>
      </c>
      <c r="C17" s="89">
        <v>0.27699999999999997</v>
      </c>
    </row>
    <row r="18" spans="2:3" x14ac:dyDescent="0.2">
      <c r="B18" s="38">
        <v>2013</v>
      </c>
      <c r="C18" s="89">
        <v>6.7599999999999993E-2</v>
      </c>
    </row>
    <row r="19" spans="2:3" x14ac:dyDescent="0.2">
      <c r="B19" s="38">
        <v>2014</v>
      </c>
      <c r="C19" s="89">
        <v>0.31390000000000001</v>
      </c>
    </row>
    <row r="20" spans="2:3" x14ac:dyDescent="0.2">
      <c r="B20" s="38">
        <v>2015</v>
      </c>
      <c r="C20" s="89">
        <v>-4.0599999999999997E-2</v>
      </c>
    </row>
    <row r="21" spans="2:3" x14ac:dyDescent="0.2">
      <c r="B21" s="38">
        <v>2016</v>
      </c>
      <c r="C21" s="89">
        <v>3.0099999999999998E-2</v>
      </c>
    </row>
    <row r="22" spans="2:3" x14ac:dyDescent="0.2">
      <c r="B22" s="38">
        <v>2017</v>
      </c>
      <c r="C22" s="89">
        <v>0.28649999999999998</v>
      </c>
    </row>
    <row r="23" spans="2:3" x14ac:dyDescent="0.2">
      <c r="B23" s="38">
        <v>2018</v>
      </c>
      <c r="C23" s="89">
        <v>3.15E-2</v>
      </c>
    </row>
    <row r="24" spans="2:3" x14ac:dyDescent="0.2">
      <c r="B24" s="38">
        <v>2019</v>
      </c>
      <c r="C24" s="89">
        <v>0.1202</v>
      </c>
    </row>
    <row r="25" spans="2:3" x14ac:dyDescent="0.2">
      <c r="B25" s="38">
        <v>2020</v>
      </c>
      <c r="C25" s="89">
        <v>0.14899999999999999</v>
      </c>
    </row>
    <row r="26" spans="2:3" x14ac:dyDescent="0.2">
      <c r="B26" s="38">
        <v>2021</v>
      </c>
      <c r="C26" s="89">
        <v>0.2412</v>
      </c>
    </row>
    <row r="27" spans="2:3" x14ac:dyDescent="0.2">
      <c r="B27" s="38">
        <v>2022</v>
      </c>
      <c r="C27" s="89">
        <v>4.3200000000000002E-2</v>
      </c>
    </row>
  </sheetData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A8FAD-14EC-1242-989E-F9D2142B4E54}">
  <dimension ref="B2:N84"/>
  <sheetViews>
    <sheetView showGridLines="0" zoomScale="155" zoomScaleNormal="150" workbookViewId="0">
      <selection activeCell="J61" sqref="J61:J62"/>
    </sheetView>
  </sheetViews>
  <sheetFormatPr baseColWidth="10" defaultRowHeight="15" x14ac:dyDescent="0.2"/>
  <cols>
    <col min="1" max="1" width="2" customWidth="1"/>
    <col min="2" max="2" width="23.83203125" bestFit="1" customWidth="1"/>
  </cols>
  <sheetData>
    <row r="2" spans="2:14" x14ac:dyDescent="0.2">
      <c r="B2" s="180" t="s">
        <v>82</v>
      </c>
      <c r="C2" s="180"/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0"/>
    </row>
    <row r="4" spans="2:14" x14ac:dyDescent="0.2">
      <c r="B4" s="94" t="s">
        <v>219</v>
      </c>
      <c r="C4" s="95">
        <v>40969</v>
      </c>
      <c r="D4" s="95">
        <v>41334</v>
      </c>
      <c r="E4" s="95">
        <v>41699</v>
      </c>
      <c r="F4" s="95">
        <v>42064</v>
      </c>
      <c r="G4" s="95">
        <v>42430</v>
      </c>
      <c r="H4" s="95">
        <v>42795</v>
      </c>
      <c r="I4" s="95">
        <v>43160</v>
      </c>
      <c r="J4" s="95">
        <v>43525</v>
      </c>
      <c r="K4" s="95">
        <v>43891</v>
      </c>
      <c r="L4" s="95">
        <v>44256</v>
      </c>
      <c r="M4" s="95">
        <v>44621</v>
      </c>
      <c r="N4" s="95">
        <v>44986</v>
      </c>
    </row>
    <row r="5" spans="2:14" x14ac:dyDescent="0.2">
      <c r="B5" s="96"/>
      <c r="C5" s="97"/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</row>
    <row r="6" spans="2:14" x14ac:dyDescent="0.2">
      <c r="B6" s="8" t="s">
        <v>189</v>
      </c>
      <c r="C6" s="100">
        <v>635</v>
      </c>
      <c r="D6" s="100">
        <v>638</v>
      </c>
      <c r="E6" s="100">
        <v>644</v>
      </c>
      <c r="F6" s="100">
        <v>644</v>
      </c>
      <c r="G6" s="100">
        <v>679</v>
      </c>
      <c r="H6" s="100">
        <v>679</v>
      </c>
      <c r="I6" s="100">
        <v>679</v>
      </c>
      <c r="J6" s="100">
        <v>679</v>
      </c>
      <c r="K6" s="100">
        <v>720</v>
      </c>
      <c r="L6" s="100">
        <v>766</v>
      </c>
      <c r="M6" s="100">
        <v>766</v>
      </c>
      <c r="N6" s="100">
        <v>766</v>
      </c>
    </row>
    <row r="7" spans="2:14" x14ac:dyDescent="0.2">
      <c r="B7" s="8" t="s">
        <v>32</v>
      </c>
      <c r="C7" s="100">
        <v>32064</v>
      </c>
      <c r="D7" s="100">
        <v>36999</v>
      </c>
      <c r="E7" s="100">
        <v>64960</v>
      </c>
      <c r="F7" s="100">
        <v>55618</v>
      </c>
      <c r="G7" s="100">
        <v>78273</v>
      </c>
      <c r="H7" s="100">
        <v>57383</v>
      </c>
      <c r="I7" s="100">
        <v>94749</v>
      </c>
      <c r="J7" s="100">
        <v>59500</v>
      </c>
      <c r="K7" s="100">
        <v>61491</v>
      </c>
      <c r="L7" s="100">
        <v>54481</v>
      </c>
      <c r="M7" s="100">
        <v>43795</v>
      </c>
      <c r="N7" s="100">
        <v>44556</v>
      </c>
    </row>
    <row r="8" spans="2:14" x14ac:dyDescent="0.2">
      <c r="B8" s="8" t="s">
        <v>190</v>
      </c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</row>
    <row r="9" spans="2:14" x14ac:dyDescent="0.2">
      <c r="B9" t="s">
        <v>191</v>
      </c>
      <c r="C9" s="100">
        <v>27962</v>
      </c>
      <c r="D9" s="100">
        <v>32155</v>
      </c>
      <c r="E9" s="100">
        <v>45259</v>
      </c>
      <c r="F9" s="100">
        <v>56071</v>
      </c>
      <c r="G9" s="100">
        <v>50510</v>
      </c>
      <c r="H9" s="100">
        <v>60629</v>
      </c>
      <c r="I9" s="100">
        <v>61200</v>
      </c>
      <c r="J9" s="100">
        <v>70818</v>
      </c>
      <c r="K9" s="100">
        <v>83316</v>
      </c>
      <c r="L9" s="100">
        <v>0</v>
      </c>
      <c r="M9" s="100">
        <v>97759</v>
      </c>
      <c r="N9" s="100">
        <v>88696</v>
      </c>
    </row>
    <row r="10" spans="2:14" x14ac:dyDescent="0.2">
      <c r="B10" t="s">
        <v>192</v>
      </c>
      <c r="C10" s="100">
        <v>10742</v>
      </c>
      <c r="D10" s="100">
        <v>11620</v>
      </c>
      <c r="E10" s="100">
        <v>9696</v>
      </c>
      <c r="F10" s="100">
        <v>13140</v>
      </c>
      <c r="G10" s="100">
        <v>11451</v>
      </c>
      <c r="H10" s="100">
        <v>13860</v>
      </c>
      <c r="I10" s="100">
        <v>16795</v>
      </c>
      <c r="J10" s="100">
        <v>20150</v>
      </c>
      <c r="K10" s="100">
        <v>16363</v>
      </c>
      <c r="L10" s="100">
        <v>0</v>
      </c>
      <c r="M10" s="100">
        <v>41918</v>
      </c>
      <c r="N10" s="100">
        <v>36965</v>
      </c>
    </row>
    <row r="11" spans="2:14" x14ac:dyDescent="0.2">
      <c r="B11" t="s">
        <v>193</v>
      </c>
      <c r="C11" s="100">
        <v>0</v>
      </c>
      <c r="D11" s="100">
        <v>0</v>
      </c>
      <c r="E11" s="100">
        <v>0</v>
      </c>
      <c r="F11" s="100">
        <v>0</v>
      </c>
      <c r="G11" s="100">
        <v>0</v>
      </c>
      <c r="H11" s="100">
        <v>0</v>
      </c>
      <c r="I11" s="100">
        <v>0</v>
      </c>
      <c r="J11" s="100">
        <v>173</v>
      </c>
      <c r="K11" s="100">
        <v>5977</v>
      </c>
      <c r="L11" s="100">
        <v>0</v>
      </c>
      <c r="M11" s="100">
        <v>6772</v>
      </c>
      <c r="N11" s="100">
        <v>8453</v>
      </c>
    </row>
    <row r="12" spans="2:14" x14ac:dyDescent="0.2">
      <c r="B12" t="s">
        <v>194</v>
      </c>
      <c r="C12" s="100">
        <v>8445</v>
      </c>
      <c r="D12" s="100">
        <v>9940</v>
      </c>
      <c r="E12" s="100">
        <v>5688</v>
      </c>
      <c r="F12" s="100">
        <v>4399</v>
      </c>
      <c r="G12" s="100">
        <v>7399</v>
      </c>
      <c r="H12" s="100">
        <v>4115</v>
      </c>
      <c r="I12" s="100">
        <v>10956</v>
      </c>
      <c r="J12" s="100">
        <v>15034</v>
      </c>
      <c r="K12" s="100">
        <v>19132</v>
      </c>
      <c r="L12" s="100">
        <v>142131</v>
      </c>
      <c r="M12" s="100">
        <v>0</v>
      </c>
      <c r="N12" s="100">
        <v>0</v>
      </c>
    </row>
    <row r="13" spans="2:14" x14ac:dyDescent="0.2">
      <c r="B13" s="8" t="s">
        <v>195</v>
      </c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</row>
    <row r="14" spans="2:14" x14ac:dyDescent="0.2">
      <c r="B14" t="s">
        <v>196</v>
      </c>
      <c r="C14" s="100">
        <v>307</v>
      </c>
      <c r="D14" s="100">
        <v>370</v>
      </c>
      <c r="E14" s="100">
        <v>421</v>
      </c>
      <c r="F14" s="100">
        <v>433</v>
      </c>
      <c r="G14" s="100">
        <v>433</v>
      </c>
      <c r="H14" s="100">
        <v>453</v>
      </c>
      <c r="I14" s="100">
        <v>525</v>
      </c>
      <c r="J14" s="100">
        <v>523</v>
      </c>
      <c r="K14" s="100">
        <v>814</v>
      </c>
      <c r="L14" s="100">
        <v>1573</v>
      </c>
      <c r="M14" s="100">
        <v>4271</v>
      </c>
      <c r="N14" s="100">
        <v>7278</v>
      </c>
    </row>
    <row r="15" spans="2:14" x14ac:dyDescent="0.2">
      <c r="B15" t="s">
        <v>197</v>
      </c>
      <c r="C15" s="100">
        <v>36686</v>
      </c>
      <c r="D15" s="100">
        <v>44912</v>
      </c>
      <c r="E15" s="100">
        <v>57316</v>
      </c>
      <c r="F15" s="100">
        <v>57407</v>
      </c>
      <c r="G15" s="100">
        <v>61562</v>
      </c>
      <c r="H15" s="100">
        <v>62533</v>
      </c>
      <c r="I15" s="100">
        <v>76940</v>
      </c>
      <c r="J15" s="100">
        <v>71691</v>
      </c>
      <c r="K15" s="100">
        <v>66398</v>
      </c>
      <c r="L15" s="100">
        <v>76040</v>
      </c>
      <c r="M15" s="100">
        <v>69750</v>
      </c>
      <c r="N15" s="100">
        <v>79252</v>
      </c>
    </row>
    <row r="16" spans="2:14" x14ac:dyDescent="0.2">
      <c r="B16" t="s">
        <v>198</v>
      </c>
      <c r="C16" s="100">
        <v>2369</v>
      </c>
      <c r="D16" s="100">
        <v>2067</v>
      </c>
      <c r="E16" s="100">
        <v>3119</v>
      </c>
      <c r="F16" s="100">
        <v>2289</v>
      </c>
      <c r="G16" s="100">
        <v>2165</v>
      </c>
      <c r="H16" s="100">
        <v>1711</v>
      </c>
      <c r="I16" s="100">
        <v>0</v>
      </c>
      <c r="J16" s="100">
        <v>0</v>
      </c>
      <c r="K16" s="100">
        <v>0</v>
      </c>
      <c r="L16" s="100">
        <v>0</v>
      </c>
      <c r="M16" s="100">
        <v>0</v>
      </c>
      <c r="N16" s="100">
        <v>0</v>
      </c>
    </row>
    <row r="17" spans="2:14" x14ac:dyDescent="0.2">
      <c r="B17" t="s">
        <v>199</v>
      </c>
      <c r="C17" s="101">
        <v>23556</v>
      </c>
      <c r="D17" s="101">
        <v>29627</v>
      </c>
      <c r="E17" s="101">
        <v>31325</v>
      </c>
      <c r="F17" s="101">
        <v>47313</v>
      </c>
      <c r="G17" s="101">
        <v>50712</v>
      </c>
      <c r="H17" s="101">
        <v>71218</v>
      </c>
      <c r="I17" s="101">
        <v>65349</v>
      </c>
      <c r="J17" s="101">
        <v>67135</v>
      </c>
      <c r="K17" s="101">
        <v>65969</v>
      </c>
      <c r="L17" s="101">
        <v>66579</v>
      </c>
      <c r="M17" s="101">
        <v>64030</v>
      </c>
      <c r="N17" s="101">
        <v>68710</v>
      </c>
    </row>
    <row r="18" spans="2:14" x14ac:dyDescent="0.2">
      <c r="B18" s="99" t="s">
        <v>83</v>
      </c>
      <c r="C18" s="102">
        <v>142766</v>
      </c>
      <c r="D18" s="102">
        <v>168330</v>
      </c>
      <c r="E18" s="102">
        <v>218426</v>
      </c>
      <c r="F18" s="102">
        <v>237315</v>
      </c>
      <c r="G18" s="102">
        <v>263184</v>
      </c>
      <c r="H18" s="102">
        <v>272580</v>
      </c>
      <c r="I18" s="102">
        <v>327192</v>
      </c>
      <c r="J18" s="102">
        <v>305703</v>
      </c>
      <c r="K18" s="102">
        <v>320179</v>
      </c>
      <c r="L18" s="102">
        <v>341570</v>
      </c>
      <c r="M18" s="102">
        <v>329061</v>
      </c>
      <c r="N18" s="102">
        <v>334674</v>
      </c>
    </row>
    <row r="19" spans="2:14" x14ac:dyDescent="0.2"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</row>
    <row r="20" spans="2:14" x14ac:dyDescent="0.2">
      <c r="B20" s="8" t="s">
        <v>200</v>
      </c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</row>
    <row r="21" spans="2:14" x14ac:dyDescent="0.2">
      <c r="B21" t="s">
        <v>201</v>
      </c>
      <c r="C21" s="100">
        <v>1963</v>
      </c>
      <c r="D21" s="100">
        <v>1959</v>
      </c>
      <c r="E21" s="100">
        <v>2296</v>
      </c>
      <c r="F21" s="100">
        <v>2513</v>
      </c>
      <c r="G21" s="100">
        <v>7185</v>
      </c>
      <c r="H21" s="100">
        <v>6762</v>
      </c>
      <c r="I21" s="100">
        <v>7339</v>
      </c>
      <c r="J21" s="100">
        <v>7286</v>
      </c>
      <c r="K21" s="100">
        <v>7675</v>
      </c>
      <c r="L21" s="100">
        <v>7819</v>
      </c>
      <c r="M21" s="100">
        <v>7760</v>
      </c>
      <c r="N21" s="100">
        <v>8045</v>
      </c>
    </row>
    <row r="22" spans="2:14" x14ac:dyDescent="0.2">
      <c r="B22" t="s">
        <v>202</v>
      </c>
      <c r="C22" s="100">
        <v>9014</v>
      </c>
      <c r="D22" s="100">
        <v>8323</v>
      </c>
      <c r="E22" s="100">
        <v>11010</v>
      </c>
      <c r="F22" s="100">
        <v>13396</v>
      </c>
      <c r="G22" s="100">
        <v>12343</v>
      </c>
      <c r="H22" s="100">
        <v>12164</v>
      </c>
      <c r="I22" s="100">
        <v>16552</v>
      </c>
      <c r="J22" s="100">
        <v>22938</v>
      </c>
      <c r="K22" s="100">
        <v>32665</v>
      </c>
      <c r="L22" s="100">
        <v>35537</v>
      </c>
      <c r="M22" s="100">
        <v>36466</v>
      </c>
      <c r="N22" s="100">
        <v>38781</v>
      </c>
    </row>
    <row r="23" spans="2:14" x14ac:dyDescent="0.2">
      <c r="B23" t="s">
        <v>203</v>
      </c>
      <c r="C23" s="100">
        <v>57315</v>
      </c>
      <c r="D23" s="100">
        <v>63478</v>
      </c>
      <c r="E23" s="100">
        <v>79505</v>
      </c>
      <c r="F23" s="100">
        <v>88943</v>
      </c>
      <c r="G23" s="100">
        <v>80063</v>
      </c>
      <c r="H23" s="100">
        <v>79976</v>
      </c>
      <c r="I23" s="100">
        <v>100226</v>
      </c>
      <c r="J23" s="100">
        <v>109415</v>
      </c>
      <c r="K23" s="100">
        <v>124158</v>
      </c>
      <c r="L23" s="100">
        <v>138868</v>
      </c>
      <c r="M23" s="100">
        <v>148585</v>
      </c>
      <c r="N23" s="100">
        <v>153672</v>
      </c>
    </row>
    <row r="24" spans="2:14" x14ac:dyDescent="0.2">
      <c r="B24" t="s">
        <v>204</v>
      </c>
      <c r="C24" s="100">
        <v>0</v>
      </c>
      <c r="D24" s="100">
        <v>0</v>
      </c>
      <c r="E24" s="100">
        <v>0</v>
      </c>
      <c r="F24" s="100">
        <v>482</v>
      </c>
      <c r="G24" s="100">
        <v>498</v>
      </c>
      <c r="H24" s="100">
        <v>0</v>
      </c>
      <c r="I24" s="100">
        <v>0</v>
      </c>
      <c r="J24" s="100">
        <v>0</v>
      </c>
      <c r="K24" s="100">
        <v>0</v>
      </c>
      <c r="L24" s="100">
        <v>0</v>
      </c>
      <c r="M24" s="100">
        <v>0</v>
      </c>
      <c r="N24" s="100">
        <v>0</v>
      </c>
    </row>
    <row r="25" spans="2:14" x14ac:dyDescent="0.2">
      <c r="B25" t="s">
        <v>205</v>
      </c>
      <c r="C25" s="100">
        <v>1431</v>
      </c>
      <c r="D25" s="100">
        <v>928</v>
      </c>
      <c r="E25" s="100">
        <v>1126</v>
      </c>
      <c r="F25" s="100">
        <v>1364</v>
      </c>
      <c r="G25" s="100">
        <v>1634</v>
      </c>
      <c r="H25" s="100">
        <v>1767</v>
      </c>
      <c r="I25" s="100">
        <v>1943</v>
      </c>
      <c r="J25" s="100">
        <v>2335</v>
      </c>
      <c r="K25" s="100">
        <v>3054</v>
      </c>
      <c r="L25" s="100">
        <v>3172</v>
      </c>
      <c r="M25" s="100">
        <v>3383</v>
      </c>
      <c r="N25" s="100">
        <v>3499</v>
      </c>
    </row>
    <row r="26" spans="2:14" x14ac:dyDescent="0.2">
      <c r="B26" t="s">
        <v>206</v>
      </c>
      <c r="C26" s="100">
        <v>604</v>
      </c>
      <c r="D26" s="100">
        <v>710</v>
      </c>
      <c r="E26" s="100">
        <v>1011</v>
      </c>
      <c r="F26" s="100">
        <v>1149</v>
      </c>
      <c r="G26" s="100">
        <v>1241</v>
      </c>
      <c r="H26" s="100">
        <v>1401</v>
      </c>
      <c r="I26" s="100">
        <v>1430</v>
      </c>
      <c r="J26" s="100">
        <v>1626</v>
      </c>
      <c r="K26" s="100">
        <v>1890</v>
      </c>
      <c r="L26" s="100">
        <v>1956</v>
      </c>
      <c r="M26" s="100">
        <v>1984</v>
      </c>
      <c r="N26" s="100">
        <v>2084</v>
      </c>
    </row>
    <row r="27" spans="2:14" x14ac:dyDescent="0.2">
      <c r="B27" t="s">
        <v>207</v>
      </c>
      <c r="C27" s="100">
        <v>358</v>
      </c>
      <c r="D27" s="100">
        <v>251</v>
      </c>
      <c r="E27" s="100">
        <v>270</v>
      </c>
      <c r="F27" s="100">
        <v>280</v>
      </c>
      <c r="G27" s="100">
        <v>280</v>
      </c>
      <c r="H27" s="100">
        <v>291</v>
      </c>
      <c r="I27" s="100">
        <v>353</v>
      </c>
      <c r="J27" s="100">
        <v>387</v>
      </c>
      <c r="K27" s="100">
        <v>601</v>
      </c>
      <c r="L27" s="100">
        <v>845</v>
      </c>
      <c r="M27" s="100">
        <v>725</v>
      </c>
      <c r="N27" s="100">
        <v>788</v>
      </c>
    </row>
    <row r="28" spans="2:14" x14ac:dyDescent="0.2">
      <c r="B28" t="s">
        <v>208</v>
      </c>
      <c r="C28" s="100">
        <v>7373</v>
      </c>
      <c r="D28" s="100">
        <v>7423</v>
      </c>
      <c r="E28" s="100">
        <v>8994</v>
      </c>
      <c r="F28" s="100">
        <v>9580</v>
      </c>
      <c r="G28" s="100">
        <v>58951</v>
      </c>
      <c r="H28" s="100">
        <v>54932</v>
      </c>
      <c r="I28" s="100">
        <v>77870</v>
      </c>
      <c r="J28" s="100">
        <v>80480</v>
      </c>
      <c r="K28" s="100">
        <v>91157</v>
      </c>
      <c r="L28" s="100">
        <v>114809</v>
      </c>
      <c r="M28" s="100">
        <v>114323</v>
      </c>
      <c r="N28" s="100">
        <v>112538</v>
      </c>
    </row>
    <row r="29" spans="2:14" x14ac:dyDescent="0.2">
      <c r="B29" t="s">
        <v>209</v>
      </c>
      <c r="C29" s="100">
        <v>15816</v>
      </c>
      <c r="D29" s="100">
        <v>24161</v>
      </c>
      <c r="E29" s="100">
        <v>33694</v>
      </c>
      <c r="F29" s="100">
        <v>45196</v>
      </c>
      <c r="G29" s="100">
        <v>6746</v>
      </c>
      <c r="H29" s="100">
        <v>6219</v>
      </c>
      <c r="I29" s="100">
        <v>7497</v>
      </c>
      <c r="J29" s="100">
        <v>8049</v>
      </c>
      <c r="K29" s="100">
        <v>9380</v>
      </c>
      <c r="L29" s="100">
        <v>10686</v>
      </c>
      <c r="M29" s="100">
        <v>10870</v>
      </c>
      <c r="N29" s="100">
        <v>11735</v>
      </c>
    </row>
    <row r="30" spans="2:14" x14ac:dyDescent="0.2">
      <c r="B30" s="8" t="s">
        <v>210</v>
      </c>
      <c r="C30" s="101">
        <v>93873</v>
      </c>
      <c r="D30" s="101">
        <v>107234</v>
      </c>
      <c r="E30" s="101">
        <v>137907</v>
      </c>
      <c r="F30" s="101">
        <v>162904</v>
      </c>
      <c r="G30" s="101">
        <v>168941</v>
      </c>
      <c r="H30" s="101">
        <v>163512</v>
      </c>
      <c r="I30" s="101">
        <v>213209</v>
      </c>
      <c r="J30" s="101">
        <v>232517</v>
      </c>
      <c r="K30" s="101">
        <v>270579</v>
      </c>
      <c r="L30" s="101">
        <v>313692</v>
      </c>
      <c r="M30" s="101">
        <v>324096</v>
      </c>
      <c r="N30" s="101">
        <v>331141</v>
      </c>
    </row>
    <row r="31" spans="2:14" x14ac:dyDescent="0.2">
      <c r="B31" s="8" t="s">
        <v>211</v>
      </c>
      <c r="C31" s="101">
        <v>49512</v>
      </c>
      <c r="D31" s="101">
        <v>51723</v>
      </c>
      <c r="E31" s="101">
        <v>68815</v>
      </c>
      <c r="F31" s="101">
        <v>74424</v>
      </c>
      <c r="G31" s="101">
        <v>61709</v>
      </c>
      <c r="H31" s="101">
        <v>67568</v>
      </c>
      <c r="I31" s="101">
        <v>91795</v>
      </c>
      <c r="J31" s="101">
        <v>121283</v>
      </c>
      <c r="K31" s="101">
        <v>143471</v>
      </c>
      <c r="L31" s="101">
        <v>174985</v>
      </c>
      <c r="M31" s="101">
        <v>185241</v>
      </c>
      <c r="N31" s="101">
        <v>199062</v>
      </c>
    </row>
    <row r="32" spans="2:14" x14ac:dyDescent="0.2">
      <c r="B32" s="103" t="s">
        <v>36</v>
      </c>
      <c r="C32" s="104">
        <f>C30-C31</f>
        <v>44361</v>
      </c>
      <c r="D32" s="104">
        <f t="shared" ref="D32:N32" si="0">D30-D31</f>
        <v>55511</v>
      </c>
      <c r="E32" s="104">
        <f t="shared" si="0"/>
        <v>69092</v>
      </c>
      <c r="F32" s="104">
        <f t="shared" si="0"/>
        <v>88480</v>
      </c>
      <c r="G32" s="104">
        <f t="shared" si="0"/>
        <v>107232</v>
      </c>
      <c r="H32" s="104">
        <f t="shared" si="0"/>
        <v>95944</v>
      </c>
      <c r="I32" s="104">
        <f t="shared" si="0"/>
        <v>121414</v>
      </c>
      <c r="J32" s="104">
        <f t="shared" si="0"/>
        <v>111234</v>
      </c>
      <c r="K32" s="104">
        <f t="shared" si="0"/>
        <v>127108</v>
      </c>
      <c r="L32" s="104">
        <f t="shared" si="0"/>
        <v>138707</v>
      </c>
      <c r="M32" s="104">
        <f t="shared" si="0"/>
        <v>138855</v>
      </c>
      <c r="N32" s="104">
        <f t="shared" si="0"/>
        <v>132079</v>
      </c>
    </row>
    <row r="33" spans="2:14" x14ac:dyDescent="0.2">
      <c r="B33" s="8"/>
      <c r="C33" s="105"/>
      <c r="D33" s="105"/>
      <c r="E33" s="105"/>
      <c r="F33" s="105"/>
      <c r="G33" s="105"/>
      <c r="H33" s="105"/>
      <c r="I33" s="105"/>
      <c r="J33" s="105"/>
      <c r="K33" s="105"/>
      <c r="L33" s="105"/>
      <c r="M33" s="105"/>
      <c r="N33" s="105"/>
    </row>
    <row r="34" spans="2:14" x14ac:dyDescent="0.2">
      <c r="B34" s="8" t="s">
        <v>212</v>
      </c>
      <c r="C34" s="100">
        <v>15946</v>
      </c>
      <c r="D34" s="100">
        <v>18454</v>
      </c>
      <c r="E34" s="100">
        <v>33263</v>
      </c>
      <c r="F34" s="100">
        <v>28640</v>
      </c>
      <c r="G34" s="100">
        <v>25919</v>
      </c>
      <c r="H34" s="100">
        <v>33699</v>
      </c>
      <c r="I34" s="100">
        <v>40034</v>
      </c>
      <c r="J34" s="100">
        <v>31884</v>
      </c>
      <c r="K34" s="100">
        <v>35622</v>
      </c>
      <c r="L34" s="100">
        <v>20964</v>
      </c>
      <c r="M34" s="100">
        <v>10251</v>
      </c>
      <c r="N34" s="100">
        <v>14274</v>
      </c>
    </row>
    <row r="35" spans="2:14" x14ac:dyDescent="0.2">
      <c r="B35" s="8" t="s">
        <v>38</v>
      </c>
      <c r="C35" s="100">
        <v>8918</v>
      </c>
      <c r="D35" s="100">
        <v>8765</v>
      </c>
      <c r="E35" s="100">
        <v>10687</v>
      </c>
      <c r="F35" s="100">
        <v>15337</v>
      </c>
      <c r="G35" s="100">
        <v>23767</v>
      </c>
      <c r="H35" s="100">
        <v>20338</v>
      </c>
      <c r="I35" s="100">
        <v>20813</v>
      </c>
      <c r="J35" s="100">
        <v>15771</v>
      </c>
      <c r="K35" s="100">
        <v>16308</v>
      </c>
      <c r="L35" s="100">
        <v>24620</v>
      </c>
      <c r="M35" s="100">
        <v>29380</v>
      </c>
      <c r="N35" s="100">
        <v>26379</v>
      </c>
    </row>
    <row r="36" spans="2:14" x14ac:dyDescent="0.2">
      <c r="B36" s="8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</row>
    <row r="37" spans="2:14" x14ac:dyDescent="0.2">
      <c r="B37" s="8" t="s">
        <v>213</v>
      </c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</row>
    <row r="38" spans="2:14" x14ac:dyDescent="0.2">
      <c r="B38" t="s">
        <v>214</v>
      </c>
      <c r="C38" s="100">
        <v>18216</v>
      </c>
      <c r="D38" s="100">
        <v>21037</v>
      </c>
      <c r="E38" s="100">
        <v>27271</v>
      </c>
      <c r="F38" s="100">
        <v>29272</v>
      </c>
      <c r="G38" s="100">
        <v>32656</v>
      </c>
      <c r="H38" s="100">
        <v>35085</v>
      </c>
      <c r="I38" s="100">
        <v>42138</v>
      </c>
      <c r="J38" s="100">
        <v>39014</v>
      </c>
      <c r="K38" s="100">
        <v>37457</v>
      </c>
      <c r="L38" s="100">
        <v>36089</v>
      </c>
      <c r="M38" s="100">
        <v>35240</v>
      </c>
      <c r="N38" s="100">
        <v>40755</v>
      </c>
    </row>
    <row r="39" spans="2:14" x14ac:dyDescent="0.2">
      <c r="B39" t="s">
        <v>215</v>
      </c>
      <c r="C39" s="100">
        <v>8237</v>
      </c>
      <c r="D39" s="100">
        <v>10960</v>
      </c>
      <c r="E39" s="100">
        <v>10574</v>
      </c>
      <c r="F39" s="100">
        <v>12579</v>
      </c>
      <c r="G39" s="100">
        <v>13571</v>
      </c>
      <c r="H39" s="100">
        <v>14076</v>
      </c>
      <c r="I39" s="100">
        <v>19893</v>
      </c>
      <c r="J39" s="100">
        <v>18996</v>
      </c>
      <c r="K39" s="100">
        <v>11173</v>
      </c>
      <c r="L39" s="100">
        <v>12679</v>
      </c>
      <c r="M39" s="100">
        <v>12442</v>
      </c>
      <c r="N39" s="100">
        <v>15738</v>
      </c>
    </row>
    <row r="40" spans="2:14" x14ac:dyDescent="0.2">
      <c r="B40" t="s">
        <v>216</v>
      </c>
      <c r="C40" s="100">
        <v>18238</v>
      </c>
      <c r="D40" s="100">
        <v>21115</v>
      </c>
      <c r="E40" s="100">
        <v>29712</v>
      </c>
      <c r="F40" s="100">
        <v>32116</v>
      </c>
      <c r="G40" s="100">
        <v>30460</v>
      </c>
      <c r="H40" s="100">
        <v>36078</v>
      </c>
      <c r="I40" s="100">
        <v>34614</v>
      </c>
      <c r="J40" s="100">
        <v>32649</v>
      </c>
      <c r="K40" s="100">
        <v>33727</v>
      </c>
      <c r="L40" s="100">
        <v>46792</v>
      </c>
      <c r="M40" s="100">
        <v>40669</v>
      </c>
      <c r="N40" s="100">
        <v>37016</v>
      </c>
    </row>
    <row r="41" spans="2:14" x14ac:dyDescent="0.2">
      <c r="B41" t="s">
        <v>217</v>
      </c>
      <c r="C41" s="100">
        <v>5408</v>
      </c>
      <c r="D41" s="100">
        <v>7041</v>
      </c>
      <c r="E41" s="100">
        <v>9344</v>
      </c>
      <c r="F41" s="100">
        <v>6190</v>
      </c>
      <c r="G41" s="100">
        <v>0</v>
      </c>
      <c r="H41" s="100">
        <v>0</v>
      </c>
      <c r="I41" s="100">
        <v>966</v>
      </c>
      <c r="J41" s="100">
        <v>974</v>
      </c>
      <c r="K41" s="100">
        <v>39</v>
      </c>
      <c r="L41" s="100">
        <v>142</v>
      </c>
      <c r="M41" s="100">
        <v>47</v>
      </c>
      <c r="N41" s="100">
        <v>50</v>
      </c>
    </row>
    <row r="42" spans="2:14" x14ac:dyDescent="0.2">
      <c r="B42" t="s">
        <v>218</v>
      </c>
      <c r="C42" s="106">
        <v>23443</v>
      </c>
      <c r="D42" s="106">
        <v>25448</v>
      </c>
      <c r="E42" s="106">
        <v>28484</v>
      </c>
      <c r="F42" s="106">
        <v>24701</v>
      </c>
      <c r="G42" s="106">
        <v>29579</v>
      </c>
      <c r="H42" s="106">
        <v>37361</v>
      </c>
      <c r="I42" s="106">
        <v>47321</v>
      </c>
      <c r="J42" s="106">
        <v>55182</v>
      </c>
      <c r="K42" s="106">
        <v>58746</v>
      </c>
      <c r="L42" s="106">
        <v>61576</v>
      </c>
      <c r="M42" s="106">
        <v>62177</v>
      </c>
      <c r="N42" s="106">
        <v>68382</v>
      </c>
    </row>
    <row r="43" spans="2:14" x14ac:dyDescent="0.2">
      <c r="B43" s="99" t="s">
        <v>86</v>
      </c>
      <c r="C43" s="102">
        <v>142766</v>
      </c>
      <c r="D43" s="102">
        <v>168330</v>
      </c>
      <c r="E43" s="102">
        <v>218426</v>
      </c>
      <c r="F43" s="102">
        <v>237315</v>
      </c>
      <c r="G43" s="102">
        <v>263184</v>
      </c>
      <c r="H43" s="102">
        <v>272580</v>
      </c>
      <c r="I43" s="102">
        <v>327192</v>
      </c>
      <c r="J43" s="102">
        <v>305703</v>
      </c>
      <c r="K43" s="102">
        <v>320179</v>
      </c>
      <c r="L43" s="102">
        <v>341570</v>
      </c>
      <c r="M43" s="102">
        <v>329061</v>
      </c>
      <c r="N43" s="102">
        <v>334674</v>
      </c>
    </row>
    <row r="46" spans="2:14" x14ac:dyDescent="0.2">
      <c r="B46" s="180" t="s">
        <v>232</v>
      </c>
      <c r="C46" s="180"/>
      <c r="D46" s="180"/>
      <c r="E46" s="180"/>
      <c r="F46" s="180"/>
      <c r="G46" s="180"/>
      <c r="H46" s="180"/>
      <c r="I46" s="180"/>
      <c r="J46" s="180"/>
      <c r="K46" s="180"/>
      <c r="L46" s="180"/>
      <c r="M46" s="180"/>
      <c r="N46" s="180"/>
    </row>
    <row r="48" spans="2:14" x14ac:dyDescent="0.2">
      <c r="B48" s="94" t="s">
        <v>219</v>
      </c>
      <c r="C48" s="95">
        <v>40969</v>
      </c>
      <c r="D48" s="95">
        <v>41334</v>
      </c>
      <c r="E48" s="95">
        <v>41699</v>
      </c>
      <c r="F48" s="95">
        <v>42064</v>
      </c>
      <c r="G48" s="95">
        <v>42430</v>
      </c>
      <c r="H48" s="95">
        <v>42795</v>
      </c>
      <c r="I48" s="95">
        <v>43160</v>
      </c>
      <c r="J48" s="95">
        <v>43525</v>
      </c>
      <c r="K48" s="95">
        <v>43891</v>
      </c>
      <c r="L48" s="95">
        <v>44256</v>
      </c>
      <c r="M48" s="95">
        <v>44621</v>
      </c>
      <c r="N48" s="95">
        <v>44986</v>
      </c>
    </row>
    <row r="49" spans="2:14" s="117" customFormat="1" x14ac:dyDescent="0.2">
      <c r="B49" s="96"/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</row>
    <row r="50" spans="2:14" x14ac:dyDescent="0.2">
      <c r="B50" s="8" t="s">
        <v>233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</row>
    <row r="51" spans="2:14" x14ac:dyDescent="0.2">
      <c r="B51" t="s">
        <v>234</v>
      </c>
      <c r="C51" s="100">
        <v>22432</v>
      </c>
      <c r="D51" s="100">
        <v>24406</v>
      </c>
      <c r="E51" s="100">
        <v>36303</v>
      </c>
      <c r="F51" s="100">
        <v>43397</v>
      </c>
      <c r="G51" s="100">
        <v>38626</v>
      </c>
      <c r="H51" s="100">
        <v>28840</v>
      </c>
      <c r="I51" s="100">
        <v>33312</v>
      </c>
      <c r="J51" s="100">
        <v>28771</v>
      </c>
      <c r="K51" s="100">
        <v>23352</v>
      </c>
      <c r="L51" s="100">
        <v>31198</v>
      </c>
      <c r="M51" s="100">
        <v>26943</v>
      </c>
      <c r="N51" s="100">
        <v>41694</v>
      </c>
    </row>
    <row r="52" spans="2:14" x14ac:dyDescent="0.2">
      <c r="B52" t="s">
        <v>40</v>
      </c>
      <c r="C52" s="100">
        <v>-6659</v>
      </c>
      <c r="D52" s="100">
        <v>-5177</v>
      </c>
      <c r="E52" s="100">
        <v>445</v>
      </c>
      <c r="F52" s="100">
        <v>-3179</v>
      </c>
      <c r="G52" s="100">
        <v>-2223</v>
      </c>
      <c r="H52" s="100">
        <v>-4152</v>
      </c>
      <c r="I52" s="100">
        <v>-10688</v>
      </c>
      <c r="J52" s="100">
        <v>-9109</v>
      </c>
      <c r="K52" s="100">
        <v>9950</v>
      </c>
      <c r="L52" s="100">
        <v>-5505</v>
      </c>
      <c r="M52" s="100">
        <v>185</v>
      </c>
      <c r="N52" s="100">
        <v>-2213</v>
      </c>
    </row>
    <row r="53" spans="2:14" x14ac:dyDescent="0.2">
      <c r="B53" t="s">
        <v>41</v>
      </c>
      <c r="C53" s="100">
        <v>-2719</v>
      </c>
      <c r="D53" s="100">
        <v>-2656</v>
      </c>
      <c r="E53" s="100">
        <v>-2853</v>
      </c>
      <c r="F53" s="100">
        <v>-3692</v>
      </c>
      <c r="G53" s="100">
        <v>-5743</v>
      </c>
      <c r="H53" s="100">
        <v>-6621</v>
      </c>
      <c r="I53" s="100">
        <v>-3560</v>
      </c>
      <c r="J53" s="100">
        <v>2069</v>
      </c>
      <c r="K53" s="100">
        <v>2326</v>
      </c>
      <c r="L53" s="100">
        <v>3814</v>
      </c>
      <c r="M53" s="100">
        <v>472</v>
      </c>
      <c r="N53" s="100">
        <v>-5665</v>
      </c>
    </row>
    <row r="54" spans="2:14" x14ac:dyDescent="0.2">
      <c r="B54" t="s">
        <v>235</v>
      </c>
      <c r="C54" s="100">
        <v>5867</v>
      </c>
      <c r="D54" s="100">
        <v>8132</v>
      </c>
      <c r="E54" s="100">
        <v>4694</v>
      </c>
      <c r="F54" s="100">
        <v>3598</v>
      </c>
      <c r="G54" s="100">
        <v>3947</v>
      </c>
      <c r="H54" s="100">
        <v>9301</v>
      </c>
      <c r="I54" s="100">
        <v>7320</v>
      </c>
      <c r="J54" s="100">
        <v>-4692</v>
      </c>
      <c r="K54" s="100">
        <v>-8085</v>
      </c>
      <c r="L54" s="100">
        <v>5748</v>
      </c>
      <c r="M54" s="100">
        <v>-7012</v>
      </c>
      <c r="N54" s="100">
        <v>6945</v>
      </c>
    </row>
    <row r="55" spans="2:14" x14ac:dyDescent="0.2">
      <c r="B55" t="s">
        <v>236</v>
      </c>
      <c r="C55" s="100">
        <v>0</v>
      </c>
      <c r="D55" s="100">
        <v>0</v>
      </c>
      <c r="E55" s="100">
        <v>0</v>
      </c>
      <c r="F55" s="100">
        <v>0</v>
      </c>
      <c r="G55" s="100">
        <v>-520</v>
      </c>
      <c r="H55" s="100">
        <v>0</v>
      </c>
      <c r="I55" s="100">
        <v>0</v>
      </c>
      <c r="J55" s="100">
        <v>0</v>
      </c>
      <c r="K55" s="100">
        <v>0</v>
      </c>
      <c r="L55" s="100">
        <v>0</v>
      </c>
      <c r="M55" s="100">
        <v>0</v>
      </c>
      <c r="N55" s="100">
        <v>0</v>
      </c>
    </row>
    <row r="56" spans="2:14" x14ac:dyDescent="0.2">
      <c r="B56" t="s">
        <v>237</v>
      </c>
      <c r="C56" s="100">
        <v>1231</v>
      </c>
      <c r="D56" s="100">
        <v>-303</v>
      </c>
      <c r="E56" s="100">
        <v>1870</v>
      </c>
      <c r="F56" s="100">
        <v>-398</v>
      </c>
      <c r="G56" s="100">
        <v>5852</v>
      </c>
      <c r="H56" s="100">
        <v>4727</v>
      </c>
      <c r="I56" s="100">
        <v>494</v>
      </c>
      <c r="J56" s="100">
        <v>4512</v>
      </c>
      <c r="K56" s="100">
        <v>875</v>
      </c>
      <c r="L56" s="100">
        <v>-4150</v>
      </c>
      <c r="M56" s="100">
        <v>-4396</v>
      </c>
      <c r="N56" s="100">
        <v>-2194</v>
      </c>
    </row>
    <row r="57" spans="2:14" x14ac:dyDescent="0.2">
      <c r="B57" s="8" t="s">
        <v>238</v>
      </c>
      <c r="C57" s="100">
        <v>-2280</v>
      </c>
      <c r="D57" s="100">
        <v>-3</v>
      </c>
      <c r="E57" s="100">
        <v>4157</v>
      </c>
      <c r="F57" s="100">
        <v>-3672</v>
      </c>
      <c r="G57" s="100">
        <v>1313</v>
      </c>
      <c r="H57" s="100">
        <v>3254</v>
      </c>
      <c r="I57" s="100">
        <v>-6434</v>
      </c>
      <c r="J57" s="100">
        <v>-7221</v>
      </c>
      <c r="K57" s="100">
        <v>5065</v>
      </c>
      <c r="L57" s="100">
        <v>-93</v>
      </c>
      <c r="M57" s="100">
        <v>-10750</v>
      </c>
      <c r="N57" s="100">
        <v>-3127</v>
      </c>
    </row>
    <row r="58" spans="2:14" x14ac:dyDescent="0.2">
      <c r="B58" s="8" t="s">
        <v>239</v>
      </c>
      <c r="C58" s="100">
        <v>-1768</v>
      </c>
      <c r="D58" s="100">
        <v>-2240</v>
      </c>
      <c r="E58" s="100">
        <v>-4308</v>
      </c>
      <c r="F58" s="100">
        <v>-4194</v>
      </c>
      <c r="G58" s="100">
        <v>-2040</v>
      </c>
      <c r="H58" s="100">
        <v>-1895</v>
      </c>
      <c r="I58" s="100">
        <v>-3021</v>
      </c>
      <c r="J58" s="100">
        <v>-2659</v>
      </c>
      <c r="K58" s="100">
        <v>-1785</v>
      </c>
      <c r="L58" s="100">
        <v>-2105</v>
      </c>
      <c r="M58" s="100">
        <v>-1910</v>
      </c>
      <c r="N58" s="100">
        <v>-3179</v>
      </c>
    </row>
    <row r="59" spans="2:14" x14ac:dyDescent="0.2">
      <c r="B59" s="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</row>
    <row r="60" spans="2:14" x14ac:dyDescent="0.2">
      <c r="B60" s="8" t="s">
        <v>240</v>
      </c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</row>
    <row r="61" spans="2:14" x14ac:dyDescent="0.2">
      <c r="B61" t="s">
        <v>241</v>
      </c>
      <c r="C61" s="100">
        <v>-13876</v>
      </c>
      <c r="D61" s="100">
        <v>-18863</v>
      </c>
      <c r="E61" s="100">
        <v>-26975</v>
      </c>
      <c r="F61" s="100">
        <v>-31962</v>
      </c>
      <c r="G61" s="100">
        <v>-31503</v>
      </c>
      <c r="H61" s="100">
        <v>-16072</v>
      </c>
      <c r="I61" s="100">
        <v>-35079</v>
      </c>
      <c r="J61" s="100">
        <v>-35304</v>
      </c>
      <c r="K61" s="100">
        <v>-29702</v>
      </c>
      <c r="L61" s="100">
        <v>-20205</v>
      </c>
      <c r="M61" s="100">
        <v>-15168</v>
      </c>
      <c r="N61" s="100">
        <v>-19230</v>
      </c>
    </row>
    <row r="62" spans="2:14" x14ac:dyDescent="0.2">
      <c r="B62" t="s">
        <v>242</v>
      </c>
      <c r="C62" s="100">
        <v>93</v>
      </c>
      <c r="D62" s="100">
        <v>37</v>
      </c>
      <c r="E62" s="100">
        <v>50</v>
      </c>
      <c r="F62" s="100">
        <v>74</v>
      </c>
      <c r="G62" s="100">
        <v>59</v>
      </c>
      <c r="H62" s="100">
        <v>53</v>
      </c>
      <c r="I62" s="100">
        <v>30</v>
      </c>
      <c r="J62" s="100">
        <v>67</v>
      </c>
      <c r="K62" s="100">
        <v>171</v>
      </c>
      <c r="L62" s="100">
        <v>351</v>
      </c>
      <c r="M62" s="100">
        <v>230</v>
      </c>
      <c r="N62" s="100">
        <v>285</v>
      </c>
    </row>
    <row r="63" spans="2:14" x14ac:dyDescent="0.2">
      <c r="B63" t="s">
        <v>243</v>
      </c>
      <c r="C63" s="100">
        <v>-5857</v>
      </c>
      <c r="D63" s="100">
        <v>73</v>
      </c>
      <c r="E63" s="100">
        <v>-429</v>
      </c>
      <c r="F63" s="100">
        <v>-5461</v>
      </c>
      <c r="G63" s="100">
        <v>-4728</v>
      </c>
      <c r="H63" s="100">
        <v>-6</v>
      </c>
      <c r="I63" s="100">
        <v>-329</v>
      </c>
      <c r="J63" s="100">
        <v>-130</v>
      </c>
      <c r="K63" s="100">
        <v>-1439</v>
      </c>
      <c r="L63" s="100">
        <v>-7530</v>
      </c>
      <c r="M63" s="100">
        <v>-3008</v>
      </c>
      <c r="N63" s="100">
        <v>-50</v>
      </c>
    </row>
    <row r="64" spans="2:14" x14ac:dyDescent="0.2">
      <c r="B64" t="s">
        <v>244</v>
      </c>
      <c r="C64" s="100">
        <v>84</v>
      </c>
      <c r="D64" s="100">
        <v>34</v>
      </c>
      <c r="E64" s="100">
        <v>4</v>
      </c>
      <c r="F64" s="100">
        <v>42</v>
      </c>
      <c r="G64" s="100">
        <v>89</v>
      </c>
      <c r="H64" s="100">
        <v>1965</v>
      </c>
      <c r="I64" s="100">
        <v>2381</v>
      </c>
      <c r="J64" s="100">
        <v>5644</v>
      </c>
      <c r="K64" s="100">
        <v>21</v>
      </c>
      <c r="L64" s="100">
        <v>226</v>
      </c>
      <c r="M64" s="100">
        <v>104</v>
      </c>
      <c r="N64" s="100">
        <v>6895</v>
      </c>
    </row>
    <row r="65" spans="2:14" x14ac:dyDescent="0.2">
      <c r="B65" t="s">
        <v>245</v>
      </c>
      <c r="C65" s="100">
        <v>467</v>
      </c>
      <c r="D65" s="100">
        <v>713</v>
      </c>
      <c r="E65" s="100">
        <v>653</v>
      </c>
      <c r="F65" s="100">
        <v>698</v>
      </c>
      <c r="G65" s="100">
        <v>731</v>
      </c>
      <c r="H65" s="100">
        <v>638</v>
      </c>
      <c r="I65" s="100">
        <v>690</v>
      </c>
      <c r="J65" s="100">
        <v>761</v>
      </c>
      <c r="K65" s="100">
        <v>1104</v>
      </c>
      <c r="L65" s="100">
        <v>428</v>
      </c>
      <c r="M65" s="100">
        <v>653</v>
      </c>
      <c r="N65" s="100">
        <v>973</v>
      </c>
    </row>
    <row r="66" spans="2:14" x14ac:dyDescent="0.2">
      <c r="B66" t="s">
        <v>246</v>
      </c>
      <c r="C66" s="100">
        <v>70</v>
      </c>
      <c r="D66" s="100">
        <v>95</v>
      </c>
      <c r="E66" s="100">
        <v>40</v>
      </c>
      <c r="F66" s="100">
        <v>80</v>
      </c>
      <c r="G66" s="100">
        <v>58</v>
      </c>
      <c r="H66" s="100">
        <v>620</v>
      </c>
      <c r="I66" s="100">
        <v>1797</v>
      </c>
      <c r="J66" s="100">
        <v>232</v>
      </c>
      <c r="K66" s="100">
        <v>21</v>
      </c>
      <c r="L66" s="100">
        <v>18</v>
      </c>
      <c r="M66" s="100">
        <v>32</v>
      </c>
      <c r="N66" s="100">
        <v>46</v>
      </c>
    </row>
    <row r="67" spans="2:14" x14ac:dyDescent="0.2">
      <c r="B67" t="s">
        <v>247</v>
      </c>
      <c r="C67" s="100">
        <v>-304</v>
      </c>
      <c r="D67" s="100">
        <v>0</v>
      </c>
      <c r="E67" s="100">
        <v>0</v>
      </c>
      <c r="F67" s="100">
        <v>0</v>
      </c>
      <c r="G67" s="100">
        <v>0</v>
      </c>
      <c r="H67" s="100">
        <v>0</v>
      </c>
      <c r="I67" s="100">
        <v>0</v>
      </c>
      <c r="J67" s="100">
        <v>0</v>
      </c>
      <c r="K67" s="100">
        <v>0</v>
      </c>
      <c r="L67" s="100">
        <v>0</v>
      </c>
      <c r="M67" s="100">
        <v>0</v>
      </c>
      <c r="N67" s="100">
        <v>0</v>
      </c>
    </row>
    <row r="68" spans="2:14" x14ac:dyDescent="0.2">
      <c r="B68" t="s">
        <v>248</v>
      </c>
      <c r="C68" s="100">
        <v>-9</v>
      </c>
      <c r="D68" s="100">
        <v>0</v>
      </c>
      <c r="E68" s="100">
        <v>0</v>
      </c>
      <c r="F68" s="100">
        <v>-160</v>
      </c>
      <c r="G68" s="100">
        <v>0</v>
      </c>
      <c r="H68" s="100">
        <v>-107</v>
      </c>
      <c r="I68" s="100">
        <v>-4</v>
      </c>
      <c r="J68" s="100">
        <v>-9</v>
      </c>
      <c r="K68" s="100">
        <v>-606</v>
      </c>
      <c r="L68" s="100">
        <v>-10</v>
      </c>
      <c r="M68" s="100">
        <v>0</v>
      </c>
      <c r="N68" s="100">
        <v>0</v>
      </c>
    </row>
    <row r="69" spans="2:14" x14ac:dyDescent="0.2">
      <c r="B69" t="s">
        <v>249</v>
      </c>
      <c r="C69" s="100">
        <v>0</v>
      </c>
      <c r="D69" s="100">
        <v>0</v>
      </c>
      <c r="E69" s="100">
        <v>0</v>
      </c>
      <c r="F69" s="100">
        <v>0</v>
      </c>
      <c r="G69" s="100">
        <v>0</v>
      </c>
      <c r="H69" s="100">
        <v>0</v>
      </c>
      <c r="I69" s="100">
        <v>14</v>
      </c>
      <c r="J69" s="100">
        <v>533</v>
      </c>
      <c r="K69" s="100">
        <v>0</v>
      </c>
      <c r="L69" s="100">
        <v>0</v>
      </c>
      <c r="M69" s="100">
        <v>0</v>
      </c>
      <c r="N69" s="100">
        <v>19</v>
      </c>
    </row>
    <row r="70" spans="2:14" x14ac:dyDescent="0.2">
      <c r="B70" t="s">
        <v>250</v>
      </c>
      <c r="C70" s="100">
        <v>0</v>
      </c>
      <c r="D70" s="100">
        <v>0</v>
      </c>
      <c r="E70" s="100">
        <v>-185</v>
      </c>
      <c r="F70" s="100">
        <v>0</v>
      </c>
      <c r="G70" s="100">
        <v>-111</v>
      </c>
      <c r="H70" s="100">
        <v>0</v>
      </c>
      <c r="I70" s="100">
        <v>0</v>
      </c>
      <c r="J70" s="100">
        <v>-8</v>
      </c>
      <c r="K70" s="100">
        <v>-27</v>
      </c>
      <c r="L70" s="100">
        <v>0</v>
      </c>
      <c r="M70" s="100">
        <v>-98</v>
      </c>
      <c r="N70" s="100">
        <v>0</v>
      </c>
    </row>
    <row r="71" spans="2:14" x14ac:dyDescent="0.2">
      <c r="B71" t="s">
        <v>251</v>
      </c>
      <c r="C71" s="100">
        <v>-3</v>
      </c>
      <c r="D71" s="100">
        <v>45</v>
      </c>
      <c r="E71" s="100">
        <v>0</v>
      </c>
      <c r="F71" s="100">
        <v>0</v>
      </c>
      <c r="G71" s="100">
        <v>0</v>
      </c>
      <c r="H71" s="100">
        <v>0</v>
      </c>
      <c r="I71" s="100">
        <v>0</v>
      </c>
      <c r="J71" s="100">
        <v>0</v>
      </c>
      <c r="K71" s="100">
        <v>0</v>
      </c>
      <c r="L71" s="100">
        <v>0</v>
      </c>
      <c r="M71" s="100">
        <v>0</v>
      </c>
      <c r="N71" s="100">
        <v>0</v>
      </c>
    </row>
    <row r="72" spans="2:14" x14ac:dyDescent="0.2">
      <c r="B72" t="s">
        <v>252</v>
      </c>
      <c r="C72" s="100">
        <v>-129</v>
      </c>
      <c r="D72" s="100">
        <v>-5103</v>
      </c>
      <c r="E72" s="100">
        <v>-1149</v>
      </c>
      <c r="F72" s="100">
        <v>456</v>
      </c>
      <c r="G72" s="100">
        <v>-1289</v>
      </c>
      <c r="H72" s="100">
        <v>-26663</v>
      </c>
      <c r="I72" s="100">
        <v>5360</v>
      </c>
      <c r="J72" s="100">
        <v>7335</v>
      </c>
      <c r="K72" s="100">
        <v>-2659</v>
      </c>
      <c r="L72" s="100">
        <v>1051</v>
      </c>
      <c r="M72" s="100">
        <v>12813</v>
      </c>
      <c r="N72" s="100">
        <v>-4357</v>
      </c>
    </row>
    <row r="73" spans="2:14" x14ac:dyDescent="0.2">
      <c r="D73" s="93"/>
      <c r="E73" s="93"/>
      <c r="G73" s="93"/>
      <c r="H73" s="93"/>
      <c r="I73" s="93"/>
      <c r="J73" s="93"/>
      <c r="K73" s="93"/>
      <c r="L73" s="93"/>
      <c r="M73" s="93"/>
      <c r="N73" s="93"/>
    </row>
    <row r="74" spans="2:14" x14ac:dyDescent="0.2">
      <c r="B74" s="8" t="s">
        <v>253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</row>
    <row r="75" spans="2:14" x14ac:dyDescent="0.2">
      <c r="B75" t="s">
        <v>254</v>
      </c>
      <c r="C75" s="100">
        <v>139</v>
      </c>
      <c r="D75" s="100">
        <v>1</v>
      </c>
      <c r="E75" s="100">
        <v>0</v>
      </c>
      <c r="F75" s="100">
        <v>0</v>
      </c>
      <c r="G75" s="100">
        <v>7433</v>
      </c>
      <c r="H75" s="100">
        <v>5</v>
      </c>
      <c r="I75" s="100">
        <v>0</v>
      </c>
      <c r="J75" s="100">
        <v>0</v>
      </c>
      <c r="K75" s="100">
        <v>3889</v>
      </c>
      <c r="L75" s="100">
        <v>2603</v>
      </c>
      <c r="M75" s="100">
        <v>19</v>
      </c>
      <c r="N75" s="100">
        <v>20</v>
      </c>
    </row>
    <row r="76" spans="2:14" x14ac:dyDescent="0.2">
      <c r="B76" t="s">
        <v>255</v>
      </c>
      <c r="C76" s="100">
        <v>0</v>
      </c>
      <c r="D76" s="100">
        <v>-97</v>
      </c>
      <c r="E76" s="100">
        <v>-658</v>
      </c>
      <c r="F76" s="100">
        <v>-744</v>
      </c>
      <c r="G76" s="100">
        <v>0</v>
      </c>
      <c r="H76" s="100">
        <v>0</v>
      </c>
      <c r="I76" s="100">
        <v>0</v>
      </c>
      <c r="J76" s="100">
        <v>0</v>
      </c>
      <c r="K76" s="100">
        <v>0</v>
      </c>
      <c r="L76" s="100">
        <v>0</v>
      </c>
      <c r="M76" s="100">
        <v>0</v>
      </c>
      <c r="N76" s="100">
        <v>0</v>
      </c>
    </row>
    <row r="77" spans="2:14" x14ac:dyDescent="0.2">
      <c r="B77" t="s">
        <v>256</v>
      </c>
      <c r="C77" s="100">
        <v>27462</v>
      </c>
      <c r="D77" s="100">
        <v>27863</v>
      </c>
      <c r="E77" s="100">
        <v>33258</v>
      </c>
      <c r="F77" s="100">
        <v>36363</v>
      </c>
      <c r="G77" s="100">
        <v>19519</v>
      </c>
      <c r="H77" s="100">
        <v>33390</v>
      </c>
      <c r="I77" s="100">
        <v>37482</v>
      </c>
      <c r="J77" s="100">
        <v>51128</v>
      </c>
      <c r="K77" s="100">
        <v>38297</v>
      </c>
      <c r="L77" s="100">
        <v>46641</v>
      </c>
      <c r="M77" s="100">
        <v>46578</v>
      </c>
      <c r="N77" s="100">
        <v>43934</v>
      </c>
    </row>
    <row r="78" spans="2:14" x14ac:dyDescent="0.2">
      <c r="B78" t="s">
        <v>257</v>
      </c>
      <c r="C78" s="100">
        <v>-15010</v>
      </c>
      <c r="D78" s="100">
        <v>-20395</v>
      </c>
      <c r="E78" s="100">
        <v>-29141</v>
      </c>
      <c r="F78" s="100">
        <v>-23332</v>
      </c>
      <c r="G78" s="100">
        <v>-24924</v>
      </c>
      <c r="H78" s="100">
        <v>-21732</v>
      </c>
      <c r="I78" s="100">
        <v>-29964</v>
      </c>
      <c r="J78" s="100">
        <v>-35198</v>
      </c>
      <c r="K78" s="100">
        <v>-29847</v>
      </c>
      <c r="L78" s="100">
        <v>-29709</v>
      </c>
      <c r="M78" s="100">
        <v>-42816</v>
      </c>
      <c r="N78" s="100">
        <v>-62557</v>
      </c>
    </row>
    <row r="79" spans="2:14" x14ac:dyDescent="0.2">
      <c r="B79" t="s">
        <v>258</v>
      </c>
      <c r="C79" s="100">
        <v>-3374</v>
      </c>
      <c r="D79" s="100">
        <v>-4666</v>
      </c>
      <c r="E79" s="100">
        <v>-6171</v>
      </c>
      <c r="F79" s="100">
        <v>-6307</v>
      </c>
      <c r="G79" s="100">
        <v>-5716</v>
      </c>
      <c r="H79" s="100">
        <v>-5336</v>
      </c>
      <c r="I79" s="100">
        <v>-5411</v>
      </c>
      <c r="J79" s="100">
        <v>-7005</v>
      </c>
      <c r="K79" s="100">
        <v>-7518</v>
      </c>
      <c r="L79" s="100">
        <v>-8123</v>
      </c>
      <c r="M79" s="100">
        <v>-9251</v>
      </c>
      <c r="N79" s="100">
        <v>-9336</v>
      </c>
    </row>
    <row r="80" spans="2:14" x14ac:dyDescent="0.2">
      <c r="B80" t="s">
        <v>259</v>
      </c>
      <c r="C80" s="100">
        <v>-1503</v>
      </c>
      <c r="D80" s="100">
        <v>-1551</v>
      </c>
      <c r="E80" s="100">
        <v>-722</v>
      </c>
      <c r="F80" s="100">
        <v>-720</v>
      </c>
      <c r="G80" s="100">
        <v>-108</v>
      </c>
      <c r="H80" s="100">
        <v>-121</v>
      </c>
      <c r="I80" s="100">
        <v>-96</v>
      </c>
      <c r="J80" s="100">
        <v>-95</v>
      </c>
      <c r="K80" s="100">
        <v>-57</v>
      </c>
      <c r="L80" s="100">
        <v>-30</v>
      </c>
      <c r="M80" s="100">
        <v>-100</v>
      </c>
      <c r="N80" s="100">
        <v>-141</v>
      </c>
    </row>
    <row r="81" spans="2:14" x14ac:dyDescent="0.2">
      <c r="B81" t="s">
        <v>260</v>
      </c>
      <c r="C81" s="100">
        <v>0</v>
      </c>
      <c r="D81" s="100">
        <v>0</v>
      </c>
      <c r="E81" s="100">
        <v>0</v>
      </c>
      <c r="F81" s="100">
        <v>0</v>
      </c>
      <c r="G81" s="100">
        <v>0</v>
      </c>
      <c r="H81" s="100">
        <v>0</v>
      </c>
      <c r="I81" s="100">
        <v>0</v>
      </c>
      <c r="J81" s="100">
        <v>0</v>
      </c>
      <c r="K81" s="100">
        <v>-1346</v>
      </c>
      <c r="L81" s="100">
        <v>-1477</v>
      </c>
      <c r="M81" s="100">
        <v>-1559</v>
      </c>
      <c r="N81" s="100">
        <v>-1517</v>
      </c>
    </row>
    <row r="82" spans="2:14" x14ac:dyDescent="0.2">
      <c r="B82" t="s">
        <v>261</v>
      </c>
      <c r="C82" s="100">
        <v>-1147</v>
      </c>
      <c r="D82" s="100">
        <v>-2849</v>
      </c>
      <c r="E82" s="100">
        <v>-450</v>
      </c>
      <c r="F82" s="100">
        <v>-57</v>
      </c>
      <c r="G82" s="100">
        <v>0</v>
      </c>
      <c r="H82" s="100">
        <v>0</v>
      </c>
      <c r="I82" s="100">
        <v>0</v>
      </c>
      <c r="J82" s="100">
        <v>0</v>
      </c>
      <c r="K82" s="100">
        <v>-29</v>
      </c>
      <c r="L82" s="100">
        <v>0</v>
      </c>
      <c r="M82" s="100">
        <v>3750</v>
      </c>
      <c r="N82" s="100">
        <v>3355</v>
      </c>
    </row>
    <row r="83" spans="2:14" x14ac:dyDescent="0.2"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</row>
    <row r="84" spans="2:14" ht="16" thickBot="1" x14ac:dyDescent="0.25">
      <c r="B84" s="113" t="s">
        <v>50</v>
      </c>
      <c r="C84" s="118">
        <v>5488</v>
      </c>
      <c r="D84" s="118">
        <v>-2499</v>
      </c>
      <c r="E84" s="118">
        <v>4277</v>
      </c>
      <c r="F84" s="118">
        <v>4500</v>
      </c>
      <c r="G84" s="118">
        <v>-2589</v>
      </c>
      <c r="H84" s="118">
        <v>-3167</v>
      </c>
      <c r="I84" s="118">
        <v>730</v>
      </c>
      <c r="J84" s="118">
        <v>6843</v>
      </c>
      <c r="K84" s="118">
        <v>-3092</v>
      </c>
      <c r="L84" s="118">
        <v>13232</v>
      </c>
      <c r="M84" s="118">
        <v>6459</v>
      </c>
      <c r="N84" s="118">
        <v>-6272</v>
      </c>
    </row>
  </sheetData>
  <mergeCells count="2">
    <mergeCell ref="B2:N2"/>
    <mergeCell ref="B46:N46"/>
  </mergeCells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D58CD-55C0-A144-8D80-C7A1AD698CC3}">
  <dimension ref="B2:O9"/>
  <sheetViews>
    <sheetView zoomScale="150" zoomScaleNormal="150" workbookViewId="0">
      <selection activeCell="E8" sqref="E8"/>
    </sheetView>
  </sheetViews>
  <sheetFormatPr baseColWidth="10" defaultRowHeight="15" x14ac:dyDescent="0.2"/>
  <cols>
    <col min="3" max="3" width="14.33203125" bestFit="1" customWidth="1"/>
    <col min="5" max="5" width="14.6640625" bestFit="1" customWidth="1"/>
    <col min="6" max="6" width="14.6640625" customWidth="1"/>
    <col min="8" max="8" width="12.83203125" bestFit="1" customWidth="1"/>
    <col min="9" max="10" width="12.83203125" customWidth="1"/>
    <col min="12" max="12" width="13.1640625" bestFit="1" customWidth="1"/>
    <col min="13" max="13" width="13" bestFit="1" customWidth="1"/>
    <col min="14" max="14" width="13" customWidth="1"/>
    <col min="15" max="15" width="12.1640625" bestFit="1" customWidth="1"/>
  </cols>
  <sheetData>
    <row r="2" spans="2:15" x14ac:dyDescent="0.2">
      <c r="B2" t="s">
        <v>177</v>
      </c>
      <c r="C2" t="s">
        <v>178</v>
      </c>
      <c r="D2" t="s">
        <v>179</v>
      </c>
      <c r="E2" t="s">
        <v>307</v>
      </c>
      <c r="F2" t="s">
        <v>319</v>
      </c>
      <c r="G2" t="s">
        <v>181</v>
      </c>
      <c r="H2" t="s">
        <v>308</v>
      </c>
      <c r="I2" t="s">
        <v>300</v>
      </c>
      <c r="J2" t="s">
        <v>320</v>
      </c>
      <c r="K2" t="s">
        <v>309</v>
      </c>
      <c r="L2" t="s">
        <v>310</v>
      </c>
      <c r="M2" t="s">
        <v>311</v>
      </c>
      <c r="N2" t="s">
        <v>66</v>
      </c>
      <c r="O2" t="s">
        <v>312</v>
      </c>
    </row>
    <row r="3" spans="2:15" x14ac:dyDescent="0.2">
      <c r="B3">
        <v>1</v>
      </c>
      <c r="C3" t="s">
        <v>183</v>
      </c>
      <c r="D3" s="146">
        <v>813.15</v>
      </c>
      <c r="E3" s="146">
        <v>332.28</v>
      </c>
      <c r="F3" s="146">
        <f>E3*D3</f>
        <v>270193.48199999996</v>
      </c>
      <c r="G3" s="146">
        <v>127864.3</v>
      </c>
      <c r="H3" s="146">
        <v>37015.56</v>
      </c>
      <c r="I3" s="146">
        <f>G3-H3</f>
        <v>90848.74</v>
      </c>
      <c r="J3" s="146">
        <f>F3+G3-H3</f>
        <v>361042.22199999995</v>
      </c>
      <c r="K3" s="146">
        <v>401785.26</v>
      </c>
      <c r="L3" s="146">
        <v>30226.31</v>
      </c>
      <c r="M3" s="146">
        <v>26391.58</v>
      </c>
      <c r="N3" s="146">
        <f>L3+M3</f>
        <v>56617.89</v>
      </c>
      <c r="O3" s="146">
        <v>15671.92</v>
      </c>
    </row>
    <row r="4" spans="2:15" x14ac:dyDescent="0.2">
      <c r="B4">
        <v>2</v>
      </c>
      <c r="C4" t="s">
        <v>313</v>
      </c>
      <c r="D4" s="146">
        <v>176.25</v>
      </c>
      <c r="E4" s="146">
        <v>293.61</v>
      </c>
      <c r="F4" s="146">
        <f t="shared" ref="F4:F9" si="0">E4*D4</f>
        <v>51748.762500000004</v>
      </c>
      <c r="G4" s="146">
        <v>34391.620000000003</v>
      </c>
      <c r="H4" s="146">
        <v>2186.7199999999998</v>
      </c>
      <c r="I4" s="146">
        <f t="shared" ref="I4:I9" si="1">G4-H4</f>
        <v>32204.9</v>
      </c>
      <c r="J4" s="146">
        <f t="shared" ref="J4:J9" si="2">F4+G4-H4</f>
        <v>83953.662500000006</v>
      </c>
      <c r="K4" s="146">
        <v>44722.65</v>
      </c>
      <c r="L4" s="146">
        <v>5902.03</v>
      </c>
      <c r="M4" s="146">
        <v>932.68</v>
      </c>
      <c r="N4" s="146">
        <f t="shared" ref="N4:N9" si="3">L4+M4</f>
        <v>6834.71</v>
      </c>
      <c r="O4" s="146">
        <v>2307.7199999999998</v>
      </c>
    </row>
    <row r="5" spans="2:15" x14ac:dyDescent="0.2">
      <c r="B5">
        <v>3</v>
      </c>
      <c r="C5" t="s">
        <v>314</v>
      </c>
      <c r="D5" s="146">
        <v>541.25</v>
      </c>
      <c r="E5" s="146">
        <v>50.85</v>
      </c>
      <c r="F5" s="146">
        <f t="shared" si="0"/>
        <v>27522.5625</v>
      </c>
      <c r="G5" s="146">
        <v>121001.62</v>
      </c>
      <c r="H5" s="146">
        <v>46792.46</v>
      </c>
      <c r="I5" s="146">
        <f t="shared" si="1"/>
        <v>74209.16</v>
      </c>
      <c r="J5" s="146">
        <f t="shared" si="2"/>
        <v>101731.7225</v>
      </c>
      <c r="K5" s="146">
        <v>249794.75</v>
      </c>
      <c r="L5" s="146">
        <v>11383.91</v>
      </c>
      <c r="M5" s="146">
        <v>23548.71</v>
      </c>
      <c r="N5" s="146">
        <f t="shared" si="3"/>
        <v>34932.619999999995</v>
      </c>
      <c r="O5" s="146">
        <v>-13395.1</v>
      </c>
    </row>
    <row r="6" spans="2:15" x14ac:dyDescent="0.2">
      <c r="B6">
        <v>4</v>
      </c>
      <c r="C6" t="s">
        <v>315</v>
      </c>
      <c r="D6" s="146">
        <v>1771.65</v>
      </c>
      <c r="E6" s="146">
        <v>8.2100000000000009</v>
      </c>
      <c r="F6" s="146">
        <f t="shared" si="0"/>
        <v>14545.246500000003</v>
      </c>
      <c r="G6" s="146">
        <v>130.94</v>
      </c>
      <c r="H6" s="146">
        <v>167.22</v>
      </c>
      <c r="I6" s="146">
        <f t="shared" si="1"/>
        <v>-36.28</v>
      </c>
      <c r="J6" s="146">
        <f t="shared" si="2"/>
        <v>14508.966500000004</v>
      </c>
      <c r="K6" s="146">
        <v>1155.52</v>
      </c>
      <c r="L6" s="146">
        <v>140.13999999999999</v>
      </c>
      <c r="M6" s="146">
        <v>35.25</v>
      </c>
      <c r="N6" s="146">
        <f t="shared" si="3"/>
        <v>175.39</v>
      </c>
      <c r="O6" s="146">
        <v>79.459999999999994</v>
      </c>
    </row>
    <row r="7" spans="2:15" x14ac:dyDescent="0.2">
      <c r="B7">
        <v>5</v>
      </c>
      <c r="C7" t="s">
        <v>316</v>
      </c>
      <c r="D7" s="146">
        <v>3721</v>
      </c>
      <c r="E7" s="146">
        <v>1.32</v>
      </c>
      <c r="F7" s="146">
        <f t="shared" si="0"/>
        <v>4911.72</v>
      </c>
      <c r="G7" s="146">
        <v>727.83</v>
      </c>
      <c r="H7" s="146">
        <v>141.34</v>
      </c>
      <c r="I7" s="146">
        <f t="shared" si="1"/>
        <v>586.49</v>
      </c>
      <c r="J7" s="146">
        <f t="shared" si="2"/>
        <v>5498.21</v>
      </c>
      <c r="K7" s="146">
        <v>6083.34</v>
      </c>
      <c r="L7" s="146">
        <v>380.11</v>
      </c>
      <c r="M7" s="146">
        <v>253.34</v>
      </c>
      <c r="N7" s="146">
        <f t="shared" si="3"/>
        <v>633.45000000000005</v>
      </c>
      <c r="O7" s="146">
        <v>293.52999999999997</v>
      </c>
    </row>
    <row r="8" spans="2:15" x14ac:dyDescent="0.2">
      <c r="B8">
        <v>6</v>
      </c>
      <c r="C8" t="s">
        <v>317</v>
      </c>
      <c r="D8" s="146">
        <v>1338.9</v>
      </c>
      <c r="E8" s="146">
        <v>1.45</v>
      </c>
      <c r="F8" s="146">
        <f t="shared" si="0"/>
        <v>1941.405</v>
      </c>
      <c r="G8" s="146">
        <v>255.07</v>
      </c>
      <c r="H8" s="146">
        <v>5.84</v>
      </c>
      <c r="I8" s="146">
        <f t="shared" si="1"/>
        <v>249.23</v>
      </c>
      <c r="J8" s="146">
        <f t="shared" si="2"/>
        <v>2190.6349999999998</v>
      </c>
      <c r="K8" s="146">
        <v>2041.17</v>
      </c>
      <c r="L8" s="146">
        <v>105.27</v>
      </c>
      <c r="M8" s="146">
        <v>44.45</v>
      </c>
      <c r="N8" s="146">
        <f t="shared" si="3"/>
        <v>149.72</v>
      </c>
      <c r="O8" s="146">
        <v>79.540000000000006</v>
      </c>
    </row>
    <row r="9" spans="2:15" x14ac:dyDescent="0.2">
      <c r="C9" t="s">
        <v>318</v>
      </c>
      <c r="D9" s="146">
        <v>1076.03</v>
      </c>
      <c r="E9" s="146">
        <v>29.53</v>
      </c>
      <c r="F9" s="146">
        <f t="shared" si="0"/>
        <v>31775.1659</v>
      </c>
      <c r="G9" s="146">
        <v>17559.73</v>
      </c>
      <c r="H9" s="146">
        <v>1176.97</v>
      </c>
      <c r="I9" s="146">
        <f t="shared" si="1"/>
        <v>16382.76</v>
      </c>
      <c r="J9" s="146">
        <f t="shared" si="2"/>
        <v>48157.925900000002</v>
      </c>
      <c r="K9" s="146">
        <v>25403</v>
      </c>
      <c r="L9" s="146">
        <v>3141.07</v>
      </c>
      <c r="M9" s="146">
        <v>593.01</v>
      </c>
      <c r="N9" s="146">
        <f t="shared" si="3"/>
        <v>3734.08</v>
      </c>
      <c r="O9" s="146">
        <v>186.53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</vt:i4>
      </vt:variant>
    </vt:vector>
  </HeadingPairs>
  <TitlesOfParts>
    <vt:vector size="19" baseType="lpstr">
      <vt:lpstr>Financials&gt;</vt:lpstr>
      <vt:lpstr>HistoricalFS</vt:lpstr>
      <vt:lpstr>Ratio Analysis</vt:lpstr>
      <vt:lpstr>Forecasting</vt:lpstr>
      <vt:lpstr>Common Size Statement</vt:lpstr>
      <vt:lpstr>DCF&gt;</vt:lpstr>
      <vt:lpstr>WACC</vt:lpstr>
      <vt:lpstr>Intrinsic Growth</vt:lpstr>
      <vt:lpstr>DCF</vt:lpstr>
      <vt:lpstr>Relative Valuation&gt;</vt:lpstr>
      <vt:lpstr>Comps Val</vt:lpstr>
      <vt:lpstr>Football Field</vt:lpstr>
      <vt:lpstr>Data&gt;</vt:lpstr>
      <vt:lpstr>Data Sheet</vt:lpstr>
      <vt:lpstr>Beta Comps</vt:lpstr>
      <vt:lpstr>Rm</vt:lpstr>
      <vt:lpstr>Raw FS</vt:lpstr>
      <vt:lpstr>Comps Val Data</vt:lpstr>
      <vt:lpstr>'Comps Val'!Print_Area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 Verma</dc:creator>
  <cp:lastModifiedBy>Priyanshu Verma</cp:lastModifiedBy>
  <dcterms:created xsi:type="dcterms:W3CDTF">2023-11-10T06:06:06Z</dcterms:created>
  <dcterms:modified xsi:type="dcterms:W3CDTF">2024-01-12T16:43:06Z</dcterms:modified>
</cp:coreProperties>
</file>