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D:\Project\EQC_NEW\TemplateFile\"/>
    </mc:Choice>
  </mc:AlternateContent>
  <xr:revisionPtr revIDLastSave="0" documentId="13_ncr:1_{2207C01B-6B75-4E2E-8627-94FDBD1316DD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總表" sheetId="1" r:id="rId1"/>
    <sheet name="上週總表" sheetId="2" state="hidden" r:id="rId2"/>
    <sheet name="上週總表0831" sheetId="3" state="hidden" r:id="rId3"/>
    <sheet name="明細表" sheetId="4" r:id="rId4"/>
    <sheet name="1002(備份)" sheetId="5" state="hidden" r:id="rId5"/>
    <sheet name="上週明細" sheetId="6" state="hidden" r:id="rId6"/>
    <sheet name="111明細表" sheetId="8" state="hidden" r:id="rId7"/>
    <sheet name="表格1" sheetId="9" r:id="rId8"/>
    <sheet name="附件1" sheetId="10" r:id="rId9"/>
    <sheet name="表格2" sheetId="11" r:id="rId10"/>
  </sheets>
  <definedNames>
    <definedName name="_xlnm._FilterDatabase" localSheetId="4" hidden="1">'1002(備份)'!$B$2:$Y$105</definedName>
    <definedName name="_xlnm._FilterDatabase" localSheetId="6" hidden="1">'111明細表'!$B$2:$X$178</definedName>
    <definedName name="_xlnm._FilterDatabase" localSheetId="5" hidden="1">上週明細!$B$2:$Y$105</definedName>
    <definedName name="_xlnm._FilterDatabase" localSheetId="3" hidden="1">明細表!$B$1:$U$3</definedName>
    <definedName name="_xlnm.Print_Area" localSheetId="3">明細表!#REF!</definedName>
    <definedName name="_xlnm.Print_Titles" localSheetId="3">明細表!#REF!</definedName>
    <definedName name="Z_CB50F483_792C_481B_9672_E3D9F6303870_.wvu.FilterData" localSheetId="6" hidden="1">'111明細表'!$B$2:$X$178</definedName>
  </definedNames>
  <calcPr calcId="191029"/>
  <customWorkbookViews>
    <customWorkbookView name="篩選器 1" guid="{CB50F483-792C-481B-9672-E3D9F6303870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1" l="1"/>
  <c r="L4" i="11"/>
  <c r="K5" i="11"/>
  <c r="K6" i="11"/>
  <c r="K8" i="11"/>
  <c r="K9" i="11"/>
  <c r="J10" i="11"/>
  <c r="K10" i="11"/>
  <c r="K11" i="11"/>
  <c r="K12" i="11"/>
  <c r="I13" i="11"/>
  <c r="K13" i="11"/>
  <c r="J14" i="11"/>
  <c r="K14" i="11"/>
  <c r="K15" i="11"/>
  <c r="K16" i="11"/>
  <c r="O17" i="11"/>
  <c r="B17" i="11"/>
  <c r="R16" i="11"/>
  <c r="Q16" i="11"/>
  <c r="P16" i="11"/>
  <c r="O16" i="11"/>
  <c r="E16" i="11"/>
  <c r="D16" i="11"/>
  <c r="C16" i="11"/>
  <c r="H16" i="11" s="1"/>
  <c r="B16" i="11"/>
  <c r="R15" i="11"/>
  <c r="Q15" i="11"/>
  <c r="P15" i="11"/>
  <c r="O15" i="11"/>
  <c r="E15" i="11"/>
  <c r="D15" i="11"/>
  <c r="C15" i="11"/>
  <c r="B15" i="11"/>
  <c r="R14" i="11"/>
  <c r="Q14" i="11"/>
  <c r="P14" i="11"/>
  <c r="O14" i="11"/>
  <c r="E14" i="11"/>
  <c r="D14" i="11"/>
  <c r="C14" i="11"/>
  <c r="H14" i="11" s="1"/>
  <c r="B14" i="11"/>
  <c r="R13" i="11"/>
  <c r="Q13" i="11"/>
  <c r="P13" i="11"/>
  <c r="O13" i="11"/>
  <c r="E13" i="11"/>
  <c r="D13" i="11"/>
  <c r="C13" i="11"/>
  <c r="B13" i="11"/>
  <c r="R12" i="11"/>
  <c r="Q12" i="11"/>
  <c r="P12" i="11"/>
  <c r="O12" i="11"/>
  <c r="E12" i="11"/>
  <c r="D12" i="11"/>
  <c r="C12" i="11"/>
  <c r="H12" i="11" s="1"/>
  <c r="B12" i="11"/>
  <c r="R11" i="11"/>
  <c r="Q11" i="11"/>
  <c r="P11" i="11"/>
  <c r="O11" i="11"/>
  <c r="E11" i="11"/>
  <c r="D11" i="11"/>
  <c r="C11" i="11"/>
  <c r="B11" i="11"/>
  <c r="R10" i="11"/>
  <c r="Q10" i="11"/>
  <c r="P10" i="11"/>
  <c r="O10" i="11"/>
  <c r="E10" i="11"/>
  <c r="D10" i="11"/>
  <c r="C10" i="11"/>
  <c r="H10" i="11" s="1"/>
  <c r="B10" i="11"/>
  <c r="R9" i="11"/>
  <c r="Q9" i="11"/>
  <c r="P9" i="11"/>
  <c r="O9" i="11"/>
  <c r="E9" i="11"/>
  <c r="D9" i="11"/>
  <c r="C9" i="11"/>
  <c r="B9" i="11"/>
  <c r="R8" i="11"/>
  <c r="Q8" i="11"/>
  <c r="P8" i="11"/>
  <c r="O8" i="11"/>
  <c r="E8" i="11"/>
  <c r="D8" i="11"/>
  <c r="C8" i="11"/>
  <c r="H8" i="11" s="1"/>
  <c r="B8" i="11"/>
  <c r="R7" i="11"/>
  <c r="Q7" i="11"/>
  <c r="P7" i="11"/>
  <c r="O7" i="11"/>
  <c r="E7" i="11"/>
  <c r="D7" i="11"/>
  <c r="C7" i="11"/>
  <c r="B7" i="11"/>
  <c r="R6" i="11"/>
  <c r="Q6" i="11"/>
  <c r="P6" i="11"/>
  <c r="O6" i="11"/>
  <c r="E6" i="11"/>
  <c r="D6" i="11"/>
  <c r="C6" i="11"/>
  <c r="H6" i="11" s="1"/>
  <c r="B6" i="11"/>
  <c r="R5" i="11"/>
  <c r="Q5" i="11"/>
  <c r="P5" i="11"/>
  <c r="O5" i="11"/>
  <c r="E5" i="11"/>
  <c r="D5" i="11"/>
  <c r="C5" i="11"/>
  <c r="B5" i="11"/>
  <c r="R4" i="11"/>
  <c r="Q4" i="11"/>
  <c r="P4" i="11"/>
  <c r="O4" i="11"/>
  <c r="E4" i="11"/>
  <c r="D4" i="11"/>
  <c r="C4" i="11"/>
  <c r="B4" i="11"/>
  <c r="R3" i="11"/>
  <c r="Q3" i="11"/>
  <c r="Q17" i="11" s="1"/>
  <c r="P3" i="11"/>
  <c r="O3" i="11"/>
  <c r="E3" i="11"/>
  <c r="D3" i="11"/>
  <c r="D17" i="11" s="1"/>
  <c r="C3" i="11"/>
  <c r="B3" i="11"/>
  <c r="D17" i="10"/>
  <c r="B17" i="10"/>
  <c r="L16" i="10"/>
  <c r="G16" i="10"/>
  <c r="F16" i="10"/>
  <c r="E16" i="10"/>
  <c r="J16" i="10" s="1"/>
  <c r="D16" i="10"/>
  <c r="B16" i="10"/>
  <c r="L15" i="10"/>
  <c r="G15" i="10"/>
  <c r="F15" i="10"/>
  <c r="E15" i="10"/>
  <c r="J15" i="10" s="1"/>
  <c r="D15" i="10"/>
  <c r="B15" i="10"/>
  <c r="L14" i="10"/>
  <c r="G14" i="10"/>
  <c r="F14" i="10"/>
  <c r="E14" i="10"/>
  <c r="J14" i="10" s="1"/>
  <c r="D14" i="10"/>
  <c r="B14" i="10"/>
  <c r="L13" i="10"/>
  <c r="G13" i="10"/>
  <c r="F13" i="10"/>
  <c r="E13" i="10"/>
  <c r="J13" i="10" s="1"/>
  <c r="D13" i="10"/>
  <c r="B13" i="10"/>
  <c r="L12" i="10"/>
  <c r="G12" i="10"/>
  <c r="F12" i="10"/>
  <c r="E12" i="10"/>
  <c r="J12" i="10" s="1"/>
  <c r="D12" i="10"/>
  <c r="B12" i="10"/>
  <c r="L11" i="10"/>
  <c r="G11" i="10"/>
  <c r="F11" i="10"/>
  <c r="E11" i="10"/>
  <c r="J11" i="10" s="1"/>
  <c r="D11" i="10"/>
  <c r="B11" i="10"/>
  <c r="L10" i="10"/>
  <c r="G10" i="10"/>
  <c r="F10" i="10"/>
  <c r="E10" i="10"/>
  <c r="J10" i="10" s="1"/>
  <c r="D10" i="10"/>
  <c r="B10" i="10"/>
  <c r="L9" i="10"/>
  <c r="G9" i="10"/>
  <c r="F9" i="10"/>
  <c r="E9" i="10"/>
  <c r="J9" i="10" s="1"/>
  <c r="D9" i="10"/>
  <c r="B9" i="10"/>
  <c r="L8" i="10"/>
  <c r="G8" i="10"/>
  <c r="F8" i="10"/>
  <c r="E8" i="10"/>
  <c r="J8" i="10" s="1"/>
  <c r="D8" i="10"/>
  <c r="B8" i="10"/>
  <c r="L7" i="10"/>
  <c r="G7" i="10"/>
  <c r="F7" i="10"/>
  <c r="E7" i="10"/>
  <c r="J7" i="10" s="1"/>
  <c r="D7" i="10"/>
  <c r="B7" i="10"/>
  <c r="L6" i="10"/>
  <c r="G6" i="10"/>
  <c r="F6" i="10"/>
  <c r="E6" i="10"/>
  <c r="J6" i="10" s="1"/>
  <c r="D6" i="10"/>
  <c r="B6" i="10"/>
  <c r="L5" i="10"/>
  <c r="G5" i="10"/>
  <c r="F5" i="10"/>
  <c r="E5" i="10"/>
  <c r="J5" i="10" s="1"/>
  <c r="D5" i="10"/>
  <c r="B5" i="10"/>
  <c r="L4" i="10"/>
  <c r="G4" i="10"/>
  <c r="F4" i="10"/>
  <c r="E4" i="10"/>
  <c r="J4" i="10" s="1"/>
  <c r="D4" i="10"/>
  <c r="B4" i="10"/>
  <c r="L3" i="10"/>
  <c r="G3" i="10"/>
  <c r="F3" i="10"/>
  <c r="E3" i="10"/>
  <c r="D3" i="10"/>
  <c r="B3" i="10"/>
  <c r="F21" i="9"/>
  <c r="E21" i="9"/>
  <c r="D21" i="9"/>
  <c r="F18" i="9"/>
  <c r="F17" i="9"/>
  <c r="G16" i="9"/>
  <c r="F16" i="9"/>
  <c r="G15" i="9"/>
  <c r="F15" i="9"/>
  <c r="F14" i="9"/>
  <c r="B13" i="9"/>
  <c r="F8" i="9"/>
  <c r="F7" i="9"/>
  <c r="C7" i="9"/>
  <c r="F6" i="9"/>
  <c r="C6" i="9"/>
  <c r="L5" i="9"/>
  <c r="K5" i="9"/>
  <c r="G5" i="9"/>
  <c r="F5" i="9"/>
  <c r="C5" i="9"/>
  <c r="F4" i="9"/>
  <c r="C4" i="9"/>
  <c r="G125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Z105" i="6"/>
  <c r="Z104" i="6"/>
  <c r="Z103" i="6"/>
  <c r="Z102" i="6"/>
  <c r="Z101" i="6"/>
  <c r="Z100" i="6"/>
  <c r="Z99" i="6"/>
  <c r="Z98" i="6"/>
  <c r="Z97" i="6"/>
  <c r="Z96" i="6"/>
  <c r="Z95" i="6"/>
  <c r="Z94" i="6"/>
  <c r="Z93" i="6"/>
  <c r="Z92" i="6"/>
  <c r="Z91" i="6"/>
  <c r="Z90" i="6"/>
  <c r="Z89" i="6"/>
  <c r="Z88" i="6"/>
  <c r="Z87" i="6"/>
  <c r="Z86" i="6"/>
  <c r="Z85" i="6"/>
  <c r="Z84" i="6"/>
  <c r="Z83" i="6"/>
  <c r="Z82" i="6"/>
  <c r="Z81" i="6"/>
  <c r="Z80" i="6"/>
  <c r="Z79" i="6"/>
  <c r="Z78" i="6"/>
  <c r="Z77" i="6"/>
  <c r="Z76" i="6"/>
  <c r="Z75" i="6"/>
  <c r="Z74" i="6"/>
  <c r="Z73" i="6"/>
  <c r="Z72" i="6"/>
  <c r="Z71" i="6"/>
  <c r="Z70" i="6"/>
  <c r="Z69" i="6"/>
  <c r="Z68" i="6"/>
  <c r="Z67" i="6"/>
  <c r="Z65" i="6"/>
  <c r="Z64" i="6"/>
  <c r="Z63" i="6"/>
  <c r="Z62" i="6"/>
  <c r="Z61" i="6"/>
  <c r="Z60" i="6"/>
  <c r="Z59" i="6"/>
  <c r="Z58" i="6"/>
  <c r="Z57" i="6"/>
  <c r="Z56" i="6"/>
  <c r="Z55" i="6"/>
  <c r="Z54" i="6"/>
  <c r="Z53" i="6"/>
  <c r="Z52" i="6"/>
  <c r="Z51" i="6"/>
  <c r="Z50" i="6"/>
  <c r="Z49" i="6"/>
  <c r="Z48" i="6"/>
  <c r="Z47" i="6"/>
  <c r="Z46" i="6"/>
  <c r="Z45" i="6"/>
  <c r="Z44" i="6"/>
  <c r="Z43" i="6"/>
  <c r="Z42" i="6"/>
  <c r="Z41" i="6"/>
  <c r="Z40" i="6"/>
  <c r="Z39" i="6"/>
  <c r="Z38" i="6"/>
  <c r="Z37" i="6"/>
  <c r="Z36" i="6"/>
  <c r="Z35" i="6"/>
  <c r="Z34" i="6"/>
  <c r="Z33" i="6"/>
  <c r="Z32" i="6"/>
  <c r="Z31" i="6"/>
  <c r="Z30" i="6"/>
  <c r="Z29" i="6"/>
  <c r="Z28" i="6"/>
  <c r="Z27" i="6"/>
  <c r="Z26" i="6"/>
  <c r="Z25" i="6"/>
  <c r="Z24" i="6"/>
  <c r="Z23" i="6"/>
  <c r="Z22" i="6"/>
  <c r="Z21" i="6"/>
  <c r="Z20" i="6"/>
  <c r="Z19" i="6"/>
  <c r="Z18" i="6"/>
  <c r="Z17" i="6"/>
  <c r="Z16" i="6"/>
  <c r="Z15" i="6"/>
  <c r="Z14" i="6"/>
  <c r="Z13" i="6"/>
  <c r="Z12" i="6"/>
  <c r="Z11" i="6"/>
  <c r="Z10" i="6"/>
  <c r="Z9" i="6"/>
  <c r="Z8" i="6"/>
  <c r="Z7" i="6"/>
  <c r="Z6" i="6"/>
  <c r="Z5" i="6"/>
  <c r="Z4" i="6"/>
  <c r="Z3" i="6"/>
  <c r="H1" i="6"/>
  <c r="G1" i="6"/>
  <c r="Z105" i="5"/>
  <c r="Z104" i="5"/>
  <c r="Z103" i="5"/>
  <c r="Z102" i="5"/>
  <c r="Z101" i="5"/>
  <c r="Z100" i="5"/>
  <c r="Z99" i="5"/>
  <c r="Z98" i="5"/>
  <c r="Z97" i="5"/>
  <c r="Z96" i="5"/>
  <c r="Z95" i="5"/>
  <c r="Z94" i="5"/>
  <c r="Z93" i="5"/>
  <c r="Z92" i="5"/>
  <c r="Z91" i="5"/>
  <c r="Z90" i="5"/>
  <c r="Z89" i="5"/>
  <c r="Z88" i="5"/>
  <c r="Z87" i="5"/>
  <c r="Z86" i="5"/>
  <c r="Z85" i="5"/>
  <c r="Z84" i="5"/>
  <c r="Z83" i="5"/>
  <c r="Z82" i="5"/>
  <c r="Z81" i="5"/>
  <c r="Z80" i="5"/>
  <c r="Z79" i="5"/>
  <c r="Z78" i="5"/>
  <c r="Z77" i="5"/>
  <c r="Z66" i="5"/>
  <c r="Z65" i="5"/>
  <c r="Z64" i="5"/>
  <c r="Z63" i="5"/>
  <c r="Z62" i="5"/>
  <c r="Z61" i="5"/>
  <c r="Z60" i="5"/>
  <c r="Z59" i="5"/>
  <c r="Z58" i="5"/>
  <c r="Z57" i="5"/>
  <c r="Z56" i="5"/>
  <c r="Z55" i="5"/>
  <c r="Z54" i="5"/>
  <c r="Z53" i="5"/>
  <c r="Z52" i="5"/>
  <c r="Z51" i="5"/>
  <c r="Z50" i="5"/>
  <c r="Z49" i="5"/>
  <c r="Z48" i="5"/>
  <c r="Z47" i="5"/>
  <c r="Z46" i="5"/>
  <c r="Z45" i="5"/>
  <c r="Z44" i="5"/>
  <c r="Z43" i="5"/>
  <c r="Z42" i="5"/>
  <c r="Z41" i="5"/>
  <c r="Z40" i="5"/>
  <c r="Z39" i="5"/>
  <c r="Z38" i="5"/>
  <c r="Z37" i="5"/>
  <c r="Z36" i="5"/>
  <c r="Z35" i="5"/>
  <c r="Z34" i="5"/>
  <c r="Z33" i="5"/>
  <c r="Z32" i="5"/>
  <c r="Z31" i="5"/>
  <c r="Z30" i="5"/>
  <c r="Z29" i="5"/>
  <c r="Z28" i="5"/>
  <c r="Z27" i="5"/>
  <c r="Z26" i="5"/>
  <c r="Z25" i="5"/>
  <c r="Z24" i="5"/>
  <c r="Z23" i="5"/>
  <c r="Z22" i="5"/>
  <c r="Z21" i="5"/>
  <c r="Z20" i="5"/>
  <c r="Z19" i="5"/>
  <c r="Z18" i="5"/>
  <c r="Z17" i="5"/>
  <c r="Z16" i="5"/>
  <c r="Z15" i="5"/>
  <c r="Z14" i="5"/>
  <c r="Z13" i="5"/>
  <c r="Z12" i="5"/>
  <c r="Z11" i="5"/>
  <c r="Z10" i="5"/>
  <c r="Z9" i="5"/>
  <c r="Z8" i="5"/>
  <c r="Z7" i="5"/>
  <c r="Z6" i="5"/>
  <c r="Z5" i="5"/>
  <c r="Z4" i="5"/>
  <c r="Z3" i="5"/>
  <c r="W1" i="5"/>
  <c r="J16" i="11"/>
  <c r="I16" i="11"/>
  <c r="J15" i="11"/>
  <c r="I15" i="11"/>
  <c r="I14" i="11"/>
  <c r="J13" i="11"/>
  <c r="J12" i="11"/>
  <c r="I12" i="11"/>
  <c r="J11" i="11"/>
  <c r="I11" i="11"/>
  <c r="J9" i="11"/>
  <c r="I9" i="11"/>
  <c r="J8" i="11"/>
  <c r="I8" i="11"/>
  <c r="K7" i="11"/>
  <c r="J7" i="11"/>
  <c r="I7" i="11"/>
  <c r="J6" i="11"/>
  <c r="I6" i="11"/>
  <c r="J5" i="11"/>
  <c r="I5" i="11"/>
  <c r="J4" i="11"/>
  <c r="I4" i="11"/>
  <c r="J3" i="11"/>
  <c r="I3" i="11"/>
  <c r="H5" i="9" l="1"/>
  <c r="I5" i="9" s="1"/>
  <c r="F17" i="10"/>
  <c r="K4" i="10"/>
  <c r="K12" i="10"/>
  <c r="K6" i="10"/>
  <c r="H5" i="11"/>
  <c r="H7" i="11"/>
  <c r="H9" i="11"/>
  <c r="H11" i="11"/>
  <c r="H13" i="11"/>
  <c r="H15" i="11"/>
  <c r="K13" i="10"/>
  <c r="K3" i="10"/>
  <c r="K11" i="10"/>
  <c r="K16" i="10"/>
  <c r="K5" i="10"/>
  <c r="K9" i="10"/>
  <c r="K14" i="10"/>
  <c r="K8" i="10"/>
  <c r="K15" i="10"/>
  <c r="K10" i="10"/>
  <c r="K7" i="10"/>
  <c r="L6" i="11"/>
  <c r="L10" i="11"/>
  <c r="P17" i="11"/>
  <c r="M4" i="11"/>
  <c r="F22" i="9"/>
  <c r="H4" i="11"/>
  <c r="E17" i="10"/>
  <c r="J17" i="10" s="1"/>
  <c r="E17" i="11"/>
  <c r="M7" i="11"/>
  <c r="M8" i="11"/>
  <c r="M9" i="11"/>
  <c r="M3" i="11"/>
  <c r="M10" i="11"/>
  <c r="M11" i="11"/>
  <c r="M12" i="11"/>
  <c r="M13" i="11"/>
  <c r="M14" i="11"/>
  <c r="M15" i="11"/>
  <c r="M16" i="11"/>
  <c r="G14" i="9"/>
  <c r="E5" i="9"/>
  <c r="E7" i="9" s="1"/>
  <c r="L8" i="11"/>
  <c r="L9" i="11"/>
  <c r="J3" i="10"/>
  <c r="G7" i="9"/>
  <c r="H7" i="9" s="1"/>
  <c r="H17" i="9" s="1"/>
  <c r="L17" i="11"/>
  <c r="L17" i="10"/>
  <c r="O16" i="10" s="1"/>
  <c r="R17" i="11"/>
  <c r="H3" i="11"/>
  <c r="M5" i="11"/>
  <c r="E14" i="9"/>
  <c r="L12" i="11"/>
  <c r="L14" i="11"/>
  <c r="L16" i="11"/>
  <c r="M6" i="11"/>
  <c r="I10" i="11"/>
  <c r="G17" i="10"/>
  <c r="C17" i="11"/>
  <c r="H21" i="9"/>
  <c r="J17" i="11"/>
  <c r="K3" i="11"/>
  <c r="E4" i="9"/>
  <c r="K7" i="9"/>
  <c r="H15" i="9" s="1"/>
  <c r="K17" i="10" l="1"/>
  <c r="M17" i="11"/>
  <c r="L15" i="11"/>
  <c r="E15" i="9"/>
  <c r="L7" i="11"/>
  <c r="L13" i="11"/>
  <c r="O17" i="10"/>
  <c r="L11" i="11"/>
  <c r="I7" i="9"/>
  <c r="G17" i="9"/>
  <c r="G18" i="9"/>
  <c r="E17" i="9"/>
  <c r="G4" i="9"/>
  <c r="H4" i="9" s="1"/>
  <c r="H17" i="11"/>
  <c r="L3" i="11"/>
  <c r="G6" i="9"/>
  <c r="H6" i="9" s="1"/>
  <c r="I6" i="9" s="1"/>
  <c r="L5" i="11"/>
  <c r="E6" i="9"/>
  <c r="E16" i="9" s="1"/>
  <c r="H14" i="9" l="1"/>
  <c r="H18" i="9"/>
  <c r="G8" i="9"/>
  <c r="H8" i="9" s="1"/>
  <c r="K17" i="11"/>
  <c r="I17" i="11"/>
  <c r="H16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8" authorId="0" shapeId="0" xr:uid="{00000000-0006-0000-0400-000001000000}">
      <text>
        <r>
          <rPr>
            <sz val="10"/>
            <color rgb="FF000000"/>
            <rFont val="Arial"/>
            <family val="2"/>
            <scheme val="minor"/>
          </rPr>
          <t>數據疑似異常</t>
        </r>
      </text>
    </comment>
    <comment ref="F13" authorId="0" shapeId="0" xr:uid="{00000000-0006-0000-0400-000002000000}">
      <text>
        <r>
          <rPr>
            <sz val="10"/>
            <color rgb="FF000000"/>
            <rFont val="Arial"/>
            <family val="2"/>
            <scheme val="minor"/>
          </rPr>
          <t>尚未核定  先 x 0.7 計算</t>
        </r>
      </text>
    </comment>
    <comment ref="K14" authorId="0" shapeId="0" xr:uid="{00000000-0006-0000-0400-000003000000}">
      <text>
        <r>
          <rPr>
            <sz val="10"/>
            <color rgb="FF000000"/>
            <rFont val="Arial"/>
            <family val="2"/>
            <scheme val="minor"/>
          </rPr>
          <t>光臘樹/33
 相思樹/78</t>
        </r>
      </text>
    </comment>
    <comment ref="L14" authorId="0" shapeId="0" xr:uid="{00000000-0006-0000-0400-000004000000}">
      <text>
        <r>
          <rPr>
            <sz val="10"/>
            <color rgb="FF000000"/>
            <rFont val="Arial"/>
            <family val="2"/>
            <scheme val="minor"/>
          </rPr>
          <t>穗花木籃/19448</t>
        </r>
      </text>
    </comment>
    <comment ref="K15" authorId="0" shapeId="0" xr:uid="{00000000-0006-0000-0400-000005000000}">
      <text>
        <r>
          <rPr>
            <sz val="10"/>
            <color rgb="FF000000"/>
            <rFont val="Arial"/>
            <family val="2"/>
            <scheme val="minor"/>
          </rPr>
          <t>相思樹/32
 黃花風鈴木/16
 黃槿/15</t>
        </r>
      </text>
    </comment>
    <comment ref="D19" authorId="0" shapeId="0" xr:uid="{00000000-0006-0000-0400-000006000000}">
      <text>
        <r>
          <rPr>
            <sz val="10"/>
            <color rgb="FF000000"/>
            <rFont val="Arial"/>
            <family val="2"/>
            <scheme val="minor"/>
          </rPr>
          <t>為發包經費
核定經費95,000</t>
        </r>
      </text>
    </comment>
    <comment ref="D22" authorId="0" shapeId="0" xr:uid="{00000000-0006-0000-0400-000007000000}">
      <text>
        <r>
          <rPr>
            <sz val="10"/>
            <color rgb="FF000000"/>
            <rFont val="Arial"/>
            <family val="2"/>
            <scheme val="minor"/>
          </rPr>
          <t>為發包經費
核定經費30,000</t>
        </r>
      </text>
    </comment>
    <comment ref="F22" authorId="0" shapeId="0" xr:uid="{00000000-0006-0000-0400-000008000000}">
      <text>
        <r>
          <rPr>
            <sz val="10"/>
            <color rgb="FF000000"/>
            <rFont val="Arial"/>
            <family val="2"/>
            <scheme val="minor"/>
          </rPr>
          <t xml:space="preserve">先以2549*0.7計
</t>
        </r>
      </text>
    </comment>
    <comment ref="K35" authorId="0" shapeId="0" xr:uid="{00000000-0006-0000-0400-000009000000}">
      <text>
        <r>
          <rPr>
            <sz val="10"/>
            <color rgb="FF000000"/>
            <rFont val="Arial"/>
            <family val="2"/>
            <scheme val="minor"/>
          </rPr>
          <t>欒樹/200株</t>
        </r>
      </text>
    </comment>
    <comment ref="L35" authorId="0" shapeId="0" xr:uid="{00000000-0006-0000-0400-00000A000000}">
      <text>
        <r>
          <rPr>
            <sz val="10"/>
            <color rgb="FF000000"/>
            <rFont val="Arial"/>
            <family val="2"/>
            <scheme val="minor"/>
          </rPr>
          <t>七里香/135株</t>
        </r>
      </text>
    </comment>
    <comment ref="F46" authorId="0" shapeId="0" xr:uid="{00000000-0006-0000-0400-00000B000000}">
      <text>
        <r>
          <rPr>
            <sz val="10"/>
            <color rgb="FF000000"/>
            <rFont val="Arial"/>
            <family val="2"/>
            <scheme val="minor"/>
          </rPr>
          <t>尚未提報核定，先以 x 0.7 計算</t>
        </r>
      </text>
    </comment>
    <comment ref="F47" authorId="0" shapeId="0" xr:uid="{00000000-0006-0000-0400-00000C000000}">
      <text>
        <r>
          <rPr>
            <sz val="10"/>
            <color rgb="FF000000"/>
            <rFont val="Arial"/>
            <family val="2"/>
            <scheme val="minor"/>
          </rPr>
          <t>尚未提報核定，先以 x 0.7 計算</t>
        </r>
      </text>
    </comment>
    <comment ref="F48" authorId="0" shapeId="0" xr:uid="{00000000-0006-0000-0400-00000D000000}">
      <text>
        <r>
          <rPr>
            <sz val="10"/>
            <color rgb="FF000000"/>
            <rFont val="Arial"/>
            <family val="2"/>
            <scheme val="minor"/>
          </rPr>
          <t>尚未提報核定，先以 x 0.7 計算</t>
        </r>
      </text>
    </comment>
    <comment ref="F49" authorId="0" shapeId="0" xr:uid="{00000000-0006-0000-0400-00000E000000}">
      <text>
        <r>
          <rPr>
            <sz val="10"/>
            <color rgb="FF000000"/>
            <rFont val="Arial"/>
            <family val="2"/>
            <scheme val="minor"/>
          </rPr>
          <t>依據水利署112年6月9日經水河字第11216067760號函辦理，已函文水利署修正碳排量。</t>
        </r>
      </text>
    </comment>
    <comment ref="F50" authorId="0" shapeId="0" xr:uid="{00000000-0006-0000-0400-00000F000000}">
      <text>
        <r>
          <rPr>
            <sz val="10"/>
            <color rgb="FF000000"/>
            <rFont val="Arial"/>
            <family val="2"/>
            <scheme val="minor"/>
          </rPr>
          <t>依據水利署112年6月9日經水河字第11216067760號函辦理，已函文水利署修正碳排量。</t>
        </r>
      </text>
    </comment>
    <comment ref="F51" authorId="0" shapeId="0" xr:uid="{00000000-0006-0000-0400-000010000000}">
      <text>
        <r>
          <rPr>
            <sz val="10"/>
            <color rgb="FF000000"/>
            <rFont val="Arial"/>
            <family val="2"/>
            <scheme val="minor"/>
          </rPr>
          <t>依據水利署112年6月9日經水河字第11216067760號函辦理，已函文水利署修正碳排量。</t>
        </r>
      </text>
    </comment>
    <comment ref="F52" authorId="0" shapeId="0" xr:uid="{00000000-0006-0000-0400-000011000000}">
      <text>
        <r>
          <rPr>
            <sz val="10"/>
            <color rgb="FF000000"/>
            <rFont val="Arial"/>
            <family val="2"/>
            <scheme val="minor"/>
          </rPr>
          <t>依據水利署112年6月9日經水河字第11216067760號函辦理，已函文水利署修正碳排量。</t>
        </r>
      </text>
    </comment>
    <comment ref="F53" authorId="0" shapeId="0" xr:uid="{00000000-0006-0000-0400-000012000000}">
      <text>
        <r>
          <rPr>
            <sz val="10"/>
            <color rgb="FF000000"/>
            <rFont val="Arial"/>
            <family val="2"/>
            <scheme val="minor"/>
          </rPr>
          <t>依據水利署112年6月9日經水河字第11216067760號函辦理，已函文水利署修正碳排量。</t>
        </r>
      </text>
    </comment>
    <comment ref="K54" authorId="0" shapeId="0" xr:uid="{00000000-0006-0000-0400-000013000000}">
      <text>
        <r>
          <rPr>
            <sz val="10"/>
            <color rgb="FF000000"/>
            <rFont val="Arial"/>
            <family val="2"/>
            <scheme val="minor"/>
          </rPr>
          <t>茄苳21株、光蠟樹5株、九芎3株、稜果榕9株</t>
        </r>
      </text>
    </comment>
    <comment ref="L54" authorId="0" shapeId="0" xr:uid="{00000000-0006-0000-0400-000014000000}">
      <text>
        <r>
          <rPr>
            <sz val="10"/>
            <color rgb="FF000000"/>
            <rFont val="Arial"/>
            <family val="2"/>
            <scheme val="minor"/>
          </rPr>
          <t>山芙蓉1127株、冇骨消1645株、杜虹花504株、台灣澤蘭140株、月桃70株、野薑花63株、長穗木91株</t>
        </r>
      </text>
    </comment>
    <comment ref="K57" authorId="0" shapeId="0" xr:uid="{00000000-0006-0000-0400-000015000000}">
      <text>
        <r>
          <rPr>
            <sz val="10"/>
            <color rgb="FF000000"/>
            <rFont val="Arial"/>
            <family val="2"/>
            <scheme val="minor"/>
          </rPr>
          <t xml:space="preserve">台灣欒樹120株、苦楝樹120株
</t>
        </r>
      </text>
    </comment>
    <comment ref="K59" authorId="0" shapeId="0" xr:uid="{00000000-0006-0000-0400-000016000000}">
      <text>
        <r>
          <rPr>
            <sz val="10"/>
            <color rgb="FF000000"/>
            <rFont val="Arial"/>
            <family val="2"/>
            <scheme val="minor"/>
          </rPr>
          <t>苦楝58、黃連木57、茄苳57</t>
        </r>
      </text>
    </comment>
    <comment ref="K60" authorId="0" shapeId="0" xr:uid="{00000000-0006-0000-0400-000017000000}">
      <text>
        <r>
          <rPr>
            <sz val="10"/>
            <color rgb="FF000000"/>
            <rFont val="Arial"/>
            <family val="2"/>
            <scheme val="minor"/>
          </rPr>
          <t>苦楝27株</t>
        </r>
      </text>
    </comment>
    <comment ref="L67" authorId="0" shapeId="0" xr:uid="{00000000-0006-0000-0400-000018000000}">
      <text>
        <r>
          <rPr>
            <sz val="10"/>
            <color rgb="FF000000"/>
            <rFont val="Arial"/>
            <family val="2"/>
            <scheme val="minor"/>
          </rPr>
          <t xml:space="preserve">月橘/
</t>
        </r>
      </text>
    </comment>
    <comment ref="E71" authorId="0" shapeId="0" xr:uid="{00000000-0006-0000-0400-000019000000}">
      <text>
        <r>
          <rPr>
            <sz val="10"/>
            <color rgb="FF000000"/>
            <rFont val="Arial"/>
            <family val="2"/>
            <scheme val="minor"/>
          </rPr>
          <t xml:space="preserve">九局未填寫核定碳排量，先以每萬元1.11*100(105年物價指數)/131(111年物價指數) tCO2e 填寫
</t>
        </r>
      </text>
    </comment>
    <comment ref="F71" authorId="0" shapeId="0" xr:uid="{00000000-0006-0000-0400-00001A000000}">
      <text>
        <r>
          <rPr>
            <sz val="10"/>
            <color rgb="FF000000"/>
            <rFont val="Arial"/>
            <family val="2"/>
            <scheme val="minor"/>
          </rPr>
          <t xml:space="preserve">九局未填寫，先以核定碳排量*0.7計算
</t>
        </r>
      </text>
    </comment>
    <comment ref="D78" authorId="0" shapeId="0" xr:uid="{00000000-0006-0000-0400-00001B000000}">
      <text>
        <r>
          <rPr>
            <sz val="10"/>
            <color rgb="FF000000"/>
            <rFont val="Arial"/>
            <family val="2"/>
            <scheme val="minor"/>
          </rPr>
          <t xml:space="preserve">原為32374
</t>
        </r>
      </text>
    </comment>
    <comment ref="E78" authorId="0" shapeId="0" xr:uid="{00000000-0006-0000-0400-00001C000000}">
      <text>
        <r>
          <rPr>
            <sz val="10"/>
            <color rgb="FF000000"/>
            <rFont val="Arial"/>
            <family val="2"/>
            <scheme val="minor"/>
          </rPr>
          <t xml:space="preserve">原為1557
</t>
        </r>
      </text>
    </comment>
    <comment ref="F78" authorId="0" shapeId="0" xr:uid="{00000000-0006-0000-0400-00001D000000}">
      <text>
        <r>
          <rPr>
            <sz val="10"/>
            <color rgb="FF000000"/>
            <rFont val="Arial"/>
            <family val="2"/>
            <scheme val="minor"/>
          </rPr>
          <t xml:space="preserve">原為1194
</t>
        </r>
      </text>
    </comment>
    <comment ref="K88" authorId="0" shapeId="0" xr:uid="{00000000-0006-0000-0400-00001E000000}">
      <text>
        <r>
          <rPr>
            <sz val="10"/>
            <color rgb="FF000000"/>
            <rFont val="Arial"/>
            <family val="2"/>
            <scheme val="minor"/>
          </rPr>
          <t>臺灣肖楠40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8" authorId="0" shapeId="0" xr:uid="{00000000-0006-0000-0500-000001000000}">
      <text>
        <r>
          <rPr>
            <sz val="10"/>
            <color rgb="FF000000"/>
            <rFont val="Arial"/>
            <family val="2"/>
            <scheme val="minor"/>
          </rPr>
          <t>數據疑似異常</t>
        </r>
      </text>
    </comment>
    <comment ref="F13" authorId="0" shapeId="0" xr:uid="{00000000-0006-0000-0500-000002000000}">
      <text>
        <r>
          <rPr>
            <sz val="10"/>
            <color rgb="FF000000"/>
            <rFont val="Arial"/>
            <family val="2"/>
            <scheme val="minor"/>
          </rPr>
          <t>尚未核定  先 x 0.7 計算</t>
        </r>
      </text>
    </comment>
    <comment ref="C18" authorId="0" shapeId="0" xr:uid="{00000000-0006-0000-0500-000003000000}">
      <text>
        <r>
          <rPr>
            <sz val="10"/>
            <color rgb="FF000000"/>
            <rFont val="Arial"/>
            <family val="2"/>
            <scheme val="minor"/>
          </rPr>
          <t xml:space="preserve">委託代辦
</t>
        </r>
      </text>
    </comment>
    <comment ref="D20" authorId="0" shapeId="0" xr:uid="{00000000-0006-0000-0500-000004000000}">
      <text>
        <r>
          <rPr>
            <sz val="10"/>
            <color rgb="FF000000"/>
            <rFont val="Arial"/>
            <family val="2"/>
            <scheme val="minor"/>
          </rPr>
          <t>為發包經費
核定經費95,000</t>
        </r>
      </text>
    </comment>
    <comment ref="D23" authorId="0" shapeId="0" xr:uid="{00000000-0006-0000-0500-000005000000}">
      <text>
        <r>
          <rPr>
            <sz val="10"/>
            <color rgb="FF000000"/>
            <rFont val="Arial"/>
            <family val="2"/>
            <scheme val="minor"/>
          </rPr>
          <t>為發包經費
核定經費30,000</t>
        </r>
      </text>
    </comment>
    <comment ref="F23" authorId="0" shapeId="0" xr:uid="{00000000-0006-0000-0500-000006000000}">
      <text>
        <r>
          <rPr>
            <sz val="10"/>
            <color rgb="FF000000"/>
            <rFont val="Arial"/>
            <family val="2"/>
            <scheme val="minor"/>
          </rPr>
          <t xml:space="preserve">先以2549*0.7計
</t>
        </r>
      </text>
    </comment>
    <comment ref="F49" authorId="0" shapeId="0" xr:uid="{00000000-0006-0000-0500-000007000000}">
      <text>
        <r>
          <rPr>
            <sz val="10"/>
            <color rgb="FF000000"/>
            <rFont val="Arial"/>
            <family val="2"/>
            <scheme val="minor"/>
          </rPr>
          <t>尚未提報核定，先以 x 0.7 計算</t>
        </r>
      </text>
    </comment>
    <comment ref="F50" authorId="0" shapeId="0" xr:uid="{00000000-0006-0000-0500-000008000000}">
      <text>
        <r>
          <rPr>
            <sz val="10"/>
            <color rgb="FF000000"/>
            <rFont val="Arial"/>
            <family val="2"/>
            <scheme val="minor"/>
          </rPr>
          <t>尚未提報核定，先以 x 0.7 計算</t>
        </r>
      </text>
    </comment>
    <comment ref="F51" authorId="0" shapeId="0" xr:uid="{00000000-0006-0000-0500-000009000000}">
      <text>
        <r>
          <rPr>
            <sz val="10"/>
            <color rgb="FF000000"/>
            <rFont val="Arial"/>
            <family val="2"/>
            <scheme val="minor"/>
          </rPr>
          <t>尚未提報核定，先以 x 0.7 計算</t>
        </r>
      </text>
    </comment>
    <comment ref="L68" authorId="0" shapeId="0" xr:uid="{00000000-0006-0000-0500-00000A000000}">
      <text>
        <r>
          <rPr>
            <sz val="10"/>
            <color rgb="FF000000"/>
            <rFont val="Arial"/>
            <family val="2"/>
            <scheme val="minor"/>
          </rPr>
          <t xml:space="preserve">月橘/
</t>
        </r>
      </text>
    </comment>
    <comment ref="K77" authorId="0" shapeId="0" xr:uid="{00000000-0006-0000-0500-00000B000000}">
      <text>
        <r>
          <rPr>
            <sz val="10"/>
            <color rgb="FF000000"/>
            <rFont val="Arial"/>
            <family val="2"/>
            <scheme val="minor"/>
          </rPr>
          <t>(樟樹25株、青剛櫟25株、光臘樹25株、楝樹25株、茄冬100株)</t>
        </r>
      </text>
    </comment>
    <comment ref="D78" authorId="0" shapeId="0" xr:uid="{00000000-0006-0000-0500-00000C000000}">
      <text>
        <r>
          <rPr>
            <sz val="10"/>
            <color rgb="FF000000"/>
            <rFont val="Arial"/>
            <family val="2"/>
            <scheme val="minor"/>
          </rPr>
          <t xml:space="preserve">原為32374
</t>
        </r>
      </text>
    </comment>
    <comment ref="E78" authorId="0" shapeId="0" xr:uid="{00000000-0006-0000-0500-00000D000000}">
      <text>
        <r>
          <rPr>
            <sz val="10"/>
            <color rgb="FF000000"/>
            <rFont val="Arial"/>
            <family val="2"/>
            <scheme val="minor"/>
          </rPr>
          <t xml:space="preserve">原為1557
</t>
        </r>
      </text>
    </comment>
    <comment ref="F78" authorId="0" shapeId="0" xr:uid="{00000000-0006-0000-0500-00000E000000}">
      <text>
        <r>
          <rPr>
            <sz val="10"/>
            <color rgb="FF000000"/>
            <rFont val="Arial"/>
            <family val="2"/>
            <scheme val="minor"/>
          </rPr>
          <t xml:space="preserve">原為1194
</t>
        </r>
      </text>
    </comment>
  </commentList>
</comments>
</file>

<file path=xl/sharedStrings.xml><?xml version="1.0" encoding="utf-8"?>
<sst xmlns="http://schemas.openxmlformats.org/spreadsheetml/2006/main" count="3486" uniqueCount="1370">
  <si>
    <t>附件1- 112年度工程碳排量資料表總表</t>
  </si>
  <si>
    <t>資料統計至：</t>
  </si>
  <si>
    <r>
      <rPr>
        <b/>
        <sz val="14"/>
        <color rgb="FF000000"/>
        <rFont val="Microsoft JhengHei"/>
        <family val="2"/>
        <charset val="136"/>
      </rPr>
      <t>112.</t>
    </r>
    <r>
      <rPr>
        <b/>
        <sz val="14"/>
        <color rgb="FFFF0000"/>
        <rFont val="Microsoft JhengHei"/>
        <family val="2"/>
        <charset val="136"/>
      </rPr>
      <t>09.30</t>
    </r>
  </si>
  <si>
    <t>編號</t>
  </si>
  <si>
    <t>單位</t>
  </si>
  <si>
    <t>工程件數 (件)</t>
  </si>
  <si>
    <t>總預算經費
(千元)</t>
  </si>
  <si>
    <t>提報碳排量 (tCO2e)</t>
  </si>
  <si>
    <t>核定碳排量 (-30%) (tCO2e)</t>
  </si>
  <si>
    <t>已發包 (件)</t>
  </si>
  <si>
    <t>已發包碳排量(tCO2e)</t>
  </si>
  <si>
    <t>總綠色經費 (千元)</t>
  </si>
  <si>
    <t>綠色經費比例(%)</t>
  </si>
  <si>
    <t>喬木總數量(株)</t>
  </si>
  <si>
    <t>灌木總數量 (株)</t>
  </si>
  <si>
    <t>綠化面積 (m2)</t>
  </si>
  <si>
    <t>綠化長度 (m)</t>
  </si>
  <si>
    <t>平均可拆解率 (%)</t>
  </si>
  <si>
    <t>算術平均
可拆解率</t>
  </si>
  <si>
    <t>影響%</t>
  </si>
  <si>
    <t>一河局</t>
  </si>
  <si>
    <t>二河局</t>
  </si>
  <si>
    <t>三河局</t>
  </si>
  <si>
    <t>四河局</t>
  </si>
  <si>
    <t>五河局</t>
  </si>
  <si>
    <t>六河局</t>
  </si>
  <si>
    <t>七河局</t>
  </si>
  <si>
    <t>八河局</t>
  </si>
  <si>
    <t>九河局</t>
  </si>
  <si>
    <t>十河局</t>
  </si>
  <si>
    <t>北水局</t>
  </si>
  <si>
    <t>中水局</t>
  </si>
  <si>
    <t>南水局</t>
  </si>
  <si>
    <t>水特局</t>
  </si>
  <si>
    <t>總計</t>
  </si>
  <si>
    <t>備註1：</t>
  </si>
  <si>
    <t>總表中綠色經費及種樹計算已發包案件</t>
  </si>
  <si>
    <t>備註2：</t>
  </si>
  <si>
    <t>水資源局容許碳排量會議後</t>
  </si>
  <si>
    <t>備註3：</t>
  </si>
  <si>
    <t>「綠色經費」含植樹固碳(喬木、灌木等)、就地取材(現地塊石利用、剩餘土方堤前培厚、拆除基礎塊再利用、挖填土方平衡等)、</t>
  </si>
  <si>
    <t>再生料源(再生混凝土、再生瀝青混凝土、水庫淤泥利用、使用焚化底渣再生粒料、採取現地土石的石籠護岸或地工沙腸袋等)、</t>
  </si>
  <si>
    <t>節能材料(綠建材標章、省水標章、環保標章、節能標章之環保節能材料等)</t>
  </si>
  <si>
    <t>112.09.13</t>
  </si>
  <si>
    <t>112.08.31</t>
  </si>
  <si>
    <t>11-</t>
  </si>
  <si>
    <t>附件1-112年度工程碳排量資料表個案明細表</t>
  </si>
  <si>
    <r>
      <rPr>
        <b/>
        <sz val="14"/>
        <color rgb="FF000000"/>
        <rFont val="Microsoft JhengHei"/>
        <family val="2"/>
        <charset val="136"/>
      </rPr>
      <t>統計日期     112.</t>
    </r>
    <r>
      <rPr>
        <b/>
        <sz val="14"/>
        <color rgb="FFFF0000"/>
        <rFont val="Microsoft JhengHei"/>
        <family val="2"/>
        <charset val="136"/>
      </rPr>
      <t>09.30</t>
    </r>
  </si>
  <si>
    <t>編碼</t>
  </si>
  <si>
    <t>工程名稱</t>
  </si>
  <si>
    <t>工程預算
 (千元)</t>
  </si>
  <si>
    <t>提報碳排量
 (tCO2e)</t>
  </si>
  <si>
    <t>核定碳排量
 (tCO2e)</t>
  </si>
  <si>
    <t>已發包
碳排量
 (tCO2e)</t>
  </si>
  <si>
    <t>是否
發包</t>
  </si>
  <si>
    <t>綠色
經費
 (預算千元)</t>
  </si>
  <si>
    <t>綠色
經費
 比例</t>
  </si>
  <si>
    <t>樹種
 (喬木/株)</t>
  </si>
  <si>
    <t>樹種
 (灌木/株)</t>
  </si>
  <si>
    <t>綠化面積
 (m2)</t>
  </si>
  <si>
    <t>綠化長度
 (m)</t>
  </si>
  <si>
    <t>綠色經費
 其他項目</t>
  </si>
  <si>
    <t>工程設計減碳策略/
 長度(m)、範圍(m2)、數量(m3)</t>
  </si>
  <si>
    <t>可拆
解率</t>
  </si>
  <si>
    <t>施工計畫(機具優化)減碳量(kgCO2e)</t>
  </si>
  <si>
    <t>備註</t>
  </si>
  <si>
    <t>核定經費</t>
  </si>
  <si>
    <t>核定經費
 (千元)</t>
  </si>
  <si>
    <t>調整容許碳排</t>
  </si>
  <si>
    <t>是否為
 疏濬工程</t>
  </si>
  <si>
    <t>機具減碳量</t>
  </si>
  <si>
    <t>延續自111年</t>
  </si>
  <si>
    <t>拆解經費</t>
  </si>
  <si>
    <t>1-1</t>
  </si>
  <si>
    <t>羅東溪(北成橋至歪仔歪橋段)右岸整體環境改善工程(一工區)A標</t>
  </si>
  <si>
    <t>是</t>
  </si>
  <si>
    <t>種植喬木124株、灌木10583株；土方就近利用3419m3；天然塊石材料38.6m3；木棧平台500m2</t>
  </si>
  <si>
    <t>預計112年10月15日開工</t>
  </si>
  <si>
    <t>否</t>
  </si>
  <si>
    <t>1-2</t>
  </si>
  <si>
    <t>112年度蘭陽溪員山堤防(L27)構造物維修改善工程</t>
  </si>
  <si>
    <t>種植喬木40朱；挖填平衡23100m3</t>
  </si>
  <si>
    <t>7/1開工</t>
  </si>
  <si>
    <t>1-3</t>
  </si>
  <si>
    <t>112年度蘭陽溪員山堤防溪洲排水出口閘門構造物維修改善工程</t>
  </si>
  <si>
    <t>土方平衡(15000m3)、再生瀝青600m2</t>
  </si>
  <si>
    <t>7/13開工</t>
  </si>
  <si>
    <t>1-4</t>
  </si>
  <si>
    <t>和平溪4~12斷面間河段疏濬工程兼供土石採售分離作業</t>
  </si>
  <si>
    <t>再生瀝青混凝土鋪面1700m2
  就地取材12000m
  挖填平衡100000m3</t>
  </si>
  <si>
    <t>1-5</t>
  </si>
  <si>
    <t>蘭陽溪37~41斷面間河段疏濬工程兼供土石採售分離作業</t>
  </si>
  <si>
    <t>無</t>
  </si>
  <si>
    <t>就地取材便道168000m2
  就地取材回填固床工84100m3"</t>
  </si>
  <si>
    <t>3月21決標，4月20日開工</t>
  </si>
  <si>
    <t>2-1</t>
  </si>
  <si>
    <t>111年度桃園海岸永安一號海堤歲修工程</t>
  </si>
  <si>
    <t>混凝土減量：原設計為堤頂及堤後坡全數打除重灌，厚度約25-30公分，改採堤頂、堤後加封處理，厚度為15公分。</t>
  </si>
  <si>
    <t>1/31開工，並已於4/28報竣。</t>
  </si>
  <si>
    <t>V</t>
  </si>
  <si>
    <t>2-2</t>
  </si>
  <si>
    <t>房裡海堤整體環境改善工程(一)</t>
  </si>
  <si>
    <t>設計中，預計9月初發包</t>
  </si>
  <si>
    <t>2-3</t>
  </si>
  <si>
    <t>112年度後龍海堤構造物維修改善工程</t>
  </si>
  <si>
    <t>環境保護(教育訓練)</t>
  </si>
  <si>
    <t>工程減量：
  1.利用鋼板樁工法減小施工影響範圍
  2.保留較為完整之海堤改破損處之局部修復</t>
  </si>
  <si>
    <t>7/20開工，預計10/24號完工，目前辦理底板鋼筋組立綁紮。</t>
  </si>
  <si>
    <t>2-4</t>
  </si>
  <si>
    <t>112年度新埔海堤構造物維修改善工程</t>
  </si>
  <si>
    <t>新植灌木792株</t>
  </si>
  <si>
    <t>於9/11開工</t>
  </si>
  <si>
    <t>2-5</t>
  </si>
  <si>
    <t>112年度二河局水門維修改善工程</t>
  </si>
  <si>
    <t>舊有水門折抵再利用</t>
  </si>
  <si>
    <t>刻正審查施工計畫。</t>
  </si>
  <si>
    <t>2-6</t>
  </si>
  <si>
    <t>112年度二河局防汛備料補充工程</t>
  </si>
  <si>
    <t>標準化施工，太陽能供電，系統模板</t>
  </si>
  <si>
    <t>碳足跡盤查</t>
  </si>
  <si>
    <t>6/28決標，7/20函報開工，於8/22召開碳盤查計畫書審查，同意備查。</t>
  </si>
  <si>
    <t>3-1</t>
  </si>
  <si>
    <t>112年度貓羅溪縣庄1、2、3護岸(斷面 13~14)整建工程</t>
  </si>
  <si>
    <t>植生固碳、再生瀝青混凝土鋪面、坡面植生</t>
  </si>
  <si>
    <t>新植喬木111株
  新植灌木19,448株
  再生瀝青混凝土鋪面3245M2
  鋪塊石3328M2</t>
  </si>
  <si>
    <t>6月19日開工</t>
  </si>
  <si>
    <t>3-2</t>
  </si>
  <si>
    <t>大安溪社尾堤防(斷面6~9-1)整建工程</t>
  </si>
  <si>
    <t>砌排石工、再生瀝青、拋石</t>
  </si>
  <si>
    <t>砌排石工就地取材/879(m2)
  使用再生瀝青/579(m2)
  拋石就地取材/235(m3)
  新植喬木/63(株)</t>
  </si>
  <si>
    <t>7月20日開工</t>
  </si>
  <si>
    <t>3-3</t>
  </si>
  <si>
    <t>112年度南港溪溪北一號堤防(斷面13~14)整建工程</t>
  </si>
  <si>
    <t>系統模板(金屬模板)</t>
  </si>
  <si>
    <t>格框、基腳、坡面工使用礦物摻料50%之預拌混凝土</t>
  </si>
  <si>
    <t>7/20開工</t>
  </si>
  <si>
    <t>3-4</t>
  </si>
  <si>
    <t>112年度烏溪田中央堤防等設施維修改善工程</t>
  </si>
  <si>
    <t>再生瀝青混凝土鋪面</t>
  </si>
  <si>
    <t>再生瀝青混凝土鋪面50,000m2</t>
  </si>
  <si>
    <t>112/5/12開工</t>
  </si>
  <si>
    <t>3-6</t>
  </si>
  <si>
    <t>大安溪社尾河段疏濬工程兼供土石採售分離作業（支出一 【疏濬工程】）</t>
  </si>
  <si>
    <t>施工便道、拋石固床工及河道整理，就地取材</t>
  </si>
  <si>
    <t>以現地材料施做便道2公里、拋石固床工1萬立方公尺及河道整理20萬立方公尺。</t>
  </si>
  <si>
    <t>112/5/1開工</t>
  </si>
  <si>
    <t>3-7</t>
  </si>
  <si>
    <t>大甲溪斷面60-61及76-77河段疏濬工程兼供土石採售分離作業（支出一 【疏濬工程】）</t>
  </si>
  <si>
    <t>施工便道及拋石固床工，就地取材</t>
  </si>
  <si>
    <t>以現地材料施做便道25公里、拋石固床工1萬立方公尺。</t>
  </si>
  <si>
    <t>112/3/1開工，本工程碳排量超出核定量286tCO2e，擬使用3-8大甲溪斷面55-57河段疏濬工程碳排量(2,323tCO2e)餘數191tCO2e。</t>
  </si>
  <si>
    <t>3-8</t>
  </si>
  <si>
    <t>大甲溪斷面55-57河段疏濬工程兼供土石採售分離作業（支出一 【疏濬工程】）</t>
  </si>
  <si>
    <t>以現地材料施做便道12.5公里，拋石1萬立方公尺。</t>
  </si>
  <si>
    <t>112/4/30開工</t>
  </si>
  <si>
    <t>3-9</t>
  </si>
  <si>
    <t>烏溪觀音橋至眉溪中正一號橋河段疏濬工程兼供土石採售分離作業（支出一 【疏濬工程】）</t>
  </si>
  <si>
    <t>以現地材料施做便道8公里，拋石5000立方公尺。</t>
  </si>
  <si>
    <t>俟地磅標及收入標發包完成後再通知工程廠商開工，擬使用3-8大甲溪斷面55-57河段疏濬工程碳排量(2,323tCO2e)餘數191tCO2e。</t>
  </si>
  <si>
    <t>3-10</t>
  </si>
  <si>
    <t>112年度三河局防汛備料補充工程</t>
  </si>
  <si>
    <t>5T異型塊使用礦物摻料50%之預拌混凝土</t>
  </si>
  <si>
    <t>112/4/7開工</t>
  </si>
  <si>
    <t>4-1</t>
  </si>
  <si>
    <t>濁水溪新武界橋下游左岸堤段(0+600~1+100)改善工程</t>
  </si>
  <si>
    <t>-</t>
  </si>
  <si>
    <t>壹,一,05 植栽，客土 [就地取材]
  壹,一,07 土方工作，近運填方 [就地取材]
  壹,一,08 結構用混凝土，預拌，140kgf/cm2(50%礦物摻料)
  壹,一,09 結構用混凝土，預拌，210kgf/cm2(50%礦物摻料)
  壹,一,13 砌排石工，漿砌現地卵塊石 [就地取材]
  壹,一,16 產品，加勁擋土牆-地工合成加勁材，加勁格網 [綠色工法]
  壹,一,17 產品，生態護坡，客土袋 [綠色工法]
  壹,一,18 生態護坡，鋼筋樁 [綠色工法]
  壹,一,19 加勁擋土牆，90%≦壓實度 [綠色工法]
  壹,一,20 邊坡穩定水平排水管，片狀排水孔 [綠色工法]
  壹,一,21 噴植草，坡面噴植
  壹,一,22 土質改良 [綠色工法-現地拌合]</t>
  </si>
  <si>
    <t>1.植樹固碳，噴植草3,515M2。
  2.就地取材，近運填方776M3，漿砌現地卵塊石16M2。
  3.綠色材料，使用替代材料(礦物摻料50%混凝土)(數量2,815M3)，減少水泥用量。。
  4.綠色工法，生態護坡使用地工織物加勁擋土牆、客土袋等L=500M。，土質改良使用現地拌合工法(數量567M3)。</t>
  </si>
  <si>
    <t>碳盤查工程
  112.07.21決標
  112.08.09開工</t>
  </si>
  <si>
    <t>4-2</t>
  </si>
  <si>
    <t>彰化縣王功新生地海堤整體環境改善工程</t>
  </si>
  <si>
    <t>4-3</t>
  </si>
  <si>
    <t>濁水溪麻園堤防整體環境改善工程</t>
  </si>
  <si>
    <t>壹,一,05 剩餘土石方整平 [就地取材]
  壹,一,20 高壓混凝土地磚 [綠色材料-綠建材標章]
  壹,一,37 馬賽克磚 [綠色材料-環保標章]
  壹,一,45 噴灌設施
  壹,一,50 植草，植生袋(含草仔)
  壹,一,51 植栽，文字及水利署徽圖案營造
  壹,一,53 植草，地毯草
  壹,一,54 草種噴植
  壹,一,56 植栽客土，工區內土方再利用 [就地取材]</t>
  </si>
  <si>
    <t>1.植樹固碳，種植喬木181株、灌木8,698株、植生袋(含草仔)680袋、植草，地毯草2,618M2、草種噴植893M2。
  2.就地取材，剩餘土石方整平及工區內土方再利用(植栽客土)合計1,617M3。
  3.綠色材料，使用取得綠建材標章之材料(高壓混凝土地磚)L=482.4M(面積1,207M2)。
  4.綠色材料，使用取得環保標章之材料(馬賽克磚)，面積44.1M2。</t>
  </si>
  <si>
    <t>112.07.10決標
  112.07.30開工</t>
  </si>
  <si>
    <t>4-4</t>
  </si>
  <si>
    <t>112年度四河局轄管水門構造物維修改善工程</t>
  </si>
  <si>
    <t>混凝土(50%礦物摻料)</t>
  </si>
  <si>
    <t>使用替代材料(礦物摻料50%混凝土)(數量約33M3)，減少水泥用量。</t>
  </si>
  <si>
    <t>112.06.14決標
  112.06.30開工
 本件工項主要為水門(鋼構件)及機械設備安裝，僅部分新設及修補之混凝土得採用綠色材料。</t>
  </si>
  <si>
    <t>5-1</t>
  </si>
  <si>
    <t>崙子溪中正新村北銘堤段改善工程併辦土石標售</t>
  </si>
  <si>
    <t>拆除基礎塊再利用、挖填土方平衡、瀝青綠色材料、植樹固碳</t>
  </si>
  <si>
    <t>既有構造物打除再利用3249m3、挖填土方平衡5441m3、多孔隙瀝青2686m2、植樹固碳3108株</t>
  </si>
  <si>
    <t>112.8.17開工</t>
  </si>
  <si>
    <t>5-2</t>
  </si>
  <si>
    <t>石龜溪南勢北勢堤段及十股堤段改善工程</t>
  </si>
  <si>
    <t>挖填土方平衡、植樹固碳</t>
  </si>
  <si>
    <t>挖填土方平衡59685m3、植樹固碳333株</t>
  </si>
  <si>
    <t>1.水利署112.5.19經水河字第11253156380號同意增籌經費1,500萬元
  2.112.8.10開工</t>
  </si>
  <si>
    <t>5-3</t>
  </si>
  <si>
    <t>大埔溪榴中護岸改善工程</t>
  </si>
  <si>
    <t>挖填土方平衡2227m3、植樹固碳932株</t>
  </si>
  <si>
    <t>112.7.9開工</t>
  </si>
  <si>
    <t>5-4</t>
  </si>
  <si>
    <t>崙子溪他里霧堤段改善工程</t>
  </si>
  <si>
    <t>挖填土方平衡、瀝青綠色材料、植樹固碳</t>
  </si>
  <si>
    <t>挖填土方平衡12128m3、多孔隙瀝青2950m2、植樹固碳3469株</t>
  </si>
  <si>
    <t>112.7.27開工</t>
  </si>
  <si>
    <t>5-5</t>
  </si>
  <si>
    <t>芭蕉溪大北勢護岸改善工程(二期)</t>
  </si>
  <si>
    <t>5-6</t>
  </si>
  <si>
    <t>雲林溪大北勢甲六護岸改善工程(三期)</t>
  </si>
  <si>
    <t>挖填土方平衡16636m3、多孔隙瀝青1661m2、植樹固碳19098株</t>
  </si>
  <si>
    <t>112.8.10開工</t>
  </si>
  <si>
    <t>5-7</t>
  </si>
  <si>
    <t>八掌溪湖內堤段整體環境營造工程</t>
  </si>
  <si>
    <t>挖填土方平衡18485m3、植樹固碳30531株</t>
  </si>
  <si>
    <t>5-8</t>
  </si>
  <si>
    <t>北港溪鎮平堤段整建工程(六期)</t>
  </si>
  <si>
    <t>5-9</t>
  </si>
  <si>
    <t>112年度朴子溪過溝等堤段構造物維修改善工程</t>
  </si>
  <si>
    <t>植樹固碳
  瀝青綠色材料</t>
  </si>
  <si>
    <t>植樹固碳335株、多孔隙瀝青13,200m2</t>
  </si>
  <si>
    <t>112.6.5開工</t>
  </si>
  <si>
    <t>5-10</t>
  </si>
  <si>
    <t>112年度龜重溪下寮一號等堤段構造物維修改善工程</t>
  </si>
  <si>
    <t>挖填土方平衡3189m3、植樹固碳36株</t>
  </si>
  <si>
    <t>5-11</t>
  </si>
  <si>
    <t>112年度北港溪崙子寮等堤段構造物維修改善工程</t>
  </si>
  <si>
    <t>挖填土方平衡1128m3、植樹固碳1550株</t>
  </si>
  <si>
    <t>112.7.24開工</t>
  </si>
  <si>
    <t>5-12</t>
  </si>
  <si>
    <t>112年度八掌溪牛埔等堤段構造物維修改善工程</t>
  </si>
  <si>
    <t>瀝青綠色材料
  挖填土方平衡</t>
  </si>
  <si>
    <t>多孔隙瀝青24814m2、土方挖填平衡24750m3</t>
  </si>
  <si>
    <t>5-13</t>
  </si>
  <si>
    <t>112年度八掌溪及急水溪流域水門構造物維修改善工程</t>
  </si>
  <si>
    <t>6-1</t>
  </si>
  <si>
    <t>鹽水溪北新橋至二高段堤防新建工程(一工區)</t>
  </si>
  <si>
    <t>土方平衡、石籠工法、拋塊石、植樹固碳、現材利用</t>
  </si>
  <si>
    <t>石籠工法2241M3、拋塊石18547M3、種植喬木62株、現材再利用1000M3</t>
  </si>
  <si>
    <t>6-2</t>
  </si>
  <si>
    <t>二仁溪古亭橋上下游段改善工程</t>
  </si>
  <si>
    <t>土方平衡、石籠工法、拋塊石</t>
  </si>
  <si>
    <t>石籠工法6976M3、拋塊石11991M3</t>
  </si>
  <si>
    <t>6-3</t>
  </si>
  <si>
    <t>菜寮溪左鎮橋段護岸改善工程</t>
  </si>
  <si>
    <t>石籠工法6464M3、拋塊石工法7229M3</t>
  </si>
  <si>
    <t>6-4</t>
  </si>
  <si>
    <t>曾文溪排水分洪箱涵上游9K+090~9K+705護岸新建工程併辦土石標售</t>
  </si>
  <si>
    <t>植樹固碳、拋塊石</t>
  </si>
  <si>
    <t>種植灌木2084株、拋塊石9651M3</t>
  </si>
  <si>
    <t>6-5</t>
  </si>
  <si>
    <t>阿公店溪水岸整體環境營造工程（第二期）（河華橋至前洲橋段）</t>
  </si>
  <si>
    <t>植樹固碳、石籠工法</t>
  </si>
  <si>
    <t>種植喬木326株、石籠工法2787M3</t>
  </si>
  <si>
    <t>6-6</t>
  </si>
  <si>
    <t>112年度高雄海岸崎漏海堤(離岸堤編號29~30)構造物維修改善工程</t>
  </si>
  <si>
    <t>現材再利用、拋塊石</t>
  </si>
  <si>
    <t>現材再利用6586M3、拋塊石744M3</t>
  </si>
  <si>
    <t>6-7</t>
  </si>
  <si>
    <t>111年度曾文溪高鐵橋至台鐵橋河段疏濬工程兼供土石採售分離</t>
  </si>
  <si>
    <t>施工便道，就地取材</t>
  </si>
  <si>
    <t>以現地材料打設施工便道</t>
  </si>
  <si>
    <t>6-8</t>
  </si>
  <si>
    <t>二仁溪縱貫鐵路橋至中山高速公路河段疏濬工程併辦土石標售</t>
  </si>
  <si>
    <t>6-9</t>
  </si>
  <si>
    <t>二仁溪國道3號田寮匝道橋至崇德橋疏濬工程併辦土石標售</t>
  </si>
  <si>
    <t>7-1</t>
  </si>
  <si>
    <t>荖濃溪新發大橋上游河段河道整理工程</t>
  </si>
  <si>
    <t>河道疏通土方作為邊坡防護(就地取材)</t>
  </si>
  <si>
    <t>河道疏通土方113740(m3)</t>
  </si>
  <si>
    <t>審查中</t>
  </si>
  <si>
    <t>依據水利署112年6月9日經水河字第11216067760號函辦理，已函文水利署修正碳排量。</t>
  </si>
  <si>
    <t>7-2</t>
  </si>
  <si>
    <t>荖濃溪桃源河段河道整理工程</t>
  </si>
  <si>
    <t>河道疏通土方473724(m3)</t>
  </si>
  <si>
    <t>7-3</t>
  </si>
  <si>
    <t>旗山溪溪洲大橋上游河段河道整理工程</t>
  </si>
  <si>
    <t>河道疏通土方120000(m3)</t>
  </si>
  <si>
    <t>7-4</t>
  </si>
  <si>
    <t>美濃溪中壇橋下游河段河道整理工程</t>
  </si>
  <si>
    <t>河道疏通土方83000(m3)</t>
  </si>
  <si>
    <t>7-5</t>
  </si>
  <si>
    <t>美濃溪東門橋上下游河段河道整理工程</t>
  </si>
  <si>
    <t>河道疏通土方60000(m3)</t>
  </si>
  <si>
    <t>7-6</t>
  </si>
  <si>
    <t>旗山溪甲仙堤段整體環境改善工程</t>
  </si>
  <si>
    <t>再生AC材料826m2</t>
  </si>
  <si>
    <t>使用再生AC材料826m2、綠色植栽2685m2</t>
  </si>
  <si>
    <t>7-7</t>
  </si>
  <si>
    <t>東港溪新園堤防東港大橋上下游段整體環境改善工程</t>
  </si>
  <si>
    <t>7-8</t>
  </si>
  <si>
    <t>屏東海岸塭豐海堤段整體環境營造工程</t>
  </si>
  <si>
    <t>再生AC材料242m2</t>
  </si>
  <si>
    <t>再生AC材料242m2，既有欄杆220組、花台磚135m2再利用</t>
  </si>
  <si>
    <t>7-9</t>
  </si>
  <si>
    <t>112年度隘寮溪隘寮堤防振興段構造物維修改善工程</t>
  </si>
  <si>
    <t>再生AC材料2500m2</t>
  </si>
  <si>
    <t>使用再生AC材料2500m2、綠色植栽60m2</t>
  </si>
  <si>
    <t>7-10</t>
  </si>
  <si>
    <t>112年度荖濃溪六龜一號護岸段構造物維修改善工程</t>
  </si>
  <si>
    <t>綠色植栽40m2</t>
  </si>
  <si>
    <t>7-11</t>
  </si>
  <si>
    <t>112年度旗山溪三協里堤段構造物維修改善工程</t>
  </si>
  <si>
    <t>再生AC材料200m2</t>
  </si>
  <si>
    <t>7-12</t>
  </si>
  <si>
    <t>112年度旗山溪中正里堤段構造物維修改善工程</t>
  </si>
  <si>
    <t>再生AC材料1908m2</t>
  </si>
  <si>
    <t>再生AC材料1908m2、綠色植栽555m2</t>
  </si>
  <si>
    <t>7-13</t>
  </si>
  <si>
    <t>荖濃溪里嶺大橋斷面72至斷面76河段採售分離計畫—支出(工程標)</t>
  </si>
  <si>
    <t>7-14</t>
  </si>
  <si>
    <t>112年度旗山溪寶隆大橋下游河段河道疏濬工程併辦土石標售(工程標)</t>
  </si>
  <si>
    <t>8-1</t>
  </si>
  <si>
    <t>卑南溪池上堤段基礎改善工程</t>
  </si>
  <si>
    <t>就地取材、蛇籠丁壩工</t>
  </si>
  <si>
    <t>土方就地利用95,000m3。</t>
  </si>
  <si>
    <t>8/7決標，8/27開工</t>
  </si>
  <si>
    <t>8-2</t>
  </si>
  <si>
    <t>112年度竹湖海岸段構造物維修改善工程</t>
  </si>
  <si>
    <t>拋填大塊石</t>
  </si>
  <si>
    <t>拋填塊石6,168m3。</t>
  </si>
  <si>
    <t>8-3</t>
  </si>
  <si>
    <t>112年度八河局防汛備料補充工程</t>
  </si>
  <si>
    <t>現地土方平衡</t>
  </si>
  <si>
    <t>植灌木綠色圍籬200m</t>
  </si>
  <si>
    <t>8-4</t>
  </si>
  <si>
    <t>112年度八河局防汛備料補充工程(第二期)</t>
  </si>
  <si>
    <t>9-1</t>
  </si>
  <si>
    <t>111年度秀姑巒溪大禹堤段構造物維修改善工程</t>
  </si>
  <si>
    <t>9-2</t>
  </si>
  <si>
    <t>111年度秀姑巒溪春日堤防歲修工程</t>
  </si>
  <si>
    <t>回收打除塊石，就地取材</t>
  </si>
  <si>
    <t>1.塊石就地取材3,082m3。
  2.土方就地利用7,086m3。</t>
  </si>
  <si>
    <t>112/01/09開標，已決標</t>
  </si>
  <si>
    <t>9-3</t>
  </si>
  <si>
    <t>112年度秀姑巒溪高寮大橋以南各堤段構造物維修改善工程</t>
  </si>
  <si>
    <t>9-4</t>
  </si>
  <si>
    <t>112年度秀姑巒溪高寮大橋以北各堤段構造物維修改善工程</t>
  </si>
  <si>
    <t>現地塊石利用、挖填土方平衡</t>
  </si>
  <si>
    <t>1.塊石回收126M3
 2.土方就地利用208285M3
 3.舖草皮4560M2</t>
  </si>
  <si>
    <t>112/07/12開工</t>
  </si>
  <si>
    <t>9-5</t>
  </si>
  <si>
    <t>112年度九河局防汛備料補充工程</t>
  </si>
  <si>
    <t>1.既有土方及塊石利用13535M3</t>
  </si>
  <si>
    <t>112/07/6開工</t>
  </si>
  <si>
    <t>10-1</t>
  </si>
  <si>
    <t>大漢溪右岸城林橋至鐵路橋河段改善工程(第一期第三標)</t>
  </si>
  <si>
    <t>--</t>
  </si>
  <si>
    <t>10-2</t>
  </si>
  <si>
    <t>塔寮坑溪(3K+505-3K+650)整建工程</t>
  </si>
  <si>
    <t>---</t>
  </si>
  <si>
    <t>現場土方利用、綠色材料</t>
  </si>
  <si>
    <t>現場土方利用110M3、綠色材料352M2</t>
  </si>
  <si>
    <t>已於8/25開工。</t>
  </si>
  <si>
    <t>10-3</t>
  </si>
  <si>
    <t>112年度橫溪溪南1號護岸構造物維修改善工程</t>
  </si>
  <si>
    <t>指定台北港為遠運填土區域12106M2</t>
  </si>
  <si>
    <t>已於7/5開工</t>
  </si>
  <si>
    <t>10-4</t>
  </si>
  <si>
    <t>「淡水河二重疏洪道入口段疏濬及河道整理工程(第一期第二標)」</t>
  </si>
  <si>
    <t>指定台北港為遠運填土區域172913M3</t>
  </si>
  <si>
    <t>已於2/17開工。</t>
  </si>
  <si>
    <t>10-5</t>
  </si>
  <si>
    <t>新店溪福和橋至秀朗橋河段(新北市段)疏濬工程第三期</t>
  </si>
  <si>
    <t>11-1</t>
  </si>
  <si>
    <t>石門水庫防汛庫房與物品資材場新建工程</t>
  </si>
  <si>
    <t>工程已發包。</t>
  </si>
  <si>
    <t>11-2</t>
  </si>
  <si>
    <t>中庄攔河堰左岸下游淘刷修復及中庄調整池周邊改善維護工程</t>
  </si>
  <si>
    <t>河床料回填、地工織物、構造物開挖，含近運利用及餘方就地攤平、拆除可用材料混凝土加固回填、土石籠及織布袋、植草噴植</t>
  </si>
  <si>
    <t>河床料回填747m3；地工織物353m2；拆除可用材料混凝土加固回填122m3；借土(含近運利用及餘方就地攤平)600m3；植草噴植3000m2</t>
  </si>
  <si>
    <t>11-3</t>
  </si>
  <si>
    <t>石門水庫壩區污水下水道系統更新改善工程</t>
  </si>
  <si>
    <t>節能材料污水管管線</t>
  </si>
  <si>
    <t>使用節能材料之污水管管材共計約834M</t>
  </si>
  <si>
    <t>11-4</t>
  </si>
  <si>
    <t>112年度白石溪秀巒防砂壩保育治理工程</t>
  </si>
  <si>
    <t>11-5</t>
  </si>
  <si>
    <t>榮華壩溢洪道堰面修復工程</t>
  </si>
  <si>
    <t>11-6</t>
  </si>
  <si>
    <t>榮華壩下游消能池底板、護坦及固床工修復工程</t>
  </si>
  <si>
    <t>11-7</t>
  </si>
  <si>
    <t>11-8</t>
  </si>
  <si>
    <t>隆恩堰及機房周邊設施修復工程</t>
  </si>
  <si>
    <t>分離式空調機組（多用途空間及值夜室）、施工便道與復舊費、施工便道天災重建費、汛期工地防災減災作業費、環境保護措施費</t>
  </si>
  <si>
    <t>1.使用節能標章之環保節能材料：2台
  2.就地取材，現地土砂再利用
  3.節能工項</t>
  </si>
  <si>
    <t>11-9</t>
  </si>
  <si>
    <t>112年度石門水庫沉澱池土方清運工程</t>
  </si>
  <si>
    <t>土方浚挖(公共工程)</t>
  </si>
  <si>
    <t>土方平衡及交換水庫淤泥再利用至台北港填海造陸工程，無須外購填土方材料：558,000T</t>
  </si>
  <si>
    <t>11-10</t>
  </si>
  <si>
    <t>112年度寶山第二水庫周邊設施改善工程</t>
  </si>
  <si>
    <t>植生護坡</t>
  </si>
  <si>
    <t>植生護坡1130m2</t>
  </si>
  <si>
    <t>11-11</t>
  </si>
  <si>
    <t>112年度石門水庫園區步道改善工程</t>
  </si>
  <si>
    <t>構造物開挖，矽土礫石，機械挖；構造物開挖，硬岩（含剖石），機械挖；構造物回填，原材料回填；餘方近運利用；工廠預鑄混凝土；工廠預鑄混凝土建築構件，鋼筋混凝土欄杆；工廠預鑄混凝土樓梯，立樁；工廠預鑄混凝土樓梯，橫樁；工廠預鑄混凝土建築構件，鋼筋混凝土板收邊；砌排石工，塊石；護岸頂土包袋</t>
  </si>
  <si>
    <t>1.綠色工法之土方挖填平衡：78m3
  2.綠色工法之低耗能工法：預鑄構件1117個及195m
  3.就地取材：17m3及220個</t>
  </si>
  <si>
    <t>12-1</t>
  </si>
  <si>
    <t>112年度鯉魚潭水庫周邊設施更新改善及保育工程</t>
  </si>
  <si>
    <t>塑木欄杆、座椅、再生   瀝青混凝土，梢楠苗木</t>
  </si>
  <si>
    <t>使用綠色環保的塑木欄杆151.22m，塑木座椅53.5m2，塑木屋頂1座、植栽梢楠苗木40株</t>
  </si>
  <si>
    <t>6月8日決標，6月28日開工</t>
  </si>
  <si>
    <t>12-2</t>
  </si>
  <si>
    <t>112年度石岡壩設施維護及庫區周邊改善工程</t>
  </si>
  <si>
    <t>20T淤泥混凝土異型塊，種植植栽。</t>
  </si>
  <si>
    <t>淤泥混凝土異型塊300個，種植喬木50株、灌木200株。</t>
  </si>
  <si>
    <t>已完成種植喬木50株及灌木200株。</t>
  </si>
  <si>
    <t>12-3</t>
  </si>
  <si>
    <t>112年度集集攔河堰南岸進水口吊門機更新工程</t>
  </si>
  <si>
    <t>不锈鋼材料</t>
  </si>
  <si>
    <t>不锈鋼材料9.7T</t>
  </si>
  <si>
    <t>8月16日開標，9月5日開工。</t>
  </si>
  <si>
    <t>12-4</t>
  </si>
  <si>
    <t>112年度集集攔河堰設施維護工程</t>
  </si>
  <si>
    <t>使用淤泥混凝土</t>
  </si>
  <si>
    <t>櫸木80株、蘭嶼羅漢松2株、月橘35株、淤泥混凝土5T200塊、20T1塊</t>
  </si>
  <si>
    <t>5月24開標，6月13開工</t>
  </si>
  <si>
    <t>12-5</t>
  </si>
  <si>
    <t>112年度集集攔河堰設施改善工程</t>
  </si>
  <si>
    <t>使用透水磚</t>
  </si>
  <si>
    <t>透水磚3110M2</t>
  </si>
  <si>
    <t>5月10開標，5月30開工</t>
  </si>
  <si>
    <t>12-6</t>
  </si>
  <si>
    <t>112年度湖山水庫設施維護工程</t>
  </si>
  <si>
    <t>使用塑木綠建材環保材料</t>
  </si>
  <si>
    <t>使用綠色環保的塑木塑木蓋板102m，塑木休息棧台26m2，造型塑木格柵4座</t>
  </si>
  <si>
    <t>1.7月10日開工。  2.本工程未使用大型施工機具，無施工期間機具優化減碳項目。</t>
  </si>
  <si>
    <t>12-7</t>
  </si>
  <si>
    <t>112年度湖山水庫周邊設施改善工程</t>
  </si>
  <si>
    <t>木棧道面板使用綠色環保的塑木材料1,901m</t>
  </si>
  <si>
    <t>13-1</t>
  </si>
  <si>
    <t>111年度曾文水庫公共設施工程</t>
  </si>
  <si>
    <t>1.多孔性瀝青混凝土舖面
  2.綠色環保材料</t>
  </si>
  <si>
    <t>1.使用綠色環保的塑木板材7.2m2。
  2.使用多孔性瀝青混凝土鋪面粒料1160m2
  3.意象使用LED低耗電燈材1座。</t>
  </si>
  <si>
    <t>13-2</t>
  </si>
  <si>
    <t>阿公店水庫壩頂道路改善及燕巢辦公區增設圍籬工程</t>
  </si>
  <si>
    <t>採用再生瀝青混凝土，長2138.3m，面積17106m2，體積855m3</t>
  </si>
  <si>
    <t>13-3</t>
  </si>
  <si>
    <t>112年度曾文水庫湖域保護帶治理工程第1期</t>
  </si>
  <si>
    <t>邊坡木本噴植生</t>
  </si>
  <si>
    <t>混凝土構造物使用礦物摻料20-30%之預拌混凝土</t>
  </si>
  <si>
    <t>13-6</t>
  </si>
  <si>
    <t>112年度曾文水庫公共設施工程</t>
  </si>
  <si>
    <t>1.使用綠色環保塑木板材。
  2.使用多孔性瀝青混凝土鋪面粒料
  3.使用LED低耗電燈材。</t>
  </si>
  <si>
    <t>13-7</t>
  </si>
  <si>
    <t>SP量水堰及集水井加高</t>
  </si>
  <si>
    <t>13-8</t>
  </si>
  <si>
    <t>曾文水庫辦公廳舍耐震補強工
  程</t>
  </si>
  <si>
    <t>鋼材使用預鑄品</t>
  </si>
  <si>
    <t>本案已於7月6日決標，112年7月27開工。</t>
  </si>
  <si>
    <t>13-9</t>
  </si>
  <si>
    <t>阿公店水庫房舍耐震補強工程</t>
  </si>
  <si>
    <t>13-10</t>
  </si>
  <si>
    <t>13-11</t>
  </si>
  <si>
    <t>14-1</t>
  </si>
  <si>
    <t>新店溪上游(石碇、坪林)治理工程</t>
  </si>
  <si>
    <t>就地取材、現地塊石利用</t>
  </si>
  <si>
    <t>1.就地取材，現地塊石再利用
  2.植樹153株
  3.草本、藤蔓種植3494株
  4.石籠工法94m3</t>
  </si>
  <si>
    <t>14-2</t>
  </si>
  <si>
    <t>新店溪上游(新店、烏來)治理工程</t>
  </si>
  <si>
    <t>就地取材</t>
  </si>
  <si>
    <t>1.坡面綠化面積1038m2
  2.就地取材石籠護岸28m</t>
  </si>
  <si>
    <t>14-3</t>
  </si>
  <si>
    <t>污水系統淨化槽及周邊附屬設施設置工程(北勢溪)</t>
  </si>
  <si>
    <t>綠色環保材料、節能設備及綠色工法</t>
  </si>
  <si>
    <t>1.使用FRP材質淨化槽27座，節能型電磁式鼓風機42組、加藥機21組，預鑄式污水人孔及孔蓋3座
  2.植樹50株</t>
  </si>
  <si>
    <t>14-4</t>
  </si>
  <si>
    <t>新烏地區污水系統淨化槽及周邊附屬設施設置工程</t>
  </si>
  <si>
    <t>1.使用FRP材質淨化槽16座，節能型電磁式鼓風機32組、加藥機16組，預鑄式污水人孔及孔蓋6座
  2.植樹50株</t>
  </si>
  <si>
    <t>8-</t>
  </si>
  <si>
    <r>
      <rPr>
        <b/>
        <sz val="24"/>
        <color theme="1"/>
        <rFont val="Microsoft JhengHei"/>
        <family val="2"/>
        <charset val="136"/>
      </rPr>
      <t>附件1-</t>
    </r>
    <r>
      <rPr>
        <b/>
        <sz val="24"/>
        <color rgb="FFFF0000"/>
        <rFont val="Microsoft JhengHei"/>
        <family val="2"/>
        <charset val="136"/>
      </rPr>
      <t>112</t>
    </r>
    <r>
      <rPr>
        <b/>
        <sz val="24"/>
        <color theme="1"/>
        <rFont val="Microsoft JhengHei"/>
        <family val="2"/>
        <charset val="136"/>
      </rPr>
      <t>年度工程碳排量資料表個案明細表</t>
    </r>
  </si>
  <si>
    <r>
      <rPr>
        <b/>
        <sz val="14"/>
        <color rgb="FF000000"/>
        <rFont val="Microsoft JhengHei"/>
        <family val="2"/>
        <charset val="136"/>
      </rPr>
      <t>統計日期     112.</t>
    </r>
    <r>
      <rPr>
        <b/>
        <sz val="14"/>
        <color rgb="FFFF0000"/>
        <rFont val="Microsoft JhengHei"/>
        <family val="2"/>
        <charset val="136"/>
      </rPr>
      <t>09.13</t>
    </r>
  </si>
  <si>
    <t>碳盤查工程
  (最有利標) 招標中
  112.07.18及112.07.25資格標開標均流標
  已檢討修正後重新上網，預計112.09.20第一次資格標開標</t>
  </si>
  <si>
    <t>預定112.8.17開工</t>
  </si>
  <si>
    <t>挖填土方平衡、拆除基礎塊再利用</t>
  </si>
  <si>
    <t>挖填土方平衡9151m3、既有構造物處理再利用55m3</t>
  </si>
  <si>
    <t>112.8.8開標流標，112.8.15第二次開標</t>
  </si>
  <si>
    <t>1.112.6.29開工
  2.碳排量超出部分與案5-7執行碳交換</t>
  </si>
  <si>
    <t>112.7.17預算檢討會，擬再報署增籌經費</t>
  </si>
  <si>
    <t>已於7/10第2次開標後決標。</t>
  </si>
  <si>
    <t>已於9/12上網公告，預計於9/25第1次開標。</t>
  </si>
  <si>
    <t>塊石回收</t>
  </si>
  <si>
    <t>1.既有塊石回收350m3。</t>
  </si>
  <si>
    <t>112/04/07開標，已決標</t>
  </si>
  <si>
    <t>8/25評選，評選結果簽核中</t>
  </si>
  <si>
    <t>土方就地利用、節能材料</t>
  </si>
  <si>
    <t>1.土方就地利用110M3
 2.高壓混凝土磚352M2</t>
  </si>
  <si>
    <t>6/12仍因無廠商投標而流標，6/28召開預算檢討會及招商說明會，7/7重新提送圖說，7/12重提預算書，已於8/17重新上網公告，預計9/19開標。</t>
  </si>
  <si>
    <t>設計原則7月完成核定。預算書圖已提送，9/7完成預算書圖審查，預計9月底上網。</t>
  </si>
  <si>
    <t>本案經流標後檢討原因，重新調整預算書圖，刻正簽核中，預計9月底上網招標。</t>
  </si>
  <si>
    <t>本案經流標後檢討原因，已完成預算書圖簽核程序，預計9月20日前上網招標。</t>
  </si>
  <si>
    <t>石門水庫環湖路(環翠樓前)抽泥管及污水專管延伸工程</t>
  </si>
  <si>
    <t>經主辦單位評估本案設計階段因工法調整(埋管工法改為附掛工法),且建議調整為財物採購帶安裝,採購案需延至113年發包，建議本案予以刪除。</t>
  </si>
  <si>
    <t>1.本案已於3月30日開工，目前施工中。
 2.本工程未使用大型施工機具，無施工期間機具優化減碳項目。
 3.喬木已於7月完成種植。</t>
  </si>
  <si>
    <t>1.本案已於112年4月24日申報竣工。已於112年5月29日驗收合格，已於6月28日辦理末估，已辦理決算結案。
  2.本案無法於111年決標，改列於112年控管。</t>
  </si>
  <si>
    <t>預算書簽核中，預計112年9月15日前上網招標。本工程將以評分及格最低標方式決標，預計9月30日決標。</t>
  </si>
  <si>
    <t>1.本案委託設計標已決標，目前辦理設計規劃作業。
  2. 初稿審查中，預計９月30日成立預算。
  3.預計112年11月上網公告。
  4.預計112年12月工程發包完成。</t>
  </si>
  <si>
    <t>1.本案施作內容僅為既有集水井及SP量水堰加高，材料幾乎為鋼筋混凝土，未能有編列綠色經費之部分，設計碳排量為30(tCO2e)。已發包碳排量較核定碳排量高出6頓部分，後續本局將藉由內部碳交易平衡。
  2.本工程已於112年4月27日開工。
  3.本工程未使用大型施工機具，無施工期間機具優化減碳項目
  4.本工程已於112年6月25日完工。</t>
  </si>
  <si>
    <t>1.本案主要為既有構造物耐震補強作業，未有就地取材或使用綠建材之情形，也無植樹或綠化工項。
  2.預算書簽核中，預計9月15日成立預算。</t>
  </si>
  <si>
    <t>統計日期     112.08.31</t>
  </si>
  <si>
    <t>\</t>
  </si>
  <si>
    <t>7/28上網公開招標，採最有利標，8/15資格審查。</t>
  </si>
  <si>
    <t>附件1-111年度工程碳排量資料表個案明細表 資料統計至112.02.24</t>
  </si>
  <si>
    <t>已發包碳排量
 (tCO2e)</t>
  </si>
  <si>
    <t>是否發包</t>
  </si>
  <si>
    <t>綠色經費
 (千元)</t>
  </si>
  <si>
    <t>綠色經費
 比例(%)</t>
  </si>
  <si>
    <t>喬木合計</t>
  </si>
  <si>
    <t>灌木合計</t>
  </si>
  <si>
    <t>可拆解率(%)</t>
  </si>
  <si>
    <t>施工計畫是否增加減碳章節</t>
  </si>
  <si>
    <t>(預計/實際)開工日期</t>
  </si>
  <si>
    <t>是否完成數位轉型線上填報</t>
  </si>
  <si>
    <t>經本組一鍵計算
 (tCO2e)</t>
  </si>
  <si>
    <t>經本組一鍵計算
 (kgCO2e)</t>
  </si>
  <si>
    <t>疏濬工程</t>
  </si>
  <si>
    <t>蘭陽溪33~36斷面間河段疏濬工程兼供土石採售分離作業</t>
  </si>
  <si>
    <t>施工便道就地取材18km
 挖填土方平衡6.6m3</t>
  </si>
  <si>
    <t>0111/3/14</t>
  </si>
  <si>
    <t>疏濬</t>
  </si>
  <si>
    <t>蘭陽溪員山堤防（L23-L24）基礎防護工程</t>
  </si>
  <si>
    <t>苦楝*40</t>
  </si>
  <si>
    <t>1.就地取材(拋塊石、挖填平衡)
 2.植樹40棵</t>
  </si>
  <si>
    <t>於12/15決標，辦理中</t>
  </si>
  <si>
    <t>預計112/1/10</t>
  </si>
  <si>
    <t>辦理中</t>
  </si>
  <si>
    <t>預計12/15開標</t>
  </si>
  <si>
    <t>蘭陽溪員山堤防（L28-L29）基礎防護工程</t>
  </si>
  <si>
    <t>於12/14決標，辦理中</t>
  </si>
  <si>
    <t>預計12/14開標</t>
  </si>
  <si>
    <t>111年度宜蘭海岸更新海堤歲修工程</t>
  </si>
  <si>
    <t>1.使用再生瀝青1210m2
 2.清水模板162m2</t>
  </si>
  <si>
    <t>0111/10/15</t>
  </si>
  <si>
    <t>111年度五十溪隘界二號堤防(柑宅橋段)構造物維修改善工程</t>
  </si>
  <si>
    <t>樟樹*14
 楓香*28</t>
  </si>
  <si>
    <t>薜荔*126</t>
  </si>
  <si>
    <t>1.種植喬木42株、灌木126株
 2.現地土方平衡8429m3
 3.舖植草皮966m2</t>
  </si>
  <si>
    <t>預計112/1/6</t>
  </si>
  <si>
    <t>111年蘭陽溪水系水防道路維修改善工程</t>
  </si>
  <si>
    <t>使用再生瀝青1600T</t>
  </si>
  <si>
    <t>於12/9決標，辦理中</t>
  </si>
  <si>
    <t>預計112/3/31</t>
  </si>
  <si>
    <t>管理課</t>
  </si>
  <si>
    <t>六股溪排水福龍段改善工程(二)</t>
  </si>
  <si>
    <t>苦楝/18株</t>
  </si>
  <si>
    <t>金露華/350株</t>
  </si>
  <si>
    <t>再生瀝青混凝土鋪面、現地樹木保留</t>
  </si>
  <si>
    <t>再生瀝青混凝土舖面/2,805m2
 喬木/18株
 灌木/350株</t>
  </si>
  <si>
    <t>已於9/13完成進版修正</t>
  </si>
  <si>
    <t>0111/07/28</t>
  </si>
  <si>
    <t>111年度後龍溪中平橋下堤防構造物維修改善工程</t>
  </si>
  <si>
    <t>樟樹/56株</t>
  </si>
  <si>
    <t>樹蘭/2,880株</t>
  </si>
  <si>
    <t>植草</t>
  </si>
  <si>
    <t>喬木/56株
 灌木/2,800株</t>
  </si>
  <si>
    <t>0111/07/18</t>
  </si>
  <si>
    <t>111年度南庄溪肚兜角堤防堤頂維修改善工程</t>
  </si>
  <si>
    <t>除預鑄堤頂R.C仿木欄杆外，未使用混凝土</t>
  </si>
  <si>
    <t>111年度二河局防汛備料補充工程</t>
  </si>
  <si>
    <t>水庫淤泥混凝土</t>
  </si>
  <si>
    <t>水庫淤泥/178m3</t>
  </si>
  <si>
    <t>已於9/14完成進版修正</t>
  </si>
  <si>
    <t>0111/05/23</t>
  </si>
  <si>
    <t>辦理中
 (第 1-4 項管制項目已完成)</t>
  </si>
  <si>
    <t>111年度汶水溪錦卦大橋下游河段疏濬工程兼供土石採售分離一支出標</t>
  </si>
  <si>
    <t>就地取材(砌排石工)</t>
  </si>
  <si>
    <t>就地取材(砌排石工)/3,700m2</t>
  </si>
  <si>
    <t>0111/01/17</t>
  </si>
  <si>
    <t>111期中增辦，招標中，預定112年決標</t>
  </si>
  <si>
    <t>111年度汶水溪無名橋上游河段疏濬工程兼供土石採售分離-支出標</t>
  </si>
  <si>
    <t>就地取材(舖石)</t>
  </si>
  <si>
    <t>就地取材(舖石)/11,750m2</t>
  </si>
  <si>
    <t>0111/10/31</t>
  </si>
  <si>
    <t>111年度大里溪頂崙路堤等構造物維修改善工程</t>
  </si>
  <si>
    <t>使用再生材料(再生瀝青混凝土)/厚5CM、3025M2</t>
  </si>
  <si>
    <t>是,已於9/23進版</t>
  </si>
  <si>
    <t>0111/06/13</t>
  </si>
  <si>
    <t>勞務採購 111/8/11竣工</t>
  </si>
  <si>
    <t>111年度三河局防汛備料補充工程</t>
  </si>
  <si>
    <t>使用替代材料(水庫淤泥、5T異型塊750塊)加入混凝土，減少水泥用量</t>
  </si>
  <si>
    <t>是,已於9/20進版</t>
  </si>
  <si>
    <t>0111/04/11</t>
  </si>
  <si>
    <t>111/10/06竣工</t>
  </si>
  <si>
    <t>筏子溪農路橋至十三寮排水與大雅排水合流點改善工程(左岸)</t>
  </si>
  <si>
    <t>台灣赤楠/24
 台灣海桐/23
 榔榆/8</t>
  </si>
  <si>
    <t>月橘/4833
 鵝掌藤/3042
 燈稱花/4815
 台東火刺木/2358</t>
  </si>
  <si>
    <t>植生固碳、再生瀝青混凝土鋪面、剩餘土方基礎培厚</t>
  </si>
  <si>
    <t>新植喬木55株
 新植灌木15,048株
 再生瀝青混凝土鋪面2,052M2
 新設蛇籠4,752M</t>
  </si>
  <si>
    <t>是,
 承商已先填寫,尚未核定</t>
  </si>
  <si>
    <t>預計112/01/05開工</t>
  </si>
  <si>
    <t>1.12/16決標，預計112/01/05開工
 2.施工計畫-減碳章節,承商已先填寫,尚未正式核定</t>
  </si>
  <si>
    <t>筏子溪東海橋至知高圳段整體環境營造工程</t>
  </si>
  <si>
    <t>楝樹/46
 水黃皮/26
 台灣海桐/42
 珊瑚樹/41
 雀榕/12
 森氏楊桐/20
 大頭茶/33</t>
  </si>
  <si>
    <t>厚皮香/685,白飯樹/401,小葉赤楠/887,黃楊/1552,厚葉石斑木/2142,月橘/455,鵝掌藤/1332,六月雪/3089,滿福木/2064,野牡丹/783,忍冬/756,三星果藤/2136,穗花木藍/8237,爬牆虎/759</t>
  </si>
  <si>
    <t>植生固碳、再生瀝青混凝土鋪面</t>
  </si>
  <si>
    <t>新植喬木220株
 新植灌木255,278株
 噴植草5,794M2
 再生瀝青混凝土鋪面9,547M2</t>
  </si>
  <si>
    <t>111年度樟平溪圓仔城左、右岸護岸整建工程</t>
  </si>
  <si>
    <t>相思樹/25</t>
  </si>
  <si>
    <t>月桃/174
 山芙蓉/12
 蒜香藤/150</t>
  </si>
  <si>
    <t>天然大塊石、再生瀝青混凝土</t>
  </si>
  <si>
    <t>使用再生材料(再生瀝青混凝土)/厚5CM、4100M2、天然塊石40000T</t>
  </si>
  <si>
    <t>1.12/15決標，預計112/01/05開工
 2.施工計畫-減碳章節,承商已先填寫,尚未正式核定</t>
  </si>
  <si>
    <t>大安溪廍子堤防整建工程(斷面11-1~14)</t>
  </si>
  <si>
    <t>相思樹/55
 黃花風鈴木/28
 黃槿/27</t>
  </si>
  <si>
    <t>漿砌塊石、乾砌塊石、混凝土排塊石(就地取材)和再生瀝青混凝土</t>
  </si>
  <si>
    <t>漿砌塊石(5130m2)、乾砌塊石(3365m2)、混凝土排塊石(128m2)和再生瀝青混凝土(4501m2)</t>
  </si>
  <si>
    <t>0112/01/02</t>
  </si>
  <si>
    <t>1.12/13決標，112/01/02開工
 2.施工計畫-減碳章節,承商已先填寫,尚未正式核定</t>
  </si>
  <si>
    <t>111年度眉溪守城一號堤防(內埔橋至守城橋)整建工程(斷面31~32-1)</t>
  </si>
  <si>
    <t>相思樹/35
 苦楝/33
 楓香/37
 光臘樹/72</t>
  </si>
  <si>
    <t>薜茘/959
 穗花木藍/1074</t>
  </si>
  <si>
    <t>再生瀝青混凝土鋪面209M3</t>
  </si>
  <si>
    <t>預計112/01/08開工</t>
  </si>
  <si>
    <t>1.12/19決標，預計112/01/08開工
 2.2.施工計畫-減碳章節,承商已先填寫,尚未正式核定</t>
  </si>
  <si>
    <t>111年度柳川排水潭北段護岸維修改善工程</t>
  </si>
  <si>
    <t>大王仙丹/400</t>
  </si>
  <si>
    <t>再生環保護坡磚
 植樹固炭</t>
  </si>
  <si>
    <t>再生環保材護坡磚/1208m2
 灌木/400株</t>
  </si>
  <si>
    <t>1.12/16決標，預計112/01/05開工
 2.2.施工計畫-減碳章節,承商已先填寫,尚未正式核定</t>
  </si>
  <si>
    <t>111年度貓羅溪包尾堤防及樟平溪久隆護岸堤頂歲修工程</t>
  </si>
  <si>
    <t>苦楝/124
 光臘樹/125</t>
  </si>
  <si>
    <t>植樹-喬木/249株</t>
  </si>
  <si>
    <t>0111/12/22</t>
  </si>
  <si>
    <t>1.12/22開工
 2.施工計畫-減碳章節,承商提送,審查中</t>
  </si>
  <si>
    <t>111年度四河局防汛備料補充工程</t>
  </si>
  <si>
    <t>使用水庫淤泥混凝土製作5T防汛備料計380塊，合計去化水庫淤泥計162.7M3。</t>
  </si>
  <si>
    <t>111.04.28</t>
  </si>
  <si>
    <t>一、本案原預算書詳細表工項可拆解率為 55%，經依水利工程減碳作業參考指引附件2工作項目碳排係數參考表修正部份工項編碼，可拆解率提升為 84%。
 二、原計算發包碳排量 1.067 tCO2e，經檢討修正編碼後重新計算發包碳排量 1.645 tCO2e，超過核定碳排量 445 tCO2e，，超過部分經本局111.09.26工程碳排放量審議會議裁示與「濁水溪新武界橋下游左岸堤段(0K+000～0K+600)改善工程」碳排放量餘額交易 445 tCO2e。
 三、111.11.13竣工。</t>
  </si>
  <si>
    <t>濁水溪新武界橋下游左岸堤段 (0K+000～0K+600)改善工程</t>
  </si>
  <si>
    <t>臺灣漆樹/24
 黃連木/28</t>
  </si>
  <si>
    <t>─</t>
  </si>
  <si>
    <t>1.植樹固碳，種植喬木52株，平衡工程碳排放。
 2.使用替代材料(礦物摻料50%混凝土)L=600M(數量5,910M3)，減少水泥用量。</t>
  </si>
  <si>
    <t>111.10.06</t>
  </si>
  <si>
    <t>本案設計完成之碳排放量 1,578 tCO2e，另與「111年度四河局防汛備料補充工程」交易 445 tCO2e，合計 2,023 tCO2e，尚未超過核定量。</t>
  </si>
  <si>
    <t>清水溪木瓜潭堤防整體環境營造工程</t>
  </si>
  <si>
    <t>樟木/47
 九芎/47</t>
  </si>
  <si>
    <t>馬賽克網材(環保標章建材)、噴植草</t>
  </si>
  <si>
    <t>1.植樹固碳，種植喬木94株，平衡工程碳排放。
 2.堤後坡植草L=947M(面積約5,000M2)，吸收碳量，減緩溫室效應。
 3.使用取得環保標章之建材(馬賽克磚)L=36M(面積119M2)。</t>
  </si>
  <si>
    <t>111.07.11</t>
  </si>
  <si>
    <t>一、本案原預算書詳細表工項可拆解率為 50%，經依水利工程減碳作業參考指引附件2工作項目碳排係數參考表修正部份工項編碼，可拆解率提升為 61%，無法拆解項目為水位觀測亭預製構件、景觀意象、混凝土表面粉光、油漆、拼貼馬賽克磚等無參考碳排係數之工項。
 二、原計算發包碳排量 1.944 tCO2e，經檢討修正編碼後重新計算發包碳排量 1.947 tCO2e，未超過核定碳排量。</t>
  </si>
  <si>
    <t>111年度濁水溪武界橋下游右岸堤段構造物維修改善工程</t>
  </si>
  <si>
    <t>1.使用替代材料(礦物摻料50%混凝土)L=276M(含基礎及坡面工，合計數量1,996M3)，減少水泥用量。
 2.減量設計，縮小混凝土結構物斷面。</t>
  </si>
  <si>
    <t>111.07.04</t>
  </si>
  <si>
    <t>一、111.07.04開工。
 二、111.11.29竣工。</t>
  </si>
  <si>
    <t>111年度郡坑溪信義堤防防汛道路維修改善工程</t>
  </si>
  <si>
    <t>再生瀝青混凝土</t>
  </si>
  <si>
    <t>AC鋪面使用再生材料(再生瀝青混凝土)L=730M(面積4,659M2，數量535.5T)。</t>
  </si>
  <si>
    <t>111.07.07</t>
  </si>
  <si>
    <t>一、本案設計完成之碳排放量 225 tCO2e，另與「」交易 139.929 tCO2e，合計 364.929 tCO2e，尚未超過核定量。
 二、111.12.03竣工。</t>
  </si>
  <si>
    <t>陳有蘭溪全河段疏濬土石計畫</t>
  </si>
  <si>
    <t>填方、拋填塊石、10cm河床級配粒料底層舖設、再生瀝青混凝土</t>
  </si>
  <si>
    <t>1.就地取材：現場填方(數量100,000M3)、拋填塊石(數量9,000M3)、路面底層級配料鋪設(厚度10cm*面積63,000M2)。
 2.AC鋪面使用再生材料(再生瀝青混凝土)，面積3,000M2</t>
  </si>
  <si>
    <t>尚未達廠商提送施工計畫期程</t>
  </si>
  <si>
    <t>112.01.13</t>
  </si>
  <si>
    <t>111.12.30決標</t>
  </si>
  <si>
    <t>濁水溪玉峰大橋下游段疏濬土石計畫</t>
  </si>
  <si>
    <t>1.就地取材：現場填方(數量150,000M3)、拋填塊石(數量8,000M3)、路面底層級配料鋪設(厚度10cm*面積10,000M2)。
 2.AC鋪面使用再生材料(再生瀝青混凝土)，面積1,000M2</t>
  </si>
  <si>
    <t>112.01.11</t>
  </si>
  <si>
    <t>111.12.28決標</t>
  </si>
  <si>
    <t>濁水溪彰雲大橋疏濬土石計畫</t>
  </si>
  <si>
    <t>填方、10cm河床級配粒料底層舖設、再生瀝青混凝土</t>
  </si>
  <si>
    <t>1.就地取材：現場填方(數量36,000M3)、路面底層級配料鋪設(厚度10cm*面積63,000M2)。
 2.AC鋪面使用再生材料(再生瀝青混凝土)，面積3,000M2</t>
  </si>
  <si>
    <t>和社溪桐林橋上游段疏濬工程併辦土石標售</t>
  </si>
  <si>
    <t>1.就地取材：現場填方(數量1,300M3)、拋填塊石(數量10,000M3)、路面底層級配料鋪設(厚度10cm*面積5,000M2=500M3)。
 2.AC鋪面使用再生材料(再生瀝青混凝土)，面積3,000M2，數量345T。</t>
  </si>
  <si>
    <t>111.10.10</t>
  </si>
  <si>
    <t>111.09.20決標</t>
  </si>
  <si>
    <t>濁水溪高鐵橋下游段疏濬工程併辦土石標售</t>
  </si>
  <si>
    <t>填方</t>
  </si>
  <si>
    <t>就地取材：現場填方(數量50萬M3)。</t>
  </si>
  <si>
    <t>施工計畫尚未核定</t>
  </si>
  <si>
    <t>111.12.16</t>
  </si>
  <si>
    <t>本案設計完成之碳排放量 479.929 tCO2e，超出核定碳排量 139.929 tCO2e，超過部分經本局111.09.26工程碳排放量審議會議裁示與「111年度郡坑溪信義堤防防汛道路維修改善工程」碳排放量餘額交易 139.929 tCO2e。</t>
  </si>
  <si>
    <t>濁水溪與清水溪匯流口段疏濬土石計畫</t>
  </si>
  <si>
    <t>1.就地取材：現場填方(數量160,000M3)、拋填塊石(數量10,000M3)、路面底層級配料鋪設(面積20,000M2)。
 2.AC鋪面使用再生材料(再生瀝青混凝土)，面積20,000M2。</t>
  </si>
  <si>
    <t>111年度彰化縣菜市海堤歲修工程</t>
  </si>
  <si>
    <t>檉柳/80</t>
  </si>
  <si>
    <t>AC鋪面使用再生材料(再生瀝青混凝土)，面積75M3。</t>
  </si>
  <si>
    <t>廠商已提送施工計畫，審查中尚未核定</t>
  </si>
  <si>
    <t>112.1.1</t>
  </si>
  <si>
    <t>111.12.13決標</t>
  </si>
  <si>
    <t>111年度濁水溪中游堤段構造物維修改善工程</t>
  </si>
  <si>
    <t>AC鋪面使用再生材料(再生瀝青混凝土)，面積5,620M2。</t>
  </si>
  <si>
    <t>112.1.2</t>
  </si>
  <si>
    <t>111年度彰化縣海堤構造物維修改善工程</t>
  </si>
  <si>
    <t>苦林盤/1,100</t>
  </si>
  <si>
    <t>土方平衡、預鑄材料、回收再利用</t>
  </si>
  <si>
    <t>剩餘土石方整平(數量255M3)、仿木欄杆434M、CLSM-7M3。</t>
  </si>
  <si>
    <t>111.12.29</t>
  </si>
  <si>
    <t>111.12.07決標</t>
  </si>
  <si>
    <t>111年度濁水溪大庄堤防構造物維修改善工程</t>
  </si>
  <si>
    <t>七里香/480</t>
  </si>
  <si>
    <t>加勁擋土牆</t>
  </si>
  <si>
    <t>1.鋼柵式加勁擋土牆(埋深3m)，A=329m²，數量(987m³)
 2.鋼柵式加勁擋土牆(埋深2.5m)，A=224m²，數量(560m³)</t>
  </si>
  <si>
    <t>石牛溪東明將軍堤段(一期)改善工程(一工區)</t>
  </si>
  <si>
    <t>黃連木/10株
 苦楝/44株
 杜英/63株
 無患子/88株
 大頭茶/13株
 台灣肖楠/45株
 台灣欒樹/10株
 樟樹/35株
 鐵冬青/21株
 烏心石/84株</t>
  </si>
  <si>
    <t>桃金孃/1119株
 山黃梔/3338株
 杜虹花/877株
 野牡丹/350株
 金毛杜鵑/350株
 石斑木/2102株
 月橘/1336株
 樹蘭/2004株</t>
  </si>
  <si>
    <t>就地取材
 (挖填土方平衡)、節能材料(土壤固化、竹樁)</t>
  </si>
  <si>
    <t>植樹固碳413株喬木、11476株灌木、挖填土方平衡19763m3、土壤固化6762m3、竹樁(節能材料)3966m</t>
  </si>
  <si>
    <t>111.12.01</t>
  </si>
  <si>
    <t>填報中</t>
  </si>
  <si>
    <t>預計111.12.01開工</t>
  </si>
  <si>
    <t>原核定4案，調整為併3案發包</t>
  </si>
  <si>
    <t>石牛溪東明將軍堤段(一期)改善工程(二工區)</t>
  </si>
  <si>
    <t>烏心石/43株
 苦楝/69株
 杜英/56株
 樟樹/38株
 無患子/32株
 鐵冬青/72株</t>
  </si>
  <si>
    <t>石斑木/1132株
 月橘/1580株
 山黃梔/1266株
 樹蘭/1488株
 杜虹花/761株
 桃金孃/854株</t>
  </si>
  <si>
    <t>植樹固碳164株喬木、6624株灌木、挖填土方平衡22767m3、土壤固化6189m3、竹樁(節能材料)3254m</t>
  </si>
  <si>
    <t>石牛溪東明將軍堤段(一期)改善工程(三工區)</t>
  </si>
  <si>
    <t>苦楝/84株
 烏心石/80株</t>
  </si>
  <si>
    <t>桃金孃/1144株
 山黃梔/2004株
 杜虹花/827株
 樹蘭/2148株
 珊瑚樹/501株</t>
  </si>
  <si>
    <t>就地取材
 (挖填土方平衡)、節能材料(土壤固化)</t>
  </si>
  <si>
    <t>植樹固碳310株喬木、7081株灌木、挖填土方平衡3544m3、土壤固化57m3</t>
  </si>
  <si>
    <t>111.11.28</t>
  </si>
  <si>
    <t>111.11.28開工</t>
  </si>
  <si>
    <t>石牛溪頂柴裡堤防改善工程</t>
  </si>
  <si>
    <t>九芎/167株
 黃連木/78株
 無患子/58株</t>
  </si>
  <si>
    <t>山黃梔/3998株
 珊瑚樹/3383株
 杜虹花/588株
 桃金孃/694株</t>
  </si>
  <si>
    <t>植樹固碳303株喬木、8663株灌木、挖填土方平衡42132m3、土壤固化770m3</t>
  </si>
  <si>
    <t>石牛溪下湳仔及溪州堤防改善工程</t>
  </si>
  <si>
    <t>九芎/279株
 無患子/355株
 黃連木/151株</t>
  </si>
  <si>
    <t>桃金孃/942株
 山黃梔/6146株
 珊瑚樹/5563株
 杜虹花/817株</t>
  </si>
  <si>
    <t>就地取材
 (挖填土方平衡、現地塊石利用)、節能材料(土壤固化)</t>
  </si>
  <si>
    <t>植樹固碳785株喬木、13468株灌木、挖填土方平衡11231m3、土壤固化672m3、現地塊石利用580m3</t>
  </si>
  <si>
    <t>原分為2案，調整為併1案發包</t>
  </si>
  <si>
    <t>朴子溪山中堤防改善工程(一期)</t>
  </si>
  <si>
    <t>相思樹933株</t>
  </si>
  <si>
    <t>就地取材
 (挖填土方平衡)</t>
  </si>
  <si>
    <t>植樹固碳933株喬木</t>
  </si>
  <si>
    <t>預計111.12.29開工</t>
  </si>
  <si>
    <t>已於111.12.07決標</t>
  </si>
  <si>
    <t>龜重溪篤農、吉田堤防(二期)改善工程併辦土石標售</t>
  </si>
  <si>
    <t>相思木935株</t>
  </si>
  <si>
    <t>植樹固碳935株喬木、、挖填土方平衡11231m3</t>
  </si>
  <si>
    <t>111.11.21</t>
  </si>
  <si>
    <t>111.11.21開工</t>
  </si>
  <si>
    <t>臺南市雙春海岸養灘工程</t>
  </si>
  <si>
    <t>馬鞍藤/7000株</t>
  </si>
  <si>
    <t>植樹固碳7000株灌木、挖填土方平衡70,000m3</t>
  </si>
  <si>
    <t>111.06.02</t>
  </si>
  <si>
    <t>111.06.02開工</t>
  </si>
  <si>
    <t>北港溪河沙源清疏及外海拋沙工程(第一期)</t>
  </si>
  <si>
    <t>就地取材
 (現地土方養灘)</t>
  </si>
  <si>
    <t>現地土方養灘106,000m3</t>
  </si>
  <si>
    <t>111年度八掌溪內溪洲堤段水門構造物維修改善工程</t>
  </si>
  <si>
    <t>就地取材
 (重複使用)</t>
  </si>
  <si>
    <t>既有6座水門結構保留使用</t>
  </si>
  <si>
    <t>111.08.22</t>
  </si>
  <si>
    <t>111.08.22開工</t>
  </si>
  <si>
    <t>111年度龜重溪五重堤段構造物維修改善工程</t>
  </si>
  <si>
    <t>挖填土方平衡5300m3</t>
  </si>
  <si>
    <t>111.06.23</t>
  </si>
  <si>
    <t>111.06.23開工</t>
  </si>
  <si>
    <t>111年度興安排水水防道路及水門構造物維修改善工程</t>
  </si>
  <si>
    <t>花旗木/100株</t>
  </si>
  <si>
    <t>植樹固碳100株喬木、挖填土方平衡232m3</t>
  </si>
  <si>
    <t>111.06.20</t>
  </si>
  <si>
    <t>111.06.20開工</t>
  </si>
  <si>
    <t>111年度湖子內排水心願三號橋上下游堤段構造物維修改善工程</t>
  </si>
  <si>
    <t>花旗木/400株</t>
  </si>
  <si>
    <t>植樹固碳</t>
  </si>
  <si>
    <t>植樹固碳400株喬木</t>
  </si>
  <si>
    <t>111.07.04開工</t>
  </si>
  <si>
    <t>111年度八掌菁寮及南靖堤防構造物維修改善工程</t>
  </si>
  <si>
    <t>就地取材
 (挖填土方堤前培厚)
 、再生料源
 (既有太空包留用)</t>
  </si>
  <si>
    <t>河道整理挖填土方堤前培厚500m、既有太空包留用</t>
  </si>
  <si>
    <t>111.06.16</t>
  </si>
  <si>
    <t>111.06.16開工</t>
  </si>
  <si>
    <t>111年度朴子溪東石、海埔及下雙溪堤段構造物維修改善工程</t>
  </si>
  <si>
    <t>台灣欒樹/100株</t>
  </si>
  <si>
    <t>植樹固碳100株喬木</t>
  </si>
  <si>
    <t>111年度八掌溪新塭、過路子堤防構造物維修改善工程</t>
  </si>
  <si>
    <t>水黃皮/245株</t>
  </si>
  <si>
    <t>九重葛/340株</t>
  </si>
  <si>
    <t>植樹固碳245株喬木、340株灌木、挖填土方平衡2640m3</t>
  </si>
  <si>
    <t>111.09.29</t>
  </si>
  <si>
    <t>111.09.29開工</t>
  </si>
  <si>
    <t>111年度八掌溪溪洲子寮、孫厝寮及北馬堤防構造物維修改善工程</t>
  </si>
  <si>
    <t>挖填土方平衡300m3</t>
  </si>
  <si>
    <t>111.06.10</t>
  </si>
  <si>
    <t>111.06.10開工</t>
  </si>
  <si>
    <t>111年度朴子溪蒜頭、安和及過溝堤段構造物維修改善工程</t>
  </si>
  <si>
    <t>挖填土方平衡760m3</t>
  </si>
  <si>
    <t>111年度五河局防汛備料補充工程</t>
  </si>
  <si>
    <t>再生料源
 (水庫淤泥利用)</t>
  </si>
  <si>
    <t>水庫淤泥利用2400m3</t>
  </si>
  <si>
    <t>111.04.07</t>
  </si>
  <si>
    <t>已於111.9.2完工</t>
  </si>
  <si>
    <t>急水溪斷面110-111.1疏濬工程兼供土石採售分離</t>
  </si>
  <si>
    <t>苦楝/100株</t>
  </si>
  <si>
    <t>植樹固碳100株喬木、類地毯草1200m2、挖填土方平衡26000m3、河道整理96000m2</t>
  </si>
  <si>
    <t>111.07.18</t>
  </si>
  <si>
    <t>111.07.18開工</t>
  </si>
  <si>
    <t>八掌溪斷面50-53疏濬工程兼供土石採售分離</t>
  </si>
  <si>
    <t>150m</t>
  </si>
  <si>
    <t>植樹固碳100株喬木、類地毯草1200m2</t>
  </si>
  <si>
    <t>預計111.12.30開工</t>
  </si>
  <si>
    <t>虎尾溪田頭堤段改善工程(四期)</t>
  </si>
  <si>
    <t>水黃皮/70株
 苦楝/70株
 台灣欒樹/70株</t>
  </si>
  <si>
    <t>七里香/4500株</t>
  </si>
  <si>
    <t>植樹固碳、綠色材料</t>
  </si>
  <si>
    <t>預計112.01.05開工</t>
  </si>
  <si>
    <t>111年度白水溪河東、白河堤段水防道路歲修工程</t>
  </si>
  <si>
    <t>多孔隙瀝青鋪面14000m2</t>
  </si>
  <si>
    <t>採用多孔隙鋪面材料</t>
  </si>
  <si>
    <t>111.12.12</t>
  </si>
  <si>
    <t>111.12.12開工</t>
  </si>
  <si>
    <t>鹽水溪新埔橋至北新橋堤防新建工程併辦土石標售</t>
  </si>
  <si>
    <t>苦楝100</t>
  </si>
  <si>
    <t>土方平衡、石籠工法</t>
  </si>
  <si>
    <t>石籠取代坡面工8000m3、植樹減碳100株喬木</t>
  </si>
  <si>
    <t>後堀溪三埔及壽保段護岸改善工程</t>
  </si>
  <si>
    <t>石籠取代混凝土結構9000m3</t>
  </si>
  <si>
    <t>曾文溪青草崙堤防(L15～L18)整建工程</t>
  </si>
  <si>
    <t>草海桐240</t>
  </si>
  <si>
    <t>土方平衡、結構打除再利用、拋塊石</t>
  </si>
  <si>
    <t>採用拋塊石工法123m3、植樹減碳100株喬木、240株灌木</t>
  </si>
  <si>
    <t>二仁溪雪橋上下游段整體改善工程</t>
  </si>
  <si>
    <t>石籠取代混凝土結構5300m3</t>
  </si>
  <si>
    <t>曾文溪排水分洪箱涵上游7K+820～8K+420護岸新建工程併辦土石標售</t>
  </si>
  <si>
    <t>苦檻藍2400</t>
  </si>
  <si>
    <t>土方平衡、拋塊石結構打除再利用</t>
  </si>
  <si>
    <t>現地材料再利用、採用拋塊石工法10000m3、植樹減碳2400株灌木</t>
  </si>
  <si>
    <t>111年度高雄市崎漏海堤(離岸堤編號27、28)構造物維修改善工程</t>
  </si>
  <si>
    <t>木麻黃66、大葉欖仁17</t>
  </si>
  <si>
    <t>既有塊石、異型塊再利用</t>
  </si>
  <si>
    <t>既有異型塊1500塊、塊石再利用33000m3、植樹減碳83株喬木</t>
  </si>
  <si>
    <t>111年度臺南市南區鯤鯓海堤環境營造工程</t>
  </si>
  <si>
    <t>瓊崖海棠46、大葉山欖69、苦楝351、欖仁78、紅柴29、白千層36、台灣海桐81、欖李17、黃槿295、穗花棋盤腳15、沙朴21、台灣厚殼樹14、茄苳28、構樹150、血桐100，合計1330</t>
  </si>
  <si>
    <t>苦林盤1360、苦檻藍1330、枯里珍1360、厚葉石斑木1560、草海桐2660、白水木670、文殊蘭1580，合計10520</t>
  </si>
  <si>
    <t>漿砌石、乾砌石</t>
  </si>
  <si>
    <t>砌石工法200m2、植樹減碳1330株喬木、10520株灌木</t>
  </si>
  <si>
    <t>轄管水防道路工程</t>
  </si>
  <si>
    <t>再生瀝青1500平方公尺</t>
  </si>
  <si>
    <t>再生瀝青1500m2</t>
  </si>
  <si>
    <t>111年度臺南海堤水門更新構造物維修改善工程</t>
  </si>
  <si>
    <t>拋塊石取代混凝土塊、碎石級配可採用再生粒料</t>
  </si>
  <si>
    <t>拋塊石取代混凝土塊176m3、使用再生材料150m2級配</t>
  </si>
  <si>
    <t>111年度六河局防汛備料補充工程</t>
  </si>
  <si>
    <t>5T混凝土塊800個(水庫淤泥混凝土)</t>
  </si>
  <si>
    <t>使用水庫淤泥混凝土1700m3</t>
  </si>
  <si>
    <t>曾文溪大內橋上游(斷面樁88~91號)河段疏濬工程併辦土石標</t>
  </si>
  <si>
    <t>以現地材料打設施工便道(土方2000m3)</t>
  </si>
  <si>
    <t>菜寮溪虎啣橋段護岸改善工程</t>
  </si>
  <si>
    <t>石籠取代混凝土結構10000m3</t>
  </si>
  <si>
    <t>0112/1/3</t>
  </si>
  <si>
    <t>111期中增辦</t>
  </si>
  <si>
    <t>鹽水溪崙頂堤防開運橋上游段及七甲橋至八甲橋左岸堤防(一工區)改善工程併辦土石標售</t>
  </si>
  <si>
    <t>現地材料再利用、採用拋塊石工法1500m3、植樹減碳200株喬木</t>
  </si>
  <si>
    <t>0112/1/2</t>
  </si>
  <si>
    <t>111期中增辦
 鹽水溪七甲橋至八甲橋左岸堤防改善工程(一工區)
 與鹽水溪崙頂堤防開運橋上游段整體改善工程併案</t>
  </si>
  <si>
    <t>曾文溪排水分洪箱涵上游8K+420~9K+020護岸新建工程併辦土石標售</t>
  </si>
  <si>
    <t>現地材料再利用、採用拋塊石工法6400m3、植樹減碳1500株灌木</t>
  </si>
  <si>
    <t>0112/1/10</t>
  </si>
  <si>
    <t>111年度阿公店溪前洲橋至出海口水防道路歲修工程</t>
  </si>
  <si>
    <t>再生瀝青2000平方公尺</t>
  </si>
  <si>
    <t>再生瀝青2000m2</t>
  </si>
  <si>
    <t>荖濃溪東庄護岸段改善工程</t>
  </si>
  <si>
    <t>就地取材回填方6000m3、河道整理護坦培厚加強200m、替代材料減少水泥用量</t>
  </si>
  <si>
    <t>0111/5/30</t>
  </si>
  <si>
    <t>否,已建立標案</t>
  </si>
  <si>
    <t>東港溪萬巒護岸段改善工程</t>
  </si>
  <si>
    <t>苦楝/106株</t>
  </si>
  <si>
    <t>再生瀝青500m2</t>
  </si>
  <si>
    <t>就地取材回填方2472m3、蛇籠護岸減少預拌混凝土360m、再生AC 500m2、植栽8158m2</t>
  </si>
  <si>
    <t>東港溪隴東橋上游護岸段改善工程</t>
  </si>
  <si>
    <t>陣雨樹/332株 台灣欒樹/100株</t>
  </si>
  <si>
    <t>就地取材回填10086m3，河道整理、席式護岸減少預拌混凝土860m、植栽18058m2</t>
  </si>
  <si>
    <t>0111/5/9</t>
  </si>
  <si>
    <t>屏東海岸嘉蓮里海堤段海岸防護工程</t>
  </si>
  <si>
    <t>紅花風玲木/200株</t>
  </si>
  <si>
    <t>再生瀝青6000m2</t>
  </si>
  <si>
    <t>採系統鋼模低耗能工法、使用再生AC材料6000m2、綠色植栽5000m2</t>
  </si>
  <si>
    <t>0111/6/22</t>
  </si>
  <si>
    <t>高屏溪武洛溪排水段整體環境營造工程</t>
  </si>
  <si>
    <t>落羽松/50株</t>
  </si>
  <si>
    <t>就地取材回填41500m3，河道整理、綠色植栽1250m2</t>
  </si>
  <si>
    <t>東港溪新羅康圈段整體環境營造工程</t>
  </si>
  <si>
    <t>台灣欒樹/30株</t>
  </si>
  <si>
    <t>就地取材回填方20360m3，河道整理、植生袋護坡減少預拌混凝土5376m、綠色植栽750m2</t>
  </si>
  <si>
    <t>111年度澎湖縣沙港及安宅等海堤構造物維修改善工程</t>
  </si>
  <si>
    <t>就地取材打除構造物取代塊石1120m3、選用II型水泥增加耐久性</t>
  </si>
  <si>
    <t>0111/4/18</t>
  </si>
  <si>
    <t>111年度濁口溪情人谷下游右岸護岸構造物維修改善工程</t>
  </si>
  <si>
    <t>現場塊石1927m3</t>
  </si>
  <si>
    <t>蛇籠內塊石採就地取材1927m3，河道整理</t>
  </si>
  <si>
    <t>111年度南平里海堤構造物維修改善工程</t>
  </si>
  <si>
    <t>再生瀝青2128m2</t>
  </si>
  <si>
    <t>採系統鋼模低耗能工法、使用再生AC材料2128m2</t>
  </si>
  <si>
    <t>0111/4/27</t>
  </si>
  <si>
    <t>111年度崎峰海堤構造物維修改善工程</t>
  </si>
  <si>
    <t>棋盤腳樹/79株</t>
  </si>
  <si>
    <t>草海桐/806株 文珠蘭/806株</t>
  </si>
  <si>
    <t>就地取材，河道整理、地披植物取代預拌混凝土640m、綠色植栽9044m2</t>
  </si>
  <si>
    <t>0111/5/16</t>
  </si>
  <si>
    <t>111年度葫蘆尾海堤防潮閘門構造物維修改善工程</t>
  </si>
  <si>
    <t>再生瀝青1146m2</t>
  </si>
  <si>
    <t>就地取材回填方708m3、既設構造物打除替代塊石材料2290m3、使用再生AC材料1146m2</t>
  </si>
  <si>
    <t>0111/8/22</t>
  </si>
  <si>
    <t>本案工程主要工項為閘門拓建，涉及深開挖、工區抽水及水工機械(手自動閘門)佔工程經費居多，導致碳排算資料庫沒有相關參考碳排係數，經主辦單位評估後本案拆解率仍無法提升。</t>
  </si>
  <si>
    <t>111年度荖濃溪寶來一號橋下游左岸(NO.0+350-0+600)堤段構造物維修改善工程</t>
  </si>
  <si>
    <t>陣雨樹/175株</t>
  </si>
  <si>
    <t>就地取材回填方15578m3、河道整理護坦培厚加強250m、綠色植栽2800m2</t>
  </si>
  <si>
    <t>111年度高屏溪九如、萬丹及新園堤段構造物維修改善工程</t>
  </si>
  <si>
    <t>紅花風鈴木/230株</t>
  </si>
  <si>
    <t>既設景觀磚再利用減少預拌混凝土140m、綠色植栽3680m2</t>
  </si>
  <si>
    <t>111年度轄區區域排水構造物維修改善工程</t>
  </si>
  <si>
    <t>河道雜草及淤積物清除，就近處理，減少運距50公里</t>
  </si>
  <si>
    <t>0111/4/7</t>
  </si>
  <si>
    <t>荖濃溪不老河段河道整理工程</t>
  </si>
  <si>
    <t>施工便道，就地取材，就近堆置挖方減少運距120公里</t>
  </si>
  <si>
    <t>0111/4/1</t>
  </si>
  <si>
    <t>就地取材，河道培厚</t>
  </si>
  <si>
    <t>荖濃溪勤和河段河道整理工程</t>
  </si>
  <si>
    <t>0111/4/11</t>
  </si>
  <si>
    <t>旗山溪溪洲河段河道整理工程</t>
  </si>
  <si>
    <t>0111/3/31</t>
  </si>
  <si>
    <t>美濃溪旗南河段河道整理工程</t>
  </si>
  <si>
    <t>美濃溪東和河段河道整理工程</t>
  </si>
  <si>
    <t>111年度七河局防汛備料補充工程</t>
  </si>
  <si>
    <t>5T混凝土塊/500個水庫淤泥混凝土</t>
  </si>
  <si>
    <t>採低耗能之工法、替代材料減少水泥用量、水庫淤泥活化再利用</t>
  </si>
  <si>
    <t>0111/3/22</t>
  </si>
  <si>
    <t>111年度隘寮溪三地門河段採售分離計畫</t>
  </si>
  <si>
    <t>施工便道，就地取材4,500m3</t>
  </si>
  <si>
    <t>0110/12/10</t>
  </si>
  <si>
    <t>就地取材，施工便道</t>
  </si>
  <si>
    <t>111年度隘寮溪斷面120-1至斷面122-1河段採售分離計畫</t>
  </si>
  <si>
    <t>0111/1/7</t>
  </si>
  <si>
    <t>111年度荖濃溪高美大橋上游河段採售分離計畫</t>
  </si>
  <si>
    <t>施工便道，就地取材5,400m3</t>
  </si>
  <si>
    <t>0111/1/10</t>
  </si>
  <si>
    <t>111年度荖濃溪里嶺大橋上游河段採售分離計畫</t>
  </si>
  <si>
    <t>施工便道，就地取材8,100m3</t>
  </si>
  <si>
    <t>0111/1/13</t>
  </si>
  <si>
    <t>旗山溪旗尾堤段改善工程</t>
  </si>
  <si>
    <t>櫸木/103株
 苦楝樹/103株
 九芎/90株
 光臘樹/142</t>
  </si>
  <si>
    <t>穗花木藍/47234
 胡枝子/382
 月桃/734</t>
  </si>
  <si>
    <t>使用再生AC材料2338m2、地披3684m2</t>
  </si>
  <si>
    <t>使用再生AC材料2338m2、植喬木438株、植灌木48350株、地披3684m2</t>
  </si>
  <si>
    <t>於111.12.14發包，尚未開工</t>
  </si>
  <si>
    <t>111年度高屏溪新園、萬丹及九如堤段歲修工程</t>
  </si>
  <si>
    <t>苦棵/335株</t>
  </si>
  <si>
    <t>再生瀝青混凝土鋪面13279m2</t>
  </si>
  <si>
    <t>使用再生AC材料13279m2、植喬木335株</t>
  </si>
  <si>
    <t>0111/10/7</t>
  </si>
  <si>
    <t>111年期中增辦工程</t>
  </si>
  <si>
    <t>111年度高屏溪林園、大寮及大樹堤段構造物維修改善工程</t>
  </si>
  <si>
    <t>苦楝樹/110株、台灣欒樹190株</t>
  </si>
  <si>
    <t>金絲桃300</t>
  </si>
  <si>
    <t>再生瀝青混凝土鋪面6960m2</t>
  </si>
  <si>
    <t>使用再生AC材料6960m2、植喬木300株、灌木300株</t>
  </si>
  <si>
    <t>0111/12/5</t>
  </si>
  <si>
    <t>111年度荖濃溪土庫堤防構造物維修改善工程</t>
  </si>
  <si>
    <t>苦楝/33株</t>
  </si>
  <si>
    <t>變葉木類/204株</t>
  </si>
  <si>
    <t>再生瀝青混凝土鋪面1200m2</t>
  </si>
  <si>
    <t>使用再生AC材料1200m2、植喬木33株、灌木204株</t>
  </si>
  <si>
    <t>0111/11/28</t>
  </si>
  <si>
    <t>111年度美濃溪旗南及廣福堤防設施維修改善工程</t>
  </si>
  <si>
    <t>再生瀝青混凝土鋪面2325m2</t>
  </si>
  <si>
    <t>使用再生AC材料2325m2</t>
  </si>
  <si>
    <t>111年度口隘溪泰山橋上游右岸護岸段構造物維修改善工程</t>
  </si>
  <si>
    <t>台灣欒樹25株、山櫻花25株、台灣山花25株、木荷25株</t>
  </si>
  <si>
    <t>就地取材回填533m3，河道整理、植栽2500m2</t>
  </si>
  <si>
    <t>0111/11/7</t>
  </si>
  <si>
    <t>111年度東港溪五魁寮及安平護岸段構造物維修改善工程</t>
  </si>
  <si>
    <t>苦楝150株、台灣欒樹150株</t>
  </si>
  <si>
    <t>再生瀝青混凝土鋪面1246m2</t>
  </si>
  <si>
    <t>使用再生AC材料1246m2、植喬木300株</t>
  </si>
  <si>
    <t>0112/1/1</t>
  </si>
  <si>
    <t>於111.12.12發包，尚未開工</t>
  </si>
  <si>
    <t>7-32</t>
  </si>
  <si>
    <t>111年度屏東海岸旭海、後灣及塭豐海堤等構造物維修改善工程</t>
  </si>
  <si>
    <t>於111.12.27發包，尚未開工</t>
  </si>
  <si>
    <t>7-33</t>
  </si>
  <si>
    <t>111年度轄區水門維修改善工程</t>
  </si>
  <si>
    <t>0112/1/6</t>
  </si>
  <si>
    <t>於111.12.20發包，尚未開工</t>
  </si>
  <si>
    <t>7-34</t>
  </si>
  <si>
    <t>112年度荖濃溪高美大橋上游河段採售分離計畫--支出(工程標)</t>
  </si>
  <si>
    <t>施工便道，就地取材長度(75000m)、範圍(750000m2)、數量(22500m3)</t>
  </si>
  <si>
    <t>112.12.15</t>
  </si>
  <si>
    <t>7-35</t>
  </si>
  <si>
    <t>112年度荖濃溪里嶺大橋上游河段採售分離計畫--支出(工程標)</t>
  </si>
  <si>
    <t>施工便道，就地取材長度(440m)、範圍(4400m2)、數量(1320m3)</t>
  </si>
  <si>
    <t>112.12.7</t>
  </si>
  <si>
    <t>7-36</t>
  </si>
  <si>
    <t>112年度隘寮溪三地門河段採售分離計畫--支出（工程標）</t>
  </si>
  <si>
    <t>施工便道，就地取材長度(978m)、範圍(9780m2)、數量(978m3)</t>
  </si>
  <si>
    <t>0111/11/23</t>
  </si>
  <si>
    <t>7-37</t>
  </si>
  <si>
    <t>112年度隘寮溪斷面118至斷面120河段採售分離計畫--支出（工程標）</t>
  </si>
  <si>
    <t>施工便道，就地取材長度(95.7m)、範圍(957m2)、數量(287m3)</t>
  </si>
  <si>
    <t>112.12.20</t>
  </si>
  <si>
    <t>111年度豐里一號海岸保護工構造物維修改善工程</t>
  </si>
  <si>
    <t>草海桐515株、馬鞍藤1542株。計2057株</t>
  </si>
  <si>
    <t>大塊石5911M3(60CM以上)</t>
  </si>
  <si>
    <t>綠化植生固碳、採用大塊石等天然材料減少混凝土用量。</t>
  </si>
  <si>
    <t>已於9/13完成進版修正。</t>
  </si>
  <si>
    <t>0111/7/10</t>
  </si>
  <si>
    <t>111/7/10開工，於111/12/05竣工</t>
  </si>
  <si>
    <t>111年度卑南溪瑞源堤防構造物維修改善工程</t>
  </si>
  <si>
    <t>小喬木：
 宜梧600株、臺東火刺木600株，蘭嶼羅漢松600株、春不老600株。計2400株</t>
  </si>
  <si>
    <t>其他：甜根子草1200株。</t>
  </si>
  <si>
    <t>挖填平衡197,702M3</t>
  </si>
  <si>
    <t>綠化植生固碳、土方挖填平衡減少搬運之車輛機具廢氣排放汙染與能源的消耗、就地取材採用塊石護坡減少材料運輸。</t>
  </si>
  <si>
    <t>0111/7/7</t>
  </si>
  <si>
    <t>111/7/7開工，於111/12/13竣工</t>
  </si>
  <si>
    <t>111年度八河局(臺東縣)防汛備料補充工程</t>
  </si>
  <si>
    <t>瓊涯海棠/33株
 茄苳/91株</t>
  </si>
  <si>
    <t>月橘/2932株
 黃紋萬年麻/5株</t>
  </si>
  <si>
    <t>挖填平衡 350M3、環保磚 751M2、密排大塊石252M2、入口意象大塊石 1處</t>
  </si>
  <si>
    <t>綠化植生固碳、採用環保材料減碳、土方挖填平衡減少土方搬運之車輛機具廢氣排放汙染與能源的消耗。</t>
  </si>
  <si>
    <t>111/5/30開工，於111/12/13竣工</t>
  </si>
  <si>
    <t>111年度八河局(金門縣)防汛備料補充工程</t>
  </si>
  <si>
    <t>台灣欒樹/55株</t>
  </si>
  <si>
    <t>七里香/594株</t>
  </si>
  <si>
    <t>大塊石∮100~120cm/1,000M3</t>
  </si>
  <si>
    <t>綠化植生固碳、採用大塊石等天然材料並吊用廢堤之原有混凝土塊作為防汛備料，減少混凝土用量。</t>
  </si>
  <si>
    <t>0111/5/23</t>
  </si>
  <si>
    <t>111/5/23開工，於111/12/14竣工</t>
  </si>
  <si>
    <t>卑南溪德高段疏濬土石採售分離作業計畫-工程標</t>
  </si>
  <si>
    <t>大塊石、土石方</t>
  </si>
  <si>
    <t>已於10/16完成進版修正。</t>
  </si>
  <si>
    <t>0111/2/7</t>
  </si>
  <si>
    <t>111/6/7竣工，111/6/22驗收完成、結案</t>
  </si>
  <si>
    <t>卑南溪臺東大堤基礎改善工程</t>
  </si>
  <si>
    <t>木麻黃553株</t>
  </si>
  <si>
    <t>塊石20,294M3</t>
  </si>
  <si>
    <t>0111/12/26</t>
  </si>
  <si>
    <t>期中增辦，本工程於111年12月6日決標，已於111/12/26開工</t>
  </si>
  <si>
    <t>中濱海岸段調適改善工程</t>
  </si>
  <si>
    <t>草海桐40株、馬鞍藤70株</t>
  </si>
  <si>
    <t>大塊石8,789M3</t>
  </si>
  <si>
    <t>0111/12/29</t>
  </si>
  <si>
    <t>期中增辦，本工程於111年12月7日決標，已於111/12/29開工</t>
  </si>
  <si>
    <t>111年度臺東海岸重安及和平海岸保護工歲修工程</t>
  </si>
  <si>
    <t>大塊石長徑≧60cm佔70%以上，1,007M3</t>
  </si>
  <si>
    <t>採用大塊石等天然材料減少混凝土用量</t>
  </si>
  <si>
    <t>已於12/26核定</t>
  </si>
  <si>
    <t>0111/12/19</t>
  </si>
  <si>
    <t>期中增辦，本工程已於111年11月29日決標，已12月19日開工。</t>
  </si>
  <si>
    <t>112年度卑南溪后湖段疏濬土石採售分離作業計畫-工程標</t>
  </si>
  <si>
    <t>本工程已於111年12月26日決標，預定112年1月6日開工。</t>
  </si>
  <si>
    <t>111年度花蓮溪水系各堤段設施維修改善工程</t>
  </si>
  <si>
    <t>苦楝樹/720株 光臘樹/1120株 無患子/520株 樟樹/235株 
 水柳/89株</t>
  </si>
  <si>
    <t>月橘/860株</t>
  </si>
  <si>
    <t>1.回收塊石259m3，土方就地利用2,589m3。
 2.高灘植樹減碳面積800*60=48,000m2。</t>
  </si>
  <si>
    <t>已增加減碳章節</t>
  </si>
  <si>
    <t>111/07/04開工</t>
  </si>
  <si>
    <t>111年度秀姑巒溪水系各堤段設施維修改善工程</t>
  </si>
  <si>
    <t>1.塊石就地取材2,922m3。
 2.土方就地利用42,894m3。</t>
  </si>
  <si>
    <t>111/06/17開工</t>
  </si>
  <si>
    <t>防汛備料補充工程</t>
  </si>
  <si>
    <t>光臘/120</t>
  </si>
  <si>
    <t>堆置場周界植樹減碳，面積120*25=3,000m2</t>
  </si>
  <si>
    <t>111/03/03開工</t>
  </si>
  <si>
    <t>於111.08.11完工
 無使用開挖機及貨車</t>
  </si>
  <si>
    <t>1.塊石就地取材3,082m3。
 2.土方就地利用7,086m3。</t>
  </si>
  <si>
    <t>尚未開工</t>
  </si>
  <si>
    <t>112/01/26預定開工</t>
  </si>
  <si>
    <t>112/01/04開標，已決標</t>
  </si>
  <si>
    <t>秀姑巒溪加納納堤段河道整理工程</t>
  </si>
  <si>
    <t>1.塊石就地取材1,587m3。
 2.土方就地利用230,609m3。
 3.既有鼎塊回收利用736塊。</t>
  </si>
  <si>
    <t>111/01/05開工</t>
  </si>
  <si>
    <t>12/14開標，已決標</t>
  </si>
  <si>
    <t>塊石就地取材</t>
  </si>
  <si>
    <t>1.塊石就地取材770m3。</t>
  </si>
  <si>
    <t>112/01/29預定開工</t>
  </si>
  <si>
    <t>112/01/09開標</t>
  </si>
  <si>
    <t>111年度花蓮溪中興堤段構造物維修改善工程</t>
  </si>
  <si>
    <t>就地取材
 回收鼎塊</t>
  </si>
  <si>
    <t>1.土方就地利用11,446m3
 2.回收鼎塊266塊</t>
  </si>
  <si>
    <t>112/01/15開工</t>
  </si>
  <si>
    <t>12/21開標，12/26決標</t>
  </si>
  <si>
    <t>花蓮溪壽豐堤段河道整理工程</t>
  </si>
  <si>
    <t>樟樹/300
 相思樹/249</t>
  </si>
  <si>
    <t>塊石就地取材
 回收鼎塊</t>
  </si>
  <si>
    <t>1.塊石就地取材130m3。
 2.土方就地利用11,136m3。
 3.回收鼎塊190塊。</t>
  </si>
  <si>
    <t>111/12/22開工</t>
  </si>
  <si>
    <t>12/1已開標，已決標</t>
  </si>
  <si>
    <t>荖溪光榮橋下游左右岸堤段整體環境改善工程</t>
  </si>
  <si>
    <t>877/相思樹</t>
  </si>
  <si>
    <t>864珠</t>
  </si>
  <si>
    <t>就地取材、土方平衡</t>
  </si>
  <si>
    <t>回收現場塊石約1400m2</t>
  </si>
  <si>
    <t>111/12/20開工</t>
  </si>
  <si>
    <t>12/12已決標</t>
  </si>
  <si>
    <t>三峽河秀川護岸基礎設施防護工程</t>
  </si>
  <si>
    <t>將混凝土擋水牆108M改為鋁合金臨時性防汛檔板。</t>
  </si>
  <si>
    <t>0111/7/22</t>
  </si>
  <si>
    <t>大漢溪右岸浮洲橋至鐵路橋河段改善工程(第一期第二標)</t>
  </si>
  <si>
    <t>挖方(就地取材)195729M3</t>
  </si>
  <si>
    <t>0111/02/09</t>
  </si>
  <si>
    <t>塔寮坑溪排水(4K+727～5K+195)右岸整建工程</t>
  </si>
  <si>
    <t>再生瀝青
 環保標章材料</t>
  </si>
  <si>
    <t>再生瀝青980M2，
 仿木欄杆(環保標章材料)160M</t>
  </si>
  <si>
    <t>0111/07/08</t>
  </si>
  <si>
    <t>「鶯歌溪育英橋上下游右岸護岸改善工程(1K+021～387)」</t>
  </si>
  <si>
    <t>台灣欒樹/19株</t>
  </si>
  <si>
    <t>黃金葉金露華/3000株</t>
  </si>
  <si>
    <t>植樹喬木19株，
 灌木3000株</t>
  </si>
  <si>
    <t>0111/05/18</t>
  </si>
  <si>
    <t>三峽河礁溪段及大埔段整體環境改善工程</t>
  </si>
  <si>
    <t>青剛櫟/109株
 富士櫻/73株
 樟樹/21株
 楓香/6株</t>
  </si>
  <si>
    <t>日本女貞/2020株
 春不老/2020株
 月橘/1067株</t>
  </si>
  <si>
    <t>就地取材
 再生料源
 環保標章材料</t>
  </si>
  <si>
    <t>喬木209株、灌木5107株、就地取材(近運填方)4244M3、再生瀝青1440M2、塊卵石現場採取516M3、預鑄路緣石(環保標章材料)480M</t>
  </si>
  <si>
    <t>0111/09/16</t>
  </si>
  <si>
    <t>磺溪南勢湖二號堤防整建工程</t>
  </si>
  <si>
    <t>台灣肖楠/63株</t>
  </si>
  <si>
    <t>荷花/50株
 平戶杜鵑/3493株
 皋月杜鵑/2673株</t>
  </si>
  <si>
    <t>環保標章材料</t>
  </si>
  <si>
    <t>植樹喬木63株，
 灌木6216株，
 馬賽克磚(環保標章材料)1177.8才</t>
  </si>
  <si>
    <t>0111/07/22</t>
  </si>
  <si>
    <t>111年度十河局防汛備料補充工程</t>
  </si>
  <si>
    <t>淤泥混凝土</t>
  </si>
  <si>
    <t>淤泥混凝土1000M3</t>
  </si>
  <si>
    <t>111年大漢溪土城堤防(8K+550~9K+450及9K+750~9K+850)改善工程</t>
  </si>
  <si>
    <t>再生瀝青</t>
  </si>
  <si>
    <t>再生瀝青3600M2</t>
  </si>
  <si>
    <t>12/8決標</t>
  </si>
  <si>
    <t>111年度淡水河三重堤防淡023上游段及西定河分洪道出口右岸海岸保護工歲修工程</t>
  </si>
  <si>
    <t>高壓混凝土地磚(環保標章材料)975M2 
 噴植草1200M2</t>
  </si>
  <si>
    <t>0111/12/16</t>
  </si>
  <si>
    <t>111年度基隆河龍川段護岸邊坡維修改善工程</t>
  </si>
  <si>
    <t>春不老/2467株</t>
  </si>
  <si>
    <t>灌木2467株
 就地取材3379M3</t>
  </si>
  <si>
    <t>111年度基隆河(基073-098)構造物維護工程</t>
  </si>
  <si>
    <t>光臘樹/60株
 樟樹/60株</t>
  </si>
  <si>
    <t>杜鵑/7443株
 桔梗蘭/14687株</t>
  </si>
  <si>
    <t>光臘樹/60株
 樟樹/60株
 杜鵑/7443株
 桔梗蘭/14687株</t>
  </si>
  <si>
    <t>施工計畫審查中</t>
  </si>
  <si>
    <t>0112/01/07</t>
  </si>
  <si>
    <t>12/20決標</t>
  </si>
  <si>
    <t>淡水河左岸蘆洲疏濬（含河道整理）工程第二期第一標</t>
  </si>
  <si>
    <t>苦楝80株</t>
  </si>
  <si>
    <t>台灣海桐2000株</t>
  </si>
  <si>
    <t>挖方（就地取材）約38000M3</t>
  </si>
  <si>
    <t>未開工</t>
  </si>
  <si>
    <t>12/29決標</t>
  </si>
  <si>
    <t>石門水庫依山閣增設無障礙電梯工程</t>
  </si>
  <si>
    <t>使用符合環保標章或綠建材認證之材料
 輕隔間72.1m2
 天花板210.8m2</t>
  </si>
  <si>
    <t>0111/7/8</t>
  </si>
  <si>
    <t>1.機電設備類。
 2.本案使用挖土機(PC200)係數為0，另本案土方工程計畫採6.5T貨車載運，表中查無係數。</t>
  </si>
  <si>
    <t>111年度寶山第二水庫周邊設施改善工程</t>
  </si>
  <si>
    <t>塊石回填、漿砌石</t>
  </si>
  <si>
    <t>最小營建規模、因地制宜使用自然材料之施工方法
 漿砌石56m2
 現採塊石回填134m3</t>
  </si>
  <si>
    <t>寶山第二水庫溢洪道堰體及相關設施改善工程</t>
  </si>
  <si>
    <t>200株(樟樹25株、青剛櫟25株、光臘樹25株、楝樹25株、茄冬100株)</t>
  </si>
  <si>
    <t>巨積混凝土、CLSM</t>
  </si>
  <si>
    <t>使用綠色材料，植樹固碳</t>
  </si>
  <si>
    <t>1. 原「寶山第二水庫溢洪道溢流堰加高及排水改善工程」更改工程名稱為「寶山第二水庫溢洪道堰體及相關設施改善工程」，並提高發包預算，已於12月29日開標，仍無廠商投標。
 2. 後續本案將依前簽鈞長裁示撤案，本案工作內容併「石門水庫至新竹聯通管工程計畫」內招標，擬建議撤案。</t>
  </si>
  <si>
    <t>111年度白石溪秀巒防砂壩保育治理工程</t>
  </si>
  <si>
    <t>綠色材料、就地取材</t>
  </si>
  <si>
    <t>綠色材料-高性能混凝土用量605m；綠色材料-就地取材 便道長度150m</t>
  </si>
  <si>
    <t>112//1/11</t>
  </si>
  <si>
    <t>111年11月29日決標。(尚未開工)</t>
  </si>
  <si>
    <t>111年度玉峰溪玉峰防砂壩下游保育治理工程</t>
  </si>
  <si>
    <t>塊石護岸</t>
  </si>
  <si>
    <t>魚道112M、舖石護岸50m、近運回填1091m3</t>
  </si>
  <si>
    <t>111年12月7日決標。</t>
  </si>
  <si>
    <t>111年石門水庫上游段羅浮橋下淤積物挖裝作業及附屬設施工程(開口合約)</t>
  </si>
  <si>
    <t>因地制宜使用自然材料之施工方法(培厚)</t>
  </si>
  <si>
    <t>近運填方10萬立方公尺</t>
  </si>
  <si>
    <t>12月中</t>
  </si>
  <si>
    <t>1.疏濬工程(開口合約)，9月13日決標。
 2.因石門水庫水位仍高，尚無法開工。</t>
  </si>
  <si>
    <t>111年石門水庫集水區義興防砂壩淤積清除作業及附屬設施工程(開口契約)</t>
  </si>
  <si>
    <t>因地制宜使用自然材料之施工方法</t>
  </si>
  <si>
    <t>0111/9/15</t>
  </si>
  <si>
    <t>疏濬工程(開口合約)</t>
  </si>
  <si>
    <t>111年度石岡壩庫區周邊改善工程</t>
  </si>
  <si>
    <t>使用清碎石代替混凝土或AC詩作路面</t>
  </si>
  <si>
    <t>1.本件工程主要工項為監測儀器改善工程，經pcces核算後汰排量為61噸。 2.原預定辦理種植喬木，因自大安大甲工程辦理移植植栽，爰取消辦理，另辦理種植灌木53株(綠籬)。 3.設計清碎石路面替代混凝土路面，長度18公尺。</t>
  </si>
  <si>
    <t>111年7月11日開工</t>
  </si>
  <si>
    <t>已填報，碳排計算系統檢核拆解率73%。</t>
  </si>
  <si>
    <t>6月21決標；決標金額7686(千元)</t>
  </si>
  <si>
    <t>111年度石岡壩設施維護工程</t>
  </si>
  <si>
    <t>再生瀝青混凝土舖面(30%回收料，5cm厚)-735680元；淤泥混凝土製作消波塊-11972660元</t>
  </si>
  <si>
    <t>1.本件瀝青混凝土工程使用瀝青回收料，鋪築面積為1672m2。 2.混凝土異型塊使用水庫淤積淤泥作為拌合材料，計490個，預計去化500m3。</t>
  </si>
  <si>
    <t>111年4月11日開工</t>
  </si>
  <si>
    <t>已填報，碳排計算系統檢核拆解率84%。</t>
  </si>
  <si>
    <t>3月22決標；決標金額19,200(千元)</t>
  </si>
  <si>
    <t>111年度石岡壩清淤挖採工程</t>
  </si>
  <si>
    <t>就地取材，使用現地土石方</t>
  </si>
  <si>
    <t>就地取材施設導水圍堤及施工便道約2000公尺</t>
  </si>
  <si>
    <t>12月7日送審後修正中</t>
  </si>
  <si>
    <t>前置作業工程施作中，收入標預計於112.01.30辦理說明會(第3次流標)，預定112.2開工</t>
  </si>
  <si>
    <t>已填報，碳排計算系統檢核拆解率86%。</t>
  </si>
  <si>
    <t>11/2開標，決標金額16,380(千元)</t>
  </si>
  <si>
    <t>111年度集集攔河堰設施維護工程</t>
  </si>
  <si>
    <t>採用巨大塊石3000M3</t>
  </si>
  <si>
    <t>使用大塊石回填3000M3，減少混凝土使用量，其費用佔發包工作費5%以上，符合管制總量。</t>
  </si>
  <si>
    <t>111年4月18日開工</t>
  </si>
  <si>
    <t>已填報，碳排計算系統檢核拆解率72%。</t>
  </si>
  <si>
    <t>3月29日決標；決標金額2231萬</t>
  </si>
  <si>
    <t>111年度集集攔河堰設施改善工程</t>
  </si>
  <si>
    <t>再生瀝青混凝土22146m2</t>
  </si>
  <si>
    <t>使用再生材料有再生瀝青22146m2、飛灰、瀘石及矽灰，其費用佔發包工作費5%以上，符合管制總量。</t>
  </si>
  <si>
    <t>111年6月20日開工</t>
  </si>
  <si>
    <t>已填報，碳排計算系統檢核拆解率60%。</t>
  </si>
  <si>
    <t>6月1日開標；決標金額3581萬</t>
  </si>
  <si>
    <t>111年度集集攔河堰溢洪道閘門噴砂油漆維護工程</t>
  </si>
  <si>
    <t>1.施工擋抽排水部分，採用現地土沙製成沙包擋水，減少排碳。
 2.噴砂材料為石英砂，施工廠商可回收後，重複使用。</t>
  </si>
  <si>
    <t>111年7月18日開工</t>
  </si>
  <si>
    <t>已填報，工項碳排量編碼無該工作項目碳排係數，導致系統顯示拆解率僅達33%。</t>
  </si>
  <si>
    <t>6月29日決標；決標金額1172.0656萬
 工程品管數位化系統-碳排量計算，本工程之工項碳排量編碼，無該工作項目碳排係數，導致系統顯示拆解率僅達33%。</t>
  </si>
  <si>
    <t>集集攔河堰111及112年度蓄水範圍清淤挖採工程</t>
  </si>
  <si>
    <t>1.施工便道，臨時圍堤，約5,000m3
 2.搬運大石作成低水護岸，約20000m3</t>
  </si>
  <si>
    <t>預計112年3月1日開工</t>
  </si>
  <si>
    <t>已填報，碳排計算系統檢核拆解率62%。</t>
  </si>
  <si>
    <t>11月30日決標；決標金額4598萬</t>
  </si>
  <si>
    <t>111年度鯉魚潭水庫周邊設施改善工程</t>
  </si>
  <si>
    <t>無混凝土工項</t>
  </si>
  <si>
    <t>使用塑木欄杆長度60公尺，其費用佔發包工作費8%，符合管制總量</t>
  </si>
  <si>
    <t>111年7月7日開工</t>
  </si>
  <si>
    <t>6月15日決標，決標金額4271千元</t>
  </si>
  <si>
    <t>111年度鯉魚潭水庫所轄設施更新改善工程</t>
  </si>
  <si>
    <t>再生瀝青混凝土389m3</t>
  </si>
  <si>
    <t>使用再生材料有再生瀝青，其費用佔發包工作費5%以上，符合管制總量。</t>
  </si>
  <si>
    <t>111年11月15日開工</t>
  </si>
  <si>
    <t>已填報，碳排計算系統檢核拆解率75%。</t>
  </si>
  <si>
    <t>10月26日決標；決標金額615萬</t>
  </si>
  <si>
    <t>111年度湖山水庫設施維護工程</t>
  </si>
  <si>
    <t>變葉木/2700株</t>
  </si>
  <si>
    <t>設計考量以就地回填土包袋1824m2辦理護坡，減少混凝土等高碳排工項之使用，坡面復育增加植樹450m2固碳，綠色經費佔發包工作費5%以上，碳排量亦符合管制總量內。</t>
  </si>
  <si>
    <t>111年7月25日開工</t>
  </si>
  <si>
    <t>已填報，碳排計算系統檢核成功。</t>
  </si>
  <si>
    <t>7月6日決標，決標金額5720千元；依新版PCCES計算，植樹減碳151(tCO2e)</t>
  </si>
  <si>
    <t>111年度湖山水庫周邊設施改善工程</t>
  </si>
  <si>
    <t>烏桕/110株</t>
  </si>
  <si>
    <t>土石籠環保織布袋</t>
  </si>
  <si>
    <t>設計考量以箱型土石籠護岸來替代傳統混凝土護岸156m，減少混凝土使用量並就地取材，同時土石堆置區完成面輔以植樹2880m2固碳，綠色經費佔發包工作費5%以上，碳排量亦符合管制總量內。</t>
  </si>
  <si>
    <t>111年6月27日開工</t>
  </si>
  <si>
    <t>高屏堰興田伏流水發電機備援電力平台建置工程</t>
  </si>
  <si>
    <t>1.土方挖填平衡不外運
 2.基樁採預鑄工法，減少開挖30m3</t>
  </si>
  <si>
    <t>0111/3/4</t>
  </si>
  <si>
    <t>本案於去年設計，工程預算111年2月8日核准，並已於2月22日決標。已於111年7月1日竣工</t>
  </si>
  <si>
    <t>111年度曾文水庫湖域保護帶治理工程(第一期)</t>
  </si>
  <si>
    <t>1.混凝土構造物使用礦物摻料20-30%之預拌混凝土
 2.邊坡裸露辦理邊坡噴植生9777m2。</t>
  </si>
  <si>
    <t>本工程已於111年12月16日完工</t>
  </si>
  <si>
    <t>111年度曾文水庫集水區主流大埔壩護岸加固工程</t>
  </si>
  <si>
    <t>喬灌木植栽</t>
  </si>
  <si>
    <t>1.混凝土構造物使用礦物摻料20-30%之預拌混凝土
 2.河床料就地取材11000m3用於構造物背填。</t>
  </si>
  <si>
    <t>0111/10/23</t>
  </si>
  <si>
    <t>本工程已於10/23日開工</t>
  </si>
  <si>
    <t>13-4</t>
  </si>
  <si>
    <t>111年度曾文水庫集水區主流福美吊橋上游護岸及基腳保護工加固工程</t>
  </si>
  <si>
    <t>1.混凝土構造物使用礦物摻料20-30%之預拌混凝土。
 2.加勁擋土牆660m2，回填材料就地取材約4000m3。</t>
  </si>
  <si>
    <t>0112/1/16</t>
  </si>
  <si>
    <t>1.本案已於12月27日決標，112年1月16日開工。</t>
  </si>
  <si>
    <t>13-5</t>
  </si>
  <si>
    <t>111年度曾文水庫集水區主流福山壩上游河道疏通工程</t>
  </si>
  <si>
    <t>土石方就地取材</t>
  </si>
  <si>
    <t>利用既有河床料辦理河道兩岸灘地培厚25萬m3，土方不外運。</t>
  </si>
  <si>
    <t>0111/10/28</t>
  </si>
  <si>
    <t>本工程已於10/28日開工</t>
  </si>
  <si>
    <t>112年甲仙攔河堰淤泥混凝土異型塊製作(含蝕溝消能工)工程</t>
  </si>
  <si>
    <t>採用淤泥混凝土</t>
  </si>
  <si>
    <t>本工程預計製作200塊20T混凝土異型塊，利用曾文水庫清淤土方取代混凝土異型塊細粒料，估計可去化曾文水庫530立方公尺淤泥，水庫淤泥用於淤泥混凝土塊製作，為多元化去除淤泥之可行方式。由於利用原本放淤的料源取代河川砂石細粒料，為工程減碳方案之一。</t>
  </si>
  <si>
    <t>1.預算書於10月11日核准，工程預算經費15,000千元，核算綠色經費9,824千元。
 2.本案使用112年之預算於明年初施工，採評分及格最低標方式決標，已於111年10月26日上網，於11月25日資格標開標(第三次開標)，1家合格廠商。
 3.已於111年12月6日完成審查會，1家合格，並於12月12日決標，預計112年1月1日開工。</t>
  </si>
  <si>
    <t>0112/1/30</t>
  </si>
  <si>
    <t>1.預算書於8月31日核准，工程預算經費9,100千元，核算綠色經費4,450千元(使用再生瀝青，工作費不含管理費、稅)。
 2.本案為尋求較優良施工廠商，決標方式採評分及格最低標，故所需行政流程較為繁複。於111年10月21日第1次開資格標流標，111年11月1日第2次開資格標，1家合格，預計11月21日開審查會。
 3.已於11月21完成審查會，1家合格，於11月29召開價格標，惟投標廠商超底價不願減價，主持人宣布廢標，刻正重新辦理招標，已於12月27日開資格標，4家投標、3家合格。預計112年1月中旬開採購審查會(規格標)。
 4.本案無法於111年決標，改列於112年控管。</t>
  </si>
  <si>
    <t>111年度曾文水庫湖域保護帶治理工程第二期</t>
  </si>
  <si>
    <t>0112/1/18</t>
  </si>
  <si>
    <t>1.本案已於12月29日決標，預定112年1月18日開工。</t>
  </si>
  <si>
    <t>1.多孔性瀝青混凝土舖面
 2.綠色環保材料</t>
  </si>
  <si>
    <t>1.使用綠色環保的塑木板材7.2m2。
 2.使用多孔性瀝青混凝土鋪面粒料1160m2
 3.意象使用LED低耗電燈材1座。</t>
  </si>
  <si>
    <t>0112/2/9</t>
  </si>
  <si>
    <t>1.本案於111年12月21日第3次開標，因無廠商投標流標，目前已將標案下架重新檢討，預計112年1月11日重新上網招標、1月31日開標(因春節年假延後)，2月10日前辦理評分及格最低標評審作業(預定112年2月18日前決標)。</t>
  </si>
  <si>
    <t>高屏堰111及112年度採售分離週邊計畫(左岸出料)</t>
  </si>
  <si>
    <t>設計中</t>
  </si>
  <si>
    <t>施工便道就地取材600m3</t>
  </si>
  <si>
    <t>1.預算書於9月29日核准，工程預算發包經費45,440千元，核算綠色經費4,330千元，預算編列清淤94.5萬噸土方。
 2.僅疏濬作業，無施作主體結構或相關附屬設施。
 3.疏濬計畫每年常態性辦理且為全年疏濬，設計規劃係依汛期後河道淤積量狀況規劃範圍及疏濬量，已於111年10月14日公告，等標期14天，10月27日資格標開標，於11月23日辦理評審會議，12月1日決標。預定12月22日開工</t>
  </si>
  <si>
    <t>高屏堰111及112年度採售分離週邊計畫(右岸出料)</t>
  </si>
  <si>
    <t>施工便道就地取材900m3</t>
  </si>
  <si>
    <t>1.預算書於10月11日核准，工程預算經費42,900千元，核算綠色經費6,300千元，預算編列清淤94.5萬噸土方。
 2.僅疏濬作業，無施作主體結構或相關附屬設施。
 3.疏濬計畫每年常態性辦理且為全年疏濬，設計規劃係依汛期後河道淤積量狀況規劃範圍及疏濬量，已於111年10月27日公告，等標期14天，11月9日第1次資格標開標流標，11月16日第2次資格標開標標出，11月21日開評審會，12月1日決標。預定12月22日開工</t>
  </si>
  <si>
    <t>13-12</t>
  </si>
  <si>
    <t>高屏堰上游左岸2號丁壩修護及加固工程</t>
  </si>
  <si>
    <t>施工便道就地取材400m3</t>
  </si>
  <si>
    <t>1.預算書於11月7日核准，工程預算經費45,000千元，核算綠色經費5,924千元。
 2.僅莉用地工織物編織成袋，就地取材澆灌袋體做為導流工，無施作混凝土結構物。
 3.11月29日第一次開標，兩家投標未達三家，流標，於12月6日開第二次標決標。預定12月26日開工</t>
  </si>
  <si>
    <t>111年度臺北水源特定區1號集水區治理工程</t>
  </si>
  <si>
    <t>就地取材/
 草蓆覆蓋綠化L=123m</t>
  </si>
  <si>
    <t>111.02.02</t>
  </si>
  <si>
    <t>已完工</t>
  </si>
  <si>
    <t>111年度臺北水源特定區2號集水區治理工程</t>
  </si>
  <si>
    <t>台灣油杉12
 水柳1</t>
  </si>
  <si>
    <t>烏來杜鵑16
 燈稱花28朱槿639株</t>
  </si>
  <si>
    <t>就地取材、植樹固碳/
 種植面積250m2</t>
  </si>
  <si>
    <t>111.03.21</t>
  </si>
  <si>
    <t>111年度臺北水源特定區3號集水區治理工程</t>
  </si>
  <si>
    <t>樟樹20株
 楠木類21株</t>
  </si>
  <si>
    <t>喬木植栽、草種復育</t>
  </si>
  <si>
    <t>就地取材、植樹固碳/
 種植面積300m2、草種復育1200m2</t>
  </si>
  <si>
    <t>111.05.09</t>
  </si>
  <si>
    <t>虎豹潭水資源設施環境改善工程</t>
  </si>
  <si>
    <t>青楓/1
 山櫻花/1</t>
  </si>
  <si>
    <t>野牡丹/317
 台灣馬藍/248
 倒地蜈蚣/54</t>
  </si>
  <si>
    <t>乾砌石、FRP製淨化槽、拆除高壓磚回收再利用、碎石透水鋪面、雨水貯留設施、自動水質監測設備等</t>
  </si>
  <si>
    <t>植樹固碳(喬灌木621株)、採用綠色材料或環保標章產品(11組)、採用低碳排工法(碎石透水鋪面142m2、砌塊石檔牆34m2、石籠6m)、廢棄物回收再利用(高壓磚155m2)、雨水貯留設施(1組)、水質自動監測設備減少維護交通碳排(1組)</t>
  </si>
  <si>
    <t>111.8.11</t>
  </si>
  <si>
    <t>因系統尚有需操作使用釐清部分，已與系統廠商聯繫修正中。</t>
  </si>
  <si>
    <t>(前一周)
 本署核定</t>
  </si>
  <si>
    <t>本署核定</t>
  </si>
  <si>
    <r>
      <rPr>
        <b/>
        <sz val="12"/>
        <color rgb="FFFF0000"/>
        <rFont val="DFKai-SB"/>
      </rPr>
      <t>前次</t>
    </r>
    <r>
      <rPr>
        <sz val="12"/>
        <color rgb="FF000000"/>
        <rFont val="DFKai-SB"/>
      </rPr>
      <t xml:space="preserve">
已發包執行</t>
    </r>
  </si>
  <si>
    <r>
      <rPr>
        <b/>
        <sz val="12"/>
        <color rgb="FFFF0000"/>
        <rFont val="DFKai-SB"/>
      </rPr>
      <t>本次</t>
    </r>
    <r>
      <rPr>
        <sz val="12"/>
        <color rgb="FF000000"/>
        <rFont val="DFKai-SB"/>
      </rPr>
      <t xml:space="preserve">
已發包執行</t>
    </r>
  </si>
  <si>
    <t>差異</t>
  </si>
  <si>
    <t>105件</t>
  </si>
  <si>
    <t>件數</t>
  </si>
  <si>
    <t>前次發包</t>
  </si>
  <si>
    <t>本次發包</t>
  </si>
  <si>
    <t>經費</t>
  </si>
  <si>
    <t>碳排量</t>
  </si>
  <si>
    <t>綠色經費</t>
  </si>
  <si>
    <t>綠色經費佔比</t>
  </si>
  <si>
    <t>核定=</t>
  </si>
  <si>
    <t>本署核定(預算)</t>
  </si>
  <si>
    <r>
      <rPr>
        <sz val="12"/>
        <color rgb="FF000000"/>
        <rFont val="DFKai-SB"/>
      </rPr>
      <t>前次</t>
    </r>
    <r>
      <rPr>
        <b/>
        <sz val="12"/>
        <color rgb="FFFF0000"/>
        <rFont val="DFKai-SB"/>
      </rPr>
      <t>(9/13)</t>
    </r>
    <r>
      <rPr>
        <sz val="12"/>
        <color rgb="FF000000"/>
        <rFont val="DFKai-SB"/>
      </rPr>
      <t xml:space="preserve">
已發包執行</t>
    </r>
  </si>
  <si>
    <r>
      <rPr>
        <sz val="12"/>
        <color rgb="FF000000"/>
        <rFont val="DFKai-SB"/>
      </rPr>
      <t>本次</t>
    </r>
    <r>
      <rPr>
        <b/>
        <sz val="12"/>
        <color rgb="FFFF0000"/>
        <rFont val="DFKai-SB"/>
      </rPr>
      <t>(9/30)</t>
    </r>
    <r>
      <rPr>
        <sz val="12"/>
        <color rgb="FF000000"/>
        <rFont val="DFKai-SB"/>
      </rPr>
      <t xml:space="preserve">
已發包執行</t>
    </r>
  </si>
  <si>
    <t>提報碳量 tCO2e
全部 103件</t>
  </si>
  <si>
    <t>提報碳量 tCO2e
(已發包工程 88件)</t>
  </si>
  <si>
    <t>核定碳排量  tCO2e
(已發包工程)</t>
  </si>
  <si>
    <t xml:space="preserve">碳排量  tCO2e
(已發包工程) </t>
  </si>
  <si>
    <t>減碳量  tCO2e
提報探排量-碳排量 (已發包88件)</t>
  </si>
  <si>
    <t>6.5萬噸 CO2e</t>
  </si>
  <si>
    <r>
      <rPr>
        <b/>
        <sz val="13"/>
        <color rgb="FFFF0000"/>
        <rFont val="標楷體"/>
        <family val="4"/>
        <charset val="136"/>
      </rPr>
      <t>前次</t>
    </r>
    <r>
      <rPr>
        <b/>
        <sz val="13"/>
        <color theme="1"/>
        <rFont val="標楷體"/>
        <family val="4"/>
        <charset val="136"/>
      </rPr>
      <t>機具優化減碳(tCO2e)</t>
    </r>
  </si>
  <si>
    <t>上周
核定工程件數</t>
  </si>
  <si>
    <t>本周
核定工程件數</t>
  </si>
  <si>
    <t>上周
發包工程件數</t>
  </si>
  <si>
    <t>本周
發包工程件數</t>
  </si>
  <si>
    <t>核定
 工程件數</t>
  </si>
  <si>
    <t>已發包
 工程件數</t>
  </si>
  <si>
    <t>已計算施工機具優化減碳(tCO2e)</t>
  </si>
  <si>
    <t>一局</t>
  </si>
  <si>
    <t>二局</t>
  </si>
  <si>
    <t>三局</t>
  </si>
  <si>
    <t>四局</t>
  </si>
  <si>
    <t>五局</t>
  </si>
  <si>
    <t>六局</t>
  </si>
  <si>
    <t>七局</t>
  </si>
  <si>
    <t>八局</t>
  </si>
  <si>
    <t>九局</t>
  </si>
  <si>
    <t>十局</t>
  </si>
  <si>
    <t>北水</t>
  </si>
  <si>
    <t>中水</t>
  </si>
  <si>
    <t>南水</t>
  </si>
  <si>
    <t>水特</t>
  </si>
  <si>
    <t>合計</t>
  </si>
  <si>
    <t>總發包件數/
總核定件數(含疏濬)</t>
  </si>
  <si>
    <t>總核定
 碳排量
 (噸CO2e)</t>
  </si>
  <si>
    <t>已發包
 總碳排量
 (噸CO2e)</t>
  </si>
  <si>
    <t>平均可拆解率(%)</t>
  </si>
  <si>
    <t>備註:
 疏濬之「發包件數/核定件數」</t>
  </si>
  <si>
    <t>上周發包
疏濬工程件數</t>
  </si>
  <si>
    <t>本周發包
疏濬工程件數</t>
  </si>
  <si>
    <t>上周
核定疏濬工程件數</t>
  </si>
  <si>
    <t>本周
核定疏濬工程件數</t>
  </si>
  <si>
    <t>5/5</t>
  </si>
  <si>
    <t>2/2</t>
  </si>
  <si>
    <t>5/6</t>
  </si>
  <si>
    <t>0/0</t>
  </si>
  <si>
    <t>9/9</t>
  </si>
  <si>
    <t>4/4</t>
  </si>
  <si>
    <r>
      <rPr>
        <b/>
        <sz val="14"/>
        <color rgb="FFFF0000"/>
        <rFont val="Times New Roman"/>
        <family val="1"/>
      </rPr>
      <t>4</t>
    </r>
    <r>
      <rPr>
        <sz val="14"/>
        <color rgb="FF000000"/>
        <rFont val="Times New Roman"/>
        <family val="1"/>
      </rPr>
      <t>/4</t>
    </r>
  </si>
  <si>
    <r>
      <rPr>
        <b/>
        <sz val="14"/>
        <color rgb="FFFF0000"/>
        <rFont val="Times New Roman"/>
        <family val="1"/>
      </rPr>
      <t>13</t>
    </r>
    <r>
      <rPr>
        <sz val="14"/>
        <color rgb="FF000000"/>
        <rFont val="Times New Roman"/>
        <family val="1"/>
      </rPr>
      <t>/13</t>
    </r>
  </si>
  <si>
    <t>3/3</t>
  </si>
  <si>
    <t>14/14</t>
  </si>
  <si>
    <r>
      <rPr>
        <sz val="14"/>
        <color rgb="FF000000"/>
        <rFont val="Times New Roman"/>
        <family val="1"/>
      </rPr>
      <t>3/</t>
    </r>
    <r>
      <rPr>
        <b/>
        <sz val="14"/>
        <color rgb="FFFF0000"/>
        <rFont val="Times New Roman"/>
        <family val="1"/>
      </rPr>
      <t>7</t>
    </r>
  </si>
  <si>
    <r>
      <rPr>
        <b/>
        <sz val="14"/>
        <color rgb="FFFF0000"/>
        <rFont val="Times New Roman"/>
        <family val="1"/>
      </rPr>
      <t>5</t>
    </r>
    <r>
      <rPr>
        <sz val="14"/>
        <color rgb="FF000000"/>
        <rFont val="Times New Roman"/>
        <family val="1"/>
      </rPr>
      <t>/5</t>
    </r>
  </si>
  <si>
    <r>
      <rPr>
        <b/>
        <sz val="14"/>
        <color rgb="FFFF0000"/>
        <rFont val="Times New Roman"/>
        <family val="1"/>
      </rPr>
      <t>7</t>
    </r>
    <r>
      <rPr>
        <sz val="14"/>
        <color rgb="FF000000"/>
        <rFont val="Times New Roman"/>
        <family val="1"/>
      </rPr>
      <t>/11</t>
    </r>
  </si>
  <si>
    <t>6/7</t>
  </si>
  <si>
    <r>
      <rPr>
        <sz val="14"/>
        <color rgb="FF000000"/>
        <rFont val="Times New Roman"/>
        <family val="1"/>
      </rPr>
      <t>4/</t>
    </r>
    <r>
      <rPr>
        <b/>
        <sz val="14"/>
        <color rgb="FFFF0000"/>
        <rFont val="Times New Roman"/>
        <family val="1"/>
      </rPr>
      <t>9</t>
    </r>
  </si>
  <si>
    <r>
      <rPr>
        <b/>
        <sz val="14"/>
        <color rgb="FFFF0000"/>
        <rFont val="Times New Roman"/>
        <family val="1"/>
      </rPr>
      <t>93</t>
    </r>
    <r>
      <rPr>
        <sz val="14"/>
        <color rgb="FF000000"/>
        <rFont val="Times New Roman"/>
        <family val="1"/>
      </rPr>
      <t>/</t>
    </r>
    <r>
      <rPr>
        <b/>
        <sz val="14"/>
        <color rgb="FFFF0000"/>
        <rFont val="Times New Roman"/>
        <family val="1"/>
      </rPr>
      <t>108</t>
    </r>
  </si>
  <si>
    <t>13/13</t>
  </si>
  <si>
    <t>施工計畫(機具優化)減碳量(kgCO2e)</t>
    <phoneticPr fontId="67" type="noConversion"/>
  </si>
  <si>
    <t>附件1-XXX年度工程碳排量資料表個案明細表</t>
    <phoneticPr fontId="6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</si>
</sst>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76" formatCode="0.0%"/>
    <numFmt numFmtId="177" formatCode="m\-d"/>
    <numFmt numFmtId="178" formatCode="yyyy/mm/dd"/>
    <numFmt numFmtId="179" formatCode="m/d"/>
    <numFmt numFmtId="180" formatCode="0.0"/>
  </numFmts>
  <fonts count="69">
    <font>
      <sz val="10"/>
      <color rgb="FF000000"/>
      <name val="Arial"/>
      <scheme val="minor"/>
    </font>
    <font>
      <b/>
      <sz val="24"/>
      <color rgb="FF000000"/>
      <name val="Microsoft JhengHei"/>
      <family val="2"/>
      <charset val="136"/>
    </font>
    <font>
      <b/>
      <sz val="20"/>
      <color rgb="FF000000"/>
      <name val="Microsoft JhengHei"/>
      <family val="2"/>
      <charset val="136"/>
    </font>
    <font>
      <b/>
      <sz val="14"/>
      <color rgb="FF000000"/>
      <name val="Microsoft JhengHei"/>
      <family val="2"/>
      <charset val="136"/>
    </font>
    <font>
      <b/>
      <sz val="14"/>
      <color rgb="FFFF0000"/>
      <name val="Microsoft JhengHei"/>
      <family val="2"/>
      <charset val="136"/>
    </font>
    <font>
      <b/>
      <sz val="12"/>
      <color theme="1"/>
      <name val="Microsoft JhengHei"/>
      <family val="2"/>
      <charset val="136"/>
    </font>
    <font>
      <b/>
      <sz val="14"/>
      <color theme="1"/>
      <name val="Microsoft JhengHei"/>
      <family val="2"/>
      <charset val="136"/>
    </font>
    <font>
      <sz val="14"/>
      <color rgb="FF000000"/>
      <name val="Microsoft JhengHei"/>
      <family val="2"/>
      <charset val="136"/>
    </font>
    <font>
      <sz val="14"/>
      <color theme="1"/>
      <name val="Microsoft JhengHei"/>
      <family val="2"/>
      <charset val="136"/>
    </font>
    <font>
      <b/>
      <sz val="12"/>
      <color rgb="FF0000FF"/>
      <name val="Microsoft JhengHei"/>
      <family val="2"/>
      <charset val="136"/>
    </font>
    <font>
      <b/>
      <sz val="12"/>
      <color rgb="FF000000"/>
      <name val="Microsoft JhengHei"/>
      <family val="2"/>
      <charset val="136"/>
    </font>
    <font>
      <sz val="14"/>
      <color rgb="FF000000"/>
      <name val="&quot;Microsoft JhengHei&quot;"/>
    </font>
    <font>
      <b/>
      <sz val="14"/>
      <color rgb="FFFF0000"/>
      <name val="&quot;Microsoft JhengHei&quot;"/>
    </font>
    <font>
      <sz val="10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4"/>
      <color theme="1"/>
      <name val="微軟正黑體"/>
      <family val="2"/>
      <charset val="136"/>
    </font>
    <font>
      <b/>
      <sz val="24"/>
      <color theme="1"/>
      <name val="Microsoft JhengHei"/>
      <family val="2"/>
      <charset val="136"/>
    </font>
    <font>
      <b/>
      <sz val="24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color theme="1"/>
      <name val="Arial"/>
      <family val="2"/>
    </font>
    <font>
      <strike/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2"/>
      <color theme="1"/>
      <name val="細明體"/>
      <family val="3"/>
      <charset val="136"/>
    </font>
    <font>
      <sz val="8"/>
      <color theme="1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8"/>
      <color rgb="FF000000"/>
      <name val="微軟正黑體"/>
      <family val="2"/>
      <charset val="136"/>
    </font>
    <font>
      <sz val="12"/>
      <color theme="1"/>
      <name val="微軟正黑體1"/>
      <family val="3"/>
      <charset val="136"/>
    </font>
    <font>
      <sz val="12"/>
      <color theme="1"/>
      <name val="新細明體"/>
      <family val="1"/>
      <charset val="136"/>
    </font>
    <font>
      <sz val="11"/>
      <color theme="1"/>
      <name val="微軟正黑體"/>
      <family val="2"/>
      <charset val="136"/>
    </font>
    <font>
      <sz val="12"/>
      <color theme="1"/>
      <name val="標楷體"/>
      <family val="4"/>
      <charset val="136"/>
    </font>
    <font>
      <sz val="10"/>
      <color theme="1"/>
      <name val="微軟正黑體"/>
      <family val="2"/>
      <charset val="136"/>
    </font>
    <font>
      <sz val="12"/>
      <color rgb="FFFF0000"/>
      <name val="微軟正黑體2"/>
      <family val="3"/>
      <charset val="136"/>
    </font>
    <font>
      <sz val="10"/>
      <color theme="1"/>
      <name val="Arial"/>
      <family val="2"/>
    </font>
    <font>
      <b/>
      <sz val="14"/>
      <color theme="1"/>
      <name val="&quot;\&quot;Microsoft JhengHei\&quot;&quot;"/>
    </font>
    <font>
      <b/>
      <strike/>
      <sz val="12"/>
      <color theme="1"/>
      <name val="微軟正黑體"/>
      <family val="2"/>
      <charset val="136"/>
    </font>
    <font>
      <b/>
      <sz val="12"/>
      <color rgb="FF000000"/>
      <name val="微軟正黑體"/>
      <family val="2"/>
      <charset val="136"/>
    </font>
    <font>
      <b/>
      <sz val="12"/>
      <color theme="1"/>
      <name val="&quot;Microsoft JhengHei&quot;"/>
    </font>
    <font>
      <b/>
      <sz val="12"/>
      <color theme="1"/>
      <name val="Arial"/>
      <family val="2"/>
    </font>
    <font>
      <b/>
      <sz val="14"/>
      <color theme="1"/>
      <name val="微軟正黑體"/>
      <family val="2"/>
      <charset val="136"/>
    </font>
    <font>
      <sz val="14"/>
      <color theme="1"/>
      <name val="新細明體"/>
      <family val="1"/>
      <charset val="136"/>
    </font>
    <font>
      <b/>
      <sz val="14"/>
      <color theme="1"/>
      <name val="新細明體"/>
      <family val="1"/>
      <charset val="136"/>
    </font>
    <font>
      <b/>
      <sz val="12"/>
      <color rgb="FF0000FF"/>
      <name val="微軟正黑體"/>
      <family val="2"/>
      <charset val="136"/>
    </font>
    <font>
      <b/>
      <sz val="12"/>
      <color rgb="FFFF0000"/>
      <name val="&quot;Microsoft JhengHei&quot;"/>
    </font>
    <font>
      <b/>
      <sz val="12"/>
      <color rgb="FF0000FF"/>
      <name val="&quot;Microsoft JhengHei&quot;"/>
    </font>
    <font>
      <sz val="12"/>
      <color rgb="FF0000FF"/>
      <name val="微軟正黑體"/>
      <family val="2"/>
      <charset val="136"/>
    </font>
    <font>
      <sz val="12"/>
      <color theme="1"/>
      <name val="&quot;Times New Roman&quot;"/>
    </font>
    <font>
      <b/>
      <sz val="12"/>
      <color rgb="FFFF0000"/>
      <name val="DFKai-SB"/>
    </font>
    <font>
      <sz val="12"/>
      <color rgb="FF000000"/>
      <name val="DFKai-SB"/>
    </font>
    <font>
      <sz val="12"/>
      <color theme="1"/>
      <name val="DFKai-SB"/>
    </font>
    <font>
      <sz val="12"/>
      <color rgb="FF000000"/>
      <name val="標楷體"/>
      <family val="4"/>
      <charset val="136"/>
    </font>
    <font>
      <sz val="9"/>
      <color rgb="FF000000"/>
      <name val="&quot;Google Sans Mono&quot;"/>
    </font>
    <font>
      <b/>
      <sz val="13"/>
      <color theme="1"/>
      <name val="標楷體"/>
      <family val="4"/>
      <charset val="136"/>
    </font>
    <font>
      <b/>
      <sz val="10"/>
      <color theme="1"/>
      <name val="Arial"/>
      <family val="2"/>
      <scheme val="minor"/>
    </font>
    <font>
      <sz val="13"/>
      <color theme="1"/>
      <name val="標楷體"/>
      <family val="4"/>
      <charset val="136"/>
    </font>
    <font>
      <sz val="14"/>
      <color theme="1"/>
      <name val="Arial"/>
      <family val="2"/>
      <scheme val="minor"/>
    </font>
    <font>
      <sz val="10"/>
      <color theme="1"/>
      <name val="&quot;Times New Roman&quot;"/>
    </font>
    <font>
      <b/>
      <sz val="14"/>
      <color rgb="FFFF0000"/>
      <name val="Arial"/>
      <family val="2"/>
      <scheme val="minor"/>
    </font>
    <font>
      <b/>
      <sz val="10"/>
      <color rgb="FF000000"/>
      <name val="標楷體"/>
      <family val="4"/>
      <charset val="136"/>
    </font>
    <font>
      <b/>
      <sz val="12"/>
      <color rgb="FFFF0000"/>
      <name val="&quot;Times New Roman&quot;"/>
    </font>
    <font>
      <b/>
      <sz val="12"/>
      <color theme="1"/>
      <name val="標楷體"/>
      <family val="4"/>
      <charset val="136"/>
    </font>
    <font>
      <sz val="14"/>
      <color rgb="FF000000"/>
      <name val="Times New Roman"/>
      <family val="1"/>
    </font>
    <font>
      <b/>
      <sz val="24"/>
      <color rgb="FFFF0000"/>
      <name val="Microsoft JhengHei"/>
      <family val="2"/>
      <charset val="136"/>
    </font>
    <font>
      <b/>
      <sz val="13"/>
      <color rgb="FFFF0000"/>
      <name val="標楷體"/>
      <family val="4"/>
      <charset val="136"/>
    </font>
    <font>
      <b/>
      <sz val="14"/>
      <color rgb="FFFF0000"/>
      <name val="Times New Roman"/>
      <family val="1"/>
    </font>
    <font>
      <sz val="9"/>
      <name val="Arial"/>
      <family val="3"/>
      <charset val="136"/>
      <scheme val="minor"/>
    </font>
    <font>
      <sz val="10"/>
      <color rgb="FF0000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DDD9C4"/>
        <bgColor rgb="FFDDD9C4"/>
      </patternFill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A6A6A6"/>
        <bgColor rgb="FFA6A6A6"/>
      </patternFill>
    </fill>
    <fill>
      <patternFill patternType="solid">
        <fgColor rgb="FF00FF00"/>
        <bgColor rgb="FF00FF00"/>
      </patternFill>
    </fill>
    <fill>
      <patternFill patternType="solid">
        <fgColor rgb="FFCCCCCC"/>
        <bgColor rgb="FFCCCCCC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95">
    <xf numFmtId="0" fontId="0" fillId="0" borderId="0" xfId="0"/>
    <xf numFmtId="0" fontId="1" fillId="0" borderId="0" xfId="0" applyFont="1" applyAlignment="1">
      <alignment horizontal="right" vertical="center"/>
    </xf>
    <xf numFmtId="0" fontId="1" fillId="2" borderId="0" xfId="0" applyFont="1" applyFill="1"/>
    <xf numFmtId="0" fontId="2" fillId="0" borderId="0" xfId="0" applyFont="1" applyAlignment="1">
      <alignment horizontal="right"/>
    </xf>
    <xf numFmtId="0" fontId="3" fillId="2" borderId="0" xfId="0" applyFont="1" applyFill="1" applyAlignment="1">
      <alignment horizontal="center"/>
    </xf>
    <xf numFmtId="0" fontId="4" fillId="0" borderId="0" xfId="0" applyFont="1" applyAlignment="1">
      <alignment horizontal="right"/>
    </xf>
    <xf numFmtId="0" fontId="5" fillId="3" borderId="1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9" fillId="0" borderId="0" xfId="0" applyFont="1" applyAlignment="1">
      <alignment horizontal="right" vertical="center"/>
    </xf>
    <xf numFmtId="0" fontId="9" fillId="0" borderId="0" xfId="0" applyFont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 applyAlignment="1">
      <alignment horizontal="left" vertical="center" wrapText="1"/>
    </xf>
    <xf numFmtId="3" fontId="15" fillId="0" borderId="0" xfId="0" applyNumberFormat="1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176" fontId="15" fillId="0" borderId="0" xfId="0" applyNumberFormat="1" applyFont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center" vertical="center"/>
    </xf>
    <xf numFmtId="0" fontId="18" fillId="0" borderId="9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3" fontId="20" fillId="3" borderId="1" xfId="0" applyNumberFormat="1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49" fontId="20" fillId="0" borderId="1" xfId="0" applyNumberFormat="1" applyFont="1" applyBorder="1" applyAlignment="1">
      <alignment horizontal="center" vertical="center" wrapText="1"/>
    </xf>
    <xf numFmtId="0" fontId="20" fillId="0" borderId="1" xfId="0" applyFont="1" applyBorder="1" applyAlignment="1">
      <alignment horizontal="left" vertical="center" wrapText="1"/>
    </xf>
    <xf numFmtId="3" fontId="20" fillId="0" borderId="1" xfId="0" applyNumberFormat="1" applyFont="1" applyBorder="1" applyAlignment="1">
      <alignment horizontal="center" vertical="center" wrapText="1"/>
    </xf>
    <xf numFmtId="3" fontId="20" fillId="0" borderId="12" xfId="0" applyNumberFormat="1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10" fontId="20" fillId="0" borderId="12" xfId="0" applyNumberFormat="1" applyFont="1" applyBorder="1" applyAlignment="1">
      <alignment horizontal="center" vertical="center" wrapText="1"/>
    </xf>
    <xf numFmtId="0" fontId="20" fillId="0" borderId="12" xfId="0" applyFont="1" applyBorder="1" applyAlignment="1">
      <alignment horizontal="left" vertical="center" wrapText="1"/>
    </xf>
    <xf numFmtId="9" fontId="20" fillId="0" borderId="12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3" fontId="16" fillId="0" borderId="1" xfId="0" applyNumberFormat="1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3" fontId="20" fillId="0" borderId="2" xfId="0" applyNumberFormat="1" applyFont="1" applyBorder="1" applyAlignment="1">
      <alignment horizontal="center" vertical="center" wrapText="1"/>
    </xf>
    <xf numFmtId="3" fontId="20" fillId="0" borderId="10" xfId="0" applyNumberFormat="1" applyFont="1" applyBorder="1" applyAlignment="1">
      <alignment horizontal="center" vertical="center" wrapText="1"/>
    </xf>
    <xf numFmtId="3" fontId="21" fillId="0" borderId="10" xfId="0" applyNumberFormat="1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10" fontId="20" fillId="0" borderId="10" xfId="0" applyNumberFormat="1" applyFont="1" applyBorder="1" applyAlignment="1">
      <alignment horizontal="center" vertical="center" wrapText="1"/>
    </xf>
    <xf numFmtId="0" fontId="20" fillId="0" borderId="10" xfId="0" applyFont="1" applyBorder="1" applyAlignment="1">
      <alignment horizontal="left" vertical="center" wrapText="1"/>
    </xf>
    <xf numFmtId="9" fontId="20" fillId="0" borderId="10" xfId="0" applyNumberFormat="1" applyFont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left" vertical="center" wrapText="1"/>
    </xf>
    <xf numFmtId="9" fontId="22" fillId="0" borderId="10" xfId="0" applyNumberFormat="1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/>
    </xf>
    <xf numFmtId="3" fontId="16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49" fontId="23" fillId="0" borderId="1" xfId="0" applyNumberFormat="1" applyFont="1" applyBorder="1" applyAlignment="1">
      <alignment horizontal="center" vertical="center" wrapText="1"/>
    </xf>
    <xf numFmtId="0" fontId="23" fillId="0" borderId="1" xfId="0" applyFont="1" applyBorder="1" applyAlignment="1">
      <alignment horizontal="left" vertical="center" wrapText="1"/>
    </xf>
    <xf numFmtId="0" fontId="23" fillId="4" borderId="1" xfId="0" applyFont="1" applyFill="1" applyBorder="1" applyAlignment="1">
      <alignment horizontal="left" vertical="center" wrapText="1"/>
    </xf>
    <xf numFmtId="0" fontId="24" fillId="5" borderId="10" xfId="0" applyFont="1" applyFill="1" applyBorder="1" applyAlignment="1">
      <alignment horizontal="left" vertical="center" wrapText="1"/>
    </xf>
    <xf numFmtId="3" fontId="23" fillId="0" borderId="1" xfId="0" applyNumberFormat="1" applyFont="1" applyBorder="1" applyAlignment="1">
      <alignment horizontal="center" vertical="center" wrapText="1"/>
    </xf>
    <xf numFmtId="3" fontId="23" fillId="0" borderId="12" xfId="0" applyNumberFormat="1" applyFont="1" applyBorder="1" applyAlignment="1">
      <alignment horizontal="center" vertical="center" wrapText="1"/>
    </xf>
    <xf numFmtId="10" fontId="23" fillId="0" borderId="12" xfId="0" applyNumberFormat="1" applyFont="1" applyBorder="1" applyAlignment="1">
      <alignment horizontal="center" vertical="center" wrapText="1"/>
    </xf>
    <xf numFmtId="0" fontId="24" fillId="5" borderId="12" xfId="0" applyFont="1" applyFill="1" applyBorder="1" applyAlignment="1">
      <alignment horizontal="center" vertical="center" wrapText="1"/>
    </xf>
    <xf numFmtId="0" fontId="24" fillId="5" borderId="12" xfId="0" applyFont="1" applyFill="1" applyBorder="1" applyAlignment="1">
      <alignment horizontal="left" vertical="center" wrapText="1"/>
    </xf>
    <xf numFmtId="3" fontId="23" fillId="0" borderId="2" xfId="0" applyNumberFormat="1" applyFont="1" applyBorder="1" applyAlignment="1">
      <alignment horizontal="center" vertical="center" wrapText="1"/>
    </xf>
    <xf numFmtId="3" fontId="23" fillId="0" borderId="10" xfId="0" applyNumberFormat="1" applyFont="1" applyBorder="1" applyAlignment="1">
      <alignment horizontal="center" vertical="center" wrapText="1"/>
    </xf>
    <xf numFmtId="10" fontId="23" fillId="0" borderId="10" xfId="0" applyNumberFormat="1" applyFont="1" applyBorder="1" applyAlignment="1">
      <alignment horizontal="center" vertical="center" wrapText="1"/>
    </xf>
    <xf numFmtId="9" fontId="24" fillId="5" borderId="10" xfId="0" applyNumberFormat="1" applyFont="1" applyFill="1" applyBorder="1" applyAlignment="1">
      <alignment horizontal="center" vertical="center" wrapText="1"/>
    </xf>
    <xf numFmtId="0" fontId="24" fillId="5" borderId="10" xfId="0" applyFont="1" applyFill="1" applyBorder="1" applyAlignment="1">
      <alignment horizontal="center" vertical="center" wrapText="1"/>
    </xf>
    <xf numFmtId="10" fontId="24" fillId="5" borderId="10" xfId="0" applyNumberFormat="1" applyFont="1" applyFill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 wrapText="1"/>
    </xf>
    <xf numFmtId="9" fontId="23" fillId="0" borderId="10" xfId="0" applyNumberFormat="1" applyFont="1" applyBorder="1" applyAlignment="1">
      <alignment horizontal="center" vertical="center" wrapText="1"/>
    </xf>
    <xf numFmtId="0" fontId="23" fillId="0" borderId="10" xfId="0" applyFont="1" applyBorder="1" applyAlignment="1">
      <alignment horizontal="left" vertical="center" wrapText="1"/>
    </xf>
    <xf numFmtId="0" fontId="20" fillId="0" borderId="12" xfId="0" applyFont="1" applyBorder="1" applyAlignment="1">
      <alignment vertical="center" wrapText="1"/>
    </xf>
    <xf numFmtId="0" fontId="20" fillId="0" borderId="10" xfId="0" applyFont="1" applyBorder="1" applyAlignment="1">
      <alignment vertical="center" wrapText="1"/>
    </xf>
    <xf numFmtId="0" fontId="23" fillId="0" borderId="12" xfId="0" applyFont="1" applyBorder="1" applyAlignment="1">
      <alignment horizontal="left" vertical="center" wrapText="1"/>
    </xf>
    <xf numFmtId="0" fontId="25" fillId="0" borderId="12" xfId="0" applyFont="1" applyBorder="1" applyAlignment="1">
      <alignment horizontal="left" vertical="center" wrapText="1"/>
    </xf>
    <xf numFmtId="0" fontId="25" fillId="0" borderId="12" xfId="0" applyFont="1" applyBorder="1" applyAlignment="1">
      <alignment horizontal="center" vertical="center" wrapText="1"/>
    </xf>
    <xf numFmtId="49" fontId="23" fillId="0" borderId="2" xfId="0" applyNumberFormat="1" applyFont="1" applyBorder="1" applyAlignment="1">
      <alignment horizontal="center" vertical="center" wrapText="1"/>
    </xf>
    <xf numFmtId="0" fontId="25" fillId="0" borderId="10" xfId="0" applyFont="1" applyBorder="1" applyAlignment="1">
      <alignment horizontal="left" vertical="center" wrapText="1"/>
    </xf>
    <xf numFmtId="0" fontId="25" fillId="0" borderId="10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1" fontId="20" fillId="0" borderId="10" xfId="0" applyNumberFormat="1" applyFont="1" applyBorder="1" applyAlignment="1">
      <alignment horizontal="center" vertical="center" wrapText="1"/>
    </xf>
    <xf numFmtId="0" fontId="26" fillId="0" borderId="10" xfId="0" applyFont="1" applyBorder="1" applyAlignment="1">
      <alignment horizontal="center" vertical="center" wrapText="1"/>
    </xf>
    <xf numFmtId="0" fontId="26" fillId="0" borderId="10" xfId="0" applyFont="1" applyBorder="1" applyAlignment="1">
      <alignment horizontal="left" vertical="center" wrapText="1"/>
    </xf>
    <xf numFmtId="49" fontId="20" fillId="0" borderId="2" xfId="0" applyNumberFormat="1" applyFont="1" applyBorder="1" applyAlignment="1">
      <alignment horizontal="center" vertical="center" wrapText="1"/>
    </xf>
    <xf numFmtId="176" fontId="20" fillId="0" borderId="12" xfId="0" applyNumberFormat="1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176" fontId="20" fillId="0" borderId="10" xfId="0" applyNumberFormat="1" applyFont="1" applyBorder="1" applyAlignment="1">
      <alignment horizontal="center" vertical="center" wrapText="1"/>
    </xf>
    <xf numFmtId="0" fontId="23" fillId="0" borderId="12" xfId="0" applyFont="1" applyBorder="1" applyAlignment="1">
      <alignment horizontal="center" vertical="center" wrapText="1"/>
    </xf>
    <xf numFmtId="14" fontId="16" fillId="0" borderId="1" xfId="0" applyNumberFormat="1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 wrapText="1"/>
    </xf>
    <xf numFmtId="9" fontId="20" fillId="0" borderId="10" xfId="0" applyNumberFormat="1" applyFont="1" applyBorder="1" applyAlignment="1">
      <alignment horizontal="left" vertical="center" wrapText="1"/>
    </xf>
    <xf numFmtId="3" fontId="30" fillId="0" borderId="2" xfId="0" applyNumberFormat="1" applyFont="1" applyBorder="1" applyAlignment="1">
      <alignment horizontal="center" vertical="center" wrapText="1"/>
    </xf>
    <xf numFmtId="3" fontId="30" fillId="0" borderId="10" xfId="0" applyNumberFormat="1" applyFont="1" applyBorder="1" applyAlignment="1">
      <alignment horizontal="center" vertical="center" wrapText="1"/>
    </xf>
    <xf numFmtId="1" fontId="20" fillId="0" borderId="12" xfId="0" applyNumberFormat="1" applyFont="1" applyBorder="1" applyAlignment="1">
      <alignment horizontal="center" vertical="center" wrapText="1"/>
    </xf>
    <xf numFmtId="0" fontId="31" fillId="0" borderId="12" xfId="0" applyFont="1" applyBorder="1" applyAlignment="1">
      <alignment horizontal="center" vertical="center" wrapText="1"/>
    </xf>
    <xf numFmtId="1" fontId="32" fillId="0" borderId="10" xfId="0" applyNumberFormat="1" applyFont="1" applyBorder="1" applyAlignment="1">
      <alignment horizontal="center" vertical="center" wrapText="1"/>
    </xf>
    <xf numFmtId="9" fontId="23" fillId="0" borderId="12" xfId="0" applyNumberFormat="1" applyFont="1" applyBorder="1" applyAlignment="1">
      <alignment horizontal="center" vertical="center" wrapText="1"/>
    </xf>
    <xf numFmtId="0" fontId="28" fillId="0" borderId="10" xfId="0" applyFont="1" applyBorder="1" applyAlignment="1">
      <alignment horizontal="center" vertical="center" wrapText="1"/>
    </xf>
    <xf numFmtId="0" fontId="23" fillId="5" borderId="10" xfId="0" applyFont="1" applyFill="1" applyBorder="1" applyAlignment="1">
      <alignment horizontal="left" vertical="center" wrapText="1"/>
    </xf>
    <xf numFmtId="0" fontId="26" fillId="0" borderId="12" xfId="0" applyFont="1" applyBorder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3" fontId="16" fillId="0" borderId="0" xfId="0" applyNumberFormat="1" applyFont="1" applyAlignment="1">
      <alignment horizontal="center" vertical="center" wrapText="1"/>
    </xf>
    <xf numFmtId="0" fontId="20" fillId="0" borderId="0" xfId="0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176" fontId="16" fillId="0" borderId="0" xfId="0" applyNumberFormat="1" applyFont="1" applyAlignment="1">
      <alignment vertical="center" wrapText="1"/>
    </xf>
    <xf numFmtId="4" fontId="24" fillId="5" borderId="12" xfId="0" applyNumberFormat="1" applyFont="1" applyFill="1" applyBorder="1" applyAlignment="1">
      <alignment horizontal="center" vertical="center" wrapText="1"/>
    </xf>
    <xf numFmtId="4" fontId="23" fillId="0" borderId="10" xfId="0" applyNumberFormat="1" applyFont="1" applyBorder="1" applyAlignment="1">
      <alignment horizontal="center" vertical="center" wrapText="1"/>
    </xf>
    <xf numFmtId="0" fontId="33" fillId="0" borderId="12" xfId="0" applyFont="1" applyBorder="1" applyAlignment="1">
      <alignment horizontal="left" vertical="center" wrapText="1"/>
    </xf>
    <xf numFmtId="3" fontId="33" fillId="0" borderId="12" xfId="0" applyNumberFormat="1" applyFont="1" applyBorder="1" applyAlignment="1">
      <alignment horizontal="left" vertical="center" wrapText="1"/>
    </xf>
    <xf numFmtId="0" fontId="33" fillId="0" borderId="10" xfId="0" applyFont="1" applyBorder="1" applyAlignment="1">
      <alignment horizontal="left" vertical="center" wrapText="1"/>
    </xf>
    <xf numFmtId="3" fontId="33" fillId="0" borderId="10" xfId="0" applyNumberFormat="1" applyFont="1" applyBorder="1" applyAlignment="1">
      <alignment horizontal="left" vertical="center" wrapText="1"/>
    </xf>
    <xf numFmtId="0" fontId="23" fillId="0" borderId="12" xfId="0" applyFont="1" applyBorder="1" applyAlignment="1">
      <alignment vertical="center" wrapText="1"/>
    </xf>
    <xf numFmtId="0" fontId="23" fillId="0" borderId="10" xfId="0" applyFont="1" applyBorder="1" applyAlignment="1">
      <alignment vertical="center" wrapText="1"/>
    </xf>
    <xf numFmtId="3" fontId="19" fillId="0" borderId="12" xfId="0" applyNumberFormat="1" applyFont="1" applyBorder="1" applyAlignment="1">
      <alignment horizontal="center" vertical="center" wrapText="1"/>
    </xf>
    <xf numFmtId="0" fontId="19" fillId="0" borderId="12" xfId="0" applyFont="1" applyBorder="1" applyAlignment="1">
      <alignment horizontal="left" vertical="center" wrapText="1"/>
    </xf>
    <xf numFmtId="0" fontId="19" fillId="0" borderId="12" xfId="0" applyFont="1" applyBorder="1" applyAlignment="1">
      <alignment horizontal="center" vertical="center" wrapText="1"/>
    </xf>
    <xf numFmtId="10" fontId="19" fillId="0" borderId="12" xfId="0" applyNumberFormat="1" applyFont="1" applyBorder="1" applyAlignment="1">
      <alignment horizontal="center" vertical="center" wrapText="1"/>
    </xf>
    <xf numFmtId="9" fontId="19" fillId="0" borderId="12" xfId="0" applyNumberFormat="1" applyFont="1" applyBorder="1" applyAlignment="1">
      <alignment horizontal="center" vertical="center" wrapText="1"/>
    </xf>
    <xf numFmtId="3" fontId="19" fillId="0" borderId="10" xfId="0" applyNumberFormat="1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left" vertical="center" wrapText="1"/>
    </xf>
    <xf numFmtId="10" fontId="19" fillId="0" borderId="10" xfId="0" applyNumberFormat="1" applyFont="1" applyBorder="1" applyAlignment="1">
      <alignment horizontal="center" vertical="center" wrapText="1"/>
    </xf>
    <xf numFmtId="9" fontId="19" fillId="0" borderId="10" xfId="0" applyNumberFormat="1" applyFont="1" applyBorder="1" applyAlignment="1">
      <alignment horizontal="center" vertical="center" wrapText="1"/>
    </xf>
    <xf numFmtId="0" fontId="26" fillId="0" borderId="12" xfId="0" applyFont="1" applyBorder="1" applyAlignment="1">
      <alignment horizontal="left" vertical="center" wrapText="1"/>
    </xf>
    <xf numFmtId="9" fontId="26" fillId="0" borderId="12" xfId="0" applyNumberFormat="1" applyFont="1" applyBorder="1" applyAlignment="1">
      <alignment horizontal="center" vertical="center" wrapText="1"/>
    </xf>
    <xf numFmtId="0" fontId="34" fillId="5" borderId="10" xfId="0" applyFont="1" applyFill="1" applyBorder="1" applyAlignment="1">
      <alignment horizontal="left" vertical="center" wrapText="1"/>
    </xf>
    <xf numFmtId="0" fontId="28" fillId="0" borderId="12" xfId="0" applyFont="1" applyBorder="1" applyAlignment="1">
      <alignment horizontal="center" vertical="center" wrapText="1"/>
    </xf>
    <xf numFmtId="0" fontId="35" fillId="0" borderId="9" xfId="0" applyFont="1" applyBorder="1"/>
    <xf numFmtId="3" fontId="15" fillId="0" borderId="0" xfId="0" applyNumberFormat="1" applyFont="1"/>
    <xf numFmtId="0" fontId="15" fillId="0" borderId="0" xfId="0" applyFont="1"/>
    <xf numFmtId="0" fontId="15" fillId="0" borderId="0" xfId="0" applyFont="1" applyAlignment="1">
      <alignment horizontal="center"/>
    </xf>
    <xf numFmtId="0" fontId="17" fillId="0" borderId="0" xfId="0" applyFont="1"/>
    <xf numFmtId="176" fontId="15" fillId="0" borderId="0" xfId="0" applyNumberFormat="1" applyFont="1"/>
    <xf numFmtId="0" fontId="15" fillId="0" borderId="0" xfId="0" applyFont="1" applyAlignment="1">
      <alignment wrapText="1"/>
    </xf>
    <xf numFmtId="0" fontId="4" fillId="2" borderId="0" xfId="0" applyFont="1" applyFill="1" applyAlignment="1">
      <alignment horizontal="left"/>
    </xf>
    <xf numFmtId="3" fontId="19" fillId="3" borderId="1" xfId="0" applyNumberFormat="1" applyFont="1" applyFill="1" applyBorder="1" applyAlignment="1">
      <alignment horizontal="center" vertical="center" wrapText="1"/>
    </xf>
    <xf numFmtId="49" fontId="19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center" wrapText="1"/>
    </xf>
    <xf numFmtId="3" fontId="19" fillId="0" borderId="1" xfId="0" applyNumberFormat="1" applyFont="1" applyBorder="1" applyAlignment="1">
      <alignment horizontal="center" vertical="center" wrapText="1"/>
    </xf>
    <xf numFmtId="3" fontId="19" fillId="0" borderId="2" xfId="0" applyNumberFormat="1" applyFont="1" applyBorder="1" applyAlignment="1">
      <alignment horizontal="center" vertical="center" wrapText="1"/>
    </xf>
    <xf numFmtId="3" fontId="36" fillId="0" borderId="0" xfId="0" applyNumberFormat="1" applyFont="1" applyAlignment="1">
      <alignment horizontal="left" vertical="center" wrapText="1"/>
    </xf>
    <xf numFmtId="0" fontId="19" fillId="0" borderId="2" xfId="0" applyFont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left" vertical="center" wrapText="1"/>
    </xf>
    <xf numFmtId="3" fontId="19" fillId="0" borderId="10" xfId="0" applyNumberFormat="1" applyFont="1" applyBorder="1" applyAlignment="1">
      <alignment horizontal="left" vertical="center" wrapText="1"/>
    </xf>
    <xf numFmtId="9" fontId="37" fillId="0" borderId="10" xfId="0" applyNumberFormat="1" applyFont="1" applyBorder="1" applyAlignment="1">
      <alignment horizontal="left" vertical="center" wrapText="1"/>
    </xf>
    <xf numFmtId="9" fontId="19" fillId="0" borderId="1" xfId="0" applyNumberFormat="1" applyFont="1" applyBorder="1" applyAlignment="1">
      <alignment horizontal="center" vertical="center" wrapText="1"/>
    </xf>
    <xf numFmtId="0" fontId="19" fillId="0" borderId="12" xfId="0" applyFont="1" applyBorder="1" applyAlignment="1">
      <alignment horizontal="left" vertical="center"/>
    </xf>
    <xf numFmtId="49" fontId="38" fillId="0" borderId="1" xfId="0" applyNumberFormat="1" applyFont="1" applyBorder="1" applyAlignment="1">
      <alignment horizontal="center" vertical="center" wrapText="1"/>
    </xf>
    <xf numFmtId="0" fontId="38" fillId="0" borderId="12" xfId="0" applyFont="1" applyBorder="1" applyAlignment="1">
      <alignment horizontal="left" vertical="center" wrapText="1"/>
    </xf>
    <xf numFmtId="3" fontId="19" fillId="0" borderId="12" xfId="0" applyNumberFormat="1" applyFont="1" applyBorder="1" applyAlignment="1">
      <alignment horizontal="left" vertical="center" wrapText="1"/>
    </xf>
    <xf numFmtId="49" fontId="38" fillId="0" borderId="2" xfId="0" applyNumberFormat="1" applyFont="1" applyBorder="1" applyAlignment="1">
      <alignment horizontal="center" vertical="center" wrapText="1"/>
    </xf>
    <xf numFmtId="0" fontId="38" fillId="0" borderId="10" xfId="0" applyFont="1" applyBorder="1" applyAlignment="1">
      <alignment horizontal="left" vertical="center" wrapText="1"/>
    </xf>
    <xf numFmtId="0" fontId="38" fillId="4" borderId="10" xfId="0" applyFont="1" applyFill="1" applyBorder="1" applyAlignment="1">
      <alignment horizontal="left" vertical="center" wrapText="1"/>
    </xf>
    <xf numFmtId="49" fontId="19" fillId="0" borderId="2" xfId="0" applyNumberFormat="1" applyFont="1" applyBorder="1" applyAlignment="1">
      <alignment horizontal="center" vertical="center" wrapText="1"/>
    </xf>
    <xf numFmtId="4" fontId="19" fillId="0" borderId="10" xfId="0" applyNumberFormat="1" applyFont="1" applyBorder="1" applyAlignment="1">
      <alignment horizontal="center" vertical="center" wrapText="1"/>
    </xf>
    <xf numFmtId="10" fontId="19" fillId="0" borderId="1" xfId="0" applyNumberFormat="1" applyFont="1" applyBorder="1" applyAlignment="1">
      <alignment horizontal="center" vertical="center" wrapText="1"/>
    </xf>
    <xf numFmtId="4" fontId="19" fillId="0" borderId="1" xfId="0" applyNumberFormat="1" applyFont="1" applyBorder="1" applyAlignment="1">
      <alignment horizontal="center" vertical="center" wrapText="1"/>
    </xf>
    <xf numFmtId="0" fontId="19" fillId="0" borderId="1" xfId="0" applyFont="1" applyBorder="1" applyAlignment="1">
      <alignment vertical="center" wrapText="1"/>
    </xf>
    <xf numFmtId="3" fontId="19" fillId="0" borderId="1" xfId="0" applyNumberFormat="1" applyFont="1" applyBorder="1" applyAlignment="1">
      <alignment horizontal="left" vertical="center" wrapText="1"/>
    </xf>
    <xf numFmtId="3" fontId="20" fillId="0" borderId="1" xfId="0" applyNumberFormat="1" applyFont="1" applyBorder="1" applyAlignment="1">
      <alignment vertical="center" wrapText="1"/>
    </xf>
    <xf numFmtId="3" fontId="19" fillId="0" borderId="1" xfId="0" applyNumberFormat="1" applyFont="1" applyBorder="1" applyAlignment="1">
      <alignment vertical="center" wrapText="1"/>
    </xf>
    <xf numFmtId="0" fontId="19" fillId="0" borderId="2" xfId="0" applyFont="1" applyBorder="1" applyAlignment="1">
      <alignment horizontal="left" vertical="center" wrapText="1"/>
    </xf>
    <xf numFmtId="0" fontId="20" fillId="0" borderId="1" xfId="0" applyFont="1" applyBorder="1" applyAlignment="1">
      <alignment vertical="center" wrapText="1"/>
    </xf>
    <xf numFmtId="0" fontId="19" fillId="0" borderId="12" xfId="0" applyFont="1" applyBorder="1" applyAlignment="1">
      <alignment vertical="center" wrapText="1"/>
    </xf>
    <xf numFmtId="0" fontId="19" fillId="0" borderId="10" xfId="0" applyFont="1" applyBorder="1" applyAlignment="1">
      <alignment vertical="center" wrapText="1"/>
    </xf>
    <xf numFmtId="0" fontId="39" fillId="0" borderId="1" xfId="0" applyFont="1" applyBorder="1" applyAlignment="1">
      <alignment horizontal="left" vertical="center" wrapText="1"/>
    </xf>
    <xf numFmtId="0" fontId="39" fillId="0" borderId="1" xfId="0" applyFont="1" applyBorder="1" applyAlignment="1">
      <alignment horizontal="center" vertical="center" wrapText="1"/>
    </xf>
    <xf numFmtId="1" fontId="19" fillId="0" borderId="1" xfId="0" applyNumberFormat="1" applyFont="1" applyBorder="1" applyAlignment="1">
      <alignment horizontal="left" vertical="center" wrapText="1"/>
    </xf>
    <xf numFmtId="1" fontId="19" fillId="0" borderId="1" xfId="0" applyNumberFormat="1" applyFont="1" applyBorder="1" applyAlignment="1">
      <alignment horizontal="center" vertical="center" wrapText="1"/>
    </xf>
    <xf numFmtId="176" fontId="19" fillId="0" borderId="10" xfId="0" applyNumberFormat="1" applyFont="1" applyBorder="1" applyAlignment="1">
      <alignment horizontal="center" vertical="center" wrapText="1"/>
    </xf>
    <xf numFmtId="176" fontId="19" fillId="0" borderId="12" xfId="0" applyNumberFormat="1" applyFont="1" applyBorder="1" applyAlignment="1">
      <alignment horizontal="center" vertical="center" wrapText="1"/>
    </xf>
    <xf numFmtId="0" fontId="40" fillId="0" borderId="10" xfId="0" applyFont="1" applyBorder="1" applyAlignment="1">
      <alignment horizontal="center" vertical="center" wrapText="1"/>
    </xf>
    <xf numFmtId="3" fontId="41" fillId="0" borderId="10" xfId="0" applyNumberFormat="1" applyFont="1" applyBorder="1" applyAlignment="1">
      <alignment horizontal="center" vertical="center" wrapText="1"/>
    </xf>
    <xf numFmtId="14" fontId="19" fillId="0" borderId="1" xfId="0" applyNumberFormat="1" applyFont="1" applyBorder="1" applyAlignment="1">
      <alignment horizontal="center" vertical="center" wrapText="1"/>
    </xf>
    <xf numFmtId="3" fontId="42" fillId="0" borderId="10" xfId="0" applyNumberFormat="1" applyFont="1" applyBorder="1" applyAlignment="1">
      <alignment horizontal="center" vertical="center" wrapText="1"/>
    </xf>
    <xf numFmtId="0" fontId="41" fillId="0" borderId="10" xfId="0" applyFont="1" applyBorder="1" applyAlignment="1">
      <alignment horizontal="center" vertical="center" wrapText="1"/>
    </xf>
    <xf numFmtId="3" fontId="43" fillId="0" borderId="2" xfId="0" applyNumberFormat="1" applyFont="1" applyBorder="1" applyAlignment="1">
      <alignment horizontal="center" vertical="center" wrapText="1"/>
    </xf>
    <xf numFmtId="3" fontId="19" fillId="0" borderId="7" xfId="0" applyNumberFormat="1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10" fontId="19" fillId="0" borderId="7" xfId="0" applyNumberFormat="1" applyFont="1" applyBorder="1" applyAlignment="1">
      <alignment horizontal="center" vertical="center" wrapText="1"/>
    </xf>
    <xf numFmtId="0" fontId="19" fillId="0" borderId="7" xfId="0" applyFont="1" applyBorder="1" applyAlignment="1">
      <alignment vertical="center" wrapText="1"/>
    </xf>
    <xf numFmtId="0" fontId="19" fillId="0" borderId="7" xfId="0" applyFont="1" applyBorder="1" applyAlignment="1">
      <alignment horizontal="left" vertical="center" wrapText="1"/>
    </xf>
    <xf numFmtId="9" fontId="19" fillId="0" borderId="7" xfId="0" applyNumberFormat="1" applyFont="1" applyBorder="1" applyAlignment="1">
      <alignment horizontal="center" vertical="center" wrapText="1"/>
    </xf>
    <xf numFmtId="3" fontId="41" fillId="0" borderId="1" xfId="0" applyNumberFormat="1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left" vertical="center" wrapText="1"/>
    </xf>
    <xf numFmtId="9" fontId="19" fillId="0" borderId="5" xfId="0" applyNumberFormat="1" applyFont="1" applyBorder="1" applyAlignment="1">
      <alignment horizontal="center" vertical="center" wrapText="1"/>
    </xf>
    <xf numFmtId="1" fontId="19" fillId="0" borderId="12" xfId="0" applyNumberFormat="1" applyFont="1" applyBorder="1" applyAlignment="1">
      <alignment horizontal="left" vertical="center" wrapText="1"/>
    </xf>
    <xf numFmtId="1" fontId="19" fillId="0" borderId="12" xfId="0" applyNumberFormat="1" applyFont="1" applyBorder="1" applyAlignment="1">
      <alignment horizontal="center" vertical="center" wrapText="1"/>
    </xf>
    <xf numFmtId="1" fontId="19" fillId="0" borderId="10" xfId="0" applyNumberFormat="1" applyFont="1" applyBorder="1" applyAlignment="1">
      <alignment horizontal="left" vertical="center" wrapText="1"/>
    </xf>
    <xf numFmtId="1" fontId="19" fillId="0" borderId="10" xfId="0" applyNumberFormat="1" applyFont="1" applyBorder="1" applyAlignment="1">
      <alignment horizontal="center" vertical="center" wrapText="1"/>
    </xf>
    <xf numFmtId="0" fontId="38" fillId="0" borderId="1" xfId="0" applyFont="1" applyBorder="1" applyAlignment="1">
      <alignment horizontal="left" vertical="center" wrapText="1"/>
    </xf>
    <xf numFmtId="0" fontId="38" fillId="0" borderId="0" xfId="0" applyFont="1" applyAlignment="1">
      <alignment horizontal="center" vertical="center" wrapText="1"/>
    </xf>
    <xf numFmtId="0" fontId="38" fillId="0" borderId="0" xfId="0" applyFont="1" applyAlignment="1">
      <alignment horizontal="left" vertical="center" wrapText="1"/>
    </xf>
    <xf numFmtId="0" fontId="19" fillId="0" borderId="0" xfId="0" applyFont="1" applyAlignment="1">
      <alignment horizontal="center" vertical="center" wrapText="1"/>
    </xf>
    <xf numFmtId="3" fontId="19" fillId="0" borderId="0" xfId="0" applyNumberFormat="1" applyFont="1" applyAlignment="1">
      <alignment horizontal="center" vertical="center" wrapText="1"/>
    </xf>
    <xf numFmtId="176" fontId="19" fillId="0" borderId="0" xfId="0" applyNumberFormat="1" applyFont="1" applyAlignment="1">
      <alignment horizontal="center" vertical="center" wrapText="1"/>
    </xf>
    <xf numFmtId="0" fontId="19" fillId="0" borderId="0" xfId="0" applyFont="1" applyAlignment="1">
      <alignment horizontal="left" vertical="center" wrapText="1"/>
    </xf>
    <xf numFmtId="3" fontId="16" fillId="0" borderId="0" xfId="0" applyNumberFormat="1" applyFont="1" applyAlignment="1">
      <alignment horizontal="center" vertical="center"/>
    </xf>
    <xf numFmtId="0" fontId="15" fillId="5" borderId="0" xfId="0" applyFont="1" applyFill="1"/>
    <xf numFmtId="0" fontId="19" fillId="5" borderId="0" xfId="0" applyFont="1" applyFill="1" applyAlignment="1">
      <alignment horizontal="center" vertical="center" wrapText="1"/>
    </xf>
    <xf numFmtId="14" fontId="16" fillId="0" borderId="0" xfId="0" applyNumberFormat="1" applyFont="1" applyAlignment="1">
      <alignment horizontal="center" vertical="center"/>
    </xf>
    <xf numFmtId="0" fontId="18" fillId="0" borderId="9" xfId="0" applyFont="1" applyBorder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19" fillId="3" borderId="14" xfId="0" applyFont="1" applyFill="1" applyBorder="1" applyAlignment="1">
      <alignment horizontal="center" vertical="center"/>
    </xf>
    <xf numFmtId="0" fontId="19" fillId="3" borderId="15" xfId="0" applyFont="1" applyFill="1" applyBorder="1" applyAlignment="1">
      <alignment horizontal="center" vertical="center"/>
    </xf>
    <xf numFmtId="0" fontId="19" fillId="6" borderId="14" xfId="0" applyFont="1" applyFill="1" applyBorder="1" applyAlignment="1">
      <alignment horizontal="center" vertical="center"/>
    </xf>
    <xf numFmtId="0" fontId="19" fillId="3" borderId="16" xfId="0" applyFont="1" applyFill="1" applyBorder="1" applyAlignment="1">
      <alignment horizontal="center" vertical="center"/>
    </xf>
    <xf numFmtId="177" fontId="19" fillId="4" borderId="2" xfId="0" applyNumberFormat="1" applyFont="1" applyFill="1" applyBorder="1" applyAlignment="1">
      <alignment horizontal="center" vertical="center"/>
    </xf>
    <xf numFmtId="0" fontId="19" fillId="4" borderId="10" xfId="0" applyFont="1" applyFill="1" applyBorder="1" applyAlignment="1">
      <alignment horizontal="left" vertical="center"/>
    </xf>
    <xf numFmtId="3" fontId="19" fillId="0" borderId="10" xfId="0" applyNumberFormat="1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44" fillId="0" borderId="10" xfId="0" applyFont="1" applyBorder="1" applyAlignment="1">
      <alignment horizontal="center" vertical="center"/>
    </xf>
    <xf numFmtId="10" fontId="19" fillId="0" borderId="10" xfId="0" applyNumberFormat="1" applyFont="1" applyBorder="1" applyAlignment="1">
      <alignment horizontal="center" vertical="center"/>
    </xf>
    <xf numFmtId="0" fontId="19" fillId="6" borderId="10" xfId="0" applyFont="1" applyFill="1" applyBorder="1" applyAlignment="1">
      <alignment horizontal="center" vertical="center"/>
    </xf>
    <xf numFmtId="9" fontId="27" fillId="5" borderId="17" xfId="0" applyNumberFormat="1" applyFont="1" applyFill="1" applyBorder="1" applyAlignment="1">
      <alignment horizontal="center" vertical="center" wrapText="1"/>
    </xf>
    <xf numFmtId="14" fontId="19" fillId="0" borderId="10" xfId="0" applyNumberFormat="1" applyFont="1" applyBorder="1" applyAlignment="1">
      <alignment horizontal="center" vertical="center"/>
    </xf>
    <xf numFmtId="3" fontId="19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right" vertical="center"/>
    </xf>
    <xf numFmtId="177" fontId="19" fillId="0" borderId="2" xfId="0" applyNumberFormat="1" applyFont="1" applyBorder="1" applyAlignment="1">
      <alignment horizontal="center" vertical="center"/>
    </xf>
    <xf numFmtId="0" fontId="19" fillId="0" borderId="10" xfId="0" applyFont="1" applyBorder="1" applyAlignment="1">
      <alignment horizontal="left" vertical="center"/>
    </xf>
    <xf numFmtId="9" fontId="27" fillId="5" borderId="2" xfId="0" applyNumberFormat="1" applyFont="1" applyFill="1" applyBorder="1" applyAlignment="1">
      <alignment horizontal="center" vertical="center" wrapText="1"/>
    </xf>
    <xf numFmtId="177" fontId="27" fillId="0" borderId="2" xfId="0" applyNumberFormat="1" applyFont="1" applyBorder="1" applyAlignment="1">
      <alignment horizontal="center" vertical="center"/>
    </xf>
    <xf numFmtId="9" fontId="19" fillId="0" borderId="2" xfId="0" applyNumberFormat="1" applyFont="1" applyBorder="1" applyAlignment="1">
      <alignment horizontal="center" vertical="center" wrapText="1"/>
    </xf>
    <xf numFmtId="177" fontId="19" fillId="0" borderId="18" xfId="0" applyNumberFormat="1" applyFont="1" applyBorder="1" applyAlignment="1">
      <alignment horizontal="center" vertical="center"/>
    </xf>
    <xf numFmtId="0" fontId="19" fillId="0" borderId="14" xfId="0" applyFont="1" applyBorder="1" applyAlignment="1">
      <alignment horizontal="left" vertical="center"/>
    </xf>
    <xf numFmtId="3" fontId="19" fillId="0" borderId="14" xfId="0" applyNumberFormat="1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44" fillId="0" borderId="14" xfId="0" applyFont="1" applyBorder="1" applyAlignment="1">
      <alignment horizontal="center" vertical="center"/>
    </xf>
    <xf numFmtId="10" fontId="19" fillId="0" borderId="14" xfId="0" applyNumberFormat="1" applyFont="1" applyBorder="1" applyAlignment="1">
      <alignment horizontal="center" vertical="center"/>
    </xf>
    <xf numFmtId="9" fontId="19" fillId="0" borderId="18" xfId="0" applyNumberFormat="1" applyFont="1" applyBorder="1" applyAlignment="1">
      <alignment horizontal="center" vertical="center" wrapText="1"/>
    </xf>
    <xf numFmtId="177" fontId="19" fillId="0" borderId="1" xfId="0" applyNumberFormat="1" applyFont="1" applyBorder="1" applyAlignment="1">
      <alignment horizontal="center" vertical="center"/>
    </xf>
    <xf numFmtId="3" fontId="19" fillId="0" borderId="12" xfId="0" applyNumberFormat="1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44" fillId="0" borderId="12" xfId="0" applyFont="1" applyBorder="1" applyAlignment="1">
      <alignment horizontal="center" vertical="center"/>
    </xf>
    <xf numFmtId="10" fontId="19" fillId="0" borderId="12" xfId="0" applyNumberFormat="1" applyFont="1" applyBorder="1" applyAlignment="1">
      <alignment horizontal="center" vertical="center"/>
    </xf>
    <xf numFmtId="0" fontId="19" fillId="6" borderId="12" xfId="0" applyFont="1" applyFill="1" applyBorder="1" applyAlignment="1">
      <alignment horizontal="center" vertical="center"/>
    </xf>
    <xf numFmtId="9" fontId="19" fillId="0" borderId="12" xfId="0" applyNumberFormat="1" applyFont="1" applyBorder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9" fontId="19" fillId="0" borderId="10" xfId="0" applyNumberFormat="1" applyFont="1" applyBorder="1" applyAlignment="1">
      <alignment horizontal="center" vertical="center"/>
    </xf>
    <xf numFmtId="178" fontId="19" fillId="0" borderId="10" xfId="0" applyNumberFormat="1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177" fontId="19" fillId="7" borderId="2" xfId="0" applyNumberFormat="1" applyFont="1" applyFill="1" applyBorder="1" applyAlignment="1">
      <alignment horizontal="center" vertical="center"/>
    </xf>
    <xf numFmtId="0" fontId="19" fillId="7" borderId="10" xfId="0" applyFont="1" applyFill="1" applyBorder="1" applyAlignment="1">
      <alignment horizontal="left" vertical="center"/>
    </xf>
    <xf numFmtId="3" fontId="19" fillId="7" borderId="10" xfId="0" applyNumberFormat="1" applyFont="1" applyFill="1" applyBorder="1" applyAlignment="1">
      <alignment horizontal="center" vertical="center"/>
    </xf>
    <xf numFmtId="0" fontId="19" fillId="7" borderId="10" xfId="0" applyFont="1" applyFill="1" applyBorder="1" applyAlignment="1">
      <alignment horizontal="center" vertical="center"/>
    </xf>
    <xf numFmtId="0" fontId="38" fillId="7" borderId="10" xfId="0" applyFont="1" applyFill="1" applyBorder="1" applyAlignment="1">
      <alignment horizontal="center" vertical="center"/>
    </xf>
    <xf numFmtId="0" fontId="19" fillId="4" borderId="14" xfId="0" applyFont="1" applyFill="1" applyBorder="1" applyAlignment="1">
      <alignment horizontal="left" vertical="center"/>
    </xf>
    <xf numFmtId="9" fontId="19" fillId="0" borderId="14" xfId="0" applyNumberFormat="1" applyFont="1" applyBorder="1" applyAlignment="1">
      <alignment horizontal="center" vertical="center"/>
    </xf>
    <xf numFmtId="14" fontId="19" fillId="0" borderId="14" xfId="0" applyNumberFormat="1" applyFont="1" applyBorder="1" applyAlignment="1">
      <alignment horizontal="center" vertical="center"/>
    </xf>
    <xf numFmtId="0" fontId="27" fillId="0" borderId="14" xfId="0" applyFont="1" applyBorder="1" applyAlignment="1">
      <alignment horizontal="center" vertical="center"/>
    </xf>
    <xf numFmtId="177" fontId="19" fillId="0" borderId="17" xfId="0" applyNumberFormat="1" applyFont="1" applyBorder="1" applyAlignment="1">
      <alignment horizontal="center" vertical="center"/>
    </xf>
    <xf numFmtId="0" fontId="19" fillId="6" borderId="10" xfId="0" applyFont="1" applyFill="1" applyBorder="1" applyAlignment="1">
      <alignment horizontal="left" vertical="center"/>
    </xf>
    <xf numFmtId="0" fontId="20" fillId="0" borderId="10" xfId="0" applyFont="1" applyBorder="1" applyAlignment="1">
      <alignment horizontal="left" vertical="center"/>
    </xf>
    <xf numFmtId="0" fontId="20" fillId="6" borderId="10" xfId="0" applyFont="1" applyFill="1" applyBorder="1" applyAlignment="1">
      <alignment horizontal="left" vertical="center"/>
    </xf>
    <xf numFmtId="0" fontId="24" fillId="6" borderId="10" xfId="0" applyFont="1" applyFill="1" applyBorder="1" applyAlignment="1">
      <alignment horizontal="left" vertical="center"/>
    </xf>
    <xf numFmtId="4" fontId="19" fillId="0" borderId="10" xfId="0" applyNumberFormat="1" applyFont="1" applyBorder="1" applyAlignment="1">
      <alignment horizontal="center" vertical="center"/>
    </xf>
    <xf numFmtId="178" fontId="27" fillId="0" borderId="10" xfId="0" applyNumberFormat="1" applyFont="1" applyBorder="1" applyAlignment="1">
      <alignment horizontal="center" vertical="center"/>
    </xf>
    <xf numFmtId="0" fontId="27" fillId="0" borderId="10" xfId="0" applyFont="1" applyBorder="1" applyAlignment="1">
      <alignment horizontal="left" vertical="center"/>
    </xf>
    <xf numFmtId="0" fontId="19" fillId="0" borderId="10" xfId="0" applyFont="1" applyBorder="1" applyAlignment="1">
      <alignment vertical="center"/>
    </xf>
    <xf numFmtId="0" fontId="19" fillId="6" borderId="10" xfId="0" applyFont="1" applyFill="1" applyBorder="1" applyAlignment="1">
      <alignment horizontal="right" vertical="center"/>
    </xf>
    <xf numFmtId="0" fontId="19" fillId="0" borderId="19" xfId="0" applyFont="1" applyBorder="1" applyAlignment="1">
      <alignment horizontal="center" vertical="center"/>
    </xf>
    <xf numFmtId="14" fontId="27" fillId="0" borderId="7" xfId="0" applyNumberFormat="1" applyFont="1" applyBorder="1" applyAlignment="1">
      <alignment horizontal="center" vertical="center"/>
    </xf>
    <xf numFmtId="0" fontId="44" fillId="0" borderId="19" xfId="0" applyFont="1" applyBorder="1" applyAlignment="1">
      <alignment horizontal="center" vertical="center"/>
    </xf>
    <xf numFmtId="0" fontId="19" fillId="0" borderId="19" xfId="0" applyFont="1" applyBorder="1" applyAlignment="1">
      <alignment vertical="center"/>
    </xf>
    <xf numFmtId="3" fontId="19" fillId="0" borderId="7" xfId="0" applyNumberFormat="1" applyFont="1" applyBorder="1" applyAlignment="1">
      <alignment horizontal="right" vertical="center"/>
    </xf>
    <xf numFmtId="0" fontId="20" fillId="0" borderId="5" xfId="0" applyFont="1" applyBorder="1" applyAlignment="1">
      <alignment vertical="center"/>
    </xf>
    <xf numFmtId="0" fontId="19" fillId="0" borderId="7" xfId="0" applyFont="1" applyBorder="1" applyAlignment="1">
      <alignment horizontal="center" vertical="center"/>
    </xf>
    <xf numFmtId="0" fontId="19" fillId="6" borderId="7" xfId="0" applyFont="1" applyFill="1" applyBorder="1" applyAlignment="1">
      <alignment horizontal="center" vertical="center"/>
    </xf>
    <xf numFmtId="3" fontId="27" fillId="0" borderId="5" xfId="0" applyNumberFormat="1" applyFont="1" applyBorder="1" applyAlignment="1">
      <alignment horizontal="center" vertical="center"/>
    </xf>
    <xf numFmtId="3" fontId="27" fillId="0" borderId="10" xfId="0" applyNumberFormat="1" applyFont="1" applyBorder="1" applyAlignment="1">
      <alignment horizontal="center" vertical="center"/>
    </xf>
    <xf numFmtId="10" fontId="27" fillId="0" borderId="10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vertical="center"/>
    </xf>
    <xf numFmtId="9" fontId="24" fillId="0" borderId="10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3" fontId="19" fillId="0" borderId="5" xfId="0" applyNumberFormat="1" applyFont="1" applyBorder="1" applyAlignment="1">
      <alignment horizontal="center" vertical="center"/>
    </xf>
    <xf numFmtId="9" fontId="20" fillId="0" borderId="10" xfId="0" applyNumberFormat="1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0" fontId="20" fillId="6" borderId="10" xfId="0" applyFont="1" applyFill="1" applyBorder="1" applyAlignment="1">
      <alignment horizontal="center" vertical="center"/>
    </xf>
    <xf numFmtId="0" fontId="20" fillId="0" borderId="7" xfId="0" applyFont="1" applyBorder="1" applyAlignment="1">
      <alignment vertical="center"/>
    </xf>
    <xf numFmtId="3" fontId="19" fillId="0" borderId="10" xfId="0" applyNumberFormat="1" applyFont="1" applyBorder="1" applyAlignment="1">
      <alignment horizontal="right" vertical="center"/>
    </xf>
    <xf numFmtId="0" fontId="20" fillId="0" borderId="10" xfId="0" applyFont="1" applyBorder="1" applyAlignment="1">
      <alignment vertical="center"/>
    </xf>
    <xf numFmtId="0" fontId="20" fillId="0" borderId="10" xfId="0" applyFont="1" applyBorder="1" applyAlignment="1">
      <alignment horizontal="right" vertical="center"/>
    </xf>
    <xf numFmtId="179" fontId="19" fillId="0" borderId="19" xfId="0" applyNumberFormat="1" applyFont="1" applyBorder="1" applyAlignment="1">
      <alignment horizontal="center" vertical="center"/>
    </xf>
    <xf numFmtId="177" fontId="19" fillId="5" borderId="2" xfId="0" applyNumberFormat="1" applyFont="1" applyFill="1" applyBorder="1" applyAlignment="1">
      <alignment horizontal="center" vertical="center"/>
    </xf>
    <xf numFmtId="179" fontId="19" fillId="0" borderId="10" xfId="0" applyNumberFormat="1" applyFont="1" applyBorder="1" applyAlignment="1">
      <alignment horizontal="center" vertical="center"/>
    </xf>
    <xf numFmtId="177" fontId="27" fillId="4" borderId="2" xfId="0" applyNumberFormat="1" applyFont="1" applyFill="1" applyBorder="1" applyAlignment="1">
      <alignment horizontal="center" vertical="center"/>
    </xf>
    <xf numFmtId="3" fontId="19" fillId="0" borderId="19" xfId="0" applyNumberFormat="1" applyFont="1" applyBorder="1" applyAlignment="1">
      <alignment horizontal="center" vertical="center"/>
    </xf>
    <xf numFmtId="10" fontId="19" fillId="0" borderId="19" xfId="0" applyNumberFormat="1" applyFont="1" applyBorder="1" applyAlignment="1">
      <alignment horizontal="center" vertical="center"/>
    </xf>
    <xf numFmtId="0" fontId="19" fillId="6" borderId="19" xfId="0" applyFont="1" applyFill="1" applyBorder="1" applyAlignment="1">
      <alignment horizontal="center" vertical="center"/>
    </xf>
    <xf numFmtId="0" fontId="39" fillId="0" borderId="19" xfId="0" applyFont="1" applyBorder="1" applyAlignment="1">
      <alignment horizontal="center" vertical="center"/>
    </xf>
    <xf numFmtId="9" fontId="19" fillId="0" borderId="19" xfId="0" applyNumberFormat="1" applyFont="1" applyBorder="1" applyAlignment="1">
      <alignment horizontal="center" vertical="center"/>
    </xf>
    <xf numFmtId="0" fontId="39" fillId="0" borderId="10" xfId="0" applyFont="1" applyBorder="1" applyAlignment="1">
      <alignment horizontal="center" vertical="center"/>
    </xf>
    <xf numFmtId="14" fontId="39" fillId="0" borderId="10" xfId="0" applyNumberFormat="1" applyFont="1" applyBorder="1" applyAlignment="1">
      <alignment horizontal="center" vertical="center"/>
    </xf>
    <xf numFmtId="0" fontId="45" fillId="0" borderId="10" xfId="0" applyFont="1" applyBorder="1" applyAlignment="1">
      <alignment horizontal="center" vertical="center"/>
    </xf>
    <xf numFmtId="0" fontId="39" fillId="6" borderId="10" xfId="0" applyFont="1" applyFill="1" applyBorder="1" applyAlignment="1">
      <alignment horizontal="center" vertical="center"/>
    </xf>
    <xf numFmtId="0" fontId="39" fillId="0" borderId="10" xfId="0" applyFont="1" applyBorder="1" applyAlignment="1">
      <alignment vertical="center"/>
    </xf>
    <xf numFmtId="10" fontId="39" fillId="0" borderId="10" xfId="0" applyNumberFormat="1" applyFont="1" applyBorder="1" applyAlignment="1">
      <alignment horizontal="center" vertical="center"/>
    </xf>
    <xf numFmtId="177" fontId="39" fillId="0" borderId="2" xfId="0" applyNumberFormat="1" applyFont="1" applyBorder="1" applyAlignment="1">
      <alignment horizontal="center" vertical="center"/>
    </xf>
    <xf numFmtId="0" fontId="39" fillId="0" borderId="10" xfId="0" applyFont="1" applyBorder="1" applyAlignment="1">
      <alignment horizontal="left" vertical="center"/>
    </xf>
    <xf numFmtId="3" fontId="39" fillId="0" borderId="10" xfId="0" applyNumberFormat="1" applyFont="1" applyBorder="1" applyAlignment="1">
      <alignment horizontal="center" vertical="center"/>
    </xf>
    <xf numFmtId="9" fontId="39" fillId="0" borderId="10" xfId="0" applyNumberFormat="1" applyFont="1" applyBorder="1" applyAlignment="1">
      <alignment horizontal="center" vertical="center"/>
    </xf>
    <xf numFmtId="14" fontId="45" fillId="0" borderId="10" xfId="0" applyNumberFormat="1" applyFont="1" applyBorder="1" applyAlignment="1">
      <alignment horizontal="center" vertical="center"/>
    </xf>
    <xf numFmtId="0" fontId="46" fillId="0" borderId="10" xfId="0" applyFont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7" xfId="0" applyFont="1" applyBorder="1" applyAlignment="1">
      <alignment horizontal="left" vertical="center"/>
    </xf>
    <xf numFmtId="3" fontId="39" fillId="0" borderId="7" xfId="0" applyNumberFormat="1" applyFont="1" applyBorder="1" applyAlignment="1">
      <alignment horizontal="center" vertical="center"/>
    </xf>
    <xf numFmtId="0" fontId="39" fillId="0" borderId="7" xfId="0" applyFont="1" applyBorder="1" applyAlignment="1">
      <alignment horizontal="center" vertical="center"/>
    </xf>
    <xf numFmtId="0" fontId="44" fillId="0" borderId="7" xfId="0" applyFont="1" applyBorder="1" applyAlignment="1">
      <alignment horizontal="center" vertical="center"/>
    </xf>
    <xf numFmtId="10" fontId="39" fillId="0" borderId="7" xfId="0" applyNumberFormat="1" applyFont="1" applyBorder="1" applyAlignment="1">
      <alignment horizontal="center" vertical="center"/>
    </xf>
    <xf numFmtId="0" fontId="39" fillId="6" borderId="7" xfId="0" applyFont="1" applyFill="1" applyBorder="1" applyAlignment="1">
      <alignment horizontal="center" vertical="center"/>
    </xf>
    <xf numFmtId="9" fontId="39" fillId="0" borderId="7" xfId="0" applyNumberFormat="1" applyFont="1" applyBorder="1" applyAlignment="1">
      <alignment horizontal="center" vertical="center"/>
    </xf>
    <xf numFmtId="14" fontId="39" fillId="0" borderId="7" xfId="0" applyNumberFormat="1" applyFont="1" applyBorder="1" applyAlignment="1">
      <alignment horizontal="center" vertical="center"/>
    </xf>
    <xf numFmtId="0" fontId="39" fillId="0" borderId="12" xfId="0" applyFont="1" applyBorder="1" applyAlignment="1">
      <alignment horizontal="left" vertical="center"/>
    </xf>
    <xf numFmtId="3" fontId="39" fillId="0" borderId="12" xfId="0" applyNumberFormat="1" applyFont="1" applyBorder="1" applyAlignment="1">
      <alignment horizontal="center" vertical="center"/>
    </xf>
    <xf numFmtId="0" fontId="39" fillId="0" borderId="12" xfId="0" applyFont="1" applyBorder="1" applyAlignment="1">
      <alignment horizontal="center" vertical="center"/>
    </xf>
    <xf numFmtId="0" fontId="46" fillId="0" borderId="12" xfId="0" applyFont="1" applyBorder="1" applyAlignment="1">
      <alignment horizontal="center" vertical="center"/>
    </xf>
    <xf numFmtId="10" fontId="39" fillId="0" borderId="12" xfId="0" applyNumberFormat="1" applyFont="1" applyBorder="1" applyAlignment="1">
      <alignment horizontal="center" vertical="center"/>
    </xf>
    <xf numFmtId="0" fontId="39" fillId="6" borderId="12" xfId="0" applyFont="1" applyFill="1" applyBorder="1" applyAlignment="1">
      <alignment horizontal="center" vertical="center"/>
    </xf>
    <xf numFmtId="9" fontId="39" fillId="0" borderId="12" xfId="0" applyNumberFormat="1" applyFont="1" applyBorder="1" applyAlignment="1">
      <alignment horizontal="center" vertical="center"/>
    </xf>
    <xf numFmtId="14" fontId="45" fillId="0" borderId="12" xfId="0" applyNumberFormat="1" applyFont="1" applyBorder="1" applyAlignment="1">
      <alignment horizontal="center" vertical="center"/>
    </xf>
    <xf numFmtId="0" fontId="45" fillId="4" borderId="2" xfId="0" applyFont="1" applyFill="1" applyBorder="1" applyAlignment="1">
      <alignment horizontal="center" vertical="center"/>
    </xf>
    <xf numFmtId="0" fontId="27" fillId="4" borderId="10" xfId="0" applyFont="1" applyFill="1" applyBorder="1" applyAlignment="1">
      <alignment horizontal="left" vertical="center"/>
    </xf>
    <xf numFmtId="3" fontId="27" fillId="2" borderId="10" xfId="0" applyNumberFormat="1" applyFont="1" applyFill="1" applyBorder="1" applyAlignment="1">
      <alignment horizontal="center" vertical="center"/>
    </xf>
    <xf numFmtId="0" fontId="45" fillId="6" borderId="10" xfId="0" applyFont="1" applyFill="1" applyBorder="1" applyAlignment="1">
      <alignment horizontal="center" vertical="center"/>
    </xf>
    <xf numFmtId="9" fontId="27" fillId="0" borderId="10" xfId="0" applyNumberFormat="1" applyFont="1" applyBorder="1" applyAlignment="1">
      <alignment horizontal="center" vertical="center"/>
    </xf>
    <xf numFmtId="9" fontId="45" fillId="0" borderId="10" xfId="0" applyNumberFormat="1" applyFont="1" applyBorder="1" applyAlignment="1">
      <alignment horizontal="center" vertical="center"/>
    </xf>
    <xf numFmtId="0" fontId="27" fillId="4" borderId="14" xfId="0" applyFont="1" applyFill="1" applyBorder="1" applyAlignment="1">
      <alignment horizontal="left" vertical="center"/>
    </xf>
    <xf numFmtId="3" fontId="27" fillId="2" borderId="14" xfId="0" applyNumberFormat="1" applyFont="1" applyFill="1" applyBorder="1" applyAlignment="1">
      <alignment horizontal="center" vertical="center"/>
    </xf>
    <xf numFmtId="3" fontId="27" fillId="0" borderId="14" xfId="0" applyNumberFormat="1" applyFont="1" applyBorder="1" applyAlignment="1">
      <alignment horizontal="center" vertical="center"/>
    </xf>
    <xf numFmtId="0" fontId="45" fillId="6" borderId="14" xfId="0" applyFont="1" applyFill="1" applyBorder="1" applyAlignment="1">
      <alignment horizontal="center" vertical="center"/>
    </xf>
    <xf numFmtId="0" fontId="45" fillId="0" borderId="14" xfId="0" applyFont="1" applyBorder="1" applyAlignment="1">
      <alignment horizontal="center" vertical="center"/>
    </xf>
    <xf numFmtId="9" fontId="45" fillId="0" borderId="14" xfId="0" applyNumberFormat="1" applyFont="1" applyBorder="1" applyAlignment="1">
      <alignment horizontal="center" vertical="center"/>
    </xf>
    <xf numFmtId="177" fontId="19" fillId="0" borderId="13" xfId="0" applyNumberFormat="1" applyFont="1" applyBorder="1" applyAlignment="1">
      <alignment horizontal="center" vertical="center"/>
    </xf>
    <xf numFmtId="0" fontId="19" fillId="0" borderId="7" xfId="0" applyFont="1" applyBorder="1" applyAlignment="1">
      <alignment horizontal="left" vertical="center"/>
    </xf>
    <xf numFmtId="3" fontId="19" fillId="0" borderId="7" xfId="0" applyNumberFormat="1" applyFont="1" applyBorder="1" applyAlignment="1">
      <alignment horizontal="center" vertical="center"/>
    </xf>
    <xf numFmtId="10" fontId="19" fillId="0" borderId="7" xfId="0" applyNumberFormat="1" applyFont="1" applyBorder="1" applyAlignment="1">
      <alignment horizontal="center" vertical="center"/>
    </xf>
    <xf numFmtId="9" fontId="19" fillId="0" borderId="7" xfId="0" applyNumberFormat="1" applyFont="1" applyBorder="1" applyAlignment="1">
      <alignment horizontal="center" vertical="center"/>
    </xf>
    <xf numFmtId="14" fontId="19" fillId="0" borderId="7" xfId="0" applyNumberFormat="1" applyFont="1" applyBorder="1" applyAlignment="1">
      <alignment horizontal="center" vertical="center"/>
    </xf>
    <xf numFmtId="177" fontId="27" fillId="4" borderId="15" xfId="0" applyNumberFormat="1" applyFont="1" applyFill="1" applyBorder="1" applyAlignment="1">
      <alignment horizontal="center" vertical="center"/>
    </xf>
    <xf numFmtId="0" fontId="27" fillId="4" borderId="16" xfId="0" applyFont="1" applyFill="1" applyBorder="1" applyAlignment="1">
      <alignment horizontal="left" vertical="center"/>
    </xf>
    <xf numFmtId="3" fontId="27" fillId="0" borderId="16" xfId="0" applyNumberFormat="1" applyFont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10" fontId="27" fillId="0" borderId="16" xfId="0" applyNumberFormat="1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9" fillId="6" borderId="16" xfId="0" applyFont="1" applyFill="1" applyBorder="1" applyAlignment="1">
      <alignment horizontal="center" vertical="center"/>
    </xf>
    <xf numFmtId="9" fontId="27" fillId="0" borderId="16" xfId="0" applyNumberFormat="1" applyFont="1" applyBorder="1" applyAlignment="1">
      <alignment horizontal="center" vertical="center"/>
    </xf>
    <xf numFmtId="0" fontId="27" fillId="7" borderId="10" xfId="0" applyFont="1" applyFill="1" applyBorder="1" applyAlignment="1">
      <alignment horizontal="center" vertical="center"/>
    </xf>
    <xf numFmtId="0" fontId="47" fillId="0" borderId="10" xfId="0" applyFont="1" applyBorder="1" applyAlignment="1">
      <alignment horizontal="center" vertical="center"/>
    </xf>
    <xf numFmtId="14" fontId="27" fillId="0" borderId="10" xfId="0" applyNumberFormat="1" applyFont="1" applyBorder="1" applyAlignment="1">
      <alignment horizontal="center" vertical="center"/>
    </xf>
    <xf numFmtId="0" fontId="47" fillId="0" borderId="7" xfId="0" applyFont="1" applyBorder="1" applyAlignment="1">
      <alignment horizontal="center" vertical="center"/>
    </xf>
    <xf numFmtId="0" fontId="27" fillId="0" borderId="7" xfId="0" applyFont="1" applyBorder="1" applyAlignment="1">
      <alignment horizontal="center" vertical="center"/>
    </xf>
    <xf numFmtId="178" fontId="27" fillId="0" borderId="7" xfId="0" applyNumberFormat="1" applyFont="1" applyBorder="1" applyAlignment="1">
      <alignment horizontal="center" vertical="center"/>
    </xf>
    <xf numFmtId="0" fontId="27" fillId="0" borderId="16" xfId="0" applyFont="1" applyBorder="1" applyAlignment="1">
      <alignment horizontal="left" vertical="center"/>
    </xf>
    <xf numFmtId="0" fontId="19" fillId="6" borderId="5" xfId="0" applyFont="1" applyFill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14" fontId="48" fillId="0" borderId="10" xfId="0" applyNumberFormat="1" applyFont="1" applyBorder="1" applyAlignment="1">
      <alignment horizontal="center" vertical="center"/>
    </xf>
    <xf numFmtId="0" fontId="48" fillId="0" borderId="10" xfId="0" applyFont="1" applyBorder="1" applyAlignment="1">
      <alignment horizontal="center" vertical="center"/>
    </xf>
    <xf numFmtId="0" fontId="19" fillId="7" borderId="9" xfId="0" applyFont="1" applyFill="1" applyBorder="1" applyAlignment="1">
      <alignment horizontal="center" vertical="center"/>
    </xf>
    <xf numFmtId="0" fontId="19" fillId="7" borderId="2" xfId="0" applyFont="1" applyFill="1" applyBorder="1" applyAlignment="1">
      <alignment horizontal="center" vertical="center"/>
    </xf>
    <xf numFmtId="0" fontId="27" fillId="7" borderId="19" xfId="0" applyFont="1" applyFill="1" applyBorder="1" applyAlignment="1">
      <alignment horizontal="left" vertical="center"/>
    </xf>
    <xf numFmtId="0" fontId="48" fillId="0" borderId="9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177" fontId="19" fillId="4" borderId="18" xfId="0" applyNumberFormat="1" applyFont="1" applyFill="1" applyBorder="1" applyAlignment="1">
      <alignment horizontal="center" vertical="center"/>
    </xf>
    <xf numFmtId="0" fontId="19" fillId="4" borderId="16" xfId="0" applyFont="1" applyFill="1" applyBorder="1" applyAlignment="1">
      <alignment horizontal="left" vertical="center"/>
    </xf>
    <xf numFmtId="14" fontId="48" fillId="0" borderId="14" xfId="0" applyNumberFormat="1" applyFont="1" applyBorder="1" applyAlignment="1">
      <alignment horizontal="center" vertical="center"/>
    </xf>
    <xf numFmtId="0" fontId="27" fillId="0" borderId="19" xfId="0" applyFont="1" applyBorder="1" applyAlignment="1">
      <alignment horizontal="center" vertical="center"/>
    </xf>
    <xf numFmtId="3" fontId="19" fillId="6" borderId="10" xfId="0" applyNumberFormat="1" applyFont="1" applyFill="1" applyBorder="1" applyAlignment="1">
      <alignment horizontal="center" vertical="center"/>
    </xf>
    <xf numFmtId="14" fontId="19" fillId="0" borderId="10" xfId="0" applyNumberFormat="1" applyFont="1" applyBorder="1" applyAlignment="1">
      <alignment horizontal="left" vertical="center"/>
    </xf>
    <xf numFmtId="14" fontId="19" fillId="7" borderId="10" xfId="0" applyNumberFormat="1" applyFont="1" applyFill="1" applyBorder="1" applyAlignment="1">
      <alignment horizontal="center" vertical="center"/>
    </xf>
    <xf numFmtId="0" fontId="19" fillId="4" borderId="2" xfId="0" applyFont="1" applyFill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9" fillId="6" borderId="14" xfId="0" applyFont="1" applyFill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0" fontId="49" fillId="3" borderId="1" xfId="0" applyFont="1" applyFill="1" applyBorder="1" applyAlignment="1">
      <alignment horizontal="center" vertical="center"/>
    </xf>
    <xf numFmtId="0" fontId="50" fillId="3" borderId="1" xfId="0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3" fontId="51" fillId="8" borderId="1" xfId="0" applyNumberFormat="1" applyFont="1" applyFill="1" applyBorder="1" applyAlignment="1">
      <alignment horizontal="center" vertical="center"/>
    </xf>
    <xf numFmtId="3" fontId="49" fillId="5" borderId="1" xfId="0" applyNumberFormat="1" applyFont="1" applyFill="1" applyBorder="1" applyAlignment="1">
      <alignment horizontal="center" vertical="center"/>
    </xf>
    <xf numFmtId="3" fontId="15" fillId="0" borderId="0" xfId="0" applyNumberFormat="1" applyFont="1" applyAlignment="1">
      <alignment horizontal="center" vertical="center"/>
    </xf>
    <xf numFmtId="3" fontId="15" fillId="0" borderId="1" xfId="0" applyNumberFormat="1" applyFont="1" applyBorder="1" applyAlignment="1">
      <alignment horizontal="center" vertical="center"/>
    </xf>
    <xf numFmtId="0" fontId="49" fillId="5" borderId="1" xfId="0" applyFont="1" applyFill="1" applyBorder="1" applyAlignment="1">
      <alignment horizontal="center" vertical="center"/>
    </xf>
    <xf numFmtId="3" fontId="51" fillId="0" borderId="1" xfId="0" applyNumberFormat="1" applyFont="1" applyBorder="1" applyAlignment="1">
      <alignment horizontal="center" vertical="center"/>
    </xf>
    <xf numFmtId="9" fontId="15" fillId="0" borderId="0" xfId="0" applyNumberFormat="1" applyFont="1" applyAlignment="1">
      <alignment horizontal="center" vertical="center"/>
    </xf>
    <xf numFmtId="9" fontId="15" fillId="0" borderId="1" xfId="0" applyNumberFormat="1" applyFont="1" applyBorder="1" applyAlignment="1">
      <alignment horizontal="center" vertical="center"/>
    </xf>
    <xf numFmtId="10" fontId="51" fillId="0" borderId="1" xfId="0" applyNumberFormat="1" applyFont="1" applyBorder="1" applyAlignment="1">
      <alignment horizontal="center" vertical="center"/>
    </xf>
    <xf numFmtId="10" fontId="49" fillId="5" borderId="1" xfId="0" applyNumberFormat="1" applyFont="1" applyFill="1" applyBorder="1" applyAlignment="1">
      <alignment horizontal="center" vertical="center"/>
    </xf>
    <xf numFmtId="0" fontId="52" fillId="0" borderId="0" xfId="0" applyFont="1" applyAlignment="1">
      <alignment horizontal="center" vertical="center"/>
    </xf>
    <xf numFmtId="3" fontId="52" fillId="0" borderId="0" xfId="0" applyNumberFormat="1" applyFont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4" fontId="49" fillId="5" borderId="1" xfId="0" applyNumberFormat="1" applyFont="1" applyFill="1" applyBorder="1" applyAlignment="1">
      <alignment horizontal="center" vertical="center"/>
    </xf>
    <xf numFmtId="9" fontId="50" fillId="0" borderId="1" xfId="0" applyNumberFormat="1" applyFont="1" applyBorder="1" applyAlignment="1">
      <alignment horizontal="center" vertical="center"/>
    </xf>
    <xf numFmtId="0" fontId="53" fillId="2" borderId="0" xfId="0" applyFont="1" applyFill="1"/>
    <xf numFmtId="10" fontId="15" fillId="0" borderId="0" xfId="0" applyNumberFormat="1" applyFont="1"/>
    <xf numFmtId="0" fontId="15" fillId="0" borderId="1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54" fillId="9" borderId="1" xfId="0" applyFont="1" applyFill="1" applyBorder="1" applyAlignment="1">
      <alignment horizontal="center" vertical="center" wrapText="1"/>
    </xf>
    <xf numFmtId="2" fontId="54" fillId="9" borderId="1" xfId="0" applyNumberFormat="1" applyFont="1" applyFill="1" applyBorder="1" applyAlignment="1">
      <alignment horizontal="center" vertical="center" wrapText="1"/>
    </xf>
    <xf numFmtId="0" fontId="55" fillId="0" borderId="0" xfId="0" applyFont="1" applyAlignment="1">
      <alignment horizontal="center" vertical="center"/>
    </xf>
    <xf numFmtId="0" fontId="54" fillId="9" borderId="12" xfId="0" applyFont="1" applyFill="1" applyBorder="1" applyAlignment="1">
      <alignment horizontal="center" vertical="center" wrapText="1"/>
    </xf>
    <xf numFmtId="0" fontId="54" fillId="9" borderId="5" xfId="0" applyFont="1" applyFill="1" applyBorder="1" applyAlignment="1">
      <alignment horizontal="center" vertical="center" wrapText="1"/>
    </xf>
    <xf numFmtId="0" fontId="56" fillId="0" borderId="1" xfId="0" applyFont="1" applyBorder="1" applyAlignment="1">
      <alignment horizontal="center" vertical="center" wrapText="1"/>
    </xf>
    <xf numFmtId="180" fontId="57" fillId="0" borderId="1" xfId="0" applyNumberFormat="1" applyFont="1" applyBorder="1" applyAlignment="1">
      <alignment horizontal="center" vertical="center" wrapText="1"/>
    </xf>
    <xf numFmtId="180" fontId="15" fillId="0" borderId="0" xfId="0" applyNumberFormat="1" applyFont="1" applyAlignment="1">
      <alignment horizontal="center" vertical="center" wrapText="1"/>
    </xf>
    <xf numFmtId="0" fontId="56" fillId="0" borderId="2" xfId="0" applyFont="1" applyBorder="1" applyAlignment="1">
      <alignment horizontal="center" vertical="center" wrapText="1"/>
    </xf>
    <xf numFmtId="180" fontId="8" fillId="0" borderId="1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 wrapText="1"/>
    </xf>
    <xf numFmtId="0" fontId="58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59" fillId="0" borderId="0" xfId="0" applyFont="1" applyAlignment="1">
      <alignment horizontal="center" vertical="center" wrapText="1"/>
    </xf>
    <xf numFmtId="0" fontId="59" fillId="5" borderId="1" xfId="0" applyFont="1" applyFill="1" applyBorder="1" applyAlignment="1">
      <alignment horizontal="center" vertical="center" wrapText="1"/>
    </xf>
    <xf numFmtId="0" fontId="56" fillId="3" borderId="1" xfId="0" applyFont="1" applyFill="1" applyBorder="1" applyAlignment="1">
      <alignment horizontal="center" vertical="center" wrapText="1"/>
    </xf>
    <xf numFmtId="180" fontId="57" fillId="3" borderId="1" xfId="0" applyNumberFormat="1" applyFont="1" applyFill="1" applyBorder="1" applyAlignment="1">
      <alignment horizontal="center" vertical="center" wrapText="1"/>
    </xf>
    <xf numFmtId="180" fontId="15" fillId="3" borderId="0" xfId="0" applyNumberFormat="1" applyFont="1" applyFill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56" fillId="3" borderId="2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180" fontId="8" fillId="3" borderId="1" xfId="0" applyNumberFormat="1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 wrapText="1"/>
    </xf>
    <xf numFmtId="0" fontId="32" fillId="3" borderId="1" xfId="0" applyFont="1" applyFill="1" applyBorder="1" applyAlignment="1">
      <alignment horizontal="center" vertical="center"/>
    </xf>
    <xf numFmtId="0" fontId="52" fillId="3" borderId="12" xfId="0" applyFont="1" applyFill="1" applyBorder="1" applyAlignment="1">
      <alignment horizontal="center" vertical="center"/>
    </xf>
    <xf numFmtId="0" fontId="32" fillId="3" borderId="12" xfId="0" applyFont="1" applyFill="1" applyBorder="1" applyAlignment="1">
      <alignment horizontal="center" vertical="center"/>
    </xf>
    <xf numFmtId="0" fontId="60" fillId="3" borderId="12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3" fontId="48" fillId="0" borderId="10" xfId="0" applyNumberFormat="1" applyFont="1" applyBorder="1" applyAlignment="1">
      <alignment horizontal="center" vertical="center"/>
    </xf>
    <xf numFmtId="10" fontId="48" fillId="0" borderId="10" xfId="0" applyNumberFormat="1" applyFont="1" applyBorder="1" applyAlignment="1">
      <alignment horizontal="center" vertical="center"/>
    </xf>
    <xf numFmtId="176" fontId="48" fillId="0" borderId="10" xfId="0" applyNumberFormat="1" applyFont="1" applyBorder="1" applyAlignment="1">
      <alignment horizontal="center" vertical="center"/>
    </xf>
    <xf numFmtId="3" fontId="61" fillId="0" borderId="10" xfId="0" applyNumberFormat="1" applyFont="1" applyBorder="1" applyAlignment="1">
      <alignment horizontal="center" vertical="center"/>
    </xf>
    <xf numFmtId="10" fontId="61" fillId="0" borderId="10" xfId="0" applyNumberFormat="1" applyFont="1" applyBorder="1" applyAlignment="1">
      <alignment horizontal="center" vertical="center"/>
    </xf>
    <xf numFmtId="176" fontId="61" fillId="0" borderId="10" xfId="0" applyNumberFormat="1" applyFont="1" applyBorder="1" applyAlignment="1">
      <alignment horizontal="center" vertical="center"/>
    </xf>
    <xf numFmtId="0" fontId="62" fillId="0" borderId="2" xfId="0" applyFont="1" applyBorder="1" applyAlignment="1">
      <alignment horizontal="center" vertical="center"/>
    </xf>
    <xf numFmtId="0" fontId="32" fillId="3" borderId="1" xfId="0" applyFont="1" applyFill="1" applyBorder="1" applyAlignment="1">
      <alignment horizontal="center" vertical="center" wrapText="1"/>
    </xf>
    <xf numFmtId="0" fontId="52" fillId="3" borderId="12" xfId="0" applyFont="1" applyFill="1" applyBorder="1" applyAlignment="1">
      <alignment horizontal="center" vertical="center" wrapText="1"/>
    </xf>
    <xf numFmtId="0" fontId="32" fillId="3" borderId="12" xfId="0" applyFont="1" applyFill="1" applyBorder="1" applyAlignment="1">
      <alignment horizontal="center" vertical="center" wrapText="1"/>
    </xf>
    <xf numFmtId="0" fontId="60" fillId="3" borderId="12" xfId="0" applyFont="1" applyFill="1" applyBorder="1" applyAlignment="1">
      <alignment horizontal="center" vertical="center" wrapText="1"/>
    </xf>
    <xf numFmtId="49" fontId="63" fillId="0" borderId="10" xfId="0" applyNumberFormat="1" applyFont="1" applyBorder="1" applyAlignment="1">
      <alignment horizontal="center" vertical="center"/>
    </xf>
    <xf numFmtId="0" fontId="14" fillId="0" borderId="0" xfId="0" applyFont="1" applyAlignment="1">
      <alignment vertical="center" wrapText="1"/>
    </xf>
    <xf numFmtId="3" fontId="14" fillId="0" borderId="0" xfId="0" applyNumberFormat="1" applyFont="1" applyAlignment="1">
      <alignment vertical="center"/>
    </xf>
    <xf numFmtId="0" fontId="14" fillId="0" borderId="0" xfId="0" applyFont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/>
    </xf>
    <xf numFmtId="0" fontId="13" fillId="0" borderId="4" xfId="0" applyFont="1" applyBorder="1"/>
    <xf numFmtId="0" fontId="13" fillId="0" borderId="5" xfId="0" applyFont="1" applyBorder="1"/>
    <xf numFmtId="0" fontId="9" fillId="0" borderId="6" xfId="0" applyFont="1" applyBorder="1" applyAlignment="1">
      <alignment horizontal="left" vertical="center"/>
    </xf>
    <xf numFmtId="0" fontId="0" fillId="0" borderId="0" xfId="0"/>
    <xf numFmtId="0" fontId="13" fillId="0" borderId="7" xfId="0" applyFont="1" applyBorder="1"/>
    <xf numFmtId="0" fontId="9" fillId="0" borderId="8" xfId="0" applyFont="1" applyBorder="1" applyAlignment="1">
      <alignment horizontal="left" vertical="center"/>
    </xf>
    <xf numFmtId="0" fontId="13" fillId="0" borderId="9" xfId="0" applyFont="1" applyBorder="1"/>
    <xf numFmtId="0" fontId="13" fillId="0" borderId="10" xfId="0" applyFont="1" applyBorder="1"/>
    <xf numFmtId="0" fontId="19" fillId="0" borderId="11" xfId="0" applyFont="1" applyBorder="1" applyAlignment="1">
      <alignment horizontal="center" vertical="center"/>
    </xf>
    <xf numFmtId="0" fontId="13" fillId="0" borderId="13" xfId="0" applyFont="1" applyBorder="1"/>
    <xf numFmtId="0" fontId="13" fillId="0" borderId="2" xfId="0" applyFont="1" applyBorder="1"/>
    <xf numFmtId="0" fontId="20" fillId="0" borderId="11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3" fillId="0" borderId="18" xfId="0" applyFont="1" applyBorder="1"/>
    <xf numFmtId="0" fontId="44" fillId="0" borderId="0" xfId="0" applyFont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0" fontId="14" fillId="0" borderId="0" xfId="0" applyFont="1"/>
    <xf numFmtId="176" fontId="8" fillId="0" borderId="0" xfId="0" applyNumberFormat="1" applyFont="1" applyAlignment="1">
      <alignment horizontal="center" vertical="center"/>
    </xf>
  </cellXfs>
  <cellStyles count="1">
    <cellStyle name="一般" xfId="0" builtinId="0"/>
  </cellStyles>
  <dxfs count="17">
    <dxf>
      <fill>
        <patternFill patternType="solid">
          <fgColor rgb="FFB7E1CD"/>
          <bgColor rgb="FFB7E1CD"/>
        </patternFill>
      </fill>
    </dxf>
    <dxf>
      <font>
        <b/>
        <color rgb="FFEA4335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numFmt numFmtId="0" formatCode="General"/>
    </dxf>
    <dxf>
      <numFmt numFmtId="0" formatCode="General"/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2">
    <tableStyle name="總表-style" pivot="0" count="3" xr9:uid="{00000000-0011-0000-FFFF-FFFF00000000}">
      <tableStyleElement type="headerRow" dxfId="16"/>
      <tableStyleElement type="firstRowStripe" dxfId="15"/>
      <tableStyleElement type="secondRowStripe" dxfId="14"/>
    </tableStyle>
    <tableStyle name="Status-style" pivot="0" count="3" xr9:uid="{00000000-0011-0000-FFFF-FFFF01000000}">
      <tableStyleElement type="headerRow" dxfId="13"/>
      <tableStyleElement type="firstRowStripe" dxfId="12"/>
      <tableStyleElement type="secondRowStripe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361950</xdr:colOff>
      <xdr:row>0</xdr:row>
      <xdr:rowOff>19050</xdr:rowOff>
    </xdr:from>
    <xdr:ext cx="552450" cy="3238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2478625" y="1301200"/>
          <a:ext cx="1583700" cy="913500"/>
        </a:xfrm>
        <a:prstGeom prst="mathEqual">
          <a:avLst>
            <a:gd name="adj1" fmla="val 23520"/>
            <a:gd name="adj2" fmla="val 1176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1466850</xdr:colOff>
      <xdr:row>0</xdr:row>
      <xdr:rowOff>0</xdr:rowOff>
    </xdr:from>
    <xdr:ext cx="295275" cy="32385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4032875" y="2922075"/>
          <a:ext cx="960600" cy="960600"/>
        </a:xfrm>
        <a:prstGeom prst="mathMultiply">
          <a:avLst>
            <a:gd name="adj1" fmla="val 2352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180975</xdr:colOff>
      <xdr:row>0</xdr:row>
      <xdr:rowOff>28575</xdr:rowOff>
    </xdr:from>
    <xdr:ext cx="476250" cy="29527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>
        <a:xfrm>
          <a:off x="2086025" y="1564525"/>
          <a:ext cx="1595100" cy="981600"/>
        </a:xfrm>
        <a:prstGeom prst="mathEqual">
          <a:avLst>
            <a:gd name="adj1" fmla="val 23520"/>
            <a:gd name="adj2" fmla="val 1176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1400175</xdr:colOff>
      <xdr:row>0</xdr:row>
      <xdr:rowOff>0</xdr:rowOff>
    </xdr:from>
    <xdr:ext cx="352425" cy="37147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/>
      </xdr:nvSpPr>
      <xdr:spPr>
        <a:xfrm>
          <a:off x="2914300" y="1748575"/>
          <a:ext cx="981600" cy="981600"/>
        </a:xfrm>
        <a:prstGeom prst="mathMultiply">
          <a:avLst>
            <a:gd name="adj1" fmla="val 2352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171450</xdr:colOff>
      <xdr:row>19</xdr:row>
      <xdr:rowOff>28575</xdr:rowOff>
    </xdr:from>
    <xdr:ext cx="600075" cy="695325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/>
      </xdr:nvSpPr>
      <xdr:spPr>
        <a:xfrm>
          <a:off x="2362125" y="1257750"/>
          <a:ext cx="1176000" cy="1359900"/>
        </a:xfrm>
        <a:prstGeom prst="curvedLeftArrow">
          <a:avLst>
            <a:gd name="adj1" fmla="val 25000"/>
            <a:gd name="adj2" fmla="val 50000"/>
            <a:gd name="adj3" fmla="val 25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2300" b="1">
              <a:highlight>
                <a:srgbClr val="00FF00"/>
              </a:highlight>
            </a:rPr>
            <a:t>Excute</a:t>
          </a:r>
          <a:endParaRPr sz="2300" b="1">
            <a:highlight>
              <a:srgbClr val="00FF00"/>
            </a:highlight>
          </a:endParaRPr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2:O2" headerRowCount="0">
  <tableColumns count="15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 dataDxfId="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 dataDxfId="9"/>
  </tableColumns>
  <tableStyleInfo name="總表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outlinePr summaryBelow="0" summaryRight="0"/>
    <pageSetUpPr fitToPage="1"/>
  </sheetPr>
  <dimension ref="A1:R12"/>
  <sheetViews>
    <sheetView tabSelected="1" workbookViewId="0">
      <pane ySplit="2" topLeftCell="A3" activePane="bottomLeft" state="frozen"/>
      <selection pane="bottomLeft" activeCell="S13" sqref="S13"/>
    </sheetView>
  </sheetViews>
  <sheetFormatPr defaultColWidth="12.7109375" defaultRowHeight="15.75" customHeight="1"/>
  <cols>
    <col min="4" max="4" width="14.28515625" bestFit="1" customWidth="1"/>
    <col min="16" max="18" width="12.7109375" hidden="1"/>
  </cols>
  <sheetData>
    <row r="1" spans="1:18" ht="30.75">
      <c r="B1" s="1"/>
      <c r="C1" s="1"/>
      <c r="D1" s="1"/>
      <c r="E1" s="1"/>
      <c r="F1" s="2" t="s">
        <v>0</v>
      </c>
      <c r="G1" s="1"/>
      <c r="H1" s="1"/>
      <c r="I1" s="1"/>
      <c r="J1" s="1"/>
      <c r="K1" s="1"/>
      <c r="L1" s="3"/>
      <c r="M1" s="4"/>
      <c r="N1" s="4" t="s">
        <v>1</v>
      </c>
      <c r="O1" s="5" t="s">
        <v>2</v>
      </c>
      <c r="P1" s="5"/>
      <c r="Q1" s="5"/>
      <c r="R1" s="5"/>
    </row>
    <row r="2" spans="1:18" ht="49.5">
      <c r="A2" s="6" t="s">
        <v>3</v>
      </c>
      <c r="B2" s="6" t="s">
        <v>4</v>
      </c>
      <c r="C2" s="6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6" t="s">
        <v>12</v>
      </c>
      <c r="K2" s="6" t="s">
        <v>13</v>
      </c>
      <c r="L2" s="6" t="s">
        <v>14</v>
      </c>
      <c r="M2" s="6" t="s">
        <v>15</v>
      </c>
      <c r="N2" s="6" t="s">
        <v>16</v>
      </c>
      <c r="O2" s="6" t="s">
        <v>17</v>
      </c>
      <c r="P2" s="7"/>
      <c r="Q2" s="7" t="s">
        <v>18</v>
      </c>
      <c r="R2" s="7" t="s">
        <v>19</v>
      </c>
    </row>
    <row r="3" spans="1:18" s="493" customFormat="1" ht="38.25" customHeight="1">
      <c r="A3" s="8"/>
      <c r="B3" s="8"/>
      <c r="C3" s="17"/>
      <c r="D3" s="11"/>
      <c r="E3" s="11"/>
      <c r="F3" s="11"/>
      <c r="G3" s="489"/>
      <c r="H3" s="489"/>
      <c r="I3" s="489"/>
      <c r="J3" s="490"/>
      <c r="K3" s="489"/>
      <c r="L3" s="489"/>
      <c r="M3" s="489"/>
      <c r="N3" s="489"/>
      <c r="O3" s="491"/>
      <c r="P3" s="492"/>
      <c r="Q3" s="492"/>
      <c r="R3" s="492"/>
    </row>
    <row r="4" spans="1:18" s="493" customFormat="1" ht="38.25" customHeight="1">
      <c r="A4" s="8"/>
      <c r="B4" s="8"/>
      <c r="C4" s="17"/>
      <c r="D4" s="489"/>
      <c r="E4" s="11"/>
      <c r="F4" s="11"/>
      <c r="G4" s="489"/>
      <c r="H4" s="489"/>
      <c r="I4" s="489"/>
      <c r="J4" s="490"/>
      <c r="K4" s="489"/>
      <c r="L4" s="489"/>
      <c r="M4" s="489"/>
      <c r="N4" s="489"/>
      <c r="O4" s="491"/>
      <c r="P4" s="492"/>
      <c r="Q4" s="492"/>
      <c r="R4" s="494"/>
    </row>
    <row r="5" spans="1:18" ht="16.5">
      <c r="A5" s="18" t="s">
        <v>35</v>
      </c>
      <c r="B5" s="19" t="s">
        <v>36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</row>
    <row r="6" spans="1:18" ht="16.5">
      <c r="A6" s="20" t="s">
        <v>37</v>
      </c>
      <c r="B6" s="21" t="s">
        <v>38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</row>
    <row r="7" spans="1:18" ht="16.5">
      <c r="A7" s="20" t="s">
        <v>39</v>
      </c>
      <c r="B7" s="21" t="s">
        <v>40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</row>
    <row r="8" spans="1:18" ht="16.5">
      <c r="A8" s="21"/>
      <c r="B8" s="21" t="s">
        <v>41</v>
      </c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</row>
    <row r="9" spans="1:18" ht="16.5">
      <c r="A9" s="21"/>
      <c r="B9" s="21" t="s">
        <v>42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</row>
    <row r="10" spans="1:18" ht="16.5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</row>
    <row r="11" spans="1:18" ht="16.5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</row>
    <row r="12" spans="1:18" ht="16.5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</row>
  </sheetData>
  <phoneticPr fontId="67" type="noConversion"/>
  <conditionalFormatting sqref="R3:R4">
    <cfRule type="cellIs" dxfId="8" priority="1" operator="lessThan">
      <formula>0</formula>
    </cfRule>
  </conditionalFormatting>
  <printOptions horizontalCentered="1"/>
  <pageMargins left="0.7" right="0.7" top="0.75" bottom="0.75" header="0" footer="0"/>
  <pageSetup paperSize="9" scale="69" pageOrder="overThenDown" orientation="landscape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C984"/>
  <sheetViews>
    <sheetView workbookViewId="0">
      <pane ySplit="20" topLeftCell="A21" activePane="bottomLeft" state="frozen"/>
      <selection pane="bottomLeft" activeCell="H21" sqref="H21"/>
    </sheetView>
  </sheetViews>
  <sheetFormatPr defaultColWidth="12.7109375" defaultRowHeight="15.75" customHeight="1"/>
  <cols>
    <col min="2" max="5" width="12.7109375" hidden="1"/>
    <col min="15" max="19" width="12.7109375" hidden="1"/>
  </cols>
  <sheetData>
    <row r="1" spans="1:29" ht="12.75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</row>
    <row r="2" spans="1:29" ht="16.5" hidden="1">
      <c r="A2" s="38"/>
      <c r="B2" s="38" t="s">
        <v>1322</v>
      </c>
      <c r="C2" s="430" t="s">
        <v>1323</v>
      </c>
      <c r="D2" s="38" t="s">
        <v>1320</v>
      </c>
      <c r="E2" s="430" t="s">
        <v>1321</v>
      </c>
      <c r="F2" s="38"/>
      <c r="G2" s="451" t="s">
        <v>4</v>
      </c>
      <c r="H2" s="452" t="s">
        <v>1342</v>
      </c>
      <c r="I2" s="453" t="s">
        <v>1343</v>
      </c>
      <c r="J2" s="453" t="s">
        <v>1344</v>
      </c>
      <c r="K2" s="453" t="s">
        <v>501</v>
      </c>
      <c r="L2" s="453" t="s">
        <v>1345</v>
      </c>
      <c r="M2" s="454" t="s">
        <v>1346</v>
      </c>
      <c r="N2" s="38"/>
      <c r="O2" s="41" t="s">
        <v>1347</v>
      </c>
      <c r="P2" s="430" t="s">
        <v>1348</v>
      </c>
      <c r="Q2" s="41" t="s">
        <v>1349</v>
      </c>
      <c r="R2" s="430" t="s">
        <v>1350</v>
      </c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</row>
    <row r="3" spans="1:29" ht="18.75" hidden="1">
      <c r="A3" s="455"/>
      <c r="B3" s="9">
        <f>COUNTIFS(上週明細!$B:$B,"=1-*",上週明細!$H:$H,"是")</f>
        <v>5</v>
      </c>
      <c r="C3" s="9">
        <f>COUNTIFS(明細表!$B:$B,"=1-*",明細表!$H:$H,"是")</f>
        <v>0</v>
      </c>
      <c r="D3" s="9">
        <f>COUNTIFS(上週明細!$B:$B,"=1-*")</f>
        <v>5</v>
      </c>
      <c r="E3" s="9">
        <f>COUNTIFS(明細表!$B:$B,"=1-*")</f>
        <v>0</v>
      </c>
      <c r="F3" s="38"/>
      <c r="G3" s="456" t="s">
        <v>1327</v>
      </c>
      <c r="H3" s="10" t="str">
        <f t="shared" ref="H3:H17" si="0">C3&amp;"/"&amp;E3</f>
        <v>0/0</v>
      </c>
      <c r="I3" s="457" t="e">
        <f>總表!#REF!</f>
        <v>#REF!</v>
      </c>
      <c r="J3" s="457" t="e">
        <f>總表!#REF!</f>
        <v>#REF!</v>
      </c>
      <c r="K3" s="458" t="e">
        <f>總表!#REF!</f>
        <v>#REF!</v>
      </c>
      <c r="L3" s="459" t="e">
        <f>總表!#REF!</f>
        <v>#REF!</v>
      </c>
      <c r="M3" s="384" t="e">
        <f t="shared" ref="M3:M17" si="1">P3&amp;"/"&amp;R3</f>
        <v>#REF!</v>
      </c>
      <c r="N3" s="38"/>
      <c r="O3" s="9">
        <f>COUNTIFS(上週明細!$B:$B,"=1-*",上週明細!$H:$H,"是",上週明細!$W:$W,"是")</f>
        <v>2</v>
      </c>
      <c r="P3" s="9" t="e">
        <f>COUNTIFS(明細表!$B:$B,"=1-*",明細表!$H:$H,"是",明細表!#REF!,"是")</f>
        <v>#REF!</v>
      </c>
      <c r="Q3" s="41">
        <f>COUNTIFS(上週明細!$B:$B,"=1-*",上週明細!$W:$W,"是")</f>
        <v>2</v>
      </c>
      <c r="R3" s="41" t="e">
        <f>COUNTIFS(明細表!$B:$B,"=1-*",明細表!#REF!,"是")</f>
        <v>#REF!</v>
      </c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</row>
    <row r="4" spans="1:29" ht="18.75" hidden="1">
      <c r="A4" s="455"/>
      <c r="B4" s="9">
        <f>COUNTIFS(上週明細!$B:$B,"=2-*",上週明細!$H:$H,"是")</f>
        <v>5</v>
      </c>
      <c r="C4" s="9">
        <f>COUNTIFS(明細表!$B:$B,"=2-*",明細表!$H:$H,"是")</f>
        <v>0</v>
      </c>
      <c r="D4" s="9">
        <f>COUNTIFS(上週明細!$B:$B,"=2-*")</f>
        <v>6</v>
      </c>
      <c r="E4" s="9">
        <f>COUNTIFS(明細表!$B:$B,"=2-*")</f>
        <v>0</v>
      </c>
      <c r="F4" s="38"/>
      <c r="G4" s="456" t="s">
        <v>1328</v>
      </c>
      <c r="H4" s="10" t="str">
        <f t="shared" si="0"/>
        <v>0/0</v>
      </c>
      <c r="I4" s="457" t="e">
        <f>總表!#REF!</f>
        <v>#REF!</v>
      </c>
      <c r="J4" s="457" t="e">
        <f>總表!#REF!</f>
        <v>#REF!</v>
      </c>
      <c r="K4" s="458" t="e">
        <f>總表!#REF!</f>
        <v>#REF!</v>
      </c>
      <c r="L4" s="459" t="e">
        <f>總表!#REF!</f>
        <v>#REF!</v>
      </c>
      <c r="M4" s="384" t="e">
        <f t="shared" si="1"/>
        <v>#REF!</v>
      </c>
      <c r="N4" s="38"/>
      <c r="O4" s="9">
        <f>COUNTIFS(上週明細!$B:$B,"=2-*",上週明細!$H:$H,"是",上週明細!$W:$W,"是")</f>
        <v>0</v>
      </c>
      <c r="P4" s="9" t="e">
        <f>COUNTIFS(明細表!$B:$B,"=2-*",明細表!$H:$H,"是",明細表!#REF!,"是")</f>
        <v>#REF!</v>
      </c>
      <c r="Q4" s="41">
        <f>COUNTIFS(上週明細!B:B,"=2-*",上週明細!W:W,"是")</f>
        <v>0</v>
      </c>
      <c r="R4" s="41" t="e">
        <f>COUNTIFS(明細表!$B:$B,"=2-*",明細表!#REF!,"是")</f>
        <v>#REF!</v>
      </c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</row>
    <row r="5" spans="1:29" ht="18.75" hidden="1">
      <c r="A5" s="455"/>
      <c r="B5" s="9">
        <f>COUNTIFS(上週明細!$B:$B,"=3-*",上週明細!$H:$H,"是")</f>
        <v>9</v>
      </c>
      <c r="C5" s="9">
        <f>COUNTIFS(明細表!$B:$B,"=3-*",明細表!$H:$H,"是")</f>
        <v>0</v>
      </c>
      <c r="D5" s="9">
        <f>COUNTIFS(上週明細!$B:$B,"=3-*")</f>
        <v>9</v>
      </c>
      <c r="E5" s="9">
        <f>COUNTIFS(明細表!$B:$B,"=3-*")</f>
        <v>0</v>
      </c>
      <c r="F5" s="38"/>
      <c r="G5" s="456" t="s">
        <v>1329</v>
      </c>
      <c r="H5" s="10" t="str">
        <f t="shared" si="0"/>
        <v>0/0</v>
      </c>
      <c r="I5" s="457" t="e">
        <f>總表!#REF!</f>
        <v>#REF!</v>
      </c>
      <c r="J5" s="457" t="e">
        <f>總表!#REF!</f>
        <v>#REF!</v>
      </c>
      <c r="K5" s="458" t="e">
        <f>總表!#REF!</f>
        <v>#REF!</v>
      </c>
      <c r="L5" s="459" t="e">
        <f>總表!#REF!</f>
        <v>#REF!</v>
      </c>
      <c r="M5" s="384" t="e">
        <f t="shared" si="1"/>
        <v>#REF!</v>
      </c>
      <c r="N5" s="38"/>
      <c r="O5" s="9">
        <f>COUNTIFS(上週明細!$B:$B,"=3-*",上週明細!$H:$H,"是",上週明細!$W:$W,"是")</f>
        <v>4</v>
      </c>
      <c r="P5" s="9" t="e">
        <f>COUNTIFS(明細表!$B:$B,"=3-*",明細表!$H:$H,"是",明細表!#REF!,"是")</f>
        <v>#REF!</v>
      </c>
      <c r="Q5" s="41">
        <f>COUNTIFS(上週明細!B:B,"=3-*",上週明細!W:W,"是")</f>
        <v>4</v>
      </c>
      <c r="R5" s="41" t="e">
        <f>COUNTIFS(明細表!$B:$B,"=3-*",明細表!#REF!,"是")</f>
        <v>#REF!</v>
      </c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</row>
    <row r="6" spans="1:29" ht="18.75" hidden="1">
      <c r="A6" s="455"/>
      <c r="B6" s="9">
        <f>COUNTIFS(上週明細!$B:$B,"=4-*",上週明細!$H:$H,"是")</f>
        <v>3</v>
      </c>
      <c r="C6" s="9">
        <f>COUNTIFS(明細表!$B:$B,"=4-*",明細表!$H:$H,"是")</f>
        <v>0</v>
      </c>
      <c r="D6" s="9">
        <f>COUNTIFS(上週明細!$B:$B,"=4-*")</f>
        <v>4</v>
      </c>
      <c r="E6" s="9">
        <f>COUNTIFS(明細表!$B:$B,"=4-*")</f>
        <v>0</v>
      </c>
      <c r="F6" s="38"/>
      <c r="G6" s="456" t="s">
        <v>1330</v>
      </c>
      <c r="H6" s="10" t="str">
        <f t="shared" si="0"/>
        <v>0/0</v>
      </c>
      <c r="I6" s="457" t="e">
        <f>總表!#REF!</f>
        <v>#REF!</v>
      </c>
      <c r="J6" s="457" t="e">
        <f>總表!#REF!</f>
        <v>#REF!</v>
      </c>
      <c r="K6" s="458" t="e">
        <f>總表!#REF!</f>
        <v>#REF!</v>
      </c>
      <c r="L6" s="459" t="e">
        <f>總表!#REF!</f>
        <v>#REF!</v>
      </c>
      <c r="M6" s="384" t="e">
        <f t="shared" si="1"/>
        <v>#REF!</v>
      </c>
      <c r="N6" s="38"/>
      <c r="O6" s="9">
        <f>COUNTIFS(上週明細!$B:$B,"=4-*",上週明細!$H:$H,"是",上週明細!$W:$W,"是")</f>
        <v>0</v>
      </c>
      <c r="P6" s="9" t="e">
        <f>COUNTIFS(明細表!$B:$B,"=4-*",明細表!$H:$H,"是",明細表!#REF!,"是")</f>
        <v>#REF!</v>
      </c>
      <c r="Q6" s="41">
        <f>COUNTIFS(上週明細!B:B,"=4-*",上週明細!W:W,"是")</f>
        <v>0</v>
      </c>
      <c r="R6" s="41" t="e">
        <f>COUNTIFS(明細表!$B:$B,"=4-*",明細表!#REF!,"是")</f>
        <v>#REF!</v>
      </c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</row>
    <row r="7" spans="1:29" ht="18.75" hidden="1">
      <c r="A7" s="455"/>
      <c r="B7" s="9">
        <f>COUNTIFS(上週明細!$B:$B,"=5-*",上週明細!$H:$H,"是")</f>
        <v>12</v>
      </c>
      <c r="C7" s="9">
        <f>COUNTIFS(明細表!$B:$B,"=5-*",明細表!$H:$H,"是")</f>
        <v>0</v>
      </c>
      <c r="D7" s="9">
        <f>COUNTIFS(上週明細!$B:$B,"=5-*")</f>
        <v>13</v>
      </c>
      <c r="E7" s="9">
        <f>COUNTIFS(明細表!$B:$B,"=5-*")</f>
        <v>0</v>
      </c>
      <c r="F7" s="38"/>
      <c r="G7" s="456" t="s">
        <v>1331</v>
      </c>
      <c r="H7" s="10" t="str">
        <f t="shared" si="0"/>
        <v>0/0</v>
      </c>
      <c r="I7" s="457" t="e">
        <f>總表!#REF!</f>
        <v>#REF!</v>
      </c>
      <c r="J7" s="457" t="e">
        <f>總表!#REF!</f>
        <v>#REF!</v>
      </c>
      <c r="K7" s="458" t="e">
        <f>總表!#REF!</f>
        <v>#REF!</v>
      </c>
      <c r="L7" s="459" t="e">
        <f>總表!#REF!</f>
        <v>#REF!</v>
      </c>
      <c r="M7" s="384" t="e">
        <f t="shared" si="1"/>
        <v>#REF!</v>
      </c>
      <c r="N7" s="38"/>
      <c r="O7" s="9">
        <f>COUNTIFS(上週明細!$B:$B,"=5-*",上週明細!$H:$H,"是",上週明細!$W:$W,"是")</f>
        <v>0</v>
      </c>
      <c r="P7" s="9" t="e">
        <f>COUNTIFS(明細表!$B:$B,"=5-*",明細表!$H:$H,"是",明細表!#REF!,"是")</f>
        <v>#REF!</v>
      </c>
      <c r="Q7" s="41">
        <f>COUNTIFS(上週明細!B:B,"=5-*",上週明細!W:W,"是")</f>
        <v>0</v>
      </c>
      <c r="R7" s="41" t="e">
        <f>COUNTIFS(明細表!$B:$B,"=5-*",明細表!#REF!,"是")</f>
        <v>#REF!</v>
      </c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</row>
    <row r="8" spans="1:29" ht="18.75" hidden="1">
      <c r="A8" s="455"/>
      <c r="B8" s="9">
        <f>COUNTIFS(上週明細!$B:$B,"=6-*",上週明細!$H:$H,"是")</f>
        <v>9</v>
      </c>
      <c r="C8" s="9">
        <f>COUNTIFS(明細表!$B:$B,"=6-*",明細表!$H:$H,"是")</f>
        <v>0</v>
      </c>
      <c r="D8" s="9">
        <f>COUNTIFS(上週明細!$B:$B,"=6-*")</f>
        <v>9</v>
      </c>
      <c r="E8" s="9">
        <f>COUNTIFS(明細表!$B:$B,"=6-*")</f>
        <v>0</v>
      </c>
      <c r="F8" s="38"/>
      <c r="G8" s="456" t="s">
        <v>1332</v>
      </c>
      <c r="H8" s="10" t="str">
        <f t="shared" si="0"/>
        <v>0/0</v>
      </c>
      <c r="I8" s="457" t="e">
        <f>總表!#REF!</f>
        <v>#REF!</v>
      </c>
      <c r="J8" s="457" t="e">
        <f>總表!#REF!</f>
        <v>#REF!</v>
      </c>
      <c r="K8" s="458" t="e">
        <f>總表!#REF!</f>
        <v>#REF!</v>
      </c>
      <c r="L8" s="459" t="e">
        <f>總表!#REF!</f>
        <v>#REF!</v>
      </c>
      <c r="M8" s="384" t="e">
        <f t="shared" si="1"/>
        <v>#REF!</v>
      </c>
      <c r="N8" s="38"/>
      <c r="O8" s="9">
        <f>COUNTIFS(上週明細!$B:$B,"=6-*",上週明細!$H:$H,"是",上週明細!$W:$W,"是")</f>
        <v>3</v>
      </c>
      <c r="P8" s="9" t="e">
        <f>COUNTIFS(明細表!$B:$B,"=6-*",明細表!$H:$H,"是",明細表!#REF!,"是")</f>
        <v>#REF!</v>
      </c>
      <c r="Q8" s="41">
        <f>COUNTIFS(上週明細!B:B,"=6-*",上週明細!W:W,"是")</f>
        <v>3</v>
      </c>
      <c r="R8" s="41" t="e">
        <f>COUNTIFS(明細表!$B:$B,"=6-*",明細表!#REF!,"是")</f>
        <v>#REF!</v>
      </c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</row>
    <row r="9" spans="1:29" ht="18.75" hidden="1">
      <c r="A9" s="455"/>
      <c r="B9" s="9">
        <f>COUNTIFS(上週明細!$B:$B,"=7-*",上週明細!$H:$H,"是")</f>
        <v>14</v>
      </c>
      <c r="C9" s="9">
        <f>COUNTIFS(明細表!$B:$B,"=7-*",明細表!$H:$H,"是")</f>
        <v>0</v>
      </c>
      <c r="D9" s="9">
        <f>COUNTIFS(上週明細!$B:$B,"=7-*")</f>
        <v>14</v>
      </c>
      <c r="E9" s="9">
        <f>COUNTIFS(明細表!$B:$B,"=7-*")</f>
        <v>0</v>
      </c>
      <c r="F9" s="38"/>
      <c r="G9" s="456" t="s">
        <v>1333</v>
      </c>
      <c r="H9" s="10" t="str">
        <f t="shared" si="0"/>
        <v>0/0</v>
      </c>
      <c r="I9" s="457" t="e">
        <f>總表!#REF!</f>
        <v>#REF!</v>
      </c>
      <c r="J9" s="457" t="e">
        <f>總表!#REF!</f>
        <v>#REF!</v>
      </c>
      <c r="K9" s="458" t="e">
        <f>總表!#REF!</f>
        <v>#REF!</v>
      </c>
      <c r="L9" s="459" t="e">
        <f>總表!#REF!</f>
        <v>#REF!</v>
      </c>
      <c r="M9" s="384" t="e">
        <f t="shared" si="1"/>
        <v>#REF!</v>
      </c>
      <c r="N9" s="38"/>
      <c r="O9" s="9">
        <f>COUNTIFS(上週明細!$B:$B,"=7-*",上週明細!$H:$H,"是",上週明細!$W:$W,"是")</f>
        <v>2</v>
      </c>
      <c r="P9" s="9" t="e">
        <f>COUNTIFS(明細表!$B:$B,"=7-*",明細表!$H:$H,"是",明細表!#REF!,"是")</f>
        <v>#REF!</v>
      </c>
      <c r="Q9" s="41">
        <f>COUNTIFS(上週明細!B:B,"=7-*",上週明細!W:W,"是")</f>
        <v>2</v>
      </c>
      <c r="R9" s="41" t="e">
        <f>COUNTIFS(明細表!$B:$B,"=7-*",明細表!#REF!,"是")</f>
        <v>#REF!</v>
      </c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</row>
    <row r="10" spans="1:29" ht="18.75" hidden="1">
      <c r="A10" s="455"/>
      <c r="B10" s="9">
        <f>COUNTIFS(上週明細!$B:$B,"=8-*",上週明細!$H:$H,"是")</f>
        <v>3</v>
      </c>
      <c r="C10" s="9">
        <f>COUNTIFS(明細表!$B:$B,"=8-*",明細表!$H:$H,"是")</f>
        <v>0</v>
      </c>
      <c r="D10" s="9">
        <f>COUNTIFS(上週明細!$B:$B,"=8-*")</f>
        <v>4</v>
      </c>
      <c r="E10" s="9">
        <f>COUNTIFS(明細表!$B:$B,"=8-*")</f>
        <v>0</v>
      </c>
      <c r="F10" s="38"/>
      <c r="G10" s="456" t="s">
        <v>1334</v>
      </c>
      <c r="H10" s="10" t="str">
        <f t="shared" si="0"/>
        <v>0/0</v>
      </c>
      <c r="I10" s="457" t="e">
        <f>總表!#REF!</f>
        <v>#REF!</v>
      </c>
      <c r="J10" s="457" t="e">
        <f>總表!#REF!</f>
        <v>#REF!</v>
      </c>
      <c r="K10" s="458" t="e">
        <f>總表!#REF!</f>
        <v>#REF!</v>
      </c>
      <c r="L10" s="459" t="e">
        <f>總表!#REF!</f>
        <v>#REF!</v>
      </c>
      <c r="M10" s="384" t="e">
        <f t="shared" si="1"/>
        <v>#REF!</v>
      </c>
      <c r="N10" s="38"/>
      <c r="O10" s="9">
        <f>COUNTIFS(上週明細!$B:$B,"=8-*",上週明細!$H:$H,"是",上週明細!$W:$W,"是")</f>
        <v>0</v>
      </c>
      <c r="P10" s="9" t="e">
        <f>COUNTIFS(明細表!$B:$B,"=8-*",明細表!$H:$H,"是",明細表!#REF!,"是")</f>
        <v>#REF!</v>
      </c>
      <c r="Q10" s="41">
        <f>COUNTIFS(上週明細!B:B,"=8-*",上週明細!W:W,"是")</f>
        <v>0</v>
      </c>
      <c r="R10" s="41" t="e">
        <f>COUNTIFS(明細表!$B:$B,"=8-*",明細表!#REF!,"是")</f>
        <v>#REF!</v>
      </c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</row>
    <row r="11" spans="1:29" ht="18.75" hidden="1">
      <c r="A11" s="455"/>
      <c r="B11" s="9">
        <f>COUNTIFS(上週明細!$B:$B,"=9-*",上週明細!$H:$H,"是")</f>
        <v>5</v>
      </c>
      <c r="C11" s="9">
        <f>COUNTIFS(明細表!$B:$B,"=9-*",明細表!$H:$H,"是")</f>
        <v>0</v>
      </c>
      <c r="D11" s="9">
        <f>COUNTIFS(上週明細!$B:$B,"=9-*")</f>
        <v>5</v>
      </c>
      <c r="E11" s="9">
        <f>COUNTIFS(明細表!$B:$B,"=9-*")</f>
        <v>0</v>
      </c>
      <c r="F11" s="38"/>
      <c r="G11" s="456" t="s">
        <v>1335</v>
      </c>
      <c r="H11" s="10" t="str">
        <f t="shared" si="0"/>
        <v>0/0</v>
      </c>
      <c r="I11" s="457" t="e">
        <f>總表!#REF!</f>
        <v>#REF!</v>
      </c>
      <c r="J11" s="460" t="e">
        <f>總表!#REF!</f>
        <v>#REF!</v>
      </c>
      <c r="K11" s="461" t="e">
        <f>總表!#REF!</f>
        <v>#REF!</v>
      </c>
      <c r="L11" s="462" t="e">
        <f>總表!#REF!</f>
        <v>#REF!</v>
      </c>
      <c r="M11" s="384" t="e">
        <f t="shared" si="1"/>
        <v>#REF!</v>
      </c>
      <c r="N11" s="38"/>
      <c r="O11" s="9">
        <f>COUNTIFS(上週明細!$B:$B,"=9-*",上週明細!$H:$H,"是",上週明細!$W:$W,"是")</f>
        <v>0</v>
      </c>
      <c r="P11" s="9" t="e">
        <f>COUNTIFS(明細表!$B:$B,"=9-*",明細表!$H:$H,"是",明細表!#REF!,"是")</f>
        <v>#REF!</v>
      </c>
      <c r="Q11" s="41">
        <f>COUNTIFS(上週明細!B:B,"=9-*",上週明細!W:W,"是")</f>
        <v>0</v>
      </c>
      <c r="R11" s="41" t="e">
        <f>COUNTIFS(明細表!$B:$B,"=9-*",明細表!#REF!,"是")</f>
        <v>#REF!</v>
      </c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</row>
    <row r="12" spans="1:29" ht="18.75" hidden="1">
      <c r="A12" s="455"/>
      <c r="B12" s="9">
        <f>COUNTIFS(上週明細!$B:$B,"=10-*",上週明細!$H:$H,"是")</f>
        <v>4</v>
      </c>
      <c r="C12" s="9">
        <f>COUNTIFS(明細表!$B:$B,"=10-*",明細表!$H:$H,"是")</f>
        <v>0</v>
      </c>
      <c r="D12" s="9">
        <f>COUNTIFS(上週明細!$B:$B,"=10-*")</f>
        <v>5</v>
      </c>
      <c r="E12" s="9">
        <f>COUNTIFS(明細表!$B:$B,"=10-*")</f>
        <v>0</v>
      </c>
      <c r="F12" s="38"/>
      <c r="G12" s="456" t="s">
        <v>1336</v>
      </c>
      <c r="H12" s="10" t="str">
        <f t="shared" si="0"/>
        <v>0/0</v>
      </c>
      <c r="I12" s="457" t="e">
        <f>總表!#REF!</f>
        <v>#REF!</v>
      </c>
      <c r="J12" s="457" t="e">
        <f>總表!#REF!</f>
        <v>#REF!</v>
      </c>
      <c r="K12" s="458" t="e">
        <f>總表!#REF!</f>
        <v>#REF!</v>
      </c>
      <c r="L12" s="459" t="e">
        <f>總表!#REF!</f>
        <v>#REF!</v>
      </c>
      <c r="M12" s="384" t="e">
        <f t="shared" si="1"/>
        <v>#REF!</v>
      </c>
      <c r="N12" s="38"/>
      <c r="O12" s="9">
        <f>COUNTIFS(上週明細!$B:$B,"=10-*",上週明細!$H:$H,"是",上週明細!$W:$W,"是")</f>
        <v>2</v>
      </c>
      <c r="P12" s="9" t="e">
        <f>COUNTIFS(明細表!$B:$B,"=10-*",明細表!$H:$H,"是",明細表!#REF!,"是")</f>
        <v>#REF!</v>
      </c>
      <c r="Q12" s="41">
        <f>COUNTIFS(上週明細!B:B,"=10-*",上週明細!W:W,"是")</f>
        <v>2</v>
      </c>
      <c r="R12" s="41" t="e">
        <f>COUNTIFS(明細表!$B:$B,"=10-*",明細表!#REF!,"是")</f>
        <v>#REF!</v>
      </c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</row>
    <row r="13" spans="1:29" ht="18.75" hidden="1">
      <c r="A13" s="455"/>
      <c r="B13" s="9">
        <f>COUNTIFS(上週明細!$B:$B,"=11-*",上週明細!$H:$H,"是")</f>
        <v>5</v>
      </c>
      <c r="C13" s="9">
        <f>COUNTIFS(明細表!$B:$B,"=11-*",明細表!$H:$H,"是")</f>
        <v>0</v>
      </c>
      <c r="D13" s="9">
        <f>COUNTIFS(上週明細!$B:$B,"=11-*")</f>
        <v>11</v>
      </c>
      <c r="E13" s="9">
        <f>COUNTIFS(明細表!$B:$B,"=11-*")</f>
        <v>0</v>
      </c>
      <c r="F13" s="38"/>
      <c r="G13" s="456" t="s">
        <v>1337</v>
      </c>
      <c r="H13" s="10" t="str">
        <f t="shared" si="0"/>
        <v>0/0</v>
      </c>
      <c r="I13" s="457" t="e">
        <f>總表!#REF!</f>
        <v>#REF!</v>
      </c>
      <c r="J13" s="460" t="e">
        <f>總表!#REF!</f>
        <v>#REF!</v>
      </c>
      <c r="K13" s="461" t="e">
        <f>總表!#REF!</f>
        <v>#REF!</v>
      </c>
      <c r="L13" s="462" t="e">
        <f>總表!#REF!</f>
        <v>#REF!</v>
      </c>
      <c r="M13" s="384" t="e">
        <f t="shared" si="1"/>
        <v>#REF!</v>
      </c>
      <c r="N13" s="38"/>
      <c r="O13" s="9">
        <f>COUNTIFS(上週明細!$B:$B,"=11-*",上週明細!$H:$H,"是",上週明細!$W:$W,"是")</f>
        <v>0</v>
      </c>
      <c r="P13" s="9" t="e">
        <f>COUNTIFS(明細表!$B:$B,"=11-*",明細表!$H:$H,"是",明細表!#REF!,"是")</f>
        <v>#REF!</v>
      </c>
      <c r="Q13" s="41">
        <f>COUNTIFS(上週明細!B:B,"=11-*",上週明細!W:W,"是")</f>
        <v>0</v>
      </c>
      <c r="R13" s="41" t="e">
        <f>COUNTIFS(明細表!$B:$B,"=11-*",明細表!#REF!,"是")</f>
        <v>#REF!</v>
      </c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</row>
    <row r="14" spans="1:29" ht="18.75" hidden="1">
      <c r="A14" s="455"/>
      <c r="B14" s="9">
        <f>COUNTIFS(上週明細!$B:$B,"=12-*",上週明細!$H:$H,"是")</f>
        <v>6</v>
      </c>
      <c r="C14" s="9">
        <f>COUNTIFS(明細表!$B:$B,"=12-*",明細表!$H:$H,"是")</f>
        <v>0</v>
      </c>
      <c r="D14" s="9">
        <f>COUNTIFS(上週明細!$B:$B,"=12-*")</f>
        <v>7</v>
      </c>
      <c r="E14" s="9">
        <f>COUNTIFS(明細表!$B:$B,"=12-*")</f>
        <v>0</v>
      </c>
      <c r="F14" s="38"/>
      <c r="G14" s="456" t="s">
        <v>1338</v>
      </c>
      <c r="H14" s="10" t="str">
        <f t="shared" si="0"/>
        <v>0/0</v>
      </c>
      <c r="I14" s="457" t="e">
        <f>總表!#REF!</f>
        <v>#REF!</v>
      </c>
      <c r="J14" s="457" t="e">
        <f>總表!#REF!</f>
        <v>#REF!</v>
      </c>
      <c r="K14" s="458" t="e">
        <f>總表!#REF!</f>
        <v>#REF!</v>
      </c>
      <c r="L14" s="459" t="e">
        <f>總表!#REF!</f>
        <v>#REF!</v>
      </c>
      <c r="M14" s="384" t="e">
        <f t="shared" si="1"/>
        <v>#REF!</v>
      </c>
      <c r="N14" s="38"/>
      <c r="O14" s="9">
        <f>COUNTIFS(上週明細!$B:$B,"=12-*",上週明細!$H:$H,"是",上週明細!$W:$W,"是")</f>
        <v>0</v>
      </c>
      <c r="P14" s="9" t="e">
        <f>COUNTIFS(明細表!$B:$B,"=12-*",明細表!$H:$H,"是",明細表!#REF!,"是")</f>
        <v>#REF!</v>
      </c>
      <c r="Q14" s="41">
        <f>COUNTIFS(上週明細!B:B,"=12-*",上週明細!W:W,"是")</f>
        <v>0</v>
      </c>
      <c r="R14" s="41" t="e">
        <f>COUNTIFS(明細表!$B:$B,"=12-*",明細表!#REF!,"是")</f>
        <v>#REF!</v>
      </c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</row>
    <row r="15" spans="1:29" ht="18.75" hidden="1">
      <c r="A15" s="455"/>
      <c r="B15" s="9">
        <f>COUNTIFS(上週明細!$B:$B,"=13-*",上週明細!$H:$H,"是")</f>
        <v>4</v>
      </c>
      <c r="C15" s="9">
        <f>COUNTIFS(明細表!$B:$B,"=13-*",明細表!$H:$H,"是")</f>
        <v>0</v>
      </c>
      <c r="D15" s="9">
        <f>COUNTIFS(上週明細!$B:$B,"=13-*")</f>
        <v>7</v>
      </c>
      <c r="E15" s="9">
        <f>COUNTIFS(明細表!$B:$B,"=13-*")</f>
        <v>0</v>
      </c>
      <c r="F15" s="38"/>
      <c r="G15" s="456" t="s">
        <v>1339</v>
      </c>
      <c r="H15" s="10" t="str">
        <f t="shared" si="0"/>
        <v>0/0</v>
      </c>
      <c r="I15" s="457" t="e">
        <f>總表!#REF!</f>
        <v>#REF!</v>
      </c>
      <c r="J15" s="457" t="e">
        <f>總表!#REF!</f>
        <v>#REF!</v>
      </c>
      <c r="K15" s="458" t="e">
        <f>總表!#REF!</f>
        <v>#REF!</v>
      </c>
      <c r="L15" s="459" t="e">
        <f>總表!#REF!</f>
        <v>#REF!</v>
      </c>
      <c r="M15" s="384" t="e">
        <f t="shared" si="1"/>
        <v>#REF!</v>
      </c>
      <c r="N15" s="38"/>
      <c r="O15" s="9">
        <f>COUNTIFS(上週明細!$B:$B,"=13-*",上週明細!$H:$H,"是",上週明細!$W:$W,"是")</f>
        <v>0</v>
      </c>
      <c r="P15" s="9" t="e">
        <f>COUNTIFS(明細表!$B:$B,"=13-*",明細表!$H:$H,"是",明細表!#REF!,"是")</f>
        <v>#REF!</v>
      </c>
      <c r="Q15" s="41">
        <f>COUNTIFS(上週明細!B:B,"=13-*",上週明細!W:W,"是")</f>
        <v>0</v>
      </c>
      <c r="R15" s="41" t="e">
        <f>COUNTIFS(明細表!$B:$B,"=13-*",明細表!#REF!,"是")</f>
        <v>#REF!</v>
      </c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</row>
    <row r="16" spans="1:29" ht="18.75" hidden="1">
      <c r="A16" s="455"/>
      <c r="B16" s="9">
        <f>COUNTIFS(上週明細!$B:$B,"=14-*",上週明細!$H:$H,"是")</f>
        <v>4</v>
      </c>
      <c r="C16" s="9">
        <f>COUNTIFS(明細表!$B:$B,"=14-*",明細表!$H:$H,"是")</f>
        <v>0</v>
      </c>
      <c r="D16" s="9">
        <f>COUNTIFS(上週明細!$B:$B,"=14-*")</f>
        <v>4</v>
      </c>
      <c r="E16" s="9">
        <f>COUNTIFS(明細表!$B:$B,"=14-*")</f>
        <v>0</v>
      </c>
      <c r="F16" s="38"/>
      <c r="G16" s="456" t="s">
        <v>1340</v>
      </c>
      <c r="H16" s="10" t="str">
        <f t="shared" si="0"/>
        <v>0/0</v>
      </c>
      <c r="I16" s="457" t="e">
        <f>總表!#REF!</f>
        <v>#REF!</v>
      </c>
      <c r="J16" s="457" t="e">
        <f>總表!#REF!</f>
        <v>#REF!</v>
      </c>
      <c r="K16" s="458" t="e">
        <f>總表!#REF!</f>
        <v>#REF!</v>
      </c>
      <c r="L16" s="459" t="e">
        <f>總表!#REF!</f>
        <v>#REF!</v>
      </c>
      <c r="M16" s="384" t="e">
        <f t="shared" si="1"/>
        <v>#REF!</v>
      </c>
      <c r="N16" s="38"/>
      <c r="O16" s="9">
        <f>COUNTIFS(上週明細!$B:$B,"=14-*",上週明細!$H:$H,"是",上週明細!$W:$W,"是")</f>
        <v>0</v>
      </c>
      <c r="P16" s="9" t="e">
        <f>COUNTIFS(明細表!$B:$B,"=14-*",明細表!$H:$H,"是",明細表!#REF!,"是")</f>
        <v>#REF!</v>
      </c>
      <c r="Q16" s="41">
        <f>COUNTIFS(上週明細!B:B,"=14-*",上週明細!W:W,"是")</f>
        <v>0</v>
      </c>
      <c r="R16" s="41" t="e">
        <f>COUNTIFS(明細表!$B:$B,"=14-*",明細表!#REF!,"是")</f>
        <v>#REF!</v>
      </c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</row>
    <row r="17" spans="1:29" ht="18.75" hidden="1">
      <c r="A17" s="455"/>
      <c r="B17" s="9">
        <f>SUM(B3:B16)</f>
        <v>88</v>
      </c>
      <c r="C17" s="9">
        <f>SUM(C3,C4,C5,C6,C7,C8,C9,C10,C11,C12,C13,C14,C15,C16)</f>
        <v>0</v>
      </c>
      <c r="D17" s="9">
        <f t="shared" ref="D17:E17" si="2">SUM(D3:D16)</f>
        <v>103</v>
      </c>
      <c r="E17" s="9">
        <f t="shared" si="2"/>
        <v>0</v>
      </c>
      <c r="F17" s="38"/>
      <c r="G17" s="463" t="s">
        <v>1341</v>
      </c>
      <c r="H17" s="10" t="str">
        <f t="shared" si="0"/>
        <v>0/0</v>
      </c>
      <c r="I17" s="457" t="e">
        <f>總表!#REF!</f>
        <v>#REF!</v>
      </c>
      <c r="J17" s="457" t="e">
        <f>總表!#REF!</f>
        <v>#REF!</v>
      </c>
      <c r="K17" s="458" t="e">
        <f>總表!#REF!</f>
        <v>#REF!</v>
      </c>
      <c r="L17" s="459" t="e">
        <f>總表!#REF!</f>
        <v>#REF!</v>
      </c>
      <c r="M17" s="384" t="e">
        <f t="shared" si="1"/>
        <v>#REF!</v>
      </c>
      <c r="N17" s="38"/>
      <c r="O17" s="41">
        <f t="shared" ref="O17:R17" si="3">SUM(O3:O16)</f>
        <v>13</v>
      </c>
      <c r="P17" s="41" t="e">
        <f t="shared" si="3"/>
        <v>#REF!</v>
      </c>
      <c r="Q17" s="41">
        <f t="shared" si="3"/>
        <v>13</v>
      </c>
      <c r="R17" s="41" t="e">
        <f t="shared" si="3"/>
        <v>#REF!</v>
      </c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</row>
    <row r="18" spans="1:29" ht="12.75" hidden="1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</row>
    <row r="19" spans="1:29" ht="12.75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</row>
    <row r="20" spans="1:29" ht="66.75" customHeight="1">
      <c r="A20" s="38"/>
      <c r="B20" s="38"/>
      <c r="C20" s="38"/>
      <c r="D20" s="38"/>
      <c r="E20" s="38"/>
      <c r="F20" s="38"/>
      <c r="G20" s="464" t="s">
        <v>4</v>
      </c>
      <c r="H20" s="465" t="s">
        <v>1342</v>
      </c>
      <c r="I20" s="466" t="s">
        <v>1343</v>
      </c>
      <c r="J20" s="466" t="s">
        <v>1344</v>
      </c>
      <c r="K20" s="466" t="s">
        <v>501</v>
      </c>
      <c r="L20" s="466" t="s">
        <v>1345</v>
      </c>
      <c r="M20" s="467" t="s">
        <v>1346</v>
      </c>
      <c r="N20" s="38"/>
      <c r="O20" s="38"/>
      <c r="P20" s="38"/>
      <c r="Q20" s="38"/>
      <c r="R20" s="38"/>
      <c r="S20" s="38"/>
      <c r="T20" s="38"/>
      <c r="U20" s="38"/>
      <c r="V20" s="38"/>
    </row>
    <row r="21" spans="1:29" ht="18.75">
      <c r="A21" s="38"/>
      <c r="B21" s="38"/>
      <c r="C21" s="38"/>
      <c r="D21" s="38"/>
      <c r="E21" s="38"/>
      <c r="F21" s="38"/>
      <c r="G21" s="456" t="s">
        <v>1327</v>
      </c>
      <c r="H21" s="468" t="s">
        <v>1351</v>
      </c>
      <c r="I21" s="10">
        <v>6230</v>
      </c>
      <c r="J21" s="11">
        <v>4949.8999999999996</v>
      </c>
      <c r="K21" s="12">
        <v>0.14293925233644861</v>
      </c>
      <c r="L21" s="13">
        <v>0.78228971962616822</v>
      </c>
      <c r="M21" s="468" t="s">
        <v>1352</v>
      </c>
      <c r="N21" s="38"/>
      <c r="O21" s="38"/>
      <c r="P21" s="38"/>
      <c r="Q21" s="38"/>
      <c r="R21" s="38"/>
      <c r="S21" s="38"/>
      <c r="T21" s="38"/>
      <c r="U21" s="38"/>
      <c r="V21" s="38"/>
    </row>
    <row r="22" spans="1:29" ht="18.75">
      <c r="A22" s="38"/>
      <c r="B22" s="38"/>
      <c r="C22" s="38"/>
      <c r="D22" s="38"/>
      <c r="E22" s="38"/>
      <c r="F22" s="38"/>
      <c r="G22" s="456" t="s">
        <v>1328</v>
      </c>
      <c r="H22" s="468" t="s">
        <v>1353</v>
      </c>
      <c r="I22" s="10">
        <v>2551</v>
      </c>
      <c r="J22" s="11">
        <v>1102.9000000000001</v>
      </c>
      <c r="K22" s="12">
        <v>0.32160161865715353</v>
      </c>
      <c r="L22" s="13">
        <v>0.82015813854427344</v>
      </c>
      <c r="M22" s="468" t="s">
        <v>1354</v>
      </c>
      <c r="N22" s="38"/>
      <c r="O22" s="38"/>
      <c r="P22" s="38"/>
      <c r="Q22" s="38"/>
      <c r="R22" s="38"/>
      <c r="S22" s="38"/>
      <c r="T22" s="38"/>
      <c r="U22" s="38"/>
      <c r="V22" s="38"/>
    </row>
    <row r="23" spans="1:29" ht="18.75">
      <c r="A23" s="38"/>
      <c r="B23" s="38"/>
      <c r="C23" s="38"/>
      <c r="D23" s="38"/>
      <c r="E23" s="38"/>
      <c r="F23" s="38"/>
      <c r="G23" s="456" t="s">
        <v>1329</v>
      </c>
      <c r="H23" s="468" t="s">
        <v>1355</v>
      </c>
      <c r="I23" s="10">
        <v>14248</v>
      </c>
      <c r="J23" s="10">
        <v>12173</v>
      </c>
      <c r="K23" s="12">
        <v>0.19096480775023927</v>
      </c>
      <c r="L23" s="13">
        <v>0.78743406618307643</v>
      </c>
      <c r="M23" s="468" t="s">
        <v>1356</v>
      </c>
      <c r="N23" s="38"/>
      <c r="O23" s="38"/>
      <c r="P23" s="38"/>
      <c r="Q23" s="38"/>
      <c r="R23" s="38"/>
      <c r="S23" s="38"/>
      <c r="T23" s="38"/>
      <c r="U23" s="38"/>
      <c r="V23" s="38"/>
    </row>
    <row r="24" spans="1:29" ht="18.75">
      <c r="A24" s="38"/>
      <c r="B24" s="38"/>
      <c r="C24" s="38"/>
      <c r="D24" s="38"/>
      <c r="E24" s="38"/>
      <c r="F24" s="38"/>
      <c r="G24" s="456" t="s">
        <v>1330</v>
      </c>
      <c r="H24" s="468" t="s">
        <v>1357</v>
      </c>
      <c r="I24" s="10">
        <v>5469</v>
      </c>
      <c r="J24" s="14">
        <v>2919</v>
      </c>
      <c r="K24" s="15">
        <v>0.22629402084476138</v>
      </c>
      <c r="L24" s="16">
        <v>0.78670652770159077</v>
      </c>
      <c r="M24" s="468" t="s">
        <v>1354</v>
      </c>
      <c r="N24" s="38"/>
      <c r="O24" s="38"/>
      <c r="P24" s="38"/>
      <c r="Q24" s="38"/>
      <c r="R24" s="38"/>
      <c r="S24" s="38"/>
      <c r="T24" s="38"/>
      <c r="U24" s="38"/>
      <c r="V24" s="38"/>
    </row>
    <row r="25" spans="1:29" ht="18.75">
      <c r="A25" s="38"/>
      <c r="B25" s="38"/>
      <c r="C25" s="38"/>
      <c r="D25" s="38"/>
      <c r="E25" s="38"/>
      <c r="F25" s="38"/>
      <c r="G25" s="456" t="s">
        <v>1331</v>
      </c>
      <c r="H25" s="468" t="s">
        <v>1358</v>
      </c>
      <c r="I25" s="10">
        <v>16700</v>
      </c>
      <c r="J25" s="14">
        <v>13488</v>
      </c>
      <c r="K25" s="15">
        <v>0.11878392023223526</v>
      </c>
      <c r="L25" s="16">
        <v>0.74832923135176066</v>
      </c>
      <c r="M25" s="468" t="s">
        <v>1354</v>
      </c>
      <c r="N25" s="38"/>
      <c r="O25" s="38"/>
      <c r="P25" s="38"/>
      <c r="Q25" s="38"/>
      <c r="R25" s="38"/>
      <c r="S25" s="38"/>
      <c r="T25" s="38"/>
      <c r="U25" s="38"/>
      <c r="V25" s="38"/>
    </row>
    <row r="26" spans="1:29" ht="18.75">
      <c r="A26" s="38"/>
      <c r="B26" s="38"/>
      <c r="C26" s="38"/>
      <c r="D26" s="38"/>
      <c r="E26" s="38"/>
      <c r="F26" s="38"/>
      <c r="G26" s="456" t="s">
        <v>1332</v>
      </c>
      <c r="H26" s="468" t="s">
        <v>1355</v>
      </c>
      <c r="I26" s="10">
        <v>12030</v>
      </c>
      <c r="J26" s="10">
        <v>6835</v>
      </c>
      <c r="K26" s="12">
        <v>0.1696125</v>
      </c>
      <c r="L26" s="13">
        <v>0.76389583333333333</v>
      </c>
      <c r="M26" s="468" t="s">
        <v>1359</v>
      </c>
      <c r="N26" s="38"/>
      <c r="O26" s="38"/>
      <c r="P26" s="38"/>
      <c r="Q26" s="38"/>
      <c r="R26" s="38"/>
      <c r="S26" s="38"/>
      <c r="T26" s="38"/>
      <c r="U26" s="38"/>
      <c r="V26" s="38"/>
    </row>
    <row r="27" spans="1:29" ht="18.75">
      <c r="A27" s="38"/>
      <c r="B27" s="38"/>
      <c r="C27" s="38"/>
      <c r="D27" s="38"/>
      <c r="E27" s="38"/>
      <c r="F27" s="38"/>
      <c r="G27" s="456" t="s">
        <v>1333</v>
      </c>
      <c r="H27" s="468" t="s">
        <v>1360</v>
      </c>
      <c r="I27" s="10">
        <v>15384</v>
      </c>
      <c r="J27" s="10">
        <v>13259.1</v>
      </c>
      <c r="K27" s="12">
        <v>0.1537482868991871</v>
      </c>
      <c r="L27" s="13">
        <v>0.80022579449932818</v>
      </c>
      <c r="M27" s="468" t="s">
        <v>1352</v>
      </c>
      <c r="N27" s="38"/>
      <c r="O27" s="38"/>
      <c r="P27" s="38"/>
      <c r="Q27" s="38"/>
      <c r="R27" s="38"/>
      <c r="S27" s="38"/>
      <c r="T27" s="38"/>
      <c r="U27" s="38"/>
      <c r="V27" s="38"/>
    </row>
    <row r="28" spans="1:29" ht="18.75">
      <c r="A28" s="38"/>
      <c r="B28" s="38"/>
      <c r="C28" s="38"/>
      <c r="D28" s="38"/>
      <c r="E28" s="38"/>
      <c r="F28" s="38"/>
      <c r="G28" s="456" t="s">
        <v>1334</v>
      </c>
      <c r="H28" s="468" t="s">
        <v>1361</v>
      </c>
      <c r="I28" s="14">
        <v>81116.989567809243</v>
      </c>
      <c r="J28" s="10">
        <v>2349</v>
      </c>
      <c r="K28" s="12">
        <v>0.15506796116504853</v>
      </c>
      <c r="L28" s="13">
        <v>0.77640776699029124</v>
      </c>
      <c r="M28" s="468" t="s">
        <v>1354</v>
      </c>
      <c r="N28" s="38"/>
      <c r="O28" s="38"/>
      <c r="P28" s="38"/>
      <c r="Q28" s="38"/>
      <c r="R28" s="38"/>
      <c r="S28" s="38"/>
      <c r="T28" s="38"/>
      <c r="U28" s="38"/>
      <c r="V28" s="38"/>
    </row>
    <row r="29" spans="1:29" ht="18.75">
      <c r="A29" s="38"/>
      <c r="B29" s="38"/>
      <c r="C29" s="38"/>
      <c r="D29" s="38"/>
      <c r="E29" s="38"/>
      <c r="F29" s="38"/>
      <c r="G29" s="456" t="s">
        <v>1335</v>
      </c>
      <c r="H29" s="468" t="s">
        <v>1351</v>
      </c>
      <c r="I29" s="11">
        <v>3592</v>
      </c>
      <c r="J29" s="11">
        <v>4712</v>
      </c>
      <c r="K29" s="12">
        <v>0.23050632911392405</v>
      </c>
      <c r="L29" s="13">
        <v>0.73295358649789033</v>
      </c>
      <c r="M29" s="468" t="s">
        <v>1354</v>
      </c>
      <c r="N29" s="38"/>
      <c r="O29" s="38"/>
      <c r="P29" s="38"/>
      <c r="Q29" s="38"/>
      <c r="R29" s="38"/>
      <c r="S29" s="38"/>
      <c r="T29" s="38"/>
      <c r="U29" s="38"/>
      <c r="V29" s="38"/>
    </row>
    <row r="30" spans="1:29" ht="18.75">
      <c r="A30" s="38"/>
      <c r="B30" s="38"/>
      <c r="C30" s="38"/>
      <c r="D30" s="38"/>
      <c r="E30" s="38"/>
      <c r="F30" s="38"/>
      <c r="G30" s="456" t="s">
        <v>1336</v>
      </c>
      <c r="H30" s="468" t="s">
        <v>1362</v>
      </c>
      <c r="I30" s="10">
        <v>4150</v>
      </c>
      <c r="J30" s="14">
        <v>3082</v>
      </c>
      <c r="K30" s="15">
        <v>0.41955197366121227</v>
      </c>
      <c r="L30" s="16">
        <v>0.73804048063202932</v>
      </c>
      <c r="M30" s="468" t="s">
        <v>1352</v>
      </c>
      <c r="N30" s="38"/>
      <c r="O30" s="38"/>
      <c r="P30" s="38"/>
      <c r="Q30" s="38"/>
      <c r="R30" s="38"/>
      <c r="S30" s="38"/>
      <c r="T30" s="38"/>
      <c r="U30" s="38"/>
      <c r="V30" s="38"/>
    </row>
    <row r="31" spans="1:29" ht="18.75">
      <c r="A31" s="38"/>
      <c r="B31" s="38"/>
      <c r="C31" s="38"/>
      <c r="D31" s="38"/>
      <c r="E31" s="38"/>
      <c r="F31" s="38"/>
      <c r="G31" s="456" t="s">
        <v>1337</v>
      </c>
      <c r="H31" s="468" t="s">
        <v>1363</v>
      </c>
      <c r="I31" s="14">
        <v>17285</v>
      </c>
      <c r="J31" s="14">
        <v>9291</v>
      </c>
      <c r="K31" s="15">
        <v>0.13246955449360259</v>
      </c>
      <c r="L31" s="16">
        <v>0.81138461538461537</v>
      </c>
      <c r="M31" s="468" t="s">
        <v>1354</v>
      </c>
      <c r="N31" s="38"/>
      <c r="O31" s="38"/>
      <c r="P31" s="38"/>
      <c r="Q31" s="38"/>
      <c r="R31" s="38"/>
      <c r="S31" s="38"/>
      <c r="T31" s="38"/>
      <c r="U31" s="38"/>
      <c r="V31" s="38"/>
    </row>
    <row r="32" spans="1:29" ht="18.75">
      <c r="A32" s="38"/>
      <c r="B32" s="38"/>
      <c r="C32" s="38"/>
      <c r="D32" s="38"/>
      <c r="E32" s="38"/>
      <c r="F32" s="38"/>
      <c r="G32" s="456" t="s">
        <v>1338</v>
      </c>
      <c r="H32" s="468" t="s">
        <v>1364</v>
      </c>
      <c r="I32" s="10">
        <v>3868</v>
      </c>
      <c r="J32" s="10">
        <v>1141</v>
      </c>
      <c r="K32" s="12">
        <v>0.22058459864483901</v>
      </c>
      <c r="L32" s="13">
        <v>0.76725175989580763</v>
      </c>
      <c r="M32" s="468" t="s">
        <v>1354</v>
      </c>
      <c r="N32" s="38"/>
      <c r="O32" s="38"/>
      <c r="P32" s="38"/>
      <c r="Q32" s="38"/>
      <c r="R32" s="38"/>
      <c r="S32" s="38"/>
      <c r="T32" s="38"/>
      <c r="U32" s="38"/>
      <c r="V32" s="38"/>
    </row>
    <row r="33" spans="1:29" ht="18.75">
      <c r="A33" s="38"/>
      <c r="B33" s="38"/>
      <c r="C33" s="38"/>
      <c r="D33" s="38"/>
      <c r="E33" s="38"/>
      <c r="F33" s="38"/>
      <c r="G33" s="456" t="s">
        <v>1339</v>
      </c>
      <c r="H33" s="468" t="s">
        <v>1365</v>
      </c>
      <c r="I33" s="14">
        <v>4276</v>
      </c>
      <c r="J33" s="14">
        <v>157.34</v>
      </c>
      <c r="K33" s="12">
        <v>0.18364978295662587</v>
      </c>
      <c r="L33" s="16">
        <v>0.7234138562332324</v>
      </c>
      <c r="M33" s="468" t="s">
        <v>1354</v>
      </c>
      <c r="N33" s="38"/>
      <c r="O33" s="38"/>
      <c r="P33" s="38"/>
      <c r="Q33" s="38"/>
      <c r="R33" s="38"/>
      <c r="S33" s="38"/>
      <c r="T33" s="38"/>
      <c r="U33" s="38"/>
      <c r="V33" s="38"/>
    </row>
    <row r="34" spans="1:29" ht="18.75">
      <c r="A34" s="38"/>
      <c r="B34" s="38"/>
      <c r="C34" s="38"/>
      <c r="D34" s="38"/>
      <c r="E34" s="38"/>
      <c r="F34" s="38"/>
      <c r="G34" s="456" t="s">
        <v>1340</v>
      </c>
      <c r="H34" s="468" t="s">
        <v>1356</v>
      </c>
      <c r="I34" s="10">
        <v>3068</v>
      </c>
      <c r="J34" s="10">
        <v>539</v>
      </c>
      <c r="K34" s="12">
        <v>0.11677171488261748</v>
      </c>
      <c r="L34" s="13">
        <v>0.80291278637442021</v>
      </c>
      <c r="M34" s="468" t="s">
        <v>1354</v>
      </c>
      <c r="N34" s="38"/>
      <c r="O34" s="38"/>
      <c r="P34" s="38"/>
      <c r="Q34" s="38"/>
      <c r="R34" s="38"/>
      <c r="S34" s="38"/>
      <c r="T34" s="38"/>
      <c r="U34" s="38"/>
      <c r="V34" s="38"/>
    </row>
    <row r="35" spans="1:29" ht="18.75">
      <c r="A35" s="38"/>
      <c r="B35" s="38"/>
      <c r="C35" s="38"/>
      <c r="D35" s="38"/>
      <c r="E35" s="38"/>
      <c r="F35" s="38"/>
      <c r="G35" s="463" t="s">
        <v>1341</v>
      </c>
      <c r="H35" s="468" t="s">
        <v>1366</v>
      </c>
      <c r="I35" s="14">
        <v>189967.98956780924</v>
      </c>
      <c r="J35" s="14">
        <v>75998.239999999991</v>
      </c>
      <c r="K35" s="15">
        <v>0.18353478391760594</v>
      </c>
      <c r="L35" s="16">
        <v>0.77349286369264547</v>
      </c>
      <c r="M35" s="468" t="s">
        <v>1367</v>
      </c>
      <c r="N35" s="38"/>
      <c r="O35" s="38"/>
      <c r="P35" s="38"/>
      <c r="Q35" s="38"/>
      <c r="R35" s="38"/>
      <c r="S35" s="38"/>
      <c r="T35" s="38"/>
      <c r="U35" s="38"/>
      <c r="V35" s="38"/>
    </row>
    <row r="36" spans="1:29" ht="12.75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</row>
    <row r="37" spans="1:29" ht="12.75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</row>
    <row r="38" spans="1:29" ht="12.75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</row>
    <row r="39" spans="1:29" ht="12.75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</row>
    <row r="40" spans="1:29" ht="12.75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</row>
    <row r="41" spans="1:29" ht="12.75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</row>
    <row r="42" spans="1:29" ht="12.75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</row>
    <row r="43" spans="1:29" ht="12.75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</row>
    <row r="44" spans="1:29" ht="12.75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</row>
    <row r="45" spans="1:29" ht="12.75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</row>
    <row r="46" spans="1:29" ht="12.75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</row>
    <row r="47" spans="1:29" ht="12.75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</row>
    <row r="48" spans="1:29" ht="12.75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</row>
    <row r="49" spans="1:29" ht="12.75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</row>
    <row r="50" spans="1:29" ht="12.75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</row>
    <row r="51" spans="1:29" ht="12.75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</row>
    <row r="52" spans="1:29" ht="12.75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</row>
    <row r="53" spans="1:29" ht="12.75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</row>
    <row r="54" spans="1:29" ht="12.75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</row>
    <row r="55" spans="1:29" ht="12.75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</row>
    <row r="56" spans="1:29" ht="12.75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</row>
    <row r="57" spans="1:29" ht="12.75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</row>
    <row r="58" spans="1:29" ht="12.75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</row>
    <row r="59" spans="1:29" ht="12.75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</row>
    <row r="60" spans="1:29" ht="12.75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</row>
    <row r="61" spans="1:29" ht="12.75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</row>
    <row r="62" spans="1:29" ht="12.75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</row>
    <row r="63" spans="1:29" ht="12.75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</row>
    <row r="64" spans="1:29" ht="12.75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</row>
    <row r="65" spans="1:29" ht="12.75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</row>
    <row r="66" spans="1:29" ht="12.75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</row>
    <row r="67" spans="1:29" ht="12.75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</row>
    <row r="68" spans="1:29" ht="12.75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</row>
    <row r="69" spans="1:29" ht="12.75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</row>
    <row r="70" spans="1:29" ht="12.75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</row>
    <row r="71" spans="1:29" ht="12.75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</row>
    <row r="72" spans="1:29" ht="12.75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</row>
    <row r="73" spans="1:29" ht="12.75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</row>
    <row r="74" spans="1:29" ht="12.75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</row>
    <row r="75" spans="1:29" ht="12.75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</row>
    <row r="76" spans="1:29" ht="12.75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</row>
    <row r="77" spans="1:29" ht="12.75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</row>
    <row r="78" spans="1:29" ht="12.75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</row>
    <row r="79" spans="1:29" ht="12.75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</row>
    <row r="80" spans="1:29" ht="12.75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</row>
    <row r="81" spans="1:29" ht="12.75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</row>
    <row r="82" spans="1:29" ht="12.75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</row>
    <row r="83" spans="1:29" ht="12.75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</row>
    <row r="84" spans="1:29" ht="12.75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</row>
    <row r="85" spans="1:29" ht="12.75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</row>
    <row r="86" spans="1:29" ht="12.75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</row>
    <row r="87" spans="1:29" ht="12.75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</row>
    <row r="88" spans="1:29" ht="12.75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</row>
    <row r="89" spans="1:29" ht="12.75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</row>
    <row r="90" spans="1:29" ht="12.75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</row>
    <row r="91" spans="1:29" ht="12.75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</row>
    <row r="92" spans="1:29" ht="12.75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</row>
    <row r="93" spans="1:29" ht="12.75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</row>
    <row r="94" spans="1:29" ht="12.75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</row>
    <row r="95" spans="1:29" ht="12.75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</row>
    <row r="96" spans="1:29" ht="12.75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</row>
    <row r="97" spans="1:29" ht="12.75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</row>
    <row r="98" spans="1:29" ht="12.75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</row>
    <row r="99" spans="1:29" ht="12.75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</row>
    <row r="100" spans="1:29" ht="12.75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</row>
    <row r="101" spans="1:29" ht="12.75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</row>
    <row r="102" spans="1:29" ht="12.75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</row>
    <row r="103" spans="1:29" ht="12.75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</row>
    <row r="104" spans="1:29" ht="12.75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</row>
    <row r="105" spans="1:29" ht="12.75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</row>
    <row r="106" spans="1:29" ht="12.75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</row>
    <row r="107" spans="1:29" ht="12.75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</row>
    <row r="108" spans="1:29" ht="12.75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</row>
    <row r="109" spans="1:29" ht="12.75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</row>
    <row r="110" spans="1:29" ht="12.75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</row>
    <row r="111" spans="1:29" ht="12.75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</row>
    <row r="112" spans="1:29" ht="12.75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</row>
    <row r="113" spans="1:29" ht="12.75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</row>
    <row r="114" spans="1:29" ht="12.75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</row>
    <row r="115" spans="1:29" ht="12.75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</row>
    <row r="116" spans="1:29" ht="12.75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</row>
    <row r="117" spans="1:29" ht="12.75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</row>
    <row r="118" spans="1:29" ht="12.75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</row>
    <row r="119" spans="1:29" ht="12.75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</row>
    <row r="120" spans="1:29" ht="12.75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</row>
    <row r="121" spans="1:29" ht="12.75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</row>
    <row r="122" spans="1:29" ht="12.75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</row>
    <row r="123" spans="1:29" ht="12.75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</row>
    <row r="124" spans="1:29" ht="12.75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</row>
    <row r="125" spans="1:29" ht="12.75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</row>
    <row r="126" spans="1:29" ht="12.75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</row>
    <row r="127" spans="1:29" ht="12.75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</row>
    <row r="128" spans="1:29" ht="12.75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</row>
    <row r="129" spans="1:29" ht="12.75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</row>
    <row r="130" spans="1:29" ht="12.75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</row>
    <row r="131" spans="1:29" ht="12.75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</row>
    <row r="132" spans="1:29" ht="12.75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</row>
    <row r="133" spans="1:29" ht="12.75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</row>
    <row r="134" spans="1:29" ht="12.75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</row>
    <row r="135" spans="1:29" ht="12.75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</row>
    <row r="136" spans="1:29" ht="12.75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</row>
    <row r="137" spans="1:29" ht="12.75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</row>
    <row r="138" spans="1:29" ht="12.75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</row>
    <row r="139" spans="1:29" ht="12.75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</row>
    <row r="140" spans="1:29" ht="12.75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</row>
    <row r="141" spans="1:29" ht="12.75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</row>
    <row r="142" spans="1:29" ht="12.75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</row>
    <row r="143" spans="1:29" ht="12.75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</row>
    <row r="144" spans="1:29" ht="12.75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</row>
    <row r="145" spans="1:29" ht="12.75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</row>
    <row r="146" spans="1:29" ht="12.75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</row>
    <row r="147" spans="1:29" ht="12.75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</row>
    <row r="148" spans="1:29" ht="12.75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</row>
    <row r="149" spans="1:29" ht="12.75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</row>
    <row r="150" spans="1:29" ht="12.75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</row>
    <row r="151" spans="1:29" ht="12.75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</row>
    <row r="152" spans="1:29" ht="12.75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</row>
    <row r="153" spans="1:29" ht="12.75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</row>
    <row r="154" spans="1:29" ht="12.75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</row>
    <row r="155" spans="1:29" ht="12.75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</row>
    <row r="156" spans="1:29" ht="12.75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</row>
    <row r="157" spans="1:29" ht="12.75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</row>
    <row r="158" spans="1:29" ht="12.75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</row>
    <row r="159" spans="1:29" ht="12.75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</row>
    <row r="160" spans="1:29" ht="12.75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</row>
    <row r="161" spans="1:29" ht="12.75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</row>
    <row r="162" spans="1:29" ht="12.75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</row>
    <row r="163" spans="1:29" ht="12.75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38"/>
    </row>
    <row r="164" spans="1:29" ht="12.75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  <c r="AC164" s="38"/>
    </row>
    <row r="165" spans="1:29" ht="12.75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  <c r="AC165" s="38"/>
    </row>
    <row r="166" spans="1:29" ht="12.75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</row>
    <row r="167" spans="1:29" ht="12.75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</row>
    <row r="168" spans="1:29" ht="12.75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</row>
    <row r="169" spans="1:29" ht="12.75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</row>
    <row r="170" spans="1:29" ht="12.75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</row>
    <row r="171" spans="1:29" ht="12.75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</row>
    <row r="172" spans="1:29" ht="12.75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  <c r="AC172" s="38"/>
    </row>
    <row r="173" spans="1:29" ht="12.75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</row>
    <row r="174" spans="1:29" ht="12.75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</row>
    <row r="175" spans="1:29" ht="12.75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</row>
    <row r="176" spans="1:29" ht="12.75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  <c r="AC176" s="38"/>
    </row>
    <row r="177" spans="1:29" ht="12.75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  <c r="AC177" s="38"/>
    </row>
    <row r="178" spans="1:29" ht="12.75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</row>
    <row r="179" spans="1:29" ht="12.75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  <c r="AC179" s="38"/>
    </row>
    <row r="180" spans="1:29" ht="12.75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  <c r="AB180" s="38"/>
      <c r="AC180" s="38"/>
    </row>
    <row r="181" spans="1:29" ht="12.75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  <c r="AB181" s="38"/>
      <c r="AC181" s="38"/>
    </row>
    <row r="182" spans="1:29" ht="12.75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  <c r="AC182" s="38"/>
    </row>
    <row r="183" spans="1:29" ht="12.75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  <c r="AC183" s="38"/>
    </row>
    <row r="184" spans="1:29" ht="12.75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</row>
    <row r="185" spans="1:29" ht="12.75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</row>
    <row r="186" spans="1:29" ht="12.75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</row>
    <row r="187" spans="1:29" ht="12.75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</row>
    <row r="188" spans="1:29" ht="12.75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</row>
    <row r="189" spans="1:29" ht="12.75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</row>
    <row r="190" spans="1:29" ht="12.75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</row>
    <row r="191" spans="1:29" ht="12.75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</row>
    <row r="192" spans="1:29" ht="12.75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  <c r="AC192" s="38"/>
    </row>
    <row r="193" spans="1:29" ht="12.75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</row>
    <row r="194" spans="1:29" ht="12.75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  <c r="AC194" s="38"/>
    </row>
    <row r="195" spans="1:29" ht="12.75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</row>
    <row r="196" spans="1:29" ht="12.75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  <c r="AC196" s="38"/>
    </row>
    <row r="197" spans="1:29" ht="12.75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</row>
    <row r="198" spans="1:29" ht="12.75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  <c r="AC198" s="38"/>
    </row>
    <row r="199" spans="1:29" ht="12.75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  <c r="AC199" s="38"/>
    </row>
    <row r="200" spans="1:29" ht="12.75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  <c r="AC200" s="38"/>
    </row>
    <row r="201" spans="1:29" ht="12.75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</row>
    <row r="202" spans="1:29" ht="12.75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  <c r="AC202" s="38"/>
    </row>
    <row r="203" spans="1:29" ht="12.75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</row>
    <row r="204" spans="1:29" ht="12.75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  <c r="AB204" s="38"/>
      <c r="AC204" s="38"/>
    </row>
    <row r="205" spans="1:29" ht="12.75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  <c r="AB205" s="38"/>
      <c r="AC205" s="38"/>
    </row>
    <row r="206" spans="1:29" ht="12.75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  <c r="AB206" s="38"/>
      <c r="AC206" s="38"/>
    </row>
    <row r="207" spans="1:29" ht="12.75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  <c r="AB207" s="38"/>
      <c r="AC207" s="38"/>
    </row>
    <row r="208" spans="1:29" ht="12.75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  <c r="AB208" s="38"/>
      <c r="AC208" s="38"/>
    </row>
    <row r="209" spans="1:29" ht="12.75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  <c r="AB209" s="38"/>
      <c r="AC209" s="38"/>
    </row>
    <row r="210" spans="1:29" ht="12.75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  <c r="AB210" s="38"/>
      <c r="AC210" s="38"/>
    </row>
    <row r="211" spans="1:29" ht="12.75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  <c r="AB211" s="38"/>
      <c r="AC211" s="38"/>
    </row>
    <row r="212" spans="1:29" ht="12.75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  <c r="AB212" s="38"/>
      <c r="AC212" s="38"/>
    </row>
    <row r="213" spans="1:29" ht="12.75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  <c r="AB213" s="38"/>
      <c r="AC213" s="38"/>
    </row>
    <row r="214" spans="1:29" ht="12.75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  <c r="AB214" s="38"/>
      <c r="AC214" s="38"/>
    </row>
    <row r="215" spans="1:29" ht="12.75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  <c r="AB215" s="38"/>
      <c r="AC215" s="38"/>
    </row>
    <row r="216" spans="1:29" ht="12.75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  <c r="AB216" s="38"/>
      <c r="AC216" s="38"/>
    </row>
    <row r="217" spans="1:29" ht="12.75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  <c r="AB217" s="38"/>
      <c r="AC217" s="38"/>
    </row>
    <row r="218" spans="1:29" ht="12.75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  <c r="AB218" s="38"/>
      <c r="AC218" s="38"/>
    </row>
    <row r="219" spans="1:29" ht="12.75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  <c r="AB219" s="38"/>
      <c r="AC219" s="38"/>
    </row>
    <row r="220" spans="1:29" ht="12.75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  <c r="AB220" s="38"/>
      <c r="AC220" s="38"/>
    </row>
    <row r="221" spans="1:29" ht="12.75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  <c r="AA221" s="38"/>
      <c r="AB221" s="38"/>
      <c r="AC221" s="38"/>
    </row>
    <row r="222" spans="1:29" ht="12.75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  <c r="AA222" s="38"/>
      <c r="AB222" s="38"/>
      <c r="AC222" s="38"/>
    </row>
    <row r="223" spans="1:29" ht="12.75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  <c r="AA223" s="38"/>
      <c r="AB223" s="38"/>
      <c r="AC223" s="38"/>
    </row>
    <row r="224" spans="1:29" ht="12.75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  <c r="AA224" s="38"/>
      <c r="AB224" s="38"/>
      <c r="AC224" s="38"/>
    </row>
    <row r="225" spans="1:29" ht="12.75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  <c r="AA225" s="38"/>
      <c r="AB225" s="38"/>
      <c r="AC225" s="38"/>
    </row>
    <row r="226" spans="1:29" ht="12.75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  <c r="AA226" s="38"/>
      <c r="AB226" s="38"/>
      <c r="AC226" s="38"/>
    </row>
    <row r="227" spans="1:29" ht="12.75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  <c r="AA227" s="38"/>
      <c r="AB227" s="38"/>
      <c r="AC227" s="38"/>
    </row>
    <row r="228" spans="1:29" ht="12.75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  <c r="AA228" s="38"/>
      <c r="AB228" s="38"/>
      <c r="AC228" s="38"/>
    </row>
    <row r="229" spans="1:29" ht="12.75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  <c r="AA229" s="38"/>
      <c r="AB229" s="38"/>
      <c r="AC229" s="38"/>
    </row>
    <row r="230" spans="1:29" ht="12.75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  <c r="AA230" s="38"/>
      <c r="AB230" s="38"/>
      <c r="AC230" s="38"/>
    </row>
    <row r="231" spans="1:29" ht="12.75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  <c r="AA231" s="38"/>
      <c r="AB231" s="38"/>
      <c r="AC231" s="38"/>
    </row>
    <row r="232" spans="1:29" ht="12.75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  <c r="AA232" s="38"/>
      <c r="AB232" s="38"/>
      <c r="AC232" s="38"/>
    </row>
    <row r="233" spans="1:29" ht="12.75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  <c r="AA233" s="38"/>
      <c r="AB233" s="38"/>
      <c r="AC233" s="38"/>
    </row>
    <row r="234" spans="1:29" ht="12.75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  <c r="AA234" s="38"/>
      <c r="AB234" s="38"/>
      <c r="AC234" s="38"/>
    </row>
    <row r="235" spans="1:29" ht="12.75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  <c r="AA235" s="38"/>
      <c r="AB235" s="38"/>
      <c r="AC235" s="38"/>
    </row>
    <row r="236" spans="1:29" ht="12.75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  <c r="AA236" s="38"/>
      <c r="AB236" s="38"/>
      <c r="AC236" s="38"/>
    </row>
    <row r="237" spans="1:29" ht="12.75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  <c r="AA237" s="38"/>
      <c r="AB237" s="38"/>
      <c r="AC237" s="38"/>
    </row>
    <row r="238" spans="1:29" ht="12.75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  <c r="AA238" s="38"/>
      <c r="AB238" s="38"/>
      <c r="AC238" s="38"/>
    </row>
    <row r="239" spans="1:29" ht="12.75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  <c r="AA239" s="38"/>
      <c r="AB239" s="38"/>
      <c r="AC239" s="38"/>
    </row>
    <row r="240" spans="1:29" ht="12.75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  <c r="AA240" s="38"/>
      <c r="AB240" s="38"/>
      <c r="AC240" s="38"/>
    </row>
    <row r="241" spans="1:29" ht="12.75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  <c r="AA241" s="38"/>
      <c r="AB241" s="38"/>
      <c r="AC241" s="38"/>
    </row>
    <row r="242" spans="1:29" ht="12.75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  <c r="AA242" s="38"/>
      <c r="AB242" s="38"/>
      <c r="AC242" s="38"/>
    </row>
    <row r="243" spans="1:29" ht="12.75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  <c r="AA243" s="38"/>
      <c r="AB243" s="38"/>
      <c r="AC243" s="38"/>
    </row>
    <row r="244" spans="1:29" ht="12.75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  <c r="AA244" s="38"/>
      <c r="AB244" s="38"/>
      <c r="AC244" s="38"/>
    </row>
    <row r="245" spans="1:29" ht="12.75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  <c r="AA245" s="38"/>
      <c r="AB245" s="38"/>
      <c r="AC245" s="38"/>
    </row>
    <row r="246" spans="1:29" ht="12.75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  <c r="AA246" s="38"/>
      <c r="AB246" s="38"/>
      <c r="AC246" s="38"/>
    </row>
    <row r="247" spans="1:29" ht="12.75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  <c r="AA247" s="38"/>
      <c r="AB247" s="38"/>
      <c r="AC247" s="38"/>
    </row>
    <row r="248" spans="1:29" ht="12.75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  <c r="AA248" s="38"/>
      <c r="AB248" s="38"/>
      <c r="AC248" s="38"/>
    </row>
    <row r="249" spans="1:29" ht="12.75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  <c r="AA249" s="38"/>
      <c r="AB249" s="38"/>
      <c r="AC249" s="38"/>
    </row>
    <row r="250" spans="1:29" ht="12.75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  <c r="AA250" s="38"/>
      <c r="AB250" s="38"/>
      <c r="AC250" s="38"/>
    </row>
    <row r="251" spans="1:29" ht="12.75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  <c r="AA251" s="38"/>
      <c r="AB251" s="38"/>
      <c r="AC251" s="38"/>
    </row>
    <row r="252" spans="1:29" ht="12.75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  <c r="AA252" s="38"/>
      <c r="AB252" s="38"/>
      <c r="AC252" s="38"/>
    </row>
    <row r="253" spans="1:29" ht="12.75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  <c r="AA253" s="38"/>
      <c r="AB253" s="38"/>
      <c r="AC253" s="38"/>
    </row>
    <row r="254" spans="1:29" ht="12.75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  <c r="AA254" s="38"/>
      <c r="AB254" s="38"/>
      <c r="AC254" s="38"/>
    </row>
    <row r="255" spans="1:29" ht="12.75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  <c r="AA255" s="38"/>
      <c r="AB255" s="38"/>
      <c r="AC255" s="38"/>
    </row>
    <row r="256" spans="1:29" ht="12.75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  <c r="AA256" s="38"/>
      <c r="AB256" s="38"/>
      <c r="AC256" s="38"/>
    </row>
    <row r="257" spans="1:29" ht="12.75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  <c r="AA257" s="38"/>
      <c r="AB257" s="38"/>
      <c r="AC257" s="38"/>
    </row>
    <row r="258" spans="1:29" ht="12.75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  <c r="AA258" s="38"/>
      <c r="AB258" s="38"/>
      <c r="AC258" s="38"/>
    </row>
    <row r="259" spans="1:29" ht="12.75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  <c r="AA259" s="38"/>
      <c r="AB259" s="38"/>
      <c r="AC259" s="38"/>
    </row>
    <row r="260" spans="1:29" ht="12.75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  <c r="AA260" s="38"/>
      <c r="AB260" s="38"/>
      <c r="AC260" s="38"/>
    </row>
    <row r="261" spans="1:29" ht="12.75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  <c r="AA261" s="38"/>
      <c r="AB261" s="38"/>
      <c r="AC261" s="38"/>
    </row>
    <row r="262" spans="1:29" ht="12.75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  <c r="AA262" s="38"/>
      <c r="AB262" s="38"/>
      <c r="AC262" s="38"/>
    </row>
    <row r="263" spans="1:29" ht="12.75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  <c r="AA263" s="38"/>
      <c r="AB263" s="38"/>
      <c r="AC263" s="38"/>
    </row>
    <row r="264" spans="1:29" ht="12.75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  <c r="AA264" s="38"/>
      <c r="AB264" s="38"/>
      <c r="AC264" s="38"/>
    </row>
    <row r="265" spans="1:29" ht="12.75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  <c r="AA265" s="38"/>
      <c r="AB265" s="38"/>
      <c r="AC265" s="38"/>
    </row>
    <row r="266" spans="1:29" ht="12.75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  <c r="AA266" s="38"/>
      <c r="AB266" s="38"/>
      <c r="AC266" s="38"/>
    </row>
    <row r="267" spans="1:29" ht="12.75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  <c r="AA267" s="38"/>
      <c r="AB267" s="38"/>
      <c r="AC267" s="38"/>
    </row>
    <row r="268" spans="1:29" ht="12.75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  <c r="AA268" s="38"/>
      <c r="AB268" s="38"/>
      <c r="AC268" s="38"/>
    </row>
    <row r="269" spans="1:29" ht="12.75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  <c r="AA269" s="38"/>
      <c r="AB269" s="38"/>
      <c r="AC269" s="38"/>
    </row>
    <row r="270" spans="1:29" ht="12.75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  <c r="AA270" s="38"/>
      <c r="AB270" s="38"/>
      <c r="AC270" s="38"/>
    </row>
    <row r="271" spans="1:29" ht="12.75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  <c r="AA271" s="38"/>
      <c r="AB271" s="38"/>
      <c r="AC271" s="38"/>
    </row>
    <row r="272" spans="1:29" ht="12.75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  <c r="AA272" s="38"/>
      <c r="AB272" s="38"/>
      <c r="AC272" s="38"/>
    </row>
    <row r="273" spans="1:29" ht="12.75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  <c r="AA273" s="38"/>
      <c r="AB273" s="38"/>
      <c r="AC273" s="38"/>
    </row>
    <row r="274" spans="1:29" ht="12.75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  <c r="AA274" s="38"/>
      <c r="AB274" s="38"/>
      <c r="AC274" s="38"/>
    </row>
    <row r="275" spans="1:29" ht="12.75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  <c r="AA275" s="38"/>
      <c r="AB275" s="38"/>
      <c r="AC275" s="38"/>
    </row>
    <row r="276" spans="1:29" ht="12.75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  <c r="AA276" s="38"/>
      <c r="AB276" s="38"/>
      <c r="AC276" s="38"/>
    </row>
    <row r="277" spans="1:29" ht="12.75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  <c r="AA277" s="38"/>
      <c r="AB277" s="38"/>
      <c r="AC277" s="38"/>
    </row>
    <row r="278" spans="1:29" ht="12.75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  <c r="AA278" s="38"/>
      <c r="AB278" s="38"/>
      <c r="AC278" s="38"/>
    </row>
    <row r="279" spans="1:29" ht="12.75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  <c r="AA279" s="38"/>
      <c r="AB279" s="38"/>
      <c r="AC279" s="38"/>
    </row>
    <row r="280" spans="1:29" ht="12.75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  <c r="AA280" s="38"/>
      <c r="AB280" s="38"/>
      <c r="AC280" s="38"/>
    </row>
    <row r="281" spans="1:29" ht="12.75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</row>
    <row r="282" spans="1:29" ht="12.75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  <c r="AA282" s="38"/>
      <c r="AB282" s="38"/>
      <c r="AC282" s="38"/>
    </row>
    <row r="283" spans="1:29" ht="12.75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</row>
    <row r="284" spans="1:29" ht="12.75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</row>
    <row r="285" spans="1:29" ht="12.75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</row>
    <row r="286" spans="1:29" ht="12.75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</row>
    <row r="287" spans="1:29" ht="12.75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</row>
    <row r="288" spans="1:29" ht="12.75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</row>
    <row r="289" spans="1:29" ht="12.75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</row>
    <row r="290" spans="1:29" ht="12.75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</row>
    <row r="291" spans="1:29" ht="12.75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  <c r="AA291" s="38"/>
      <c r="AB291" s="38"/>
      <c r="AC291" s="38"/>
    </row>
    <row r="292" spans="1:29" ht="12.75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  <c r="AA292" s="38"/>
      <c r="AB292" s="38"/>
      <c r="AC292" s="38"/>
    </row>
    <row r="293" spans="1:29" ht="12.75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</row>
    <row r="294" spans="1:29" ht="12.75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</row>
    <row r="295" spans="1:29" ht="12.75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</row>
    <row r="296" spans="1:29" ht="12.75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</row>
    <row r="297" spans="1:29" ht="12.75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</row>
    <row r="298" spans="1:29" ht="12.75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</row>
    <row r="299" spans="1:29" ht="12.75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</row>
    <row r="300" spans="1:29" ht="12.75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</row>
    <row r="301" spans="1:29" ht="12.75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  <c r="AA301" s="38"/>
      <c r="AB301" s="38"/>
      <c r="AC301" s="38"/>
    </row>
    <row r="302" spans="1:29" ht="12.75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  <c r="AA302" s="38"/>
      <c r="AB302" s="38"/>
      <c r="AC302" s="38"/>
    </row>
    <row r="303" spans="1:29" ht="12.75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  <c r="AA303" s="38"/>
      <c r="AB303" s="38"/>
      <c r="AC303" s="38"/>
    </row>
    <row r="304" spans="1:29" ht="12.75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  <c r="AA304" s="38"/>
      <c r="AB304" s="38"/>
      <c r="AC304" s="38"/>
    </row>
    <row r="305" spans="1:29" ht="12.75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  <c r="AA305" s="38"/>
      <c r="AB305" s="38"/>
      <c r="AC305" s="38"/>
    </row>
    <row r="306" spans="1:29" ht="12.75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  <c r="AA306" s="38"/>
      <c r="AB306" s="38"/>
      <c r="AC306" s="38"/>
    </row>
    <row r="307" spans="1:29" ht="12.75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  <c r="AA307" s="38"/>
      <c r="AB307" s="38"/>
      <c r="AC307" s="38"/>
    </row>
    <row r="308" spans="1:29" ht="12.75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  <c r="AA308" s="38"/>
      <c r="AB308" s="38"/>
      <c r="AC308" s="38"/>
    </row>
    <row r="309" spans="1:29" ht="12.75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  <c r="AA309" s="38"/>
      <c r="AB309" s="38"/>
      <c r="AC309" s="38"/>
    </row>
    <row r="310" spans="1:29" ht="12.75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  <c r="AA310" s="38"/>
      <c r="AB310" s="38"/>
      <c r="AC310" s="38"/>
    </row>
    <row r="311" spans="1:29" ht="12.75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  <c r="AA311" s="38"/>
      <c r="AB311" s="38"/>
      <c r="AC311" s="38"/>
    </row>
    <row r="312" spans="1:29" ht="12.75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  <c r="AA312" s="38"/>
      <c r="AB312" s="38"/>
      <c r="AC312" s="38"/>
    </row>
    <row r="313" spans="1:29" ht="12.75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  <c r="AA313" s="38"/>
      <c r="AB313" s="38"/>
      <c r="AC313" s="38"/>
    </row>
    <row r="314" spans="1:29" ht="12.75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  <c r="AA314" s="38"/>
      <c r="AB314" s="38"/>
      <c r="AC314" s="38"/>
    </row>
    <row r="315" spans="1:29" ht="12.75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  <c r="AA315" s="38"/>
      <c r="AB315" s="38"/>
      <c r="AC315" s="38"/>
    </row>
    <row r="316" spans="1:29" ht="12.75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  <c r="AA316" s="38"/>
      <c r="AB316" s="38"/>
      <c r="AC316" s="38"/>
    </row>
    <row r="317" spans="1:29" ht="12.75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  <c r="AA317" s="38"/>
      <c r="AB317" s="38"/>
      <c r="AC317" s="38"/>
    </row>
    <row r="318" spans="1:29" ht="12.75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  <c r="AA318" s="38"/>
      <c r="AB318" s="38"/>
      <c r="AC318" s="38"/>
    </row>
    <row r="319" spans="1:29" ht="12.75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  <c r="AA319" s="38"/>
      <c r="AB319" s="38"/>
      <c r="AC319" s="38"/>
    </row>
    <row r="320" spans="1:29" ht="12.75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  <c r="AA320" s="38"/>
      <c r="AB320" s="38"/>
      <c r="AC320" s="38"/>
    </row>
    <row r="321" spans="1:29" ht="12.75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  <c r="AA321" s="38"/>
      <c r="AB321" s="38"/>
      <c r="AC321" s="38"/>
    </row>
    <row r="322" spans="1:29" ht="12.75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  <c r="AA322" s="38"/>
      <c r="AB322" s="38"/>
      <c r="AC322" s="38"/>
    </row>
    <row r="323" spans="1:29" ht="12.75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  <c r="AA323" s="38"/>
      <c r="AB323" s="38"/>
      <c r="AC323" s="38"/>
    </row>
    <row r="324" spans="1:29" ht="12.75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  <c r="AA324" s="38"/>
      <c r="AB324" s="38"/>
      <c r="AC324" s="38"/>
    </row>
    <row r="325" spans="1:29" ht="12.75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  <c r="AA325" s="38"/>
      <c r="AB325" s="38"/>
      <c r="AC325" s="38"/>
    </row>
    <row r="326" spans="1:29" ht="12.75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  <c r="AA326" s="38"/>
      <c r="AB326" s="38"/>
      <c r="AC326" s="38"/>
    </row>
    <row r="327" spans="1:29" ht="12.75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  <c r="AA327" s="38"/>
      <c r="AB327" s="38"/>
      <c r="AC327" s="38"/>
    </row>
    <row r="328" spans="1:29" ht="12.75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  <c r="AA328" s="38"/>
      <c r="AB328" s="38"/>
      <c r="AC328" s="38"/>
    </row>
    <row r="329" spans="1:29" ht="12.75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  <c r="AA329" s="38"/>
      <c r="AB329" s="38"/>
      <c r="AC329" s="38"/>
    </row>
    <row r="330" spans="1:29" ht="12.75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  <c r="AA330" s="38"/>
      <c r="AB330" s="38"/>
      <c r="AC330" s="38"/>
    </row>
    <row r="331" spans="1:29" ht="12.75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  <c r="AA331" s="38"/>
      <c r="AB331" s="38"/>
      <c r="AC331" s="38"/>
    </row>
    <row r="332" spans="1:29" ht="12.75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  <c r="AA332" s="38"/>
      <c r="AB332" s="38"/>
      <c r="AC332" s="38"/>
    </row>
    <row r="333" spans="1:29" ht="12.75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  <c r="AA333" s="38"/>
      <c r="AB333" s="38"/>
      <c r="AC333" s="38"/>
    </row>
    <row r="334" spans="1:29" ht="12.75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  <c r="AA334" s="38"/>
      <c r="AB334" s="38"/>
      <c r="AC334" s="38"/>
    </row>
    <row r="335" spans="1:29" ht="12.75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  <c r="AA335" s="38"/>
      <c r="AB335" s="38"/>
      <c r="AC335" s="38"/>
    </row>
    <row r="336" spans="1:29" ht="12.75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  <c r="AA336" s="38"/>
      <c r="AB336" s="38"/>
      <c r="AC336" s="38"/>
    </row>
    <row r="337" spans="1:29" ht="12.75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  <c r="AA337" s="38"/>
      <c r="AB337" s="38"/>
      <c r="AC337" s="38"/>
    </row>
    <row r="338" spans="1:29" ht="12.75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  <c r="AA338" s="38"/>
      <c r="AB338" s="38"/>
      <c r="AC338" s="38"/>
    </row>
    <row r="339" spans="1:29" ht="12.75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  <c r="AA339" s="38"/>
      <c r="AB339" s="38"/>
      <c r="AC339" s="38"/>
    </row>
    <row r="340" spans="1:29" ht="12.75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  <c r="AA340" s="38"/>
      <c r="AB340" s="38"/>
      <c r="AC340" s="38"/>
    </row>
    <row r="341" spans="1:29" ht="12.75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  <c r="AA341" s="38"/>
      <c r="AB341" s="38"/>
      <c r="AC341" s="38"/>
    </row>
    <row r="342" spans="1:29" ht="12.75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  <c r="AA342" s="38"/>
      <c r="AB342" s="38"/>
      <c r="AC342" s="38"/>
    </row>
    <row r="343" spans="1:29" ht="12.75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  <c r="AA343" s="38"/>
      <c r="AB343" s="38"/>
      <c r="AC343" s="38"/>
    </row>
    <row r="344" spans="1:29" ht="12.75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  <c r="AA344" s="38"/>
      <c r="AB344" s="38"/>
      <c r="AC344" s="38"/>
    </row>
    <row r="345" spans="1:29" ht="12.75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  <c r="AA345" s="38"/>
      <c r="AB345" s="38"/>
      <c r="AC345" s="38"/>
    </row>
    <row r="346" spans="1:29" ht="12.75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  <c r="AA346" s="38"/>
      <c r="AB346" s="38"/>
      <c r="AC346" s="38"/>
    </row>
    <row r="347" spans="1:29" ht="12.75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  <c r="AA347" s="38"/>
      <c r="AB347" s="38"/>
      <c r="AC347" s="38"/>
    </row>
    <row r="348" spans="1:29" ht="12.75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  <c r="AA348" s="38"/>
      <c r="AB348" s="38"/>
      <c r="AC348" s="38"/>
    </row>
    <row r="349" spans="1:29" ht="12.75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  <c r="AA349" s="38"/>
      <c r="AB349" s="38"/>
      <c r="AC349" s="38"/>
    </row>
    <row r="350" spans="1:29" ht="12.75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  <c r="AA350" s="38"/>
      <c r="AB350" s="38"/>
      <c r="AC350" s="38"/>
    </row>
    <row r="351" spans="1:29" ht="12.75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  <c r="AA351" s="38"/>
      <c r="AB351" s="38"/>
      <c r="AC351" s="38"/>
    </row>
    <row r="352" spans="1:29" ht="12.75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  <c r="AA352" s="38"/>
      <c r="AB352" s="38"/>
      <c r="AC352" s="38"/>
    </row>
    <row r="353" spans="1:29" ht="12.75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  <c r="AA353" s="38"/>
      <c r="AB353" s="38"/>
      <c r="AC353" s="38"/>
    </row>
    <row r="354" spans="1:29" ht="12.75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  <c r="AA354" s="38"/>
      <c r="AB354" s="38"/>
      <c r="AC354" s="38"/>
    </row>
    <row r="355" spans="1:29" ht="12.75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  <c r="AA355" s="38"/>
      <c r="AB355" s="38"/>
      <c r="AC355" s="38"/>
    </row>
    <row r="356" spans="1:29" ht="12.75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  <c r="AA356" s="38"/>
      <c r="AB356" s="38"/>
      <c r="AC356" s="38"/>
    </row>
    <row r="357" spans="1:29" ht="12.75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  <c r="AA357" s="38"/>
      <c r="AB357" s="38"/>
      <c r="AC357" s="38"/>
    </row>
    <row r="358" spans="1:29" ht="12.75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  <c r="AA358" s="38"/>
      <c r="AB358" s="38"/>
      <c r="AC358" s="38"/>
    </row>
    <row r="359" spans="1:29" ht="12.75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  <c r="AA359" s="38"/>
      <c r="AB359" s="38"/>
      <c r="AC359" s="38"/>
    </row>
    <row r="360" spans="1:29" ht="12.75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  <c r="AA360" s="38"/>
      <c r="AB360" s="38"/>
      <c r="AC360" s="38"/>
    </row>
    <row r="361" spans="1:29" ht="12.75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  <c r="AA361" s="38"/>
      <c r="AB361" s="38"/>
      <c r="AC361" s="38"/>
    </row>
    <row r="362" spans="1:29" ht="12.75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  <c r="AA362" s="38"/>
      <c r="AB362" s="38"/>
      <c r="AC362" s="38"/>
    </row>
    <row r="363" spans="1:29" ht="12.75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  <c r="AA363" s="38"/>
      <c r="AB363" s="38"/>
      <c r="AC363" s="38"/>
    </row>
    <row r="364" spans="1:29" ht="12.75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  <c r="AA364" s="38"/>
      <c r="AB364" s="38"/>
      <c r="AC364" s="38"/>
    </row>
    <row r="365" spans="1:29" ht="12.75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  <c r="AA365" s="38"/>
      <c r="AB365" s="38"/>
      <c r="AC365" s="38"/>
    </row>
    <row r="366" spans="1:29" ht="12.75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  <c r="AA366" s="38"/>
      <c r="AB366" s="38"/>
      <c r="AC366" s="38"/>
    </row>
    <row r="367" spans="1:29" ht="12.75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  <c r="AA367" s="38"/>
      <c r="AB367" s="38"/>
      <c r="AC367" s="38"/>
    </row>
    <row r="368" spans="1:29" ht="12.75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  <c r="AA368" s="38"/>
      <c r="AB368" s="38"/>
      <c r="AC368" s="38"/>
    </row>
    <row r="369" spans="1:29" ht="12.75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  <c r="AA369" s="38"/>
      <c r="AB369" s="38"/>
      <c r="AC369" s="38"/>
    </row>
    <row r="370" spans="1:29" ht="12.75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  <c r="AA370" s="38"/>
      <c r="AB370" s="38"/>
      <c r="AC370" s="38"/>
    </row>
    <row r="371" spans="1:29" ht="12.75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  <c r="AA371" s="38"/>
      <c r="AB371" s="38"/>
      <c r="AC371" s="38"/>
    </row>
    <row r="372" spans="1:29" ht="12.75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  <c r="AA372" s="38"/>
      <c r="AB372" s="38"/>
      <c r="AC372" s="38"/>
    </row>
    <row r="373" spans="1:29" ht="12.75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  <c r="AA373" s="38"/>
      <c r="AB373" s="38"/>
      <c r="AC373" s="38"/>
    </row>
    <row r="374" spans="1:29" ht="12.75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  <c r="AA374" s="38"/>
      <c r="AB374" s="38"/>
      <c r="AC374" s="38"/>
    </row>
    <row r="375" spans="1:29" ht="12.75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  <c r="AA375" s="38"/>
      <c r="AB375" s="38"/>
      <c r="AC375" s="38"/>
    </row>
    <row r="376" spans="1:29" ht="12.75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  <c r="AA376" s="38"/>
      <c r="AB376" s="38"/>
      <c r="AC376" s="38"/>
    </row>
    <row r="377" spans="1:29" ht="12.75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  <c r="AA377" s="38"/>
      <c r="AB377" s="38"/>
      <c r="AC377" s="38"/>
    </row>
    <row r="378" spans="1:29" ht="12.75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  <c r="AA378" s="38"/>
      <c r="AB378" s="38"/>
      <c r="AC378" s="38"/>
    </row>
    <row r="379" spans="1:29" ht="12.75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  <c r="AA379" s="38"/>
      <c r="AB379" s="38"/>
      <c r="AC379" s="38"/>
    </row>
    <row r="380" spans="1:29" ht="12.75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  <c r="AA380" s="38"/>
      <c r="AB380" s="38"/>
      <c r="AC380" s="38"/>
    </row>
    <row r="381" spans="1:29" ht="12.75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  <c r="AA381" s="38"/>
      <c r="AB381" s="38"/>
      <c r="AC381" s="38"/>
    </row>
    <row r="382" spans="1:29" ht="12.75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  <c r="AA382" s="38"/>
      <c r="AB382" s="38"/>
      <c r="AC382" s="38"/>
    </row>
    <row r="383" spans="1:29" ht="12.75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  <c r="AA383" s="38"/>
      <c r="AB383" s="38"/>
      <c r="AC383" s="38"/>
    </row>
    <row r="384" spans="1:29" ht="12.75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  <c r="AA384" s="38"/>
      <c r="AB384" s="38"/>
      <c r="AC384" s="38"/>
    </row>
    <row r="385" spans="1:29" ht="12.75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  <c r="AA385" s="38"/>
      <c r="AB385" s="38"/>
      <c r="AC385" s="38"/>
    </row>
    <row r="386" spans="1:29" ht="12.75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  <c r="AA386" s="38"/>
      <c r="AB386" s="38"/>
      <c r="AC386" s="38"/>
    </row>
    <row r="387" spans="1:29" ht="12.75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  <c r="AA387" s="38"/>
      <c r="AB387" s="38"/>
      <c r="AC387" s="38"/>
    </row>
    <row r="388" spans="1:29" ht="12.75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  <c r="AA388" s="38"/>
      <c r="AB388" s="38"/>
      <c r="AC388" s="38"/>
    </row>
    <row r="389" spans="1:29" ht="12.75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  <c r="AA389" s="38"/>
      <c r="AB389" s="38"/>
      <c r="AC389" s="38"/>
    </row>
    <row r="390" spans="1:29" ht="12.75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  <c r="AA390" s="38"/>
      <c r="AB390" s="38"/>
      <c r="AC390" s="38"/>
    </row>
    <row r="391" spans="1:29" ht="12.75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  <c r="AA391" s="38"/>
      <c r="AB391" s="38"/>
      <c r="AC391" s="38"/>
    </row>
    <row r="392" spans="1:29" ht="12.75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  <c r="AA392" s="38"/>
      <c r="AB392" s="38"/>
      <c r="AC392" s="38"/>
    </row>
    <row r="393" spans="1:29" ht="12.75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  <c r="AA393" s="38"/>
      <c r="AB393" s="38"/>
      <c r="AC393" s="38"/>
    </row>
    <row r="394" spans="1:29" ht="12.75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  <c r="AA394" s="38"/>
      <c r="AB394" s="38"/>
      <c r="AC394" s="38"/>
    </row>
    <row r="395" spans="1:29" ht="12.75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  <c r="AA395" s="38"/>
      <c r="AB395" s="38"/>
      <c r="AC395" s="38"/>
    </row>
    <row r="396" spans="1:29" ht="12.75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  <c r="AA396" s="38"/>
      <c r="AB396" s="38"/>
      <c r="AC396" s="38"/>
    </row>
    <row r="397" spans="1:29" ht="12.75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  <c r="AA397" s="38"/>
      <c r="AB397" s="38"/>
      <c r="AC397" s="38"/>
    </row>
    <row r="398" spans="1:29" ht="12.75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  <c r="AA398" s="38"/>
      <c r="AB398" s="38"/>
      <c r="AC398" s="38"/>
    </row>
    <row r="399" spans="1:29" ht="12.75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  <c r="AA399" s="38"/>
      <c r="AB399" s="38"/>
      <c r="AC399" s="38"/>
    </row>
    <row r="400" spans="1:29" ht="12.75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  <c r="AA400" s="38"/>
      <c r="AB400" s="38"/>
      <c r="AC400" s="38"/>
    </row>
    <row r="401" spans="1:29" ht="12.75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  <c r="AA401" s="38"/>
      <c r="AB401" s="38"/>
      <c r="AC401" s="38"/>
    </row>
    <row r="402" spans="1:29" ht="12.75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  <c r="AA402" s="38"/>
      <c r="AB402" s="38"/>
      <c r="AC402" s="38"/>
    </row>
    <row r="403" spans="1:29" ht="12.75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  <c r="AA403" s="38"/>
      <c r="AB403" s="38"/>
      <c r="AC403" s="38"/>
    </row>
    <row r="404" spans="1:29" ht="12.75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  <c r="AA404" s="38"/>
      <c r="AB404" s="38"/>
      <c r="AC404" s="38"/>
    </row>
    <row r="405" spans="1:29" ht="12.75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  <c r="AA405" s="38"/>
      <c r="AB405" s="38"/>
      <c r="AC405" s="38"/>
    </row>
    <row r="406" spans="1:29" ht="12.75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  <c r="AA406" s="38"/>
      <c r="AB406" s="38"/>
      <c r="AC406" s="38"/>
    </row>
    <row r="407" spans="1:29" ht="12.75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  <c r="AA407" s="38"/>
      <c r="AB407" s="38"/>
      <c r="AC407" s="38"/>
    </row>
    <row r="408" spans="1:29" ht="12.75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  <c r="AA408" s="38"/>
      <c r="AB408" s="38"/>
      <c r="AC408" s="38"/>
    </row>
    <row r="409" spans="1:29" ht="12.75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  <c r="AA409" s="38"/>
      <c r="AB409" s="38"/>
      <c r="AC409" s="38"/>
    </row>
    <row r="410" spans="1:29" ht="12.75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  <c r="AA410" s="38"/>
      <c r="AB410" s="38"/>
      <c r="AC410" s="38"/>
    </row>
    <row r="411" spans="1:29" ht="12.75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  <c r="AA411" s="38"/>
      <c r="AB411" s="38"/>
      <c r="AC411" s="38"/>
    </row>
    <row r="412" spans="1:29" ht="12.75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  <c r="AA412" s="38"/>
      <c r="AB412" s="38"/>
      <c r="AC412" s="38"/>
    </row>
    <row r="413" spans="1:29" ht="12.75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  <c r="AA413" s="38"/>
      <c r="AB413" s="38"/>
      <c r="AC413" s="38"/>
    </row>
    <row r="414" spans="1:29" ht="12.75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  <c r="AA414" s="38"/>
      <c r="AB414" s="38"/>
      <c r="AC414" s="38"/>
    </row>
    <row r="415" spans="1:29" ht="12.75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  <c r="AA415" s="38"/>
      <c r="AB415" s="38"/>
      <c r="AC415" s="38"/>
    </row>
    <row r="416" spans="1:29" ht="12.75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  <c r="AA416" s="38"/>
      <c r="AB416" s="38"/>
      <c r="AC416" s="38"/>
    </row>
    <row r="417" spans="1:29" ht="12.75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  <c r="AA417" s="38"/>
      <c r="AB417" s="38"/>
      <c r="AC417" s="38"/>
    </row>
    <row r="418" spans="1:29" ht="12.75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  <c r="AA418" s="38"/>
      <c r="AB418" s="38"/>
      <c r="AC418" s="38"/>
    </row>
    <row r="419" spans="1:29" ht="12.75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  <c r="AA419" s="38"/>
      <c r="AB419" s="38"/>
      <c r="AC419" s="38"/>
    </row>
    <row r="420" spans="1:29" ht="12.75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  <c r="AA420" s="38"/>
      <c r="AB420" s="38"/>
      <c r="AC420" s="38"/>
    </row>
    <row r="421" spans="1:29" ht="12.75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  <c r="AA421" s="38"/>
      <c r="AB421" s="38"/>
      <c r="AC421" s="38"/>
    </row>
    <row r="422" spans="1:29" ht="12.75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  <c r="AA422" s="38"/>
      <c r="AB422" s="38"/>
      <c r="AC422" s="38"/>
    </row>
    <row r="423" spans="1:29" ht="12.75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  <c r="AA423" s="38"/>
      <c r="AB423" s="38"/>
      <c r="AC423" s="38"/>
    </row>
    <row r="424" spans="1:29" ht="12.75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  <c r="AA424" s="38"/>
      <c r="AB424" s="38"/>
      <c r="AC424" s="38"/>
    </row>
    <row r="425" spans="1:29" ht="12.75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  <c r="AA425" s="38"/>
      <c r="AB425" s="38"/>
      <c r="AC425" s="38"/>
    </row>
    <row r="426" spans="1:29" ht="12.75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  <c r="AA426" s="38"/>
      <c r="AB426" s="38"/>
      <c r="AC426" s="38"/>
    </row>
    <row r="427" spans="1:29" ht="12.75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  <c r="AA427" s="38"/>
      <c r="AB427" s="38"/>
      <c r="AC427" s="38"/>
    </row>
    <row r="428" spans="1:29" ht="12.75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  <c r="AA428" s="38"/>
      <c r="AB428" s="38"/>
      <c r="AC428" s="38"/>
    </row>
    <row r="429" spans="1:29" ht="12.75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  <c r="AA429" s="38"/>
      <c r="AB429" s="38"/>
      <c r="AC429" s="38"/>
    </row>
    <row r="430" spans="1:29" ht="12.75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  <c r="AA430" s="38"/>
      <c r="AB430" s="38"/>
      <c r="AC430" s="38"/>
    </row>
    <row r="431" spans="1:29" ht="12.75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  <c r="AA431" s="38"/>
      <c r="AB431" s="38"/>
      <c r="AC431" s="38"/>
    </row>
    <row r="432" spans="1:29" ht="12.75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  <c r="AA432" s="38"/>
      <c r="AB432" s="38"/>
      <c r="AC432" s="38"/>
    </row>
    <row r="433" spans="1:29" ht="12.75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  <c r="AA433" s="38"/>
      <c r="AB433" s="38"/>
      <c r="AC433" s="38"/>
    </row>
    <row r="434" spans="1:29" ht="12.75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  <c r="AA434" s="38"/>
      <c r="AB434" s="38"/>
      <c r="AC434" s="38"/>
    </row>
    <row r="435" spans="1:29" ht="12.75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  <c r="AA435" s="38"/>
      <c r="AB435" s="38"/>
      <c r="AC435" s="38"/>
    </row>
    <row r="436" spans="1:29" ht="12.75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  <c r="AA436" s="38"/>
      <c r="AB436" s="38"/>
      <c r="AC436" s="38"/>
    </row>
    <row r="437" spans="1:29" ht="12.75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  <c r="AA437" s="38"/>
      <c r="AB437" s="38"/>
      <c r="AC437" s="38"/>
    </row>
    <row r="438" spans="1:29" ht="12.75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  <c r="AA438" s="38"/>
      <c r="AB438" s="38"/>
      <c r="AC438" s="38"/>
    </row>
    <row r="439" spans="1:29" ht="12.75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  <c r="AA439" s="38"/>
      <c r="AB439" s="38"/>
      <c r="AC439" s="38"/>
    </row>
    <row r="440" spans="1:29" ht="12.75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  <c r="AA440" s="38"/>
      <c r="AB440" s="38"/>
      <c r="AC440" s="38"/>
    </row>
    <row r="441" spans="1:29" ht="12.75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  <c r="AA441" s="38"/>
      <c r="AB441" s="38"/>
      <c r="AC441" s="38"/>
    </row>
    <row r="442" spans="1:29" ht="12.75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  <c r="AA442" s="38"/>
      <c r="AB442" s="38"/>
      <c r="AC442" s="38"/>
    </row>
    <row r="443" spans="1:29" ht="12.75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  <c r="AA443" s="38"/>
      <c r="AB443" s="38"/>
      <c r="AC443" s="38"/>
    </row>
    <row r="444" spans="1:29" ht="12.75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  <c r="AA444" s="38"/>
      <c r="AB444" s="38"/>
      <c r="AC444" s="38"/>
    </row>
    <row r="445" spans="1:29" ht="12.75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  <c r="AA445" s="38"/>
      <c r="AB445" s="38"/>
      <c r="AC445" s="38"/>
    </row>
    <row r="446" spans="1:29" ht="12.75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  <c r="AA446" s="38"/>
      <c r="AB446" s="38"/>
      <c r="AC446" s="38"/>
    </row>
    <row r="447" spans="1:29" ht="12.75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  <c r="AA447" s="38"/>
      <c r="AB447" s="38"/>
      <c r="AC447" s="38"/>
    </row>
    <row r="448" spans="1:29" ht="12.75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  <c r="AA448" s="38"/>
      <c r="AB448" s="38"/>
      <c r="AC448" s="38"/>
    </row>
    <row r="449" spans="1:29" ht="12.75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  <c r="AA449" s="38"/>
      <c r="AB449" s="38"/>
      <c r="AC449" s="38"/>
    </row>
    <row r="450" spans="1:29" ht="12.75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  <c r="AA450" s="38"/>
      <c r="AB450" s="38"/>
      <c r="AC450" s="38"/>
    </row>
    <row r="451" spans="1:29" ht="12.75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  <c r="AA451" s="38"/>
      <c r="AB451" s="38"/>
      <c r="AC451" s="38"/>
    </row>
    <row r="452" spans="1:29" ht="12.75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  <c r="AA452" s="38"/>
      <c r="AB452" s="38"/>
      <c r="AC452" s="38"/>
    </row>
    <row r="453" spans="1:29" ht="12.75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  <c r="AA453" s="38"/>
      <c r="AB453" s="38"/>
      <c r="AC453" s="38"/>
    </row>
    <row r="454" spans="1:29" ht="12.75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  <c r="AA454" s="38"/>
      <c r="AB454" s="38"/>
      <c r="AC454" s="38"/>
    </row>
    <row r="455" spans="1:29" ht="12.75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  <c r="AB455" s="38"/>
      <c r="AC455" s="38"/>
    </row>
    <row r="456" spans="1:29" ht="12.75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  <c r="AA456" s="38"/>
      <c r="AB456" s="38"/>
      <c r="AC456" s="38"/>
    </row>
    <row r="457" spans="1:29" ht="12.75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  <c r="AA457" s="38"/>
      <c r="AB457" s="38"/>
      <c r="AC457" s="38"/>
    </row>
    <row r="458" spans="1:29" ht="12.75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  <c r="AA458" s="38"/>
      <c r="AB458" s="38"/>
      <c r="AC458" s="38"/>
    </row>
    <row r="459" spans="1:29" ht="12.75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  <c r="AA459" s="38"/>
      <c r="AB459" s="38"/>
      <c r="AC459" s="38"/>
    </row>
    <row r="460" spans="1:29" ht="12.75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  <c r="AA460" s="38"/>
      <c r="AB460" s="38"/>
      <c r="AC460" s="38"/>
    </row>
    <row r="461" spans="1:29" ht="12.75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  <c r="AA461" s="38"/>
      <c r="AB461" s="38"/>
      <c r="AC461" s="38"/>
    </row>
    <row r="462" spans="1:29" ht="12.75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  <c r="AA462" s="38"/>
      <c r="AB462" s="38"/>
      <c r="AC462" s="38"/>
    </row>
    <row r="463" spans="1:29" ht="12.75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  <c r="AA463" s="38"/>
      <c r="AB463" s="38"/>
      <c r="AC463" s="38"/>
    </row>
    <row r="464" spans="1:29" ht="12.75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  <c r="AA464" s="38"/>
      <c r="AB464" s="38"/>
      <c r="AC464" s="38"/>
    </row>
    <row r="465" spans="1:29" ht="12.75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  <c r="AA465" s="38"/>
      <c r="AB465" s="38"/>
      <c r="AC465" s="38"/>
    </row>
    <row r="466" spans="1:29" ht="12.75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  <c r="AA466" s="38"/>
      <c r="AB466" s="38"/>
      <c r="AC466" s="38"/>
    </row>
    <row r="467" spans="1:29" ht="12.75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  <c r="AA467" s="38"/>
      <c r="AB467" s="38"/>
      <c r="AC467" s="38"/>
    </row>
    <row r="468" spans="1:29" ht="12.75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  <c r="AA468" s="38"/>
      <c r="AB468" s="38"/>
      <c r="AC468" s="38"/>
    </row>
    <row r="469" spans="1:29" ht="12.75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  <c r="AA469" s="38"/>
      <c r="AB469" s="38"/>
      <c r="AC469" s="38"/>
    </row>
    <row r="470" spans="1:29" ht="12.75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  <c r="AA470" s="38"/>
      <c r="AB470" s="38"/>
      <c r="AC470" s="38"/>
    </row>
    <row r="471" spans="1:29" ht="12.75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  <c r="AA471" s="38"/>
      <c r="AB471" s="38"/>
      <c r="AC471" s="38"/>
    </row>
    <row r="472" spans="1:29" ht="12.75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  <c r="AA472" s="38"/>
      <c r="AB472" s="38"/>
      <c r="AC472" s="38"/>
    </row>
    <row r="473" spans="1:29" ht="12.75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  <c r="AA473" s="38"/>
      <c r="AB473" s="38"/>
      <c r="AC473" s="38"/>
    </row>
    <row r="474" spans="1:29" ht="12.75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  <c r="AA474" s="38"/>
      <c r="AB474" s="38"/>
      <c r="AC474" s="38"/>
    </row>
    <row r="475" spans="1:29" ht="12.75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  <c r="AA475" s="38"/>
      <c r="AB475" s="38"/>
      <c r="AC475" s="38"/>
    </row>
    <row r="476" spans="1:29" ht="12.75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  <c r="AA476" s="38"/>
      <c r="AB476" s="38"/>
      <c r="AC476" s="38"/>
    </row>
    <row r="477" spans="1:29" ht="12.75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  <c r="AA477" s="38"/>
      <c r="AB477" s="38"/>
      <c r="AC477" s="38"/>
    </row>
    <row r="478" spans="1:29" ht="12.75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  <c r="AA478" s="38"/>
      <c r="AB478" s="38"/>
      <c r="AC478" s="38"/>
    </row>
    <row r="479" spans="1:29" ht="12.75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  <c r="AA479" s="38"/>
      <c r="AB479" s="38"/>
      <c r="AC479" s="38"/>
    </row>
    <row r="480" spans="1:29" ht="12.75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  <c r="AA480" s="38"/>
      <c r="AB480" s="38"/>
      <c r="AC480" s="38"/>
    </row>
    <row r="481" spans="1:29" ht="12.75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  <c r="AA481" s="38"/>
      <c r="AB481" s="38"/>
      <c r="AC481" s="38"/>
    </row>
    <row r="482" spans="1:29" ht="12.75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  <c r="AA482" s="38"/>
      <c r="AB482" s="38"/>
      <c r="AC482" s="38"/>
    </row>
    <row r="483" spans="1:29" ht="12.75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  <c r="AA483" s="38"/>
      <c r="AB483" s="38"/>
      <c r="AC483" s="38"/>
    </row>
    <row r="484" spans="1:29" ht="12.75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  <c r="AA484" s="38"/>
      <c r="AB484" s="38"/>
      <c r="AC484" s="38"/>
    </row>
    <row r="485" spans="1:29" ht="12.75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  <c r="AA485" s="38"/>
      <c r="AB485" s="38"/>
      <c r="AC485" s="38"/>
    </row>
    <row r="486" spans="1:29" ht="12.75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  <c r="AA486" s="38"/>
      <c r="AB486" s="38"/>
      <c r="AC486" s="38"/>
    </row>
    <row r="487" spans="1:29" ht="12.75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  <c r="AA487" s="38"/>
      <c r="AB487" s="38"/>
      <c r="AC487" s="38"/>
    </row>
    <row r="488" spans="1:29" ht="12.75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  <c r="AA488" s="38"/>
      <c r="AB488" s="38"/>
      <c r="AC488" s="38"/>
    </row>
    <row r="489" spans="1:29" ht="12.75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  <c r="AA489" s="38"/>
      <c r="AB489" s="38"/>
      <c r="AC489" s="38"/>
    </row>
    <row r="490" spans="1:29" ht="12.75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  <c r="AA490" s="38"/>
      <c r="AB490" s="38"/>
      <c r="AC490" s="38"/>
    </row>
    <row r="491" spans="1:29" ht="12.75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  <c r="AA491" s="38"/>
      <c r="AB491" s="38"/>
      <c r="AC491" s="38"/>
    </row>
    <row r="492" spans="1:29" ht="12.75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  <c r="AA492" s="38"/>
      <c r="AB492" s="38"/>
      <c r="AC492" s="38"/>
    </row>
    <row r="493" spans="1:29" ht="12.75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  <c r="AA493" s="38"/>
      <c r="AB493" s="38"/>
      <c r="AC493" s="38"/>
    </row>
    <row r="494" spans="1:29" ht="12.75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  <c r="AA494" s="38"/>
      <c r="AB494" s="38"/>
      <c r="AC494" s="38"/>
    </row>
    <row r="495" spans="1:29" ht="12.75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  <c r="AA495" s="38"/>
      <c r="AB495" s="38"/>
      <c r="AC495" s="38"/>
    </row>
    <row r="496" spans="1:29" ht="12.75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  <c r="AA496" s="38"/>
      <c r="AB496" s="38"/>
      <c r="AC496" s="38"/>
    </row>
    <row r="497" spans="1:29" ht="12.75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  <c r="AA497" s="38"/>
      <c r="AB497" s="38"/>
      <c r="AC497" s="38"/>
    </row>
    <row r="498" spans="1:29" ht="12.75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  <c r="AA498" s="38"/>
      <c r="AB498" s="38"/>
      <c r="AC498" s="38"/>
    </row>
    <row r="499" spans="1:29" ht="12.75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  <c r="AA499" s="38"/>
      <c r="AB499" s="38"/>
      <c r="AC499" s="38"/>
    </row>
    <row r="500" spans="1:29" ht="12.75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  <c r="AA500" s="38"/>
      <c r="AB500" s="38"/>
      <c r="AC500" s="38"/>
    </row>
    <row r="501" spans="1:29" ht="12.75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  <c r="AA501" s="38"/>
      <c r="AB501" s="38"/>
      <c r="AC501" s="38"/>
    </row>
    <row r="502" spans="1:29" ht="12.75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  <c r="AA502" s="38"/>
      <c r="AB502" s="38"/>
      <c r="AC502" s="38"/>
    </row>
    <row r="503" spans="1:29" ht="12.75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  <c r="AA503" s="38"/>
      <c r="AB503" s="38"/>
      <c r="AC503" s="38"/>
    </row>
    <row r="504" spans="1:29" ht="12.75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  <c r="AA504" s="38"/>
      <c r="AB504" s="38"/>
      <c r="AC504" s="38"/>
    </row>
    <row r="505" spans="1:29" ht="12.75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  <c r="AA505" s="38"/>
      <c r="AB505" s="38"/>
      <c r="AC505" s="38"/>
    </row>
    <row r="506" spans="1:29" ht="12.75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  <c r="AA506" s="38"/>
      <c r="AB506" s="38"/>
      <c r="AC506" s="38"/>
    </row>
    <row r="507" spans="1:29" ht="12.75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  <c r="AA507" s="38"/>
      <c r="AB507" s="38"/>
      <c r="AC507" s="38"/>
    </row>
    <row r="508" spans="1:29" ht="12.75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  <c r="AA508" s="38"/>
      <c r="AB508" s="38"/>
      <c r="AC508" s="38"/>
    </row>
    <row r="509" spans="1:29" ht="12.75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  <c r="AA509" s="38"/>
      <c r="AB509" s="38"/>
      <c r="AC509" s="38"/>
    </row>
    <row r="510" spans="1:29" ht="12.75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  <c r="AA510" s="38"/>
      <c r="AB510" s="38"/>
      <c r="AC510" s="38"/>
    </row>
    <row r="511" spans="1:29" ht="12.75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  <c r="AA511" s="38"/>
      <c r="AB511" s="38"/>
      <c r="AC511" s="38"/>
    </row>
    <row r="512" spans="1:29" ht="12.75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  <c r="AA512" s="38"/>
      <c r="AB512" s="38"/>
      <c r="AC512" s="38"/>
    </row>
    <row r="513" spans="1:29" ht="12.75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  <c r="AA513" s="38"/>
      <c r="AB513" s="38"/>
      <c r="AC513" s="38"/>
    </row>
    <row r="514" spans="1:29" ht="12.75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  <c r="AA514" s="38"/>
      <c r="AB514" s="38"/>
      <c r="AC514" s="38"/>
    </row>
    <row r="515" spans="1:29" ht="12.75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  <c r="AA515" s="38"/>
      <c r="AB515" s="38"/>
      <c r="AC515" s="38"/>
    </row>
    <row r="516" spans="1:29" ht="12.75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  <c r="AA516" s="38"/>
      <c r="AB516" s="38"/>
      <c r="AC516" s="38"/>
    </row>
    <row r="517" spans="1:29" ht="12.75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  <c r="AA517" s="38"/>
      <c r="AB517" s="38"/>
      <c r="AC517" s="38"/>
    </row>
    <row r="518" spans="1:29" ht="12.75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  <c r="AA518" s="38"/>
      <c r="AB518" s="38"/>
      <c r="AC518" s="38"/>
    </row>
    <row r="519" spans="1:29" ht="12.75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  <c r="AA519" s="38"/>
      <c r="AB519" s="38"/>
      <c r="AC519" s="38"/>
    </row>
    <row r="520" spans="1:29" ht="12.75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  <c r="AA520" s="38"/>
      <c r="AB520" s="38"/>
      <c r="AC520" s="38"/>
    </row>
    <row r="521" spans="1:29" ht="12.75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  <c r="AA521" s="38"/>
      <c r="AB521" s="38"/>
      <c r="AC521" s="38"/>
    </row>
    <row r="522" spans="1:29" ht="12.75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  <c r="AA522" s="38"/>
      <c r="AB522" s="38"/>
      <c r="AC522" s="38"/>
    </row>
    <row r="523" spans="1:29" ht="12.75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  <c r="AA523" s="38"/>
      <c r="AB523" s="38"/>
      <c r="AC523" s="38"/>
    </row>
    <row r="524" spans="1:29" ht="12.75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  <c r="AA524" s="38"/>
      <c r="AB524" s="38"/>
      <c r="AC524" s="38"/>
    </row>
    <row r="525" spans="1:29" ht="12.75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  <c r="AA525" s="38"/>
      <c r="AB525" s="38"/>
      <c r="AC525" s="38"/>
    </row>
    <row r="526" spans="1:29" ht="12.75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  <c r="AA526" s="38"/>
      <c r="AB526" s="38"/>
      <c r="AC526" s="38"/>
    </row>
    <row r="527" spans="1:29" ht="12.75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  <c r="AA527" s="38"/>
      <c r="AB527" s="38"/>
      <c r="AC527" s="38"/>
    </row>
    <row r="528" spans="1:29" ht="12.75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  <c r="AA528" s="38"/>
      <c r="AB528" s="38"/>
      <c r="AC528" s="38"/>
    </row>
    <row r="529" spans="1:29" ht="12.75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  <c r="AA529" s="38"/>
      <c r="AB529" s="38"/>
      <c r="AC529" s="38"/>
    </row>
    <row r="530" spans="1:29" ht="12.75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  <c r="AA530" s="38"/>
      <c r="AB530" s="38"/>
      <c r="AC530" s="38"/>
    </row>
    <row r="531" spans="1:29" ht="12.75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  <c r="AA531" s="38"/>
      <c r="AB531" s="38"/>
      <c r="AC531" s="38"/>
    </row>
    <row r="532" spans="1:29" ht="12.75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  <c r="AA532" s="38"/>
      <c r="AB532" s="38"/>
      <c r="AC532" s="38"/>
    </row>
    <row r="533" spans="1:29" ht="12.75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  <c r="AA533" s="38"/>
      <c r="AB533" s="38"/>
      <c r="AC533" s="38"/>
    </row>
    <row r="534" spans="1:29" ht="12.75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  <c r="AA534" s="38"/>
      <c r="AB534" s="38"/>
      <c r="AC534" s="38"/>
    </row>
    <row r="535" spans="1:29" ht="12.75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  <c r="AA535" s="38"/>
      <c r="AB535" s="38"/>
      <c r="AC535" s="38"/>
    </row>
    <row r="536" spans="1:29" ht="12.75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  <c r="AA536" s="38"/>
      <c r="AB536" s="38"/>
      <c r="AC536" s="38"/>
    </row>
    <row r="537" spans="1:29" ht="12.75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  <c r="AA537" s="38"/>
      <c r="AB537" s="38"/>
      <c r="AC537" s="38"/>
    </row>
    <row r="538" spans="1:29" ht="12.75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  <c r="AA538" s="38"/>
      <c r="AB538" s="38"/>
      <c r="AC538" s="38"/>
    </row>
    <row r="539" spans="1:29" ht="12.75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  <c r="AA539" s="38"/>
      <c r="AB539" s="38"/>
      <c r="AC539" s="38"/>
    </row>
    <row r="540" spans="1:29" ht="12.75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  <c r="AA540" s="38"/>
      <c r="AB540" s="38"/>
      <c r="AC540" s="38"/>
    </row>
    <row r="541" spans="1:29" ht="12.75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  <c r="AA541" s="38"/>
      <c r="AB541" s="38"/>
      <c r="AC541" s="38"/>
    </row>
    <row r="542" spans="1:29" ht="12.75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  <c r="AA542" s="38"/>
      <c r="AB542" s="38"/>
      <c r="AC542" s="38"/>
    </row>
    <row r="543" spans="1:29" ht="12.75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  <c r="AA543" s="38"/>
      <c r="AB543" s="38"/>
      <c r="AC543" s="38"/>
    </row>
    <row r="544" spans="1:29" ht="12.75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  <c r="AA544" s="38"/>
      <c r="AB544" s="38"/>
      <c r="AC544" s="38"/>
    </row>
    <row r="545" spans="1:29" ht="12.75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  <c r="AA545" s="38"/>
      <c r="AB545" s="38"/>
      <c r="AC545" s="38"/>
    </row>
    <row r="546" spans="1:29" ht="12.75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  <c r="AA546" s="38"/>
      <c r="AB546" s="38"/>
      <c r="AC546" s="38"/>
    </row>
    <row r="547" spans="1:29" ht="12.75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  <c r="AA547" s="38"/>
      <c r="AB547" s="38"/>
      <c r="AC547" s="38"/>
    </row>
    <row r="548" spans="1:29" ht="12.75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  <c r="AA548" s="38"/>
      <c r="AB548" s="38"/>
      <c r="AC548" s="38"/>
    </row>
    <row r="549" spans="1:29" ht="12.75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  <c r="AA549" s="38"/>
      <c r="AB549" s="38"/>
      <c r="AC549" s="38"/>
    </row>
    <row r="550" spans="1:29" ht="12.75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  <c r="AA550" s="38"/>
      <c r="AB550" s="38"/>
      <c r="AC550" s="38"/>
    </row>
    <row r="551" spans="1:29" ht="12.75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  <c r="AA551" s="38"/>
      <c r="AB551" s="38"/>
      <c r="AC551" s="38"/>
    </row>
    <row r="552" spans="1:29" ht="12.75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  <c r="AA552" s="38"/>
      <c r="AB552" s="38"/>
      <c r="AC552" s="38"/>
    </row>
    <row r="553" spans="1:29" ht="12.75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  <c r="AA553" s="38"/>
      <c r="AB553" s="38"/>
      <c r="AC553" s="38"/>
    </row>
    <row r="554" spans="1:29" ht="12.75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  <c r="AA554" s="38"/>
      <c r="AB554" s="38"/>
      <c r="AC554" s="38"/>
    </row>
    <row r="555" spans="1:29" ht="12.75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  <c r="AA555" s="38"/>
      <c r="AB555" s="38"/>
      <c r="AC555" s="38"/>
    </row>
    <row r="556" spans="1:29" ht="12.75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  <c r="AA556" s="38"/>
      <c r="AB556" s="38"/>
      <c r="AC556" s="38"/>
    </row>
    <row r="557" spans="1:29" ht="12.75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  <c r="AA557" s="38"/>
      <c r="AB557" s="38"/>
      <c r="AC557" s="38"/>
    </row>
    <row r="558" spans="1:29" ht="12.75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  <c r="AA558" s="38"/>
      <c r="AB558" s="38"/>
      <c r="AC558" s="38"/>
    </row>
    <row r="559" spans="1:29" ht="12.75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  <c r="AA559" s="38"/>
      <c r="AB559" s="38"/>
      <c r="AC559" s="38"/>
    </row>
    <row r="560" spans="1:29" ht="12.75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  <c r="AA560" s="38"/>
      <c r="AB560" s="38"/>
      <c r="AC560" s="38"/>
    </row>
    <row r="561" spans="1:29" ht="12.75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  <c r="AA561" s="38"/>
      <c r="AB561" s="38"/>
      <c r="AC561" s="38"/>
    </row>
    <row r="562" spans="1:29" ht="12.75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  <c r="AA562" s="38"/>
      <c r="AB562" s="38"/>
      <c r="AC562" s="38"/>
    </row>
    <row r="563" spans="1:29" ht="12.75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  <c r="AA563" s="38"/>
      <c r="AB563" s="38"/>
      <c r="AC563" s="38"/>
    </row>
    <row r="564" spans="1:29" ht="12.75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  <c r="AA564" s="38"/>
      <c r="AB564" s="38"/>
      <c r="AC564" s="38"/>
    </row>
    <row r="565" spans="1:29" ht="12.75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  <c r="AA565" s="38"/>
      <c r="AB565" s="38"/>
      <c r="AC565" s="38"/>
    </row>
    <row r="566" spans="1:29" ht="12.75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  <c r="AA566" s="38"/>
      <c r="AB566" s="38"/>
      <c r="AC566" s="38"/>
    </row>
    <row r="567" spans="1:29" ht="12.75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  <c r="AA567" s="38"/>
      <c r="AB567" s="38"/>
      <c r="AC567" s="38"/>
    </row>
    <row r="568" spans="1:29" ht="12.75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  <c r="AA568" s="38"/>
      <c r="AB568" s="38"/>
      <c r="AC568" s="38"/>
    </row>
    <row r="569" spans="1:29" ht="12.75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  <c r="AA569" s="38"/>
      <c r="AB569" s="38"/>
      <c r="AC569" s="38"/>
    </row>
    <row r="570" spans="1:29" ht="12.75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  <c r="AA570" s="38"/>
      <c r="AB570" s="38"/>
      <c r="AC570" s="38"/>
    </row>
    <row r="571" spans="1:29" ht="12.75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  <c r="AA571" s="38"/>
      <c r="AB571" s="38"/>
      <c r="AC571" s="38"/>
    </row>
    <row r="572" spans="1:29" ht="12.75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  <c r="AA572" s="38"/>
      <c r="AB572" s="38"/>
      <c r="AC572" s="38"/>
    </row>
    <row r="573" spans="1:29" ht="12.75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  <c r="AA573" s="38"/>
      <c r="AB573" s="38"/>
      <c r="AC573" s="38"/>
    </row>
    <row r="574" spans="1:29" ht="12.75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  <c r="AA574" s="38"/>
      <c r="AB574" s="38"/>
      <c r="AC574" s="38"/>
    </row>
    <row r="575" spans="1:29" ht="12.75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  <c r="AA575" s="38"/>
      <c r="AB575" s="38"/>
      <c r="AC575" s="38"/>
    </row>
    <row r="576" spans="1:29" ht="12.75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  <c r="AA576" s="38"/>
      <c r="AB576" s="38"/>
      <c r="AC576" s="38"/>
    </row>
    <row r="577" spans="1:29" ht="12.75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  <c r="AA577" s="38"/>
      <c r="AB577" s="38"/>
      <c r="AC577" s="38"/>
    </row>
    <row r="578" spans="1:29" ht="12.75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  <c r="AA578" s="38"/>
      <c r="AB578" s="38"/>
      <c r="AC578" s="38"/>
    </row>
    <row r="579" spans="1:29" ht="12.75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  <c r="AA579" s="38"/>
      <c r="AB579" s="38"/>
      <c r="AC579" s="38"/>
    </row>
    <row r="580" spans="1:29" ht="12.75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  <c r="AA580" s="38"/>
      <c r="AB580" s="38"/>
      <c r="AC580" s="38"/>
    </row>
    <row r="581" spans="1:29" ht="12.75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  <c r="AA581" s="38"/>
      <c r="AB581" s="38"/>
      <c r="AC581" s="38"/>
    </row>
    <row r="582" spans="1:29" ht="12.75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  <c r="AA582" s="38"/>
      <c r="AB582" s="38"/>
      <c r="AC582" s="38"/>
    </row>
    <row r="583" spans="1:29" ht="12.75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  <c r="AA583" s="38"/>
      <c r="AB583" s="38"/>
      <c r="AC583" s="38"/>
    </row>
    <row r="584" spans="1:29" ht="12.75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  <c r="AA584" s="38"/>
      <c r="AB584" s="38"/>
      <c r="AC584" s="38"/>
    </row>
    <row r="585" spans="1:29" ht="12.75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  <c r="AA585" s="38"/>
      <c r="AB585" s="38"/>
      <c r="AC585" s="38"/>
    </row>
    <row r="586" spans="1:29" ht="12.75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  <c r="AA586" s="38"/>
      <c r="AB586" s="38"/>
      <c r="AC586" s="38"/>
    </row>
    <row r="587" spans="1:29" ht="12.75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  <c r="AA587" s="38"/>
      <c r="AB587" s="38"/>
      <c r="AC587" s="38"/>
    </row>
    <row r="588" spans="1:29" ht="12.75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  <c r="AA588" s="38"/>
      <c r="AB588" s="38"/>
      <c r="AC588" s="38"/>
    </row>
    <row r="589" spans="1:29" ht="12.75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  <c r="AA589" s="38"/>
      <c r="AB589" s="38"/>
      <c r="AC589" s="38"/>
    </row>
    <row r="590" spans="1:29" ht="12.75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  <c r="AA590" s="38"/>
      <c r="AB590" s="38"/>
      <c r="AC590" s="38"/>
    </row>
    <row r="591" spans="1:29" ht="12.75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  <c r="AA591" s="38"/>
      <c r="AB591" s="38"/>
      <c r="AC591" s="38"/>
    </row>
    <row r="592" spans="1:29" ht="12.75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  <c r="AA592" s="38"/>
      <c r="AB592" s="38"/>
      <c r="AC592" s="38"/>
    </row>
    <row r="593" spans="1:29" ht="12.75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  <c r="AA593" s="38"/>
      <c r="AB593" s="38"/>
      <c r="AC593" s="38"/>
    </row>
    <row r="594" spans="1:29" ht="12.75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  <c r="AA594" s="38"/>
      <c r="AB594" s="38"/>
      <c r="AC594" s="38"/>
    </row>
    <row r="595" spans="1:29" ht="12.75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  <c r="AA595" s="38"/>
      <c r="AB595" s="38"/>
      <c r="AC595" s="38"/>
    </row>
    <row r="596" spans="1:29" ht="12.75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  <c r="AA596" s="38"/>
      <c r="AB596" s="38"/>
      <c r="AC596" s="38"/>
    </row>
    <row r="597" spans="1:29" ht="12.75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  <c r="AA597" s="38"/>
      <c r="AB597" s="38"/>
      <c r="AC597" s="38"/>
    </row>
    <row r="598" spans="1:29" ht="12.75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  <c r="AA598" s="38"/>
      <c r="AB598" s="38"/>
      <c r="AC598" s="38"/>
    </row>
    <row r="599" spans="1:29" ht="12.75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  <c r="AA599" s="38"/>
      <c r="AB599" s="38"/>
      <c r="AC599" s="38"/>
    </row>
    <row r="600" spans="1:29" ht="12.75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  <c r="AA600" s="38"/>
      <c r="AB600" s="38"/>
      <c r="AC600" s="38"/>
    </row>
    <row r="601" spans="1:29" ht="12.75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  <c r="AA601" s="38"/>
      <c r="AB601" s="38"/>
      <c r="AC601" s="38"/>
    </row>
    <row r="602" spans="1:29" ht="12.75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  <c r="AA602" s="38"/>
      <c r="AB602" s="38"/>
      <c r="AC602" s="38"/>
    </row>
    <row r="603" spans="1:29" ht="12.75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  <c r="AA603" s="38"/>
      <c r="AB603" s="38"/>
      <c r="AC603" s="38"/>
    </row>
    <row r="604" spans="1:29" ht="12.75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  <c r="AA604" s="38"/>
      <c r="AB604" s="38"/>
      <c r="AC604" s="38"/>
    </row>
    <row r="605" spans="1:29" ht="12.75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  <c r="AA605" s="38"/>
      <c r="AB605" s="38"/>
      <c r="AC605" s="38"/>
    </row>
    <row r="606" spans="1:29" ht="12.75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  <c r="AA606" s="38"/>
      <c r="AB606" s="38"/>
      <c r="AC606" s="38"/>
    </row>
    <row r="607" spans="1:29" ht="12.75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  <c r="AA607" s="38"/>
      <c r="AB607" s="38"/>
      <c r="AC607" s="38"/>
    </row>
    <row r="608" spans="1:29" ht="12.75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  <c r="AA608" s="38"/>
      <c r="AB608" s="38"/>
      <c r="AC608" s="38"/>
    </row>
    <row r="609" spans="1:29" ht="12.75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  <c r="AA609" s="38"/>
      <c r="AB609" s="38"/>
      <c r="AC609" s="38"/>
    </row>
    <row r="610" spans="1:29" ht="12.75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  <c r="AA610" s="38"/>
      <c r="AB610" s="38"/>
      <c r="AC610" s="38"/>
    </row>
    <row r="611" spans="1:29" ht="12.75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  <c r="AA611" s="38"/>
      <c r="AB611" s="38"/>
      <c r="AC611" s="38"/>
    </row>
    <row r="612" spans="1:29" ht="12.75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  <c r="AA612" s="38"/>
      <c r="AB612" s="38"/>
      <c r="AC612" s="38"/>
    </row>
    <row r="613" spans="1:29" ht="12.75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  <c r="AA613" s="38"/>
      <c r="AB613" s="38"/>
      <c r="AC613" s="38"/>
    </row>
    <row r="614" spans="1:29" ht="12.75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  <c r="AA614" s="38"/>
      <c r="AB614" s="38"/>
      <c r="AC614" s="38"/>
    </row>
    <row r="615" spans="1:29" ht="12.75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  <c r="AA615" s="38"/>
      <c r="AB615" s="38"/>
      <c r="AC615" s="38"/>
    </row>
    <row r="616" spans="1:29" ht="12.75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  <c r="AA616" s="38"/>
      <c r="AB616" s="38"/>
      <c r="AC616" s="38"/>
    </row>
    <row r="617" spans="1:29" ht="12.75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  <c r="AA617" s="38"/>
      <c r="AB617" s="38"/>
      <c r="AC617" s="38"/>
    </row>
    <row r="618" spans="1:29" ht="12.75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  <c r="AA618" s="38"/>
      <c r="AB618" s="38"/>
      <c r="AC618" s="38"/>
    </row>
    <row r="619" spans="1:29" ht="12.75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  <c r="AA619" s="38"/>
      <c r="AB619" s="38"/>
      <c r="AC619" s="38"/>
    </row>
    <row r="620" spans="1:29" ht="12.75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  <c r="AA620" s="38"/>
      <c r="AB620" s="38"/>
      <c r="AC620" s="38"/>
    </row>
    <row r="621" spans="1:29" ht="12.75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  <c r="AA621" s="38"/>
      <c r="AB621" s="38"/>
      <c r="AC621" s="38"/>
    </row>
    <row r="622" spans="1:29" ht="12.75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  <c r="AA622" s="38"/>
      <c r="AB622" s="38"/>
      <c r="AC622" s="38"/>
    </row>
    <row r="623" spans="1:29" ht="12.75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  <c r="AA623" s="38"/>
      <c r="AB623" s="38"/>
      <c r="AC623" s="38"/>
    </row>
    <row r="624" spans="1:29" ht="12.75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  <c r="AA624" s="38"/>
      <c r="AB624" s="38"/>
      <c r="AC624" s="38"/>
    </row>
    <row r="625" spans="1:29" ht="12.75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  <c r="AA625" s="38"/>
      <c r="AB625" s="38"/>
      <c r="AC625" s="38"/>
    </row>
    <row r="626" spans="1:29" ht="12.75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  <c r="AA626" s="38"/>
      <c r="AB626" s="38"/>
      <c r="AC626" s="38"/>
    </row>
    <row r="627" spans="1:29" ht="12.75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  <c r="AA627" s="38"/>
      <c r="AB627" s="38"/>
      <c r="AC627" s="38"/>
    </row>
    <row r="628" spans="1:29" ht="12.75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  <c r="AA628" s="38"/>
      <c r="AB628" s="38"/>
      <c r="AC628" s="38"/>
    </row>
    <row r="629" spans="1:29" ht="12.75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  <c r="AA629" s="38"/>
      <c r="AB629" s="38"/>
      <c r="AC629" s="38"/>
    </row>
    <row r="630" spans="1:29" ht="12.75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  <c r="AA630" s="38"/>
      <c r="AB630" s="38"/>
      <c r="AC630" s="38"/>
    </row>
    <row r="631" spans="1:29" ht="12.75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  <c r="AA631" s="38"/>
      <c r="AB631" s="38"/>
      <c r="AC631" s="38"/>
    </row>
    <row r="632" spans="1:29" ht="12.75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  <c r="AA632" s="38"/>
      <c r="AB632" s="38"/>
      <c r="AC632" s="38"/>
    </row>
    <row r="633" spans="1:29" ht="12.75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  <c r="AA633" s="38"/>
      <c r="AB633" s="38"/>
      <c r="AC633" s="38"/>
    </row>
    <row r="634" spans="1:29" ht="12.75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  <c r="AA634" s="38"/>
      <c r="AB634" s="38"/>
      <c r="AC634" s="38"/>
    </row>
    <row r="635" spans="1:29" ht="12.75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  <c r="AA635" s="38"/>
      <c r="AB635" s="38"/>
      <c r="AC635" s="38"/>
    </row>
    <row r="636" spans="1:29" ht="12.75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  <c r="AA636" s="38"/>
      <c r="AB636" s="38"/>
      <c r="AC636" s="38"/>
    </row>
    <row r="637" spans="1:29" ht="12.75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  <c r="AA637" s="38"/>
      <c r="AB637" s="38"/>
      <c r="AC637" s="38"/>
    </row>
    <row r="638" spans="1:29" ht="12.75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  <c r="AA638" s="38"/>
      <c r="AB638" s="38"/>
      <c r="AC638" s="38"/>
    </row>
    <row r="639" spans="1:29" ht="12.75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  <c r="AA639" s="38"/>
      <c r="AB639" s="38"/>
      <c r="AC639" s="38"/>
    </row>
    <row r="640" spans="1:29" ht="12.75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  <c r="AA640" s="38"/>
      <c r="AB640" s="38"/>
      <c r="AC640" s="38"/>
    </row>
    <row r="641" spans="1:29" ht="12.75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  <c r="AA641" s="38"/>
      <c r="AB641" s="38"/>
      <c r="AC641" s="38"/>
    </row>
    <row r="642" spans="1:29" ht="12.75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  <c r="AA642" s="38"/>
      <c r="AB642" s="38"/>
      <c r="AC642" s="38"/>
    </row>
    <row r="643" spans="1:29" ht="12.75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  <c r="AA643" s="38"/>
      <c r="AB643" s="38"/>
      <c r="AC643" s="38"/>
    </row>
    <row r="644" spans="1:29" ht="12.75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  <c r="AA644" s="38"/>
      <c r="AB644" s="38"/>
      <c r="AC644" s="38"/>
    </row>
    <row r="645" spans="1:29" ht="12.75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  <c r="AA645" s="38"/>
      <c r="AB645" s="38"/>
      <c r="AC645" s="38"/>
    </row>
    <row r="646" spans="1:29" ht="12.75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  <c r="AA646" s="38"/>
      <c r="AB646" s="38"/>
      <c r="AC646" s="38"/>
    </row>
    <row r="647" spans="1:29" ht="12.75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  <c r="AA647" s="38"/>
      <c r="AB647" s="38"/>
      <c r="AC647" s="38"/>
    </row>
    <row r="648" spans="1:29" ht="12.75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  <c r="AA648" s="38"/>
      <c r="AB648" s="38"/>
      <c r="AC648" s="38"/>
    </row>
    <row r="649" spans="1:29" ht="12.75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  <c r="AA649" s="38"/>
      <c r="AB649" s="38"/>
      <c r="AC649" s="38"/>
    </row>
    <row r="650" spans="1:29" ht="12.75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  <c r="AA650" s="38"/>
      <c r="AB650" s="38"/>
      <c r="AC650" s="38"/>
    </row>
    <row r="651" spans="1:29" ht="12.75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  <c r="AA651" s="38"/>
      <c r="AB651" s="38"/>
      <c r="AC651" s="38"/>
    </row>
    <row r="652" spans="1:29" ht="12.75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  <c r="AA652" s="38"/>
      <c r="AB652" s="38"/>
      <c r="AC652" s="38"/>
    </row>
    <row r="653" spans="1:29" ht="12.75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  <c r="AA653" s="38"/>
      <c r="AB653" s="38"/>
      <c r="AC653" s="38"/>
    </row>
    <row r="654" spans="1:29" ht="12.75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  <c r="AA654" s="38"/>
      <c r="AB654" s="38"/>
      <c r="AC654" s="38"/>
    </row>
    <row r="655" spans="1:29" ht="12.75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  <c r="AA655" s="38"/>
      <c r="AB655" s="38"/>
      <c r="AC655" s="38"/>
    </row>
    <row r="656" spans="1:29" ht="12.75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  <c r="AA656" s="38"/>
      <c r="AB656" s="38"/>
      <c r="AC656" s="38"/>
    </row>
    <row r="657" spans="1:29" ht="12.75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  <c r="AA657" s="38"/>
      <c r="AB657" s="38"/>
      <c r="AC657" s="38"/>
    </row>
    <row r="658" spans="1:29" ht="12.75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  <c r="AA658" s="38"/>
      <c r="AB658" s="38"/>
      <c r="AC658" s="38"/>
    </row>
    <row r="659" spans="1:29" ht="12.75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  <c r="AA659" s="38"/>
      <c r="AB659" s="38"/>
      <c r="AC659" s="38"/>
    </row>
    <row r="660" spans="1:29" ht="12.75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  <c r="AA660" s="38"/>
      <c r="AB660" s="38"/>
      <c r="AC660" s="38"/>
    </row>
    <row r="661" spans="1:29" ht="12.75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  <c r="AA661" s="38"/>
      <c r="AB661" s="38"/>
      <c r="AC661" s="38"/>
    </row>
    <row r="662" spans="1:29" ht="12.75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  <c r="AA662" s="38"/>
      <c r="AB662" s="38"/>
      <c r="AC662" s="38"/>
    </row>
    <row r="663" spans="1:29" ht="12.75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  <c r="AA663" s="38"/>
      <c r="AB663" s="38"/>
      <c r="AC663" s="38"/>
    </row>
    <row r="664" spans="1:29" ht="12.75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  <c r="AA664" s="38"/>
      <c r="AB664" s="38"/>
      <c r="AC664" s="38"/>
    </row>
    <row r="665" spans="1:29" ht="12.75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  <c r="AA665" s="38"/>
      <c r="AB665" s="38"/>
      <c r="AC665" s="38"/>
    </row>
    <row r="666" spans="1:29" ht="12.75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  <c r="AA666" s="38"/>
      <c r="AB666" s="38"/>
      <c r="AC666" s="38"/>
    </row>
    <row r="667" spans="1:29" ht="12.75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  <c r="AA667" s="38"/>
      <c r="AB667" s="38"/>
      <c r="AC667" s="38"/>
    </row>
    <row r="668" spans="1:29" ht="12.75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  <c r="AA668" s="38"/>
      <c r="AB668" s="38"/>
      <c r="AC668" s="38"/>
    </row>
    <row r="669" spans="1:29" ht="12.75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  <c r="AA669" s="38"/>
      <c r="AB669" s="38"/>
      <c r="AC669" s="38"/>
    </row>
    <row r="670" spans="1:29" ht="12.75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  <c r="AA670" s="38"/>
      <c r="AB670" s="38"/>
      <c r="AC670" s="38"/>
    </row>
    <row r="671" spans="1:29" ht="12.75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  <c r="AA671" s="38"/>
      <c r="AB671" s="38"/>
      <c r="AC671" s="38"/>
    </row>
    <row r="672" spans="1:29" ht="12.75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  <c r="AA672" s="38"/>
      <c r="AB672" s="38"/>
      <c r="AC672" s="38"/>
    </row>
    <row r="673" spans="1:29" ht="12.75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  <c r="AA673" s="38"/>
      <c r="AB673" s="38"/>
      <c r="AC673" s="38"/>
    </row>
    <row r="674" spans="1:29" ht="12.75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  <c r="AA674" s="38"/>
      <c r="AB674" s="38"/>
      <c r="AC674" s="38"/>
    </row>
    <row r="675" spans="1:29" ht="12.75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  <c r="AA675" s="38"/>
      <c r="AB675" s="38"/>
      <c r="AC675" s="38"/>
    </row>
    <row r="676" spans="1:29" ht="12.75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  <c r="AA676" s="38"/>
      <c r="AB676" s="38"/>
      <c r="AC676" s="38"/>
    </row>
    <row r="677" spans="1:29" ht="12.75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  <c r="AA677" s="38"/>
      <c r="AB677" s="38"/>
      <c r="AC677" s="38"/>
    </row>
    <row r="678" spans="1:29" ht="12.75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  <c r="AA678" s="38"/>
      <c r="AB678" s="38"/>
      <c r="AC678" s="38"/>
    </row>
    <row r="679" spans="1:29" ht="12.75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  <c r="AA679" s="38"/>
      <c r="AB679" s="38"/>
      <c r="AC679" s="38"/>
    </row>
    <row r="680" spans="1:29" ht="12.75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  <c r="AA680" s="38"/>
      <c r="AB680" s="38"/>
      <c r="AC680" s="38"/>
    </row>
    <row r="681" spans="1:29" ht="12.75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  <c r="AA681" s="38"/>
      <c r="AB681" s="38"/>
      <c r="AC681" s="38"/>
    </row>
    <row r="682" spans="1:29" ht="12.75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  <c r="AA682" s="38"/>
      <c r="AB682" s="38"/>
      <c r="AC682" s="38"/>
    </row>
    <row r="683" spans="1:29" ht="12.75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  <c r="AA683" s="38"/>
      <c r="AB683" s="38"/>
      <c r="AC683" s="38"/>
    </row>
    <row r="684" spans="1:29" ht="12.75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  <c r="AA684" s="38"/>
      <c r="AB684" s="38"/>
      <c r="AC684" s="38"/>
    </row>
    <row r="685" spans="1:29" ht="12.75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  <c r="AA685" s="38"/>
      <c r="AB685" s="38"/>
      <c r="AC685" s="38"/>
    </row>
    <row r="686" spans="1:29" ht="12.75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  <c r="AA686" s="38"/>
      <c r="AB686" s="38"/>
      <c r="AC686" s="38"/>
    </row>
    <row r="687" spans="1:29" ht="12.75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  <c r="AA687" s="38"/>
      <c r="AB687" s="38"/>
      <c r="AC687" s="38"/>
    </row>
    <row r="688" spans="1:29" ht="12.75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  <c r="AA688" s="38"/>
      <c r="AB688" s="38"/>
      <c r="AC688" s="38"/>
    </row>
    <row r="689" spans="1:29" ht="12.75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  <c r="AA689" s="38"/>
      <c r="AB689" s="38"/>
      <c r="AC689" s="38"/>
    </row>
    <row r="690" spans="1:29" ht="12.75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  <c r="AA690" s="38"/>
      <c r="AB690" s="38"/>
      <c r="AC690" s="38"/>
    </row>
    <row r="691" spans="1:29" ht="12.75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  <c r="AA691" s="38"/>
      <c r="AB691" s="38"/>
      <c r="AC691" s="38"/>
    </row>
    <row r="692" spans="1:29" ht="12.75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  <c r="AA692" s="38"/>
      <c r="AB692" s="38"/>
      <c r="AC692" s="38"/>
    </row>
    <row r="693" spans="1:29" ht="12.75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  <c r="AA693" s="38"/>
      <c r="AB693" s="38"/>
      <c r="AC693" s="38"/>
    </row>
    <row r="694" spans="1:29" ht="12.75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  <c r="AA694" s="38"/>
      <c r="AB694" s="38"/>
      <c r="AC694" s="38"/>
    </row>
    <row r="695" spans="1:29" ht="12.75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  <c r="AA695" s="38"/>
      <c r="AB695" s="38"/>
      <c r="AC695" s="38"/>
    </row>
    <row r="696" spans="1:29" ht="12.75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  <c r="AA696" s="38"/>
      <c r="AB696" s="38"/>
      <c r="AC696" s="38"/>
    </row>
    <row r="697" spans="1:29" ht="12.75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  <c r="AA697" s="38"/>
      <c r="AB697" s="38"/>
      <c r="AC697" s="38"/>
    </row>
    <row r="698" spans="1:29" ht="12.75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  <c r="AA698" s="38"/>
      <c r="AB698" s="38"/>
      <c r="AC698" s="38"/>
    </row>
    <row r="699" spans="1:29" ht="12.75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  <c r="AA699" s="38"/>
      <c r="AB699" s="38"/>
      <c r="AC699" s="38"/>
    </row>
    <row r="700" spans="1:29" ht="12.75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  <c r="AA700" s="38"/>
      <c r="AB700" s="38"/>
      <c r="AC700" s="38"/>
    </row>
    <row r="701" spans="1:29" ht="12.75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  <c r="AA701" s="38"/>
      <c r="AB701" s="38"/>
      <c r="AC701" s="38"/>
    </row>
    <row r="702" spans="1:29" ht="12.75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  <c r="AA702" s="38"/>
      <c r="AB702" s="38"/>
      <c r="AC702" s="38"/>
    </row>
    <row r="703" spans="1:29" ht="12.75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  <c r="AA703" s="38"/>
      <c r="AB703" s="38"/>
      <c r="AC703" s="38"/>
    </row>
    <row r="704" spans="1:29" ht="12.75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  <c r="AA704" s="38"/>
      <c r="AB704" s="38"/>
      <c r="AC704" s="38"/>
    </row>
    <row r="705" spans="1:29" ht="12.75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  <c r="AA705" s="38"/>
      <c r="AB705" s="38"/>
      <c r="AC705" s="38"/>
    </row>
    <row r="706" spans="1:29" ht="12.75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  <c r="AA706" s="38"/>
      <c r="AB706" s="38"/>
      <c r="AC706" s="38"/>
    </row>
    <row r="707" spans="1:29" ht="12.75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  <c r="AA707" s="38"/>
      <c r="AB707" s="38"/>
      <c r="AC707" s="38"/>
    </row>
    <row r="708" spans="1:29" ht="12.75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  <c r="AA708" s="38"/>
      <c r="AB708" s="38"/>
      <c r="AC708" s="38"/>
    </row>
    <row r="709" spans="1:29" ht="12.75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  <c r="AA709" s="38"/>
      <c r="AB709" s="38"/>
      <c r="AC709" s="38"/>
    </row>
    <row r="710" spans="1:29" ht="12.75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  <c r="AA710" s="38"/>
      <c r="AB710" s="38"/>
      <c r="AC710" s="38"/>
    </row>
    <row r="711" spans="1:29" ht="12.75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  <c r="AA711" s="38"/>
      <c r="AB711" s="38"/>
      <c r="AC711" s="38"/>
    </row>
    <row r="712" spans="1:29" ht="12.75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  <c r="AA712" s="38"/>
      <c r="AB712" s="38"/>
      <c r="AC712" s="38"/>
    </row>
    <row r="713" spans="1:29" ht="12.75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  <c r="AA713" s="38"/>
      <c r="AB713" s="38"/>
      <c r="AC713" s="38"/>
    </row>
    <row r="714" spans="1:29" ht="12.75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  <c r="AA714" s="38"/>
      <c r="AB714" s="38"/>
      <c r="AC714" s="38"/>
    </row>
    <row r="715" spans="1:29" ht="12.75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  <c r="AA715" s="38"/>
      <c r="AB715" s="38"/>
      <c r="AC715" s="38"/>
    </row>
    <row r="716" spans="1:29" ht="12.75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  <c r="AA716" s="38"/>
      <c r="AB716" s="38"/>
      <c r="AC716" s="38"/>
    </row>
    <row r="717" spans="1:29" ht="12.75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  <c r="AA717" s="38"/>
      <c r="AB717" s="38"/>
      <c r="AC717" s="38"/>
    </row>
    <row r="718" spans="1:29" ht="12.75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  <c r="AA718" s="38"/>
      <c r="AB718" s="38"/>
      <c r="AC718" s="38"/>
    </row>
    <row r="719" spans="1:29" ht="12.75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  <c r="AA719" s="38"/>
      <c r="AB719" s="38"/>
      <c r="AC719" s="38"/>
    </row>
    <row r="720" spans="1:29" ht="12.75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  <c r="AA720" s="38"/>
      <c r="AB720" s="38"/>
      <c r="AC720" s="38"/>
    </row>
    <row r="721" spans="1:29" ht="12.75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  <c r="AA721" s="38"/>
      <c r="AB721" s="38"/>
      <c r="AC721" s="38"/>
    </row>
    <row r="722" spans="1:29" ht="12.75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  <c r="AA722" s="38"/>
      <c r="AB722" s="38"/>
      <c r="AC722" s="38"/>
    </row>
    <row r="723" spans="1:29" ht="12.75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  <c r="AA723" s="38"/>
      <c r="AB723" s="38"/>
      <c r="AC723" s="38"/>
    </row>
    <row r="724" spans="1:29" ht="12.75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  <c r="AA724" s="38"/>
      <c r="AB724" s="38"/>
      <c r="AC724" s="38"/>
    </row>
    <row r="725" spans="1:29" ht="12.75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  <c r="AA725" s="38"/>
      <c r="AB725" s="38"/>
      <c r="AC725" s="38"/>
    </row>
    <row r="726" spans="1:29" ht="12.75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  <c r="AA726" s="38"/>
      <c r="AB726" s="38"/>
      <c r="AC726" s="38"/>
    </row>
    <row r="727" spans="1:29" ht="12.75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  <c r="AA727" s="38"/>
      <c r="AB727" s="38"/>
      <c r="AC727" s="38"/>
    </row>
    <row r="728" spans="1:29" ht="12.75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  <c r="AA728" s="38"/>
      <c r="AB728" s="38"/>
      <c r="AC728" s="38"/>
    </row>
    <row r="729" spans="1:29" ht="12.75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  <c r="AA729" s="38"/>
      <c r="AB729" s="38"/>
      <c r="AC729" s="38"/>
    </row>
    <row r="730" spans="1:29" ht="12.75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  <c r="AA730" s="38"/>
      <c r="AB730" s="38"/>
      <c r="AC730" s="38"/>
    </row>
    <row r="731" spans="1:29" ht="12.75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  <c r="AA731" s="38"/>
      <c r="AB731" s="38"/>
      <c r="AC731" s="38"/>
    </row>
    <row r="732" spans="1:29" ht="12.75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  <c r="AA732" s="38"/>
      <c r="AB732" s="38"/>
      <c r="AC732" s="38"/>
    </row>
    <row r="733" spans="1:29" ht="12.75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  <c r="AA733" s="38"/>
      <c r="AB733" s="38"/>
      <c r="AC733" s="38"/>
    </row>
    <row r="734" spans="1:29" ht="12.75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  <c r="AA734" s="38"/>
      <c r="AB734" s="38"/>
      <c r="AC734" s="38"/>
    </row>
    <row r="735" spans="1:29" ht="12.75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  <c r="AA735" s="38"/>
      <c r="AB735" s="38"/>
      <c r="AC735" s="38"/>
    </row>
    <row r="736" spans="1:29" ht="12.75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  <c r="AA736" s="38"/>
      <c r="AB736" s="38"/>
      <c r="AC736" s="38"/>
    </row>
    <row r="737" spans="1:29" ht="12.75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  <c r="AA737" s="38"/>
      <c r="AB737" s="38"/>
      <c r="AC737" s="38"/>
    </row>
    <row r="738" spans="1:29" ht="12.75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  <c r="AA738" s="38"/>
      <c r="AB738" s="38"/>
      <c r="AC738" s="38"/>
    </row>
    <row r="739" spans="1:29" ht="12.75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  <c r="AA739" s="38"/>
      <c r="AB739" s="38"/>
      <c r="AC739" s="38"/>
    </row>
    <row r="740" spans="1:29" ht="12.75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  <c r="AA740" s="38"/>
      <c r="AB740" s="38"/>
      <c r="AC740" s="38"/>
    </row>
    <row r="741" spans="1:29" ht="12.75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  <c r="AA741" s="38"/>
      <c r="AB741" s="38"/>
      <c r="AC741" s="38"/>
    </row>
    <row r="742" spans="1:29" ht="12.75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  <c r="AA742" s="38"/>
      <c r="AB742" s="38"/>
      <c r="AC742" s="38"/>
    </row>
    <row r="743" spans="1:29" ht="12.75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  <c r="AA743" s="38"/>
      <c r="AB743" s="38"/>
      <c r="AC743" s="38"/>
    </row>
    <row r="744" spans="1:29" ht="12.75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  <c r="AA744" s="38"/>
      <c r="AB744" s="38"/>
      <c r="AC744" s="38"/>
    </row>
    <row r="745" spans="1:29" ht="12.75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  <c r="AA745" s="38"/>
      <c r="AB745" s="38"/>
      <c r="AC745" s="38"/>
    </row>
    <row r="746" spans="1:29" ht="12.75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  <c r="AA746" s="38"/>
      <c r="AB746" s="38"/>
      <c r="AC746" s="38"/>
    </row>
    <row r="747" spans="1:29" ht="12.75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  <c r="AA747" s="38"/>
      <c r="AB747" s="38"/>
      <c r="AC747" s="38"/>
    </row>
    <row r="748" spans="1:29" ht="12.75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  <c r="AA748" s="38"/>
      <c r="AB748" s="38"/>
      <c r="AC748" s="38"/>
    </row>
    <row r="749" spans="1:29" ht="12.75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  <c r="AA749" s="38"/>
      <c r="AB749" s="38"/>
      <c r="AC749" s="38"/>
    </row>
    <row r="750" spans="1:29" ht="12.75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  <c r="AA750" s="38"/>
      <c r="AB750" s="38"/>
      <c r="AC750" s="38"/>
    </row>
    <row r="751" spans="1:29" ht="12.75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  <c r="AA751" s="38"/>
      <c r="AB751" s="38"/>
      <c r="AC751" s="38"/>
    </row>
    <row r="752" spans="1:29" ht="12.75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  <c r="AA752" s="38"/>
      <c r="AB752" s="38"/>
      <c r="AC752" s="38"/>
    </row>
    <row r="753" spans="1:29" ht="12.75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  <c r="AA753" s="38"/>
      <c r="AB753" s="38"/>
      <c r="AC753" s="38"/>
    </row>
    <row r="754" spans="1:29" ht="12.75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  <c r="AA754" s="38"/>
      <c r="AB754" s="38"/>
      <c r="AC754" s="38"/>
    </row>
    <row r="755" spans="1:29" ht="12.75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  <c r="AA755" s="38"/>
      <c r="AB755" s="38"/>
      <c r="AC755" s="38"/>
    </row>
    <row r="756" spans="1:29" ht="12.75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  <c r="AA756" s="38"/>
      <c r="AB756" s="38"/>
      <c r="AC756" s="38"/>
    </row>
    <row r="757" spans="1:29" ht="12.75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  <c r="AA757" s="38"/>
      <c r="AB757" s="38"/>
      <c r="AC757" s="38"/>
    </row>
    <row r="758" spans="1:29" ht="12.75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  <c r="AA758" s="38"/>
      <c r="AB758" s="38"/>
      <c r="AC758" s="38"/>
    </row>
    <row r="759" spans="1:29" ht="12.75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  <c r="AA759" s="38"/>
      <c r="AB759" s="38"/>
      <c r="AC759" s="38"/>
    </row>
    <row r="760" spans="1:29" ht="12.75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  <c r="AA760" s="38"/>
      <c r="AB760" s="38"/>
      <c r="AC760" s="38"/>
    </row>
    <row r="761" spans="1:29" ht="12.75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  <c r="AA761" s="38"/>
      <c r="AB761" s="38"/>
      <c r="AC761" s="38"/>
    </row>
    <row r="762" spans="1:29" ht="12.75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  <c r="AA762" s="38"/>
      <c r="AB762" s="38"/>
      <c r="AC762" s="38"/>
    </row>
    <row r="763" spans="1:29" ht="12.75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  <c r="AA763" s="38"/>
      <c r="AB763" s="38"/>
      <c r="AC763" s="38"/>
    </row>
    <row r="764" spans="1:29" ht="12.75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  <c r="AA764" s="38"/>
      <c r="AB764" s="38"/>
      <c r="AC764" s="38"/>
    </row>
    <row r="765" spans="1:29" ht="12.75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  <c r="AA765" s="38"/>
      <c r="AB765" s="38"/>
      <c r="AC765" s="38"/>
    </row>
    <row r="766" spans="1:29" ht="12.75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  <c r="AA766" s="38"/>
      <c r="AB766" s="38"/>
      <c r="AC766" s="38"/>
    </row>
    <row r="767" spans="1:29" ht="12.75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  <c r="AA767" s="38"/>
      <c r="AB767" s="38"/>
      <c r="AC767" s="38"/>
    </row>
    <row r="768" spans="1:29" ht="12.75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  <c r="AA768" s="38"/>
      <c r="AB768" s="38"/>
      <c r="AC768" s="38"/>
    </row>
    <row r="769" spans="1:29" ht="12.75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  <c r="AA769" s="38"/>
      <c r="AB769" s="38"/>
      <c r="AC769" s="38"/>
    </row>
    <row r="770" spans="1:29" ht="12.75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  <c r="AA770" s="38"/>
      <c r="AB770" s="38"/>
      <c r="AC770" s="38"/>
    </row>
    <row r="771" spans="1:29" ht="12.75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  <c r="AA771" s="38"/>
      <c r="AB771" s="38"/>
      <c r="AC771" s="38"/>
    </row>
    <row r="772" spans="1:29" ht="12.75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  <c r="AA772" s="38"/>
      <c r="AB772" s="38"/>
      <c r="AC772" s="38"/>
    </row>
    <row r="773" spans="1:29" ht="12.75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  <c r="AA773" s="38"/>
      <c r="AB773" s="38"/>
      <c r="AC773" s="38"/>
    </row>
    <row r="774" spans="1:29" ht="12.75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  <c r="AA774" s="38"/>
      <c r="AB774" s="38"/>
      <c r="AC774" s="38"/>
    </row>
    <row r="775" spans="1:29" ht="12.75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  <c r="AA775" s="38"/>
      <c r="AB775" s="38"/>
      <c r="AC775" s="38"/>
    </row>
    <row r="776" spans="1:29" ht="12.75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  <c r="AA776" s="38"/>
      <c r="AB776" s="38"/>
      <c r="AC776" s="38"/>
    </row>
    <row r="777" spans="1:29" ht="12.75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  <c r="AA777" s="38"/>
      <c r="AB777" s="38"/>
      <c r="AC777" s="38"/>
    </row>
    <row r="778" spans="1:29" ht="12.75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  <c r="AA778" s="38"/>
      <c r="AB778" s="38"/>
      <c r="AC778" s="38"/>
    </row>
    <row r="779" spans="1:29" ht="12.75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  <c r="AA779" s="38"/>
      <c r="AB779" s="38"/>
      <c r="AC779" s="38"/>
    </row>
    <row r="780" spans="1:29" ht="12.75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  <c r="AA780" s="38"/>
      <c r="AB780" s="38"/>
      <c r="AC780" s="38"/>
    </row>
    <row r="781" spans="1:29" ht="12.75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  <c r="AA781" s="38"/>
      <c r="AB781" s="38"/>
      <c r="AC781" s="38"/>
    </row>
    <row r="782" spans="1:29" ht="12.75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  <c r="AA782" s="38"/>
      <c r="AB782" s="38"/>
      <c r="AC782" s="38"/>
    </row>
    <row r="783" spans="1:29" ht="12.75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  <c r="AA783" s="38"/>
      <c r="AB783" s="38"/>
      <c r="AC783" s="38"/>
    </row>
    <row r="784" spans="1:29" ht="12.75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  <c r="AA784" s="38"/>
      <c r="AB784" s="38"/>
      <c r="AC784" s="38"/>
    </row>
    <row r="785" spans="1:29" ht="12.75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  <c r="AA785" s="38"/>
      <c r="AB785" s="38"/>
      <c r="AC785" s="38"/>
    </row>
    <row r="786" spans="1:29" ht="12.75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  <c r="AA786" s="38"/>
      <c r="AB786" s="38"/>
      <c r="AC786" s="38"/>
    </row>
    <row r="787" spans="1:29" ht="12.75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  <c r="AA787" s="38"/>
      <c r="AB787" s="38"/>
      <c r="AC787" s="38"/>
    </row>
    <row r="788" spans="1:29" ht="12.75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  <c r="AA788" s="38"/>
      <c r="AB788" s="38"/>
      <c r="AC788" s="38"/>
    </row>
    <row r="789" spans="1:29" ht="12.75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  <c r="AA789" s="38"/>
      <c r="AB789" s="38"/>
      <c r="AC789" s="38"/>
    </row>
    <row r="790" spans="1:29" ht="12.75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  <c r="AA790" s="38"/>
      <c r="AB790" s="38"/>
      <c r="AC790" s="38"/>
    </row>
    <row r="791" spans="1:29" ht="12.75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  <c r="AA791" s="38"/>
      <c r="AB791" s="38"/>
      <c r="AC791" s="38"/>
    </row>
    <row r="792" spans="1:29" ht="12.75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  <c r="AA792" s="38"/>
      <c r="AB792" s="38"/>
      <c r="AC792" s="38"/>
    </row>
    <row r="793" spans="1:29" ht="12.75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  <c r="AA793" s="38"/>
      <c r="AB793" s="38"/>
      <c r="AC793" s="38"/>
    </row>
    <row r="794" spans="1:29" ht="12.75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  <c r="AA794" s="38"/>
      <c r="AB794" s="38"/>
      <c r="AC794" s="38"/>
    </row>
    <row r="795" spans="1:29" ht="12.75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  <c r="AA795" s="38"/>
      <c r="AB795" s="38"/>
      <c r="AC795" s="38"/>
    </row>
    <row r="796" spans="1:29" ht="12.75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  <c r="AA796" s="38"/>
      <c r="AB796" s="38"/>
      <c r="AC796" s="38"/>
    </row>
    <row r="797" spans="1:29" ht="12.75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  <c r="AA797" s="38"/>
      <c r="AB797" s="38"/>
      <c r="AC797" s="38"/>
    </row>
    <row r="798" spans="1:29" ht="12.75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  <c r="AA798" s="38"/>
      <c r="AB798" s="38"/>
      <c r="AC798" s="38"/>
    </row>
    <row r="799" spans="1:29" ht="12.75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  <c r="AA799" s="38"/>
      <c r="AB799" s="38"/>
      <c r="AC799" s="38"/>
    </row>
    <row r="800" spans="1:29" ht="12.75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  <c r="AA800" s="38"/>
      <c r="AB800" s="38"/>
      <c r="AC800" s="38"/>
    </row>
    <row r="801" spans="1:29" ht="12.75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  <c r="AA801" s="38"/>
      <c r="AB801" s="38"/>
      <c r="AC801" s="38"/>
    </row>
    <row r="802" spans="1:29" ht="12.75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  <c r="AA802" s="38"/>
      <c r="AB802" s="38"/>
      <c r="AC802" s="38"/>
    </row>
    <row r="803" spans="1:29" ht="12.75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  <c r="AA803" s="38"/>
      <c r="AB803" s="38"/>
      <c r="AC803" s="38"/>
    </row>
    <row r="804" spans="1:29" ht="12.75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  <c r="AA804" s="38"/>
      <c r="AB804" s="38"/>
      <c r="AC804" s="38"/>
    </row>
    <row r="805" spans="1:29" ht="12.75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  <c r="AA805" s="38"/>
      <c r="AB805" s="38"/>
      <c r="AC805" s="38"/>
    </row>
    <row r="806" spans="1:29" ht="12.75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  <c r="AA806" s="38"/>
      <c r="AB806" s="38"/>
      <c r="AC806" s="38"/>
    </row>
    <row r="807" spans="1:29" ht="12.75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  <c r="AA807" s="38"/>
      <c r="AB807" s="38"/>
      <c r="AC807" s="38"/>
    </row>
    <row r="808" spans="1:29" ht="12.75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  <c r="AA808" s="38"/>
      <c r="AB808" s="38"/>
      <c r="AC808" s="38"/>
    </row>
    <row r="809" spans="1:29" ht="12.75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  <c r="AA809" s="38"/>
      <c r="AB809" s="38"/>
      <c r="AC809" s="38"/>
    </row>
    <row r="810" spans="1:29" ht="12.75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  <c r="AA810" s="38"/>
      <c r="AB810" s="38"/>
      <c r="AC810" s="38"/>
    </row>
    <row r="811" spans="1:29" ht="12.75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  <c r="AA811" s="38"/>
      <c r="AB811" s="38"/>
      <c r="AC811" s="38"/>
    </row>
    <row r="812" spans="1:29" ht="12.75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  <c r="AA812" s="38"/>
      <c r="AB812" s="38"/>
      <c r="AC812" s="38"/>
    </row>
    <row r="813" spans="1:29" ht="12.75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  <c r="AA813" s="38"/>
      <c r="AB813" s="38"/>
      <c r="AC813" s="38"/>
    </row>
    <row r="814" spans="1:29" ht="12.75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  <c r="AA814" s="38"/>
      <c r="AB814" s="38"/>
      <c r="AC814" s="38"/>
    </row>
    <row r="815" spans="1:29" ht="12.75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  <c r="AA815" s="38"/>
      <c r="AB815" s="38"/>
      <c r="AC815" s="38"/>
    </row>
    <row r="816" spans="1:29" ht="12.75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  <c r="AA816" s="38"/>
      <c r="AB816" s="38"/>
      <c r="AC816" s="38"/>
    </row>
    <row r="817" spans="1:29" ht="12.75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  <c r="AA817" s="38"/>
      <c r="AB817" s="38"/>
      <c r="AC817" s="38"/>
    </row>
    <row r="818" spans="1:29" ht="12.75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  <c r="AA818" s="38"/>
      <c r="AB818" s="38"/>
      <c r="AC818" s="38"/>
    </row>
    <row r="819" spans="1:29" ht="12.75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  <c r="AA819" s="38"/>
      <c r="AB819" s="38"/>
      <c r="AC819" s="38"/>
    </row>
    <row r="820" spans="1:29" ht="12.75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  <c r="AA820" s="38"/>
      <c r="AB820" s="38"/>
      <c r="AC820" s="38"/>
    </row>
    <row r="821" spans="1:29" ht="12.75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  <c r="AA821" s="38"/>
      <c r="AB821" s="38"/>
      <c r="AC821" s="38"/>
    </row>
    <row r="822" spans="1:29" ht="12.75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  <c r="AA822" s="38"/>
      <c r="AB822" s="38"/>
      <c r="AC822" s="38"/>
    </row>
    <row r="823" spans="1:29" ht="12.75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  <c r="AA823" s="38"/>
      <c r="AB823" s="38"/>
      <c r="AC823" s="38"/>
    </row>
    <row r="824" spans="1:29" ht="12.75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  <c r="AA824" s="38"/>
      <c r="AB824" s="38"/>
      <c r="AC824" s="38"/>
    </row>
    <row r="825" spans="1:29" ht="12.75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  <c r="AA825" s="38"/>
      <c r="AB825" s="38"/>
      <c r="AC825" s="38"/>
    </row>
    <row r="826" spans="1:29" ht="12.75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  <c r="AA826" s="38"/>
      <c r="AB826" s="38"/>
      <c r="AC826" s="38"/>
    </row>
    <row r="827" spans="1:29" ht="12.75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  <c r="AA827" s="38"/>
      <c r="AB827" s="38"/>
      <c r="AC827" s="38"/>
    </row>
    <row r="828" spans="1:29" ht="12.75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  <c r="AA828" s="38"/>
      <c r="AB828" s="38"/>
      <c r="AC828" s="38"/>
    </row>
    <row r="829" spans="1:29" ht="12.75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  <c r="AA829" s="38"/>
      <c r="AB829" s="38"/>
      <c r="AC829" s="38"/>
    </row>
    <row r="830" spans="1:29" ht="12.75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  <c r="AA830" s="38"/>
      <c r="AB830" s="38"/>
      <c r="AC830" s="38"/>
    </row>
    <row r="831" spans="1:29" ht="12.75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  <c r="AA831" s="38"/>
      <c r="AB831" s="38"/>
      <c r="AC831" s="38"/>
    </row>
    <row r="832" spans="1:29" ht="12.75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  <c r="AA832" s="38"/>
      <c r="AB832" s="38"/>
      <c r="AC832" s="38"/>
    </row>
    <row r="833" spans="1:29" ht="12.75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  <c r="AA833" s="38"/>
      <c r="AB833" s="38"/>
      <c r="AC833" s="38"/>
    </row>
    <row r="834" spans="1:29" ht="12.75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  <c r="AA834" s="38"/>
      <c r="AB834" s="38"/>
      <c r="AC834" s="38"/>
    </row>
    <row r="835" spans="1:29" ht="12.75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  <c r="AA835" s="38"/>
      <c r="AB835" s="38"/>
      <c r="AC835" s="38"/>
    </row>
    <row r="836" spans="1:29" ht="12.75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  <c r="AA836" s="38"/>
      <c r="AB836" s="38"/>
      <c r="AC836" s="38"/>
    </row>
    <row r="837" spans="1:29" ht="12.75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  <c r="AA837" s="38"/>
      <c r="AB837" s="38"/>
      <c r="AC837" s="38"/>
    </row>
    <row r="838" spans="1:29" ht="12.75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  <c r="AA838" s="38"/>
      <c r="AB838" s="38"/>
      <c r="AC838" s="38"/>
    </row>
    <row r="839" spans="1:29" ht="12.75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  <c r="AA839" s="38"/>
      <c r="AB839" s="38"/>
      <c r="AC839" s="38"/>
    </row>
    <row r="840" spans="1:29" ht="12.75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  <c r="AA840" s="38"/>
      <c r="AB840" s="38"/>
      <c r="AC840" s="38"/>
    </row>
    <row r="841" spans="1:29" ht="12.75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  <c r="AA841" s="38"/>
      <c r="AB841" s="38"/>
      <c r="AC841" s="38"/>
    </row>
    <row r="842" spans="1:29" ht="12.75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  <c r="AA842" s="38"/>
      <c r="AB842" s="38"/>
      <c r="AC842" s="38"/>
    </row>
    <row r="843" spans="1:29" ht="12.75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  <c r="AA843" s="38"/>
      <c r="AB843" s="38"/>
      <c r="AC843" s="38"/>
    </row>
    <row r="844" spans="1:29" ht="12.75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  <c r="AA844" s="38"/>
      <c r="AB844" s="38"/>
      <c r="AC844" s="38"/>
    </row>
    <row r="845" spans="1:29" ht="12.75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  <c r="AA845" s="38"/>
      <c r="AB845" s="38"/>
      <c r="AC845" s="38"/>
    </row>
    <row r="846" spans="1:29" ht="12.75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  <c r="AA846" s="38"/>
      <c r="AB846" s="38"/>
      <c r="AC846" s="38"/>
    </row>
    <row r="847" spans="1:29" ht="12.75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  <c r="AA847" s="38"/>
      <c r="AB847" s="38"/>
      <c r="AC847" s="38"/>
    </row>
    <row r="848" spans="1:29" ht="12.75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  <c r="AA848" s="38"/>
      <c r="AB848" s="38"/>
      <c r="AC848" s="38"/>
    </row>
    <row r="849" spans="1:29" ht="12.75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  <c r="AA849" s="38"/>
      <c r="AB849" s="38"/>
      <c r="AC849" s="38"/>
    </row>
    <row r="850" spans="1:29" ht="12.75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  <c r="AA850" s="38"/>
      <c r="AB850" s="38"/>
      <c r="AC850" s="38"/>
    </row>
    <row r="851" spans="1:29" ht="12.75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  <c r="AA851" s="38"/>
      <c r="AB851" s="38"/>
      <c r="AC851" s="38"/>
    </row>
    <row r="852" spans="1:29" ht="12.75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  <c r="AA852" s="38"/>
      <c r="AB852" s="38"/>
      <c r="AC852" s="38"/>
    </row>
    <row r="853" spans="1:29" ht="12.75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  <c r="AA853" s="38"/>
      <c r="AB853" s="38"/>
      <c r="AC853" s="38"/>
    </row>
    <row r="854" spans="1:29" ht="12.75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  <c r="AA854" s="38"/>
      <c r="AB854" s="38"/>
      <c r="AC854" s="38"/>
    </row>
    <row r="855" spans="1:29" ht="12.75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  <c r="AA855" s="38"/>
      <c r="AB855" s="38"/>
      <c r="AC855" s="38"/>
    </row>
    <row r="856" spans="1:29" ht="12.75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  <c r="AA856" s="38"/>
      <c r="AB856" s="38"/>
      <c r="AC856" s="38"/>
    </row>
    <row r="857" spans="1:29" ht="12.75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  <c r="AA857" s="38"/>
      <c r="AB857" s="38"/>
      <c r="AC857" s="38"/>
    </row>
    <row r="858" spans="1:29" ht="12.75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  <c r="AA858" s="38"/>
      <c r="AB858" s="38"/>
      <c r="AC858" s="38"/>
    </row>
    <row r="859" spans="1:29" ht="12.75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  <c r="AA859" s="38"/>
      <c r="AB859" s="38"/>
      <c r="AC859" s="38"/>
    </row>
    <row r="860" spans="1:29" ht="12.75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  <c r="AA860" s="38"/>
      <c r="AB860" s="38"/>
      <c r="AC860" s="38"/>
    </row>
    <row r="861" spans="1:29" ht="12.75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  <c r="AA861" s="38"/>
      <c r="AB861" s="38"/>
      <c r="AC861" s="38"/>
    </row>
    <row r="862" spans="1:29" ht="12.75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  <c r="AA862" s="38"/>
      <c r="AB862" s="38"/>
      <c r="AC862" s="38"/>
    </row>
    <row r="863" spans="1:29" ht="12.75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  <c r="AA863" s="38"/>
      <c r="AB863" s="38"/>
      <c r="AC863" s="38"/>
    </row>
    <row r="864" spans="1:29" ht="12.75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  <c r="AA864" s="38"/>
      <c r="AB864" s="38"/>
      <c r="AC864" s="38"/>
    </row>
    <row r="865" spans="1:29" ht="12.75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  <c r="AA865" s="38"/>
      <c r="AB865" s="38"/>
      <c r="AC865" s="38"/>
    </row>
    <row r="866" spans="1:29" ht="12.75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  <c r="AA866" s="38"/>
      <c r="AB866" s="38"/>
      <c r="AC866" s="38"/>
    </row>
    <row r="867" spans="1:29" ht="12.75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  <c r="AA867" s="38"/>
      <c r="AB867" s="38"/>
      <c r="AC867" s="38"/>
    </row>
    <row r="868" spans="1:29" ht="12.75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  <c r="AA868" s="38"/>
      <c r="AB868" s="38"/>
      <c r="AC868" s="38"/>
    </row>
    <row r="869" spans="1:29" ht="12.75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  <c r="AA869" s="38"/>
      <c r="AB869" s="38"/>
      <c r="AC869" s="38"/>
    </row>
    <row r="870" spans="1:29" ht="12.75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  <c r="AA870" s="38"/>
      <c r="AB870" s="38"/>
      <c r="AC870" s="38"/>
    </row>
    <row r="871" spans="1:29" ht="12.75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  <c r="AA871" s="38"/>
      <c r="AB871" s="38"/>
      <c r="AC871" s="38"/>
    </row>
    <row r="872" spans="1:29" ht="12.75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  <c r="AA872" s="38"/>
      <c r="AB872" s="38"/>
      <c r="AC872" s="38"/>
    </row>
    <row r="873" spans="1:29" ht="12.75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  <c r="AA873" s="38"/>
      <c r="AB873" s="38"/>
      <c r="AC873" s="38"/>
    </row>
    <row r="874" spans="1:29" ht="12.75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  <c r="AA874" s="38"/>
      <c r="AB874" s="38"/>
      <c r="AC874" s="38"/>
    </row>
    <row r="875" spans="1:29" ht="12.75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  <c r="AA875" s="38"/>
      <c r="AB875" s="38"/>
      <c r="AC875" s="38"/>
    </row>
    <row r="876" spans="1:29" ht="12.75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  <c r="AA876" s="38"/>
      <c r="AB876" s="38"/>
      <c r="AC876" s="38"/>
    </row>
    <row r="877" spans="1:29" ht="12.75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  <c r="AA877" s="38"/>
      <c r="AB877" s="38"/>
      <c r="AC877" s="38"/>
    </row>
    <row r="878" spans="1:29" ht="12.75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  <c r="AA878" s="38"/>
      <c r="AB878" s="38"/>
      <c r="AC878" s="38"/>
    </row>
    <row r="879" spans="1:29" ht="12.75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  <c r="AA879" s="38"/>
      <c r="AB879" s="38"/>
      <c r="AC879" s="38"/>
    </row>
    <row r="880" spans="1:29" ht="12.75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  <c r="AA880" s="38"/>
      <c r="AB880" s="38"/>
      <c r="AC880" s="38"/>
    </row>
    <row r="881" spans="1:29" ht="12.75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  <c r="AA881" s="38"/>
      <c r="AB881" s="38"/>
      <c r="AC881" s="38"/>
    </row>
    <row r="882" spans="1:29" ht="12.75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  <c r="AA882" s="38"/>
      <c r="AB882" s="38"/>
      <c r="AC882" s="38"/>
    </row>
    <row r="883" spans="1:29" ht="12.75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  <c r="AA883" s="38"/>
      <c r="AB883" s="38"/>
      <c r="AC883" s="38"/>
    </row>
    <row r="884" spans="1:29" ht="12.75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  <c r="AA884" s="38"/>
      <c r="AB884" s="38"/>
      <c r="AC884" s="38"/>
    </row>
    <row r="885" spans="1:29" ht="12.75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  <c r="AA885" s="38"/>
      <c r="AB885" s="38"/>
      <c r="AC885" s="38"/>
    </row>
    <row r="886" spans="1:29" ht="12.75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  <c r="AA886" s="38"/>
      <c r="AB886" s="38"/>
      <c r="AC886" s="38"/>
    </row>
    <row r="887" spans="1:29" ht="12.75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  <c r="AA887" s="38"/>
      <c r="AB887" s="38"/>
      <c r="AC887" s="38"/>
    </row>
    <row r="888" spans="1:29" ht="12.75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  <c r="AA888" s="38"/>
      <c r="AB888" s="38"/>
      <c r="AC888" s="38"/>
    </row>
    <row r="889" spans="1:29" ht="12.75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  <c r="AA889" s="38"/>
      <c r="AB889" s="38"/>
      <c r="AC889" s="38"/>
    </row>
    <row r="890" spans="1:29" ht="12.75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  <c r="AA890" s="38"/>
      <c r="AB890" s="38"/>
      <c r="AC890" s="38"/>
    </row>
    <row r="891" spans="1:29" ht="12.75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  <c r="AA891" s="38"/>
      <c r="AB891" s="38"/>
      <c r="AC891" s="38"/>
    </row>
    <row r="892" spans="1:29" ht="12.75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  <c r="AA892" s="38"/>
      <c r="AB892" s="38"/>
      <c r="AC892" s="38"/>
    </row>
    <row r="893" spans="1:29" ht="12.75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  <c r="AA893" s="38"/>
      <c r="AB893" s="38"/>
      <c r="AC893" s="38"/>
    </row>
    <row r="894" spans="1:29" ht="12.75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  <c r="AA894" s="38"/>
      <c r="AB894" s="38"/>
      <c r="AC894" s="38"/>
    </row>
    <row r="895" spans="1:29" ht="12.75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  <c r="AA895" s="38"/>
      <c r="AB895" s="38"/>
      <c r="AC895" s="38"/>
    </row>
    <row r="896" spans="1:29" ht="12.75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  <c r="AA896" s="38"/>
      <c r="AB896" s="38"/>
      <c r="AC896" s="38"/>
    </row>
    <row r="897" spans="1:29" ht="12.75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  <c r="AA897" s="38"/>
      <c r="AB897" s="38"/>
      <c r="AC897" s="38"/>
    </row>
    <row r="898" spans="1:29" ht="12.75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  <c r="AA898" s="38"/>
      <c r="AB898" s="38"/>
      <c r="AC898" s="38"/>
    </row>
    <row r="899" spans="1:29" ht="12.75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  <c r="AA899" s="38"/>
      <c r="AB899" s="38"/>
      <c r="AC899" s="38"/>
    </row>
    <row r="900" spans="1:29" ht="12.75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  <c r="AA900" s="38"/>
      <c r="AB900" s="38"/>
      <c r="AC900" s="38"/>
    </row>
    <row r="901" spans="1:29" ht="12.75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  <c r="AA901" s="38"/>
      <c r="AB901" s="38"/>
      <c r="AC901" s="38"/>
    </row>
    <row r="902" spans="1:29" ht="12.75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  <c r="AA902" s="38"/>
      <c r="AB902" s="38"/>
      <c r="AC902" s="38"/>
    </row>
    <row r="903" spans="1:29" ht="12.75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  <c r="AA903" s="38"/>
      <c r="AB903" s="38"/>
      <c r="AC903" s="38"/>
    </row>
    <row r="904" spans="1:29" ht="12.75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  <c r="AA904" s="38"/>
      <c r="AB904" s="38"/>
      <c r="AC904" s="38"/>
    </row>
    <row r="905" spans="1:29" ht="12.75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  <c r="AA905" s="38"/>
      <c r="AB905" s="38"/>
      <c r="AC905" s="38"/>
    </row>
    <row r="906" spans="1:29" ht="12.75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  <c r="AA906" s="38"/>
      <c r="AB906" s="38"/>
      <c r="AC906" s="38"/>
    </row>
    <row r="907" spans="1:29" ht="12.75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  <c r="AA907" s="38"/>
      <c r="AB907" s="38"/>
      <c r="AC907" s="38"/>
    </row>
    <row r="908" spans="1:29" ht="12.75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  <c r="AA908" s="38"/>
      <c r="AB908" s="38"/>
      <c r="AC908" s="38"/>
    </row>
    <row r="909" spans="1:29" ht="12.75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  <c r="AA909" s="38"/>
      <c r="AB909" s="38"/>
      <c r="AC909" s="38"/>
    </row>
    <row r="910" spans="1:29" ht="12.75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  <c r="AA910" s="38"/>
      <c r="AB910" s="38"/>
      <c r="AC910" s="38"/>
    </row>
    <row r="911" spans="1:29" ht="12.75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  <c r="AA911" s="38"/>
      <c r="AB911" s="38"/>
      <c r="AC911" s="38"/>
    </row>
    <row r="912" spans="1:29" ht="12.75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  <c r="AA912" s="38"/>
      <c r="AB912" s="38"/>
      <c r="AC912" s="38"/>
    </row>
    <row r="913" spans="1:29" ht="12.75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  <c r="AA913" s="38"/>
      <c r="AB913" s="38"/>
      <c r="AC913" s="38"/>
    </row>
    <row r="914" spans="1:29" ht="12.75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  <c r="AA914" s="38"/>
      <c r="AB914" s="38"/>
      <c r="AC914" s="38"/>
    </row>
    <row r="915" spans="1:29" ht="12.75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  <c r="AA915" s="38"/>
      <c r="AB915" s="38"/>
      <c r="AC915" s="38"/>
    </row>
    <row r="916" spans="1:29" ht="12.75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  <c r="AA916" s="38"/>
      <c r="AB916" s="38"/>
      <c r="AC916" s="38"/>
    </row>
    <row r="917" spans="1:29" ht="12.75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  <c r="AA917" s="38"/>
      <c r="AB917" s="38"/>
      <c r="AC917" s="38"/>
    </row>
    <row r="918" spans="1:29" ht="12.75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  <c r="AA918" s="38"/>
      <c r="AB918" s="38"/>
      <c r="AC918" s="38"/>
    </row>
    <row r="919" spans="1:29" ht="12.75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  <c r="AA919" s="38"/>
      <c r="AB919" s="38"/>
      <c r="AC919" s="38"/>
    </row>
    <row r="920" spans="1:29" ht="12.75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  <c r="AA920" s="38"/>
      <c r="AB920" s="38"/>
      <c r="AC920" s="38"/>
    </row>
    <row r="921" spans="1:29" ht="12.75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  <c r="AA921" s="38"/>
      <c r="AB921" s="38"/>
      <c r="AC921" s="38"/>
    </row>
    <row r="922" spans="1:29" ht="12.75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  <c r="AA922" s="38"/>
      <c r="AB922" s="38"/>
      <c r="AC922" s="38"/>
    </row>
    <row r="923" spans="1:29" ht="12.75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  <c r="AA923" s="38"/>
      <c r="AB923" s="38"/>
      <c r="AC923" s="38"/>
    </row>
    <row r="924" spans="1:29" ht="12.75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  <c r="AA924" s="38"/>
      <c r="AB924" s="38"/>
      <c r="AC924" s="38"/>
    </row>
    <row r="925" spans="1:29" ht="12.75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  <c r="AA925" s="38"/>
      <c r="AB925" s="38"/>
      <c r="AC925" s="38"/>
    </row>
    <row r="926" spans="1:29" ht="12.75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  <c r="AA926" s="38"/>
      <c r="AB926" s="38"/>
      <c r="AC926" s="38"/>
    </row>
    <row r="927" spans="1:29" ht="12.75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  <c r="AA927" s="38"/>
      <c r="AB927" s="38"/>
      <c r="AC927" s="38"/>
    </row>
    <row r="928" spans="1:29" ht="12.75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  <c r="AA928" s="38"/>
      <c r="AB928" s="38"/>
      <c r="AC928" s="38"/>
    </row>
    <row r="929" spans="1:29" ht="12.75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  <c r="AA929" s="38"/>
      <c r="AB929" s="38"/>
      <c r="AC929" s="38"/>
    </row>
    <row r="930" spans="1:29" ht="12.75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  <c r="AA930" s="38"/>
      <c r="AB930" s="38"/>
      <c r="AC930" s="38"/>
    </row>
    <row r="931" spans="1:29" ht="12.75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  <c r="AA931" s="38"/>
      <c r="AB931" s="38"/>
      <c r="AC931" s="38"/>
    </row>
    <row r="932" spans="1:29" ht="12.75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  <c r="AA932" s="38"/>
      <c r="AB932" s="38"/>
      <c r="AC932" s="38"/>
    </row>
    <row r="933" spans="1:29" ht="12.75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  <c r="AA933" s="38"/>
      <c r="AB933" s="38"/>
      <c r="AC933" s="38"/>
    </row>
    <row r="934" spans="1:29" ht="12.75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  <c r="AA934" s="38"/>
      <c r="AB934" s="38"/>
      <c r="AC934" s="38"/>
    </row>
    <row r="935" spans="1:29" ht="12.75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  <c r="AA935" s="38"/>
      <c r="AB935" s="38"/>
      <c r="AC935" s="38"/>
    </row>
    <row r="936" spans="1:29" ht="12.75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  <c r="AA936" s="38"/>
      <c r="AB936" s="38"/>
      <c r="AC936" s="38"/>
    </row>
    <row r="937" spans="1:29" ht="12.75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  <c r="AA937" s="38"/>
      <c r="AB937" s="38"/>
      <c r="AC937" s="38"/>
    </row>
    <row r="938" spans="1:29" ht="12.75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  <c r="AA938" s="38"/>
      <c r="AB938" s="38"/>
      <c r="AC938" s="38"/>
    </row>
    <row r="939" spans="1:29" ht="12.75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  <c r="AA939" s="38"/>
      <c r="AB939" s="38"/>
      <c r="AC939" s="38"/>
    </row>
    <row r="940" spans="1:29" ht="12.75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  <c r="AA940" s="38"/>
      <c r="AB940" s="38"/>
      <c r="AC940" s="38"/>
    </row>
    <row r="941" spans="1:29" ht="12.75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  <c r="AA941" s="38"/>
      <c r="AB941" s="38"/>
      <c r="AC941" s="38"/>
    </row>
    <row r="942" spans="1:29" ht="12.75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  <c r="AA942" s="38"/>
      <c r="AB942" s="38"/>
      <c r="AC942" s="38"/>
    </row>
    <row r="943" spans="1:29" ht="12.75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  <c r="AA943" s="38"/>
      <c r="AB943" s="38"/>
      <c r="AC943" s="38"/>
    </row>
    <row r="944" spans="1:29" ht="12.75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  <c r="AA944" s="38"/>
      <c r="AB944" s="38"/>
      <c r="AC944" s="38"/>
    </row>
    <row r="945" spans="1:29" ht="12.75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  <c r="AA945" s="38"/>
      <c r="AB945" s="38"/>
      <c r="AC945" s="38"/>
    </row>
    <row r="946" spans="1:29" ht="12.75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  <c r="AA946" s="38"/>
      <c r="AB946" s="38"/>
      <c r="AC946" s="38"/>
    </row>
    <row r="947" spans="1:29" ht="12.75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  <c r="AA947" s="38"/>
      <c r="AB947" s="38"/>
      <c r="AC947" s="38"/>
    </row>
    <row r="948" spans="1:29" ht="12.75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  <c r="AA948" s="38"/>
      <c r="AB948" s="38"/>
      <c r="AC948" s="38"/>
    </row>
    <row r="949" spans="1:29" ht="12.75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  <c r="AA949" s="38"/>
      <c r="AB949" s="38"/>
      <c r="AC949" s="38"/>
    </row>
    <row r="950" spans="1:29" ht="12.75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  <c r="AA950" s="38"/>
      <c r="AB950" s="38"/>
      <c r="AC950" s="38"/>
    </row>
    <row r="951" spans="1:29" ht="12.75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  <c r="AA951" s="38"/>
      <c r="AB951" s="38"/>
      <c r="AC951" s="38"/>
    </row>
    <row r="952" spans="1:29" ht="12.75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  <c r="AA952" s="38"/>
      <c r="AB952" s="38"/>
      <c r="AC952" s="38"/>
    </row>
    <row r="953" spans="1:29" ht="12.75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  <c r="AA953" s="38"/>
      <c r="AB953" s="38"/>
      <c r="AC953" s="38"/>
    </row>
    <row r="954" spans="1:29" ht="12.75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  <c r="AA954" s="38"/>
      <c r="AB954" s="38"/>
      <c r="AC954" s="38"/>
    </row>
    <row r="955" spans="1:29" ht="12.75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  <c r="AA955" s="38"/>
      <c r="AB955" s="38"/>
      <c r="AC955" s="38"/>
    </row>
    <row r="956" spans="1:29" ht="12.75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  <c r="AA956" s="38"/>
      <c r="AB956" s="38"/>
      <c r="AC956" s="38"/>
    </row>
    <row r="957" spans="1:29" ht="12.75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  <c r="AA957" s="38"/>
      <c r="AB957" s="38"/>
      <c r="AC957" s="38"/>
    </row>
    <row r="958" spans="1:29" ht="12.75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  <c r="AA958" s="38"/>
      <c r="AB958" s="38"/>
      <c r="AC958" s="38"/>
    </row>
    <row r="959" spans="1:29" ht="12.75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  <c r="AA959" s="38"/>
      <c r="AB959" s="38"/>
      <c r="AC959" s="38"/>
    </row>
    <row r="960" spans="1:29" ht="12.75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  <c r="AA960" s="38"/>
      <c r="AB960" s="38"/>
      <c r="AC960" s="38"/>
    </row>
    <row r="961" spans="1:29" ht="12.75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  <c r="AA961" s="38"/>
      <c r="AB961" s="38"/>
      <c r="AC961" s="38"/>
    </row>
    <row r="962" spans="1:29" ht="12.75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  <c r="AA962" s="38"/>
      <c r="AB962" s="38"/>
      <c r="AC962" s="38"/>
    </row>
    <row r="963" spans="1:29" ht="12.75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  <c r="AA963" s="38"/>
      <c r="AB963" s="38"/>
      <c r="AC963" s="38"/>
    </row>
    <row r="964" spans="1:29" ht="12.75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  <c r="AA964" s="38"/>
      <c r="AB964" s="38"/>
      <c r="AC964" s="38"/>
    </row>
    <row r="965" spans="1:29" ht="12.75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  <c r="AA965" s="38"/>
      <c r="AB965" s="38"/>
      <c r="AC965" s="38"/>
    </row>
    <row r="966" spans="1:29" ht="12.75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  <c r="AA966" s="38"/>
      <c r="AB966" s="38"/>
      <c r="AC966" s="38"/>
    </row>
    <row r="967" spans="1:29" ht="12.75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  <c r="AA967" s="38"/>
      <c r="AB967" s="38"/>
      <c r="AC967" s="38"/>
    </row>
    <row r="968" spans="1:29" ht="12.75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  <c r="AA968" s="38"/>
      <c r="AB968" s="38"/>
      <c r="AC968" s="38"/>
    </row>
    <row r="969" spans="1:29" ht="12.75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  <c r="AA969" s="38"/>
      <c r="AB969" s="38"/>
      <c r="AC969" s="38"/>
    </row>
    <row r="970" spans="1:29" ht="12.75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  <c r="AA970" s="38"/>
      <c r="AB970" s="38"/>
      <c r="AC970" s="38"/>
    </row>
    <row r="971" spans="1:29" ht="12.75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  <c r="AA971" s="38"/>
      <c r="AB971" s="38"/>
      <c r="AC971" s="38"/>
    </row>
    <row r="972" spans="1:29" ht="12.75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  <c r="AA972" s="38"/>
      <c r="AB972" s="38"/>
      <c r="AC972" s="38"/>
    </row>
    <row r="973" spans="1:29" ht="12.75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  <c r="AA973" s="38"/>
      <c r="AB973" s="38"/>
      <c r="AC973" s="38"/>
    </row>
    <row r="974" spans="1:29" ht="12.75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  <c r="AA974" s="38"/>
      <c r="AB974" s="38"/>
      <c r="AC974" s="38"/>
    </row>
    <row r="975" spans="1:29" ht="12.75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  <c r="AA975" s="38"/>
      <c r="AB975" s="38"/>
      <c r="AC975" s="38"/>
    </row>
    <row r="976" spans="1:29" ht="12.75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  <c r="AA976" s="38"/>
      <c r="AB976" s="38"/>
      <c r="AC976" s="38"/>
    </row>
    <row r="977" spans="1:29" ht="12.75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  <c r="AA977" s="38"/>
      <c r="AB977" s="38"/>
      <c r="AC977" s="38"/>
    </row>
    <row r="978" spans="1:29" ht="12.75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  <c r="AA978" s="38"/>
      <c r="AB978" s="38"/>
      <c r="AC978" s="38"/>
    </row>
    <row r="979" spans="1:29" ht="12.75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  <c r="AA979" s="38"/>
      <c r="AB979" s="38"/>
      <c r="AC979" s="38"/>
    </row>
    <row r="980" spans="1:29" ht="12.75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  <c r="AA980" s="38"/>
      <c r="AB980" s="38"/>
      <c r="AC980" s="38"/>
    </row>
    <row r="981" spans="1:29" ht="12.75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  <c r="AA981" s="38"/>
      <c r="AB981" s="38"/>
      <c r="AC981" s="38"/>
    </row>
    <row r="982" spans="1:29" ht="12.75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  <c r="AA982" s="38"/>
      <c r="AB982" s="38"/>
      <c r="AC982" s="38"/>
    </row>
    <row r="983" spans="1:29" ht="12.75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  <c r="AA983" s="38"/>
      <c r="AB983" s="38"/>
      <c r="AC983" s="38"/>
    </row>
    <row r="984" spans="1:29" ht="12.75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  <c r="AA984" s="38"/>
      <c r="AB984" s="38"/>
      <c r="AC984" s="38"/>
    </row>
  </sheetData>
  <phoneticPr fontId="67" type="noConversion"/>
  <conditionalFormatting sqref="E3">
    <cfRule type="cellIs" dxfId="1" priority="1" operator="notEqual">
      <formula>"c3"</formula>
    </cfRule>
  </conditionalFormatting>
  <conditionalFormatting sqref="E4">
    <cfRule type="notContainsBlanks" dxfId="0" priority="2">
      <formula>LEN(TRIM(E4))&gt;0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R25"/>
  <sheetViews>
    <sheetView workbookViewId="0">
      <pane ySplit="2" topLeftCell="A3" activePane="bottomLeft" state="frozen"/>
      <selection pane="bottomLeft" activeCell="B4" sqref="B4"/>
    </sheetView>
  </sheetViews>
  <sheetFormatPr defaultColWidth="12.7109375" defaultRowHeight="15.75" customHeight="1"/>
  <sheetData>
    <row r="1" spans="1:18" ht="30.75">
      <c r="B1" s="1"/>
      <c r="C1" s="1"/>
      <c r="D1" s="1"/>
      <c r="E1" s="1"/>
      <c r="F1" s="2" t="s">
        <v>0</v>
      </c>
      <c r="G1" s="1"/>
      <c r="H1" s="1"/>
      <c r="I1" s="1"/>
      <c r="J1" s="1"/>
      <c r="K1" s="1"/>
      <c r="L1" s="3"/>
      <c r="M1" s="4"/>
      <c r="N1" s="4" t="s">
        <v>1</v>
      </c>
      <c r="O1" s="5" t="s">
        <v>43</v>
      </c>
      <c r="P1" s="5"/>
      <c r="Q1" s="5"/>
      <c r="R1" s="5"/>
    </row>
    <row r="2" spans="1:18" ht="16.5">
      <c r="A2" s="22" t="s">
        <v>3</v>
      </c>
      <c r="B2" s="22" t="s">
        <v>4</v>
      </c>
      <c r="C2" s="22" t="s">
        <v>5</v>
      </c>
      <c r="D2" s="22" t="s">
        <v>6</v>
      </c>
      <c r="E2" s="22" t="s">
        <v>7</v>
      </c>
      <c r="F2" s="23" t="s">
        <v>8</v>
      </c>
      <c r="G2" s="24" t="s">
        <v>9</v>
      </c>
      <c r="H2" s="23" t="s">
        <v>10</v>
      </c>
      <c r="I2" s="22" t="s">
        <v>11</v>
      </c>
      <c r="J2" s="22" t="s">
        <v>12</v>
      </c>
      <c r="K2" s="22" t="s">
        <v>13</v>
      </c>
      <c r="L2" s="22" t="s">
        <v>14</v>
      </c>
      <c r="M2" s="22" t="s">
        <v>15</v>
      </c>
      <c r="N2" s="22" t="s">
        <v>16</v>
      </c>
      <c r="O2" s="22" t="s">
        <v>17</v>
      </c>
      <c r="P2" s="25"/>
      <c r="Q2" s="25" t="s">
        <v>18</v>
      </c>
      <c r="R2" s="25" t="s">
        <v>19</v>
      </c>
    </row>
    <row r="3" spans="1:18" ht="38.25" customHeight="1">
      <c r="A3" s="8">
        <v>1</v>
      </c>
      <c r="B3" s="26" t="s">
        <v>20</v>
      </c>
      <c r="C3" s="26">
        <v>5</v>
      </c>
      <c r="D3" s="27">
        <v>214000</v>
      </c>
      <c r="E3" s="27">
        <v>8900</v>
      </c>
      <c r="F3" s="27">
        <v>6230</v>
      </c>
      <c r="G3" s="27">
        <v>5</v>
      </c>
      <c r="H3" s="27">
        <v>4950</v>
      </c>
      <c r="I3" s="27">
        <v>30589</v>
      </c>
      <c r="J3" s="28">
        <v>0.1429</v>
      </c>
      <c r="K3" s="27">
        <v>304</v>
      </c>
      <c r="L3" s="27">
        <v>11999</v>
      </c>
      <c r="M3" s="27">
        <v>37234</v>
      </c>
      <c r="N3" s="27">
        <v>2400</v>
      </c>
      <c r="O3" s="29">
        <v>0.78200000000000003</v>
      </c>
      <c r="P3" s="30"/>
      <c r="Q3" s="31">
        <v>0.78500000000000003</v>
      </c>
      <c r="R3" s="31">
        <v>-2.7102803738318082E-3</v>
      </c>
    </row>
    <row r="4" spans="1:18" ht="38.25" customHeight="1">
      <c r="A4" s="8">
        <v>2</v>
      </c>
      <c r="B4" s="26" t="s">
        <v>21</v>
      </c>
      <c r="C4" s="26">
        <v>6</v>
      </c>
      <c r="D4" s="27">
        <v>47562</v>
      </c>
      <c r="E4" s="27">
        <v>3643</v>
      </c>
      <c r="F4" s="27">
        <v>2551</v>
      </c>
      <c r="G4" s="27">
        <v>5</v>
      </c>
      <c r="H4" s="27">
        <v>1103</v>
      </c>
      <c r="I4" s="27">
        <v>12080</v>
      </c>
      <c r="J4" s="28">
        <v>0.3216</v>
      </c>
      <c r="K4" s="27">
        <v>0</v>
      </c>
      <c r="L4" s="27">
        <v>792</v>
      </c>
      <c r="M4" s="27">
        <v>100</v>
      </c>
      <c r="N4" s="27">
        <v>198</v>
      </c>
      <c r="O4" s="29">
        <v>0.82</v>
      </c>
      <c r="P4" s="32"/>
      <c r="Q4" s="31">
        <v>0.80999999999999994</v>
      </c>
      <c r="R4" s="31">
        <v>2.9591466511864617E-3</v>
      </c>
    </row>
    <row r="5" spans="1:18" ht="38.25" customHeight="1">
      <c r="A5" s="8">
        <v>3</v>
      </c>
      <c r="B5" s="26" t="s">
        <v>22</v>
      </c>
      <c r="C5" s="26">
        <v>9</v>
      </c>
      <c r="D5" s="27">
        <v>375111</v>
      </c>
      <c r="E5" s="27">
        <v>20354</v>
      </c>
      <c r="F5" s="27">
        <v>14248</v>
      </c>
      <c r="G5" s="27">
        <v>9</v>
      </c>
      <c r="H5" s="27">
        <v>12173</v>
      </c>
      <c r="I5" s="27">
        <v>71633</v>
      </c>
      <c r="J5" s="28">
        <v>0.191</v>
      </c>
      <c r="K5" s="27">
        <v>174</v>
      </c>
      <c r="L5" s="27">
        <v>19448</v>
      </c>
      <c r="M5" s="27">
        <v>4103</v>
      </c>
      <c r="N5" s="27">
        <v>692</v>
      </c>
      <c r="O5" s="29">
        <v>0.78700000000000003</v>
      </c>
      <c r="P5" s="33"/>
      <c r="Q5" s="31">
        <v>0.78749999999999998</v>
      </c>
      <c r="R5" s="31">
        <v>-6.5933816923546829E-5</v>
      </c>
    </row>
    <row r="6" spans="1:18" ht="38.25" customHeight="1">
      <c r="A6" s="8">
        <v>4</v>
      </c>
      <c r="B6" s="26" t="s">
        <v>23</v>
      </c>
      <c r="C6" s="26">
        <v>4</v>
      </c>
      <c r="D6" s="27">
        <v>182300</v>
      </c>
      <c r="E6" s="27">
        <v>7812</v>
      </c>
      <c r="F6" s="27">
        <v>5469</v>
      </c>
      <c r="G6" s="27">
        <v>3</v>
      </c>
      <c r="H6" s="27">
        <v>1659</v>
      </c>
      <c r="I6" s="27">
        <v>27609</v>
      </c>
      <c r="J6" s="28">
        <v>0.27629999999999999</v>
      </c>
      <c r="K6" s="27">
        <v>181</v>
      </c>
      <c r="L6" s="27">
        <v>8698</v>
      </c>
      <c r="M6" s="27">
        <v>7655</v>
      </c>
      <c r="N6" s="27">
        <v>1367</v>
      </c>
      <c r="O6" s="29">
        <v>0.76800000000000002</v>
      </c>
      <c r="P6" s="33"/>
      <c r="Q6" s="31">
        <v>0.76333333333333331</v>
      </c>
      <c r="R6" s="31">
        <v>-2.3333333333333206E-2</v>
      </c>
    </row>
    <row r="7" spans="1:18" ht="38.25" customHeight="1">
      <c r="A7" s="8">
        <v>5</v>
      </c>
      <c r="B7" s="26" t="s">
        <v>24</v>
      </c>
      <c r="C7" s="26">
        <v>13</v>
      </c>
      <c r="D7" s="27">
        <v>623840</v>
      </c>
      <c r="E7" s="27">
        <v>23857</v>
      </c>
      <c r="F7" s="27">
        <v>16700</v>
      </c>
      <c r="G7" s="27">
        <v>12</v>
      </c>
      <c r="H7" s="27">
        <v>13023</v>
      </c>
      <c r="I7" s="27">
        <v>64827</v>
      </c>
      <c r="J7" s="28">
        <v>0.11600000000000001</v>
      </c>
      <c r="K7" s="27">
        <v>2032</v>
      </c>
      <c r="L7" s="27">
        <v>61408</v>
      </c>
      <c r="M7" s="27">
        <v>92790</v>
      </c>
      <c r="N7" s="27">
        <v>6632</v>
      </c>
      <c r="O7" s="29">
        <v>0.75700000000000001</v>
      </c>
      <c r="P7" s="33"/>
      <c r="Q7" s="31">
        <v>0.74399999999999999</v>
      </c>
      <c r="R7" s="31">
        <v>1.2786915754061989E-2</v>
      </c>
    </row>
    <row r="8" spans="1:18" ht="38.25" customHeight="1">
      <c r="A8" s="8">
        <v>6</v>
      </c>
      <c r="B8" s="26" t="s">
        <v>25</v>
      </c>
      <c r="C8" s="26">
        <v>9</v>
      </c>
      <c r="D8" s="27">
        <v>480000</v>
      </c>
      <c r="E8" s="27">
        <v>17171</v>
      </c>
      <c r="F8" s="27">
        <v>12030</v>
      </c>
      <c r="G8" s="27">
        <v>9</v>
      </c>
      <c r="H8" s="27">
        <v>6835</v>
      </c>
      <c r="I8" s="27">
        <v>81414</v>
      </c>
      <c r="J8" s="28">
        <v>0.1696</v>
      </c>
      <c r="K8" s="27">
        <v>388</v>
      </c>
      <c r="L8" s="27">
        <v>5649</v>
      </c>
      <c r="M8" s="27">
        <v>10445</v>
      </c>
      <c r="N8" s="27">
        <v>5929</v>
      </c>
      <c r="O8" s="29">
        <v>0.76400000000000001</v>
      </c>
      <c r="P8" s="33"/>
      <c r="Q8" s="31">
        <v>0.76111111111111107</v>
      </c>
      <c r="R8" s="31">
        <v>2.7847222222222578E-3</v>
      </c>
    </row>
    <row r="9" spans="1:18" ht="38.25" customHeight="1">
      <c r="A9" s="8">
        <v>7</v>
      </c>
      <c r="B9" s="26" t="s">
        <v>26</v>
      </c>
      <c r="C9" s="26">
        <v>14</v>
      </c>
      <c r="D9" s="27">
        <v>448018</v>
      </c>
      <c r="E9" s="27">
        <v>21975</v>
      </c>
      <c r="F9" s="27">
        <v>15384</v>
      </c>
      <c r="G9" s="27">
        <v>14</v>
      </c>
      <c r="H9" s="27">
        <v>13259</v>
      </c>
      <c r="I9" s="27">
        <v>68882</v>
      </c>
      <c r="J9" s="28">
        <v>0.1537</v>
      </c>
      <c r="K9" s="27">
        <v>836</v>
      </c>
      <c r="L9" s="27">
        <v>41313</v>
      </c>
      <c r="M9" s="27">
        <v>15300</v>
      </c>
      <c r="N9" s="27">
        <v>5526</v>
      </c>
      <c r="O9" s="29">
        <v>0.8</v>
      </c>
      <c r="P9" s="33"/>
      <c r="Q9" s="31">
        <v>0.77071428571428569</v>
      </c>
      <c r="R9" s="31">
        <v>2.9511508785042495E-2</v>
      </c>
    </row>
    <row r="10" spans="1:18" ht="38.25" customHeight="1">
      <c r="A10" s="8">
        <v>8</v>
      </c>
      <c r="B10" s="26" t="s">
        <v>27</v>
      </c>
      <c r="C10" s="26">
        <v>4</v>
      </c>
      <c r="D10" s="27">
        <v>109000</v>
      </c>
      <c r="E10" s="27">
        <v>7320</v>
      </c>
      <c r="F10" s="27">
        <v>5125</v>
      </c>
      <c r="G10" s="27">
        <v>3</v>
      </c>
      <c r="H10" s="27">
        <v>2349</v>
      </c>
      <c r="I10" s="27">
        <v>15972</v>
      </c>
      <c r="J10" s="28">
        <v>0.15509999999999999</v>
      </c>
      <c r="K10" s="27">
        <v>4559</v>
      </c>
      <c r="L10" s="27">
        <v>5034</v>
      </c>
      <c r="M10" s="27">
        <v>10793</v>
      </c>
      <c r="N10" s="27">
        <v>2500</v>
      </c>
      <c r="O10" s="29">
        <v>0.77600000000000002</v>
      </c>
      <c r="P10" s="33"/>
      <c r="Q10" s="31">
        <v>0.8</v>
      </c>
      <c r="R10" s="31">
        <v>-2.3592233009708807E-2</v>
      </c>
    </row>
    <row r="11" spans="1:18" ht="38.25" customHeight="1">
      <c r="A11" s="8">
        <v>9</v>
      </c>
      <c r="B11" s="26" t="s">
        <v>28</v>
      </c>
      <c r="C11" s="26">
        <v>5</v>
      </c>
      <c r="D11" s="27">
        <v>129000</v>
      </c>
      <c r="E11" s="27">
        <v>5908</v>
      </c>
      <c r="F11" s="27">
        <v>4137</v>
      </c>
      <c r="G11" s="27">
        <v>5</v>
      </c>
      <c r="H11" s="27">
        <v>5299</v>
      </c>
      <c r="I11" s="27">
        <v>28308</v>
      </c>
      <c r="J11" s="28">
        <v>0.21940000000000001</v>
      </c>
      <c r="K11" s="27">
        <v>190</v>
      </c>
      <c r="L11" s="27">
        <v>1087</v>
      </c>
      <c r="M11" s="27">
        <v>16215</v>
      </c>
      <c r="N11" s="27">
        <v>2789</v>
      </c>
      <c r="O11" s="29">
        <v>0.78100000000000003</v>
      </c>
      <c r="P11" s="33"/>
      <c r="Q11" s="31">
        <v>0.78199999999999992</v>
      </c>
      <c r="R11" s="31">
        <v>-1.2635658914728065E-3</v>
      </c>
    </row>
    <row r="12" spans="1:18" ht="38.25" customHeight="1">
      <c r="A12" s="8">
        <v>10</v>
      </c>
      <c r="B12" s="26" t="s">
        <v>29</v>
      </c>
      <c r="C12" s="26">
        <v>5</v>
      </c>
      <c r="D12" s="27">
        <v>283125</v>
      </c>
      <c r="E12" s="27">
        <v>5763</v>
      </c>
      <c r="F12" s="27">
        <v>4150</v>
      </c>
      <c r="G12" s="27">
        <v>4</v>
      </c>
      <c r="H12" s="27">
        <v>1810</v>
      </c>
      <c r="I12" s="27">
        <v>88637</v>
      </c>
      <c r="J12" s="28">
        <v>0.39460000000000001</v>
      </c>
      <c r="K12" s="27">
        <v>0</v>
      </c>
      <c r="L12" s="27">
        <v>5108</v>
      </c>
      <c r="M12" s="27">
        <v>190</v>
      </c>
      <c r="N12" s="27">
        <v>128</v>
      </c>
      <c r="O12" s="29">
        <v>0.73699999999999999</v>
      </c>
      <c r="P12" s="33"/>
      <c r="Q12" s="31">
        <v>0.77999999999999992</v>
      </c>
      <c r="R12" s="31">
        <v>-4.2745019476905899E-2</v>
      </c>
    </row>
    <row r="13" spans="1:18" ht="38.25" customHeight="1">
      <c r="A13" s="8">
        <v>11</v>
      </c>
      <c r="B13" s="26" t="s">
        <v>30</v>
      </c>
      <c r="C13" s="26">
        <v>11</v>
      </c>
      <c r="D13" s="27">
        <v>518498</v>
      </c>
      <c r="E13" s="27">
        <v>24939</v>
      </c>
      <c r="F13" s="27">
        <v>17458</v>
      </c>
      <c r="G13" s="27">
        <v>5</v>
      </c>
      <c r="H13" s="27">
        <v>6013</v>
      </c>
      <c r="I13" s="27">
        <v>24685</v>
      </c>
      <c r="J13" s="28">
        <v>0.1041</v>
      </c>
      <c r="K13" s="27">
        <v>0</v>
      </c>
      <c r="L13" s="27">
        <v>325</v>
      </c>
      <c r="M13" s="27">
        <v>1130</v>
      </c>
      <c r="N13" s="27">
        <v>0</v>
      </c>
      <c r="O13" s="29">
        <v>0.81899999999999995</v>
      </c>
      <c r="P13" s="33"/>
      <c r="Q13" s="31">
        <v>0.78400000000000003</v>
      </c>
      <c r="R13" s="31">
        <v>3.5097371250289777E-2</v>
      </c>
    </row>
    <row r="14" spans="1:18" ht="38.25" customHeight="1">
      <c r="A14" s="8">
        <v>12</v>
      </c>
      <c r="B14" s="26" t="s">
        <v>31</v>
      </c>
      <c r="C14" s="26">
        <v>7</v>
      </c>
      <c r="D14" s="27">
        <v>136314</v>
      </c>
      <c r="E14" s="27">
        <v>5527</v>
      </c>
      <c r="F14" s="27">
        <v>3868</v>
      </c>
      <c r="G14" s="27">
        <v>6</v>
      </c>
      <c r="H14" s="27">
        <v>1141</v>
      </c>
      <c r="I14" s="27">
        <v>26760</v>
      </c>
      <c r="J14" s="28">
        <v>0.22059999999999999</v>
      </c>
      <c r="K14" s="27">
        <v>170</v>
      </c>
      <c r="L14" s="27">
        <v>200</v>
      </c>
      <c r="M14" s="27">
        <v>2100</v>
      </c>
      <c r="N14" s="27">
        <v>200</v>
      </c>
      <c r="O14" s="29">
        <v>0.76700000000000002</v>
      </c>
      <c r="P14" s="33"/>
      <c r="Q14" s="31">
        <v>0.7683333333333332</v>
      </c>
      <c r="R14" s="31">
        <v>-1.0815734375255737E-3</v>
      </c>
    </row>
    <row r="15" spans="1:18" ht="38.25" customHeight="1">
      <c r="A15" s="8">
        <v>13</v>
      </c>
      <c r="B15" s="26" t="s">
        <v>32</v>
      </c>
      <c r="C15" s="26">
        <v>7</v>
      </c>
      <c r="D15" s="27">
        <v>123129</v>
      </c>
      <c r="E15" s="27">
        <v>2893</v>
      </c>
      <c r="F15" s="27">
        <v>2025</v>
      </c>
      <c r="G15" s="27">
        <v>4</v>
      </c>
      <c r="H15" s="27">
        <v>157</v>
      </c>
      <c r="I15" s="27">
        <v>15950</v>
      </c>
      <c r="J15" s="28">
        <v>0.18360000000000001</v>
      </c>
      <c r="K15" s="27">
        <v>1080</v>
      </c>
      <c r="L15" s="27">
        <v>2000</v>
      </c>
      <c r="M15" s="27">
        <v>6500</v>
      </c>
      <c r="N15" s="27">
        <v>0</v>
      </c>
      <c r="O15" s="29">
        <v>0.70499999999999996</v>
      </c>
      <c r="P15" s="33"/>
      <c r="Q15" s="31">
        <v>0.61750000000000005</v>
      </c>
      <c r="R15" s="31">
        <v>8.7692921046874317E-2</v>
      </c>
    </row>
    <row r="16" spans="1:18" ht="38.25" customHeight="1">
      <c r="A16" s="8">
        <v>14</v>
      </c>
      <c r="B16" s="26" t="s">
        <v>33</v>
      </c>
      <c r="C16" s="26">
        <v>4</v>
      </c>
      <c r="D16" s="27">
        <v>112964</v>
      </c>
      <c r="E16" s="27">
        <v>4383</v>
      </c>
      <c r="F16" s="27">
        <v>3068</v>
      </c>
      <c r="G16" s="27">
        <v>4</v>
      </c>
      <c r="H16" s="27">
        <v>539</v>
      </c>
      <c r="I16" s="27">
        <v>13191</v>
      </c>
      <c r="J16" s="28">
        <v>0.1168</v>
      </c>
      <c r="K16" s="27">
        <v>156</v>
      </c>
      <c r="L16" s="27">
        <v>406</v>
      </c>
      <c r="M16" s="27">
        <v>2136</v>
      </c>
      <c r="N16" s="27">
        <v>0</v>
      </c>
      <c r="O16" s="29">
        <v>0.80300000000000005</v>
      </c>
      <c r="P16" s="32"/>
      <c r="Q16" s="31">
        <v>0.77500000000000002</v>
      </c>
      <c r="R16" s="31">
        <v>9.9454465140249582E-3</v>
      </c>
    </row>
    <row r="17" spans="1:18" ht="38.25" customHeight="1">
      <c r="A17" s="34"/>
      <c r="B17" s="34" t="s">
        <v>34</v>
      </c>
      <c r="C17" s="26">
        <v>103</v>
      </c>
      <c r="D17" s="27">
        <v>3782861</v>
      </c>
      <c r="E17" s="27">
        <v>160445</v>
      </c>
      <c r="F17" s="27">
        <v>112443</v>
      </c>
      <c r="G17" s="27">
        <v>88</v>
      </c>
      <c r="H17" s="27">
        <v>70310</v>
      </c>
      <c r="I17" s="27">
        <v>570537</v>
      </c>
      <c r="J17" s="28">
        <v>0.1767</v>
      </c>
      <c r="K17" s="27">
        <v>10070</v>
      </c>
      <c r="L17" s="27">
        <v>163467</v>
      </c>
      <c r="M17" s="27">
        <v>206691</v>
      </c>
      <c r="N17" s="27">
        <v>28361</v>
      </c>
      <c r="O17" s="29">
        <v>0.77600000000000002</v>
      </c>
      <c r="P17" s="32"/>
      <c r="Q17" s="31">
        <v>0.76632086167800451</v>
      </c>
      <c r="R17" s="31">
        <v>7.451560540849278E-3</v>
      </c>
    </row>
    <row r="18" spans="1:18" ht="16.5">
      <c r="A18" s="473" t="s">
        <v>35</v>
      </c>
      <c r="B18" s="474"/>
      <c r="C18" s="474"/>
      <c r="D18" s="474"/>
      <c r="E18" s="474"/>
      <c r="F18" s="474"/>
      <c r="G18" s="474"/>
      <c r="H18" s="474"/>
      <c r="I18" s="474"/>
      <c r="J18" s="474"/>
      <c r="K18" s="474"/>
      <c r="L18" s="474"/>
      <c r="M18" s="474"/>
      <c r="N18" s="474"/>
      <c r="O18" s="475"/>
      <c r="P18" s="19"/>
      <c r="Q18" s="19"/>
      <c r="R18" s="19"/>
    </row>
    <row r="19" spans="1:18" ht="16.5">
      <c r="A19" s="476" t="s">
        <v>37</v>
      </c>
      <c r="B19" s="477"/>
      <c r="C19" s="477"/>
      <c r="D19" s="477"/>
      <c r="E19" s="477"/>
      <c r="F19" s="477"/>
      <c r="G19" s="477"/>
      <c r="H19" s="477"/>
      <c r="I19" s="477"/>
      <c r="J19" s="477"/>
      <c r="K19" s="477"/>
      <c r="L19" s="477"/>
      <c r="M19" s="477"/>
      <c r="N19" s="477"/>
      <c r="O19" s="478"/>
      <c r="P19" s="21"/>
      <c r="Q19" s="21"/>
      <c r="R19" s="21"/>
    </row>
    <row r="20" spans="1:18" ht="16.5">
      <c r="A20" s="479" t="s">
        <v>39</v>
      </c>
      <c r="B20" s="480"/>
      <c r="C20" s="480"/>
      <c r="D20" s="480"/>
      <c r="E20" s="480"/>
      <c r="F20" s="480"/>
      <c r="G20" s="480"/>
      <c r="H20" s="480"/>
      <c r="I20" s="480"/>
      <c r="J20" s="480"/>
      <c r="K20" s="480"/>
      <c r="L20" s="480"/>
      <c r="M20" s="480"/>
      <c r="N20" s="480"/>
      <c r="O20" s="481"/>
      <c r="P20" s="21"/>
      <c r="Q20" s="21"/>
      <c r="R20" s="21"/>
    </row>
    <row r="21" spans="1:18" ht="16.5">
      <c r="A21" s="21"/>
      <c r="B21" s="21" t="s">
        <v>41</v>
      </c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</row>
    <row r="22" spans="1:18" ht="16.5">
      <c r="A22" s="21"/>
      <c r="B22" s="21" t="s">
        <v>42</v>
      </c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</row>
    <row r="23" spans="1:18" ht="16.5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</row>
    <row r="24" spans="1:18" ht="16.5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</row>
    <row r="25" spans="1:18" ht="16.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</row>
  </sheetData>
  <mergeCells count="3">
    <mergeCell ref="A18:O18"/>
    <mergeCell ref="A19:O19"/>
    <mergeCell ref="A20:O20"/>
  </mergeCells>
  <phoneticPr fontId="67" type="noConversion"/>
  <printOptions horizontalCentered="1"/>
  <pageMargins left="0.7" right="0.7" top="0.75" bottom="0.75" header="0" footer="0"/>
  <pageSetup paperSize="9" pageOrder="overThenDown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R25"/>
  <sheetViews>
    <sheetView workbookViewId="0">
      <pane ySplit="2" topLeftCell="A3" activePane="bottomLeft" state="frozen"/>
      <selection pane="bottomLeft" activeCell="B4" sqref="B4"/>
    </sheetView>
  </sheetViews>
  <sheetFormatPr defaultColWidth="12.7109375" defaultRowHeight="15.75" customHeight="1"/>
  <sheetData>
    <row r="1" spans="1:18" ht="30.75">
      <c r="B1" s="1"/>
      <c r="C1" s="1"/>
      <c r="D1" s="1"/>
      <c r="E1" s="1"/>
      <c r="F1" s="2" t="s">
        <v>0</v>
      </c>
      <c r="G1" s="1"/>
      <c r="H1" s="1"/>
      <c r="I1" s="1"/>
      <c r="J1" s="1"/>
      <c r="K1" s="1"/>
      <c r="L1" s="3"/>
      <c r="M1" s="4"/>
      <c r="N1" s="4" t="s">
        <v>1</v>
      </c>
      <c r="O1" s="5" t="s">
        <v>44</v>
      </c>
      <c r="P1" s="5"/>
      <c r="Q1" s="5"/>
      <c r="R1" s="5"/>
    </row>
    <row r="2" spans="1:18" ht="16.5">
      <c r="A2" s="22" t="s">
        <v>3</v>
      </c>
      <c r="B2" s="22" t="s">
        <v>4</v>
      </c>
      <c r="C2" s="22" t="s">
        <v>5</v>
      </c>
      <c r="D2" s="22" t="s">
        <v>6</v>
      </c>
      <c r="E2" s="22" t="s">
        <v>7</v>
      </c>
      <c r="F2" s="23" t="s">
        <v>8</v>
      </c>
      <c r="G2" s="23" t="s">
        <v>9</v>
      </c>
      <c r="H2" s="23" t="s">
        <v>10</v>
      </c>
      <c r="I2" s="22" t="s">
        <v>11</v>
      </c>
      <c r="J2" s="22" t="s">
        <v>12</v>
      </c>
      <c r="K2" s="22" t="s">
        <v>13</v>
      </c>
      <c r="L2" s="22" t="s">
        <v>14</v>
      </c>
      <c r="M2" s="22" t="s">
        <v>15</v>
      </c>
      <c r="N2" s="22" t="s">
        <v>16</v>
      </c>
      <c r="O2" s="22" t="s">
        <v>17</v>
      </c>
      <c r="P2" s="25"/>
      <c r="Q2" s="25" t="s">
        <v>18</v>
      </c>
      <c r="R2" s="25" t="s">
        <v>19</v>
      </c>
    </row>
    <row r="3" spans="1:18" ht="38.25" customHeight="1">
      <c r="A3" s="8">
        <v>1</v>
      </c>
      <c r="B3" s="26" t="s">
        <v>20</v>
      </c>
      <c r="C3" s="26">
        <v>5</v>
      </c>
      <c r="D3" s="27">
        <v>214000</v>
      </c>
      <c r="E3" s="27">
        <v>8900</v>
      </c>
      <c r="F3" s="27">
        <v>6230</v>
      </c>
      <c r="G3" s="27">
        <v>5</v>
      </c>
      <c r="H3" s="27">
        <v>4949.8999999999996</v>
      </c>
      <c r="I3" s="27">
        <v>30589</v>
      </c>
      <c r="J3" s="28">
        <v>0.14293925233644861</v>
      </c>
      <c r="K3" s="27">
        <v>304</v>
      </c>
      <c r="L3" s="27">
        <v>11999</v>
      </c>
      <c r="M3" s="27">
        <v>37234</v>
      </c>
      <c r="N3" s="27">
        <v>2400</v>
      </c>
      <c r="O3" s="29">
        <v>0.78228971962616822</v>
      </c>
      <c r="P3" s="31"/>
      <c r="Q3" s="31">
        <v>0.78500000000000003</v>
      </c>
      <c r="R3" s="31">
        <v>-2.7102803738318082E-3</v>
      </c>
    </row>
    <row r="4" spans="1:18" ht="38.25" customHeight="1">
      <c r="A4" s="8">
        <v>2</v>
      </c>
      <c r="B4" s="26" t="s">
        <v>21</v>
      </c>
      <c r="C4" s="26">
        <v>6</v>
      </c>
      <c r="D4" s="27">
        <v>47562</v>
      </c>
      <c r="E4" s="27">
        <v>3643</v>
      </c>
      <c r="F4" s="27">
        <v>2551</v>
      </c>
      <c r="G4" s="27">
        <v>4</v>
      </c>
      <c r="H4" s="27">
        <v>959.9</v>
      </c>
      <c r="I4" s="27">
        <v>12001.099999999999</v>
      </c>
      <c r="J4" s="28">
        <v>0.43542195776794129</v>
      </c>
      <c r="K4" s="27">
        <v>0</v>
      </c>
      <c r="L4" s="27">
        <v>0</v>
      </c>
      <c r="M4" s="27">
        <v>0</v>
      </c>
      <c r="N4" s="27">
        <v>0</v>
      </c>
      <c r="O4" s="29">
        <v>0.8129591466511864</v>
      </c>
      <c r="P4" s="31"/>
      <c r="Q4" s="31">
        <v>0.80999999999999994</v>
      </c>
      <c r="R4" s="31">
        <v>2.9591466511864617E-3</v>
      </c>
    </row>
    <row r="5" spans="1:18" ht="38.25" customHeight="1">
      <c r="A5" s="8">
        <v>3</v>
      </c>
      <c r="B5" s="26" t="s">
        <v>22</v>
      </c>
      <c r="C5" s="26">
        <v>9</v>
      </c>
      <c r="D5" s="27">
        <v>375111</v>
      </c>
      <c r="E5" s="27">
        <v>20354</v>
      </c>
      <c r="F5" s="27">
        <v>14248</v>
      </c>
      <c r="G5" s="27">
        <v>9</v>
      </c>
      <c r="H5" s="27">
        <v>12173</v>
      </c>
      <c r="I5" s="27">
        <v>71633</v>
      </c>
      <c r="J5" s="28">
        <v>0.19096480775023927</v>
      </c>
      <c r="K5" s="27">
        <v>174</v>
      </c>
      <c r="L5" s="27">
        <v>19448</v>
      </c>
      <c r="M5" s="27">
        <v>4103</v>
      </c>
      <c r="N5" s="27">
        <v>692</v>
      </c>
      <c r="O5" s="29">
        <v>0.78743406618307643</v>
      </c>
      <c r="P5" s="31"/>
      <c r="Q5" s="31">
        <v>0.78749999999999998</v>
      </c>
      <c r="R5" s="31">
        <v>-6.5933816923546829E-5</v>
      </c>
    </row>
    <row r="6" spans="1:18" ht="38.25" customHeight="1">
      <c r="A6" s="8">
        <v>4</v>
      </c>
      <c r="B6" s="26" t="s">
        <v>23</v>
      </c>
      <c r="C6" s="26">
        <v>4</v>
      </c>
      <c r="D6" s="27">
        <v>182300</v>
      </c>
      <c r="E6" s="27">
        <v>7812</v>
      </c>
      <c r="F6" s="27">
        <v>5469</v>
      </c>
      <c r="G6" s="27">
        <v>3</v>
      </c>
      <c r="H6" s="27">
        <v>1582.1000000000001</v>
      </c>
      <c r="I6" s="27">
        <v>28215</v>
      </c>
      <c r="J6" s="28">
        <v>0.28231939163498099</v>
      </c>
      <c r="K6" s="27">
        <v>0</v>
      </c>
      <c r="L6" s="27">
        <v>0</v>
      </c>
      <c r="M6" s="27">
        <v>7655</v>
      </c>
      <c r="N6" s="27">
        <v>1367</v>
      </c>
      <c r="O6" s="29">
        <v>0.7400000000000001</v>
      </c>
      <c r="P6" s="31"/>
      <c r="Q6" s="31">
        <v>0.76333333333333331</v>
      </c>
      <c r="R6" s="31">
        <v>-2.3333333333333206E-2</v>
      </c>
    </row>
    <row r="7" spans="1:18" ht="38.25" customHeight="1">
      <c r="A7" s="8">
        <v>5</v>
      </c>
      <c r="B7" s="26" t="s">
        <v>24</v>
      </c>
      <c r="C7" s="26">
        <v>13</v>
      </c>
      <c r="D7" s="27">
        <v>623840</v>
      </c>
      <c r="E7" s="27">
        <v>23857</v>
      </c>
      <c r="F7" s="27">
        <v>16700</v>
      </c>
      <c r="G7" s="27">
        <v>12</v>
      </c>
      <c r="H7" s="27">
        <v>13023</v>
      </c>
      <c r="I7" s="27">
        <v>64827</v>
      </c>
      <c r="J7" s="28">
        <v>0.11600279149667168</v>
      </c>
      <c r="K7" s="27">
        <v>2032</v>
      </c>
      <c r="L7" s="27">
        <v>61408</v>
      </c>
      <c r="M7" s="27">
        <v>92790</v>
      </c>
      <c r="N7" s="27">
        <v>6632</v>
      </c>
      <c r="O7" s="29">
        <v>0.75678691575406198</v>
      </c>
      <c r="P7" s="31"/>
      <c r="Q7" s="31">
        <v>0.74399999999999999</v>
      </c>
      <c r="R7" s="31">
        <v>1.2786915754061989E-2</v>
      </c>
    </row>
    <row r="8" spans="1:18" ht="38.25" customHeight="1">
      <c r="A8" s="8">
        <v>6</v>
      </c>
      <c r="B8" s="26" t="s">
        <v>25</v>
      </c>
      <c r="C8" s="26">
        <v>9</v>
      </c>
      <c r="D8" s="27">
        <v>480000</v>
      </c>
      <c r="E8" s="27">
        <v>17171</v>
      </c>
      <c r="F8" s="27">
        <v>12030</v>
      </c>
      <c r="G8" s="27">
        <v>9</v>
      </c>
      <c r="H8" s="27">
        <v>6835</v>
      </c>
      <c r="I8" s="27">
        <v>81414</v>
      </c>
      <c r="J8" s="28">
        <v>0.1696125</v>
      </c>
      <c r="K8" s="27">
        <v>388</v>
      </c>
      <c r="L8" s="27">
        <v>5649</v>
      </c>
      <c r="M8" s="27">
        <v>0</v>
      </c>
      <c r="N8" s="27">
        <v>0</v>
      </c>
      <c r="O8" s="29">
        <v>0.76389583333333333</v>
      </c>
      <c r="P8" s="31"/>
      <c r="Q8" s="31">
        <v>0.76111111111111107</v>
      </c>
      <c r="R8" s="31">
        <v>2.7847222222222578E-3</v>
      </c>
    </row>
    <row r="9" spans="1:18" ht="38.25" customHeight="1">
      <c r="A9" s="8">
        <v>7</v>
      </c>
      <c r="B9" s="26" t="s">
        <v>26</v>
      </c>
      <c r="C9" s="26">
        <v>14</v>
      </c>
      <c r="D9" s="27">
        <v>448018</v>
      </c>
      <c r="E9" s="27">
        <v>21974.799999999999</v>
      </c>
      <c r="F9" s="27">
        <v>15384</v>
      </c>
      <c r="G9" s="27">
        <v>14</v>
      </c>
      <c r="H9" s="27">
        <v>13259.1</v>
      </c>
      <c r="I9" s="27">
        <v>68882</v>
      </c>
      <c r="J9" s="28">
        <v>0.1537482868991871</v>
      </c>
      <c r="K9" s="27">
        <v>836</v>
      </c>
      <c r="L9" s="27">
        <v>41313</v>
      </c>
      <c r="M9" s="27">
        <v>15300</v>
      </c>
      <c r="N9" s="27">
        <v>5526</v>
      </c>
      <c r="O9" s="29">
        <v>0.80022579449932818</v>
      </c>
      <c r="P9" s="31"/>
      <c r="Q9" s="31">
        <v>0.77071428571428569</v>
      </c>
      <c r="R9" s="31">
        <v>2.9511508785042495E-2</v>
      </c>
    </row>
    <row r="10" spans="1:18" ht="38.25" customHeight="1">
      <c r="A10" s="8">
        <v>8</v>
      </c>
      <c r="B10" s="26" t="s">
        <v>27</v>
      </c>
      <c r="C10" s="26">
        <v>4</v>
      </c>
      <c r="D10" s="27">
        <v>109000</v>
      </c>
      <c r="E10" s="27">
        <v>7320</v>
      </c>
      <c r="F10" s="27">
        <v>5125</v>
      </c>
      <c r="G10" s="27">
        <v>3</v>
      </c>
      <c r="H10" s="27">
        <v>2349</v>
      </c>
      <c r="I10" s="27">
        <v>15972</v>
      </c>
      <c r="J10" s="28">
        <v>0.15506796116504853</v>
      </c>
      <c r="K10" s="27">
        <v>4559</v>
      </c>
      <c r="L10" s="27">
        <v>5034</v>
      </c>
      <c r="M10" s="27">
        <v>10793</v>
      </c>
      <c r="N10" s="27">
        <v>2500</v>
      </c>
      <c r="O10" s="29">
        <v>0.77640776699029124</v>
      </c>
      <c r="P10" s="31"/>
      <c r="Q10" s="31">
        <v>0.8</v>
      </c>
      <c r="R10" s="31">
        <v>-2.3592233009708807E-2</v>
      </c>
    </row>
    <row r="11" spans="1:18" ht="38.25" customHeight="1">
      <c r="A11" s="8">
        <v>9</v>
      </c>
      <c r="B11" s="26" t="s">
        <v>28</v>
      </c>
      <c r="C11" s="26">
        <v>5</v>
      </c>
      <c r="D11" s="27">
        <v>129000</v>
      </c>
      <c r="E11" s="27">
        <v>5908</v>
      </c>
      <c r="F11" s="27">
        <v>4137</v>
      </c>
      <c r="G11" s="27">
        <v>5</v>
      </c>
      <c r="H11" s="27">
        <v>5299</v>
      </c>
      <c r="I11" s="27">
        <v>28308</v>
      </c>
      <c r="J11" s="28">
        <v>0.21944186046511627</v>
      </c>
      <c r="K11" s="27">
        <v>190</v>
      </c>
      <c r="L11" s="27">
        <v>1087</v>
      </c>
      <c r="M11" s="27">
        <v>16215</v>
      </c>
      <c r="N11" s="27">
        <v>2789</v>
      </c>
      <c r="O11" s="29">
        <v>0.78073643410852711</v>
      </c>
      <c r="P11" s="31"/>
      <c r="Q11" s="31">
        <v>0.78199999999999992</v>
      </c>
      <c r="R11" s="31">
        <v>-1.2635658914728065E-3</v>
      </c>
    </row>
    <row r="12" spans="1:18" ht="38.25" customHeight="1">
      <c r="A12" s="8">
        <v>10</v>
      </c>
      <c r="B12" s="26" t="s">
        <v>29</v>
      </c>
      <c r="C12" s="26">
        <v>5</v>
      </c>
      <c r="D12" s="27">
        <v>283125</v>
      </c>
      <c r="E12" s="27">
        <v>5763</v>
      </c>
      <c r="F12" s="27">
        <v>4150</v>
      </c>
      <c r="G12" s="27">
        <v>4</v>
      </c>
      <c r="H12" s="27">
        <v>1810</v>
      </c>
      <c r="I12" s="27">
        <v>88637</v>
      </c>
      <c r="J12" s="28">
        <v>0.39459988870339452</v>
      </c>
      <c r="K12" s="27">
        <v>0</v>
      </c>
      <c r="L12" s="27">
        <v>5108</v>
      </c>
      <c r="M12" s="27">
        <v>190</v>
      </c>
      <c r="N12" s="27">
        <v>128</v>
      </c>
      <c r="O12" s="29">
        <v>0.73725498052309402</v>
      </c>
      <c r="P12" s="31"/>
      <c r="Q12" s="31">
        <v>0.77999999999999992</v>
      </c>
      <c r="R12" s="31">
        <v>-4.2745019476905899E-2</v>
      </c>
    </row>
    <row r="13" spans="1:18" ht="38.25" customHeight="1">
      <c r="A13" s="8">
        <v>11</v>
      </c>
      <c r="B13" s="26" t="s">
        <v>30</v>
      </c>
      <c r="C13" s="26">
        <v>11</v>
      </c>
      <c r="D13" s="27">
        <v>518498</v>
      </c>
      <c r="E13" s="27">
        <v>24939</v>
      </c>
      <c r="F13" s="27">
        <v>17458</v>
      </c>
      <c r="G13" s="27">
        <v>5</v>
      </c>
      <c r="H13" s="27">
        <v>6013</v>
      </c>
      <c r="I13" s="27">
        <v>24684.799999999999</v>
      </c>
      <c r="J13" s="28">
        <v>0.10407403503594241</v>
      </c>
      <c r="K13" s="27">
        <v>0</v>
      </c>
      <c r="L13" s="27">
        <v>325</v>
      </c>
      <c r="M13" s="27">
        <v>1130</v>
      </c>
      <c r="N13" s="27">
        <v>0</v>
      </c>
      <c r="O13" s="29">
        <v>0.81909737125028981</v>
      </c>
      <c r="P13" s="31"/>
      <c r="Q13" s="31">
        <v>0.78400000000000003</v>
      </c>
      <c r="R13" s="31">
        <v>3.5097371250289777E-2</v>
      </c>
    </row>
    <row r="14" spans="1:18" ht="38.25" customHeight="1">
      <c r="A14" s="8">
        <v>12</v>
      </c>
      <c r="B14" s="26" t="s">
        <v>31</v>
      </c>
      <c r="C14" s="26">
        <v>7</v>
      </c>
      <c r="D14" s="27">
        <v>136314</v>
      </c>
      <c r="E14" s="27">
        <v>5527</v>
      </c>
      <c r="F14" s="27">
        <v>3868</v>
      </c>
      <c r="G14" s="27">
        <v>6</v>
      </c>
      <c r="H14" s="27">
        <v>1141</v>
      </c>
      <c r="I14" s="27">
        <v>26760</v>
      </c>
      <c r="J14" s="28">
        <v>0.22058459864483901</v>
      </c>
      <c r="K14" s="27">
        <v>170</v>
      </c>
      <c r="L14" s="27">
        <v>200</v>
      </c>
      <c r="M14" s="27">
        <v>2100</v>
      </c>
      <c r="N14" s="27">
        <v>200</v>
      </c>
      <c r="O14" s="29">
        <v>0.76725175989580763</v>
      </c>
      <c r="P14" s="31"/>
      <c r="Q14" s="31">
        <v>0.7683333333333332</v>
      </c>
      <c r="R14" s="31">
        <v>-1.0815734375255737E-3</v>
      </c>
    </row>
    <row r="15" spans="1:18" ht="38.25" customHeight="1">
      <c r="A15" s="8">
        <v>13</v>
      </c>
      <c r="B15" s="26" t="s">
        <v>32</v>
      </c>
      <c r="C15" s="26">
        <v>9</v>
      </c>
      <c r="D15" s="27">
        <v>211469</v>
      </c>
      <c r="E15" s="27">
        <v>7619</v>
      </c>
      <c r="F15" s="27">
        <v>5333</v>
      </c>
      <c r="G15" s="27">
        <v>4</v>
      </c>
      <c r="H15" s="27">
        <v>157.34</v>
      </c>
      <c r="I15" s="27">
        <v>15949.8</v>
      </c>
      <c r="J15" s="28">
        <v>0.18364978295662587</v>
      </c>
      <c r="K15" s="27">
        <v>1080</v>
      </c>
      <c r="L15" s="27">
        <v>2000</v>
      </c>
      <c r="M15" s="27">
        <v>6500</v>
      </c>
      <c r="N15" s="27">
        <v>0</v>
      </c>
      <c r="O15" s="29">
        <v>0.70519292104687437</v>
      </c>
      <c r="P15" s="31"/>
      <c r="Q15" s="31">
        <v>0.61750000000000005</v>
      </c>
      <c r="R15" s="31">
        <v>8.7692921046874317E-2</v>
      </c>
    </row>
    <row r="16" spans="1:18" ht="38.25" customHeight="1">
      <c r="A16" s="8">
        <v>14</v>
      </c>
      <c r="B16" s="26" t="s">
        <v>33</v>
      </c>
      <c r="C16" s="26">
        <v>4</v>
      </c>
      <c r="D16" s="27">
        <v>112964</v>
      </c>
      <c r="E16" s="27">
        <v>4383</v>
      </c>
      <c r="F16" s="27">
        <v>3068</v>
      </c>
      <c r="G16" s="27">
        <v>3</v>
      </c>
      <c r="H16" s="27">
        <v>418</v>
      </c>
      <c r="I16" s="27">
        <v>8333</v>
      </c>
      <c r="J16" s="28">
        <v>0.122697489508945</v>
      </c>
      <c r="K16" s="27">
        <v>156</v>
      </c>
      <c r="L16" s="27">
        <v>406</v>
      </c>
      <c r="M16" s="27">
        <v>2136</v>
      </c>
      <c r="N16" s="27">
        <v>0</v>
      </c>
      <c r="O16" s="29">
        <v>0.78494544651402498</v>
      </c>
      <c r="P16" s="31"/>
      <c r="Q16" s="31">
        <v>0.77500000000000002</v>
      </c>
      <c r="R16" s="31">
        <v>9.9454465140249582E-3</v>
      </c>
    </row>
    <row r="17" spans="1:18" ht="38.25" customHeight="1">
      <c r="A17" s="34"/>
      <c r="B17" s="34" t="s">
        <v>34</v>
      </c>
      <c r="C17" s="26">
        <v>105</v>
      </c>
      <c r="D17" s="27">
        <v>3871201</v>
      </c>
      <c r="E17" s="27">
        <v>165170.79999999999</v>
      </c>
      <c r="F17" s="27">
        <v>115751</v>
      </c>
      <c r="G17" s="27">
        <v>86</v>
      </c>
      <c r="H17" s="27">
        <v>69969.34</v>
      </c>
      <c r="I17" s="27">
        <v>566205.69999999995</v>
      </c>
      <c r="J17" s="28">
        <v>0.17842472282524605</v>
      </c>
      <c r="K17" s="27">
        <v>9889</v>
      </c>
      <c r="L17" s="27">
        <v>153977</v>
      </c>
      <c r="M17" s="27">
        <v>196146</v>
      </c>
      <c r="N17" s="27">
        <v>22234</v>
      </c>
      <c r="O17" s="29">
        <v>0.77377242221885378</v>
      </c>
      <c r="P17" s="35"/>
      <c r="Q17" s="31">
        <v>0.76632086167800451</v>
      </c>
      <c r="R17" s="31">
        <v>7.451560540849278E-3</v>
      </c>
    </row>
    <row r="18" spans="1:18" ht="16.5">
      <c r="A18" s="473" t="s">
        <v>35</v>
      </c>
      <c r="B18" s="474"/>
      <c r="C18" s="474"/>
      <c r="D18" s="474"/>
      <c r="E18" s="474"/>
      <c r="F18" s="474"/>
      <c r="G18" s="474"/>
      <c r="H18" s="474"/>
      <c r="I18" s="474"/>
      <c r="J18" s="474"/>
      <c r="K18" s="474"/>
      <c r="L18" s="474"/>
      <c r="M18" s="474"/>
      <c r="N18" s="474"/>
      <c r="O18" s="475"/>
      <c r="P18" s="19"/>
      <c r="Q18" s="19"/>
      <c r="R18" s="19"/>
    </row>
    <row r="19" spans="1:18" ht="16.5">
      <c r="A19" s="476" t="s">
        <v>37</v>
      </c>
      <c r="B19" s="477"/>
      <c r="C19" s="477"/>
      <c r="D19" s="477"/>
      <c r="E19" s="477"/>
      <c r="F19" s="477"/>
      <c r="G19" s="477"/>
      <c r="H19" s="477"/>
      <c r="I19" s="477"/>
      <c r="J19" s="477"/>
      <c r="K19" s="477"/>
      <c r="L19" s="477"/>
      <c r="M19" s="477"/>
      <c r="N19" s="477"/>
      <c r="O19" s="478"/>
      <c r="P19" s="21"/>
      <c r="Q19" s="21"/>
      <c r="R19" s="21"/>
    </row>
    <row r="20" spans="1:18" ht="16.5">
      <c r="A20" s="479" t="s">
        <v>39</v>
      </c>
      <c r="B20" s="480"/>
      <c r="C20" s="480"/>
      <c r="D20" s="480"/>
      <c r="E20" s="480"/>
      <c r="F20" s="480"/>
      <c r="G20" s="480"/>
      <c r="H20" s="480"/>
      <c r="I20" s="480"/>
      <c r="J20" s="480"/>
      <c r="K20" s="480"/>
      <c r="L20" s="480"/>
      <c r="M20" s="480"/>
      <c r="N20" s="480"/>
      <c r="O20" s="481"/>
      <c r="P20" s="21"/>
      <c r="Q20" s="21"/>
      <c r="R20" s="21"/>
    </row>
    <row r="21" spans="1:18" ht="16.5">
      <c r="A21" s="21"/>
      <c r="B21" s="21" t="s">
        <v>41</v>
      </c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</row>
    <row r="22" spans="1:18" ht="16.5">
      <c r="A22" s="21"/>
      <c r="B22" s="21" t="s">
        <v>42</v>
      </c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</row>
    <row r="23" spans="1:18" ht="16.5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</row>
    <row r="24" spans="1:18" ht="16.5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</row>
    <row r="25" spans="1:18" ht="16.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</row>
  </sheetData>
  <mergeCells count="3">
    <mergeCell ref="A18:O18"/>
    <mergeCell ref="A19:O19"/>
    <mergeCell ref="A20:O20"/>
  </mergeCells>
  <phoneticPr fontId="67" type="noConversion"/>
  <printOptions horizontalCentered="1"/>
  <pageMargins left="0.7" right="0.7" top="0.75" bottom="0.75" header="0" footer="0"/>
  <pageSetup paperSize="9" pageOrder="overThenDown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  <outlinePr summaryRight="0"/>
    <pageSetUpPr fitToPage="1"/>
  </sheetPr>
  <dimension ref="A1:U4"/>
  <sheetViews>
    <sheetView workbookViewId="0">
      <pane xSplit="3" ySplit="1" topLeftCell="F2" activePane="bottomRight" state="frozen"/>
      <selection pane="topRight" activeCell="D1" sqref="D1"/>
      <selection pane="bottomLeft" activeCell="A3" sqref="A3"/>
      <selection pane="bottomRight" activeCell="Q11" sqref="Q11"/>
    </sheetView>
  </sheetViews>
  <sheetFormatPr defaultColWidth="12.7109375" defaultRowHeight="15.75" customHeight="1"/>
  <cols>
    <col min="1" max="1" width="20.140625" customWidth="1"/>
    <col min="2" max="2" width="14.85546875" customWidth="1"/>
    <col min="3" max="3" width="31.28515625" customWidth="1"/>
    <col min="4" max="4" width="17.28515625" customWidth="1"/>
    <col min="5" max="5" width="25" customWidth="1"/>
    <col min="6" max="6" width="23.28515625" customWidth="1"/>
    <col min="7" max="7" width="26.140625" customWidth="1"/>
    <col min="8" max="8" width="18.5703125" customWidth="1"/>
    <col min="9" max="9" width="16.140625" customWidth="1"/>
    <col min="10" max="10" width="18.28515625" customWidth="1"/>
    <col min="11" max="11" width="20" customWidth="1"/>
    <col min="12" max="12" width="22.28515625" customWidth="1"/>
    <col min="13" max="13" width="22.7109375" customWidth="1"/>
    <col min="14" max="14" width="21.85546875" customWidth="1"/>
    <col min="15" max="15" width="19.140625" customWidth="1"/>
    <col min="16" max="16" width="20.85546875" customWidth="1"/>
    <col min="17" max="17" width="16.7109375" customWidth="1"/>
    <col min="18" max="18" width="24.42578125" customWidth="1"/>
    <col min="19" max="19" width="42.85546875" customWidth="1"/>
    <col min="20" max="20" width="16.140625" customWidth="1"/>
    <col min="21" max="47" width="12.7109375" customWidth="1"/>
  </cols>
  <sheetData>
    <row r="1" spans="1:21" ht="30.75">
      <c r="A1" s="36"/>
      <c r="B1" s="469"/>
      <c r="C1" s="469"/>
      <c r="D1" s="36"/>
      <c r="E1" s="39"/>
      <c r="F1" s="470"/>
      <c r="G1" s="36"/>
      <c r="H1" s="471"/>
      <c r="I1" s="42" t="s">
        <v>1369</v>
      </c>
      <c r="J1" s="36"/>
      <c r="K1" s="36"/>
      <c r="L1" s="469"/>
      <c r="M1" s="36"/>
      <c r="N1" s="36"/>
      <c r="O1" s="36"/>
      <c r="P1" s="469"/>
      <c r="Q1" s="36"/>
      <c r="R1" s="44"/>
      <c r="S1" s="45" t="s">
        <v>47</v>
      </c>
      <c r="T1" s="45"/>
      <c r="U1" s="47"/>
    </row>
    <row r="2" spans="1:21" ht="47.25">
      <c r="A2" s="48" t="s">
        <v>4</v>
      </c>
      <c r="B2" s="48" t="s">
        <v>48</v>
      </c>
      <c r="C2" s="49" t="s">
        <v>49</v>
      </c>
      <c r="D2" s="50" t="s">
        <v>50</v>
      </c>
      <c r="E2" s="50" t="s">
        <v>51</v>
      </c>
      <c r="F2" s="51" t="s">
        <v>52</v>
      </c>
      <c r="G2" s="50" t="s">
        <v>53</v>
      </c>
      <c r="H2" s="50" t="s">
        <v>54</v>
      </c>
      <c r="I2" s="50" t="s">
        <v>55</v>
      </c>
      <c r="J2" s="50" t="s">
        <v>56</v>
      </c>
      <c r="K2" s="50" t="s">
        <v>57</v>
      </c>
      <c r="L2" s="50" t="s">
        <v>58</v>
      </c>
      <c r="M2" s="50" t="s">
        <v>59</v>
      </c>
      <c r="N2" s="50" t="s">
        <v>60</v>
      </c>
      <c r="O2" s="50" t="s">
        <v>61</v>
      </c>
      <c r="P2" s="50" t="s">
        <v>62</v>
      </c>
      <c r="Q2" s="50" t="s">
        <v>63</v>
      </c>
      <c r="R2" s="50" t="s">
        <v>1368</v>
      </c>
      <c r="S2" s="50" t="s">
        <v>65</v>
      </c>
      <c r="T2" s="50" t="s">
        <v>69</v>
      </c>
      <c r="U2" s="53"/>
    </row>
    <row r="3" spans="1:21" ht="18.75">
      <c r="A3" s="54"/>
      <c r="B3" s="472"/>
      <c r="C3" s="55"/>
      <c r="D3" s="56"/>
      <c r="E3" s="57"/>
      <c r="F3" s="57"/>
      <c r="G3" s="57"/>
      <c r="H3" s="57"/>
      <c r="I3" s="58"/>
      <c r="J3" s="58"/>
      <c r="K3" s="58"/>
      <c r="L3" s="58"/>
      <c r="M3" s="58"/>
      <c r="N3" s="58"/>
      <c r="O3" s="58"/>
      <c r="P3" s="60"/>
      <c r="Q3" s="58"/>
      <c r="R3" s="58"/>
      <c r="S3" s="60"/>
      <c r="T3" s="60"/>
      <c r="U3" s="53"/>
    </row>
    <row r="4" spans="1:21" ht="18.75">
      <c r="A4" s="54"/>
      <c r="B4" s="472"/>
      <c r="C4" s="55"/>
      <c r="D4" s="56"/>
      <c r="E4" s="57"/>
      <c r="F4" s="57"/>
      <c r="G4" s="57"/>
      <c r="H4" s="57"/>
      <c r="I4" s="58"/>
      <c r="J4" s="58"/>
      <c r="K4" s="58"/>
      <c r="L4" s="58"/>
      <c r="M4" s="58"/>
      <c r="N4" s="58"/>
      <c r="O4" s="58"/>
      <c r="P4" s="60"/>
      <c r="Q4" s="58"/>
      <c r="R4" s="58"/>
      <c r="S4" s="60"/>
      <c r="T4" s="60"/>
      <c r="U4" s="53"/>
    </row>
  </sheetData>
  <phoneticPr fontId="67" type="noConversion"/>
  <dataValidations count="1">
    <dataValidation type="list" allowBlank="1" showErrorMessage="1" sqref="A1" xr:uid="{53616BDB-DC9E-4048-9CA3-BFF8FB4F6B52}">
      <formula1>"1-,2-,3-,4-,5-,6-,7-,8-,9-,10-,11-,12-,13-,14-"</formula1>
    </dataValidation>
  </dataValidations>
  <printOptions horizontalCentered="1"/>
  <pageMargins left="0.70866141732283472" right="0.70866141732283472" top="0.74803149606299213" bottom="0.74803149606299213" header="0" footer="0"/>
  <pageSetup paperSize="8" scale="80" fitToHeight="0" pageOrder="overThenDown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Right="0"/>
    <pageSetUpPr fitToPage="1"/>
  </sheetPr>
  <dimension ref="A1:AA108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ColWidth="12.7109375" defaultRowHeight="15.75" customHeight="1"/>
  <cols>
    <col min="1" max="1" width="8.28515625" customWidth="1"/>
    <col min="2" max="2" width="7.42578125" customWidth="1"/>
    <col min="3" max="3" width="31.28515625" customWidth="1"/>
    <col min="4" max="6" width="10.42578125" customWidth="1"/>
    <col min="7" max="7" width="9.42578125" customWidth="1"/>
    <col min="8" max="8" width="6.28515625" customWidth="1"/>
    <col min="9" max="9" width="8.140625" customWidth="1"/>
    <col min="10" max="10" width="10.140625" customWidth="1"/>
    <col min="11" max="15" width="10.42578125" customWidth="1"/>
    <col min="16" max="16" width="20.85546875" customWidth="1"/>
    <col min="17" max="17" width="6.85546875" customWidth="1"/>
    <col min="18" max="18" width="10.42578125" customWidth="1"/>
    <col min="19" max="19" width="42.85546875" customWidth="1"/>
    <col min="21" max="21" width="10.42578125" customWidth="1"/>
  </cols>
  <sheetData>
    <row r="1" spans="1:27" ht="30.75">
      <c r="A1" s="38" t="s">
        <v>464</v>
      </c>
      <c r="B1" s="37"/>
      <c r="C1" s="37"/>
      <c r="D1" s="38"/>
      <c r="E1" s="39"/>
      <c r="F1" s="40"/>
      <c r="G1" s="38"/>
      <c r="H1" s="41"/>
      <c r="I1" s="42" t="s">
        <v>465</v>
      </c>
      <c r="J1" s="43"/>
      <c r="K1" s="38"/>
      <c r="L1" s="37"/>
      <c r="M1" s="38"/>
      <c r="N1" s="38"/>
      <c r="O1" s="38"/>
      <c r="P1" s="37"/>
      <c r="Q1" s="38"/>
      <c r="R1" s="44"/>
      <c r="S1" s="45" t="s">
        <v>466</v>
      </c>
      <c r="T1" s="46"/>
      <c r="U1" s="46"/>
      <c r="V1" s="46"/>
      <c r="W1" s="46">
        <f>COUNTIF(W3:W108,"=是")</f>
        <v>13</v>
      </c>
      <c r="X1" s="46"/>
      <c r="Y1" s="47"/>
      <c r="Z1" s="47"/>
      <c r="AA1" s="47"/>
    </row>
    <row r="2" spans="1:27" ht="94.5">
      <c r="A2" s="48" t="s">
        <v>4</v>
      </c>
      <c r="B2" s="48" t="s">
        <v>48</v>
      </c>
      <c r="C2" s="49" t="s">
        <v>49</v>
      </c>
      <c r="D2" s="50" t="s">
        <v>50</v>
      </c>
      <c r="E2" s="50" t="s">
        <v>51</v>
      </c>
      <c r="F2" s="51" t="s">
        <v>52</v>
      </c>
      <c r="G2" s="50" t="s">
        <v>53</v>
      </c>
      <c r="H2" s="50" t="s">
        <v>54</v>
      </c>
      <c r="I2" s="50" t="s">
        <v>55</v>
      </c>
      <c r="J2" s="50" t="s">
        <v>56</v>
      </c>
      <c r="K2" s="50" t="s">
        <v>57</v>
      </c>
      <c r="L2" s="50" t="s">
        <v>58</v>
      </c>
      <c r="M2" s="50" t="s">
        <v>59</v>
      </c>
      <c r="N2" s="50" t="s">
        <v>60</v>
      </c>
      <c r="O2" s="50" t="s">
        <v>61</v>
      </c>
      <c r="P2" s="50" t="s">
        <v>62</v>
      </c>
      <c r="Q2" s="50" t="s">
        <v>63</v>
      </c>
      <c r="R2" s="50" t="s">
        <v>64</v>
      </c>
      <c r="S2" s="50" t="s">
        <v>65</v>
      </c>
      <c r="T2" s="52" t="s">
        <v>66</v>
      </c>
      <c r="U2" s="52" t="s">
        <v>67</v>
      </c>
      <c r="V2" s="52" t="s">
        <v>68</v>
      </c>
      <c r="W2" s="52" t="s">
        <v>69</v>
      </c>
      <c r="X2" s="53" t="s">
        <v>70</v>
      </c>
      <c r="Y2" s="53" t="s">
        <v>71</v>
      </c>
      <c r="Z2" s="53" t="s">
        <v>72</v>
      </c>
      <c r="AA2" s="53"/>
    </row>
    <row r="3" spans="1:27" ht="94.5">
      <c r="A3" s="482" t="s">
        <v>20</v>
      </c>
      <c r="B3" s="54" t="s">
        <v>73</v>
      </c>
      <c r="C3" s="55" t="s">
        <v>74</v>
      </c>
      <c r="D3" s="56">
        <v>50000</v>
      </c>
      <c r="E3" s="57">
        <v>2200</v>
      </c>
      <c r="F3" s="57">
        <v>1540</v>
      </c>
      <c r="G3" s="57">
        <v>612</v>
      </c>
      <c r="H3" s="57" t="s">
        <v>75</v>
      </c>
      <c r="I3" s="58">
        <v>11713</v>
      </c>
      <c r="J3" s="59">
        <v>0.22700000000000001</v>
      </c>
      <c r="K3" s="58">
        <v>124</v>
      </c>
      <c r="L3" s="58">
        <v>10583</v>
      </c>
      <c r="M3" s="58">
        <v>27234</v>
      </c>
      <c r="N3" s="58">
        <v>2000</v>
      </c>
      <c r="O3" s="58"/>
      <c r="P3" s="60" t="s">
        <v>76</v>
      </c>
      <c r="Q3" s="61">
        <v>0.73</v>
      </c>
      <c r="R3" s="84">
        <v>-2027</v>
      </c>
      <c r="S3" s="85" t="s">
        <v>77</v>
      </c>
      <c r="T3" s="62"/>
      <c r="U3" s="63">
        <v>50000</v>
      </c>
      <c r="V3" s="62"/>
      <c r="W3" s="64" t="s">
        <v>78</v>
      </c>
      <c r="X3" s="62">
        <v>0</v>
      </c>
      <c r="Y3" s="53"/>
      <c r="Z3" s="53">
        <f t="shared" ref="Z3:Z66" si="0">Q3*D3</f>
        <v>36500</v>
      </c>
      <c r="AA3" s="53"/>
    </row>
    <row r="4" spans="1:27" ht="31.5">
      <c r="A4" s="483"/>
      <c r="B4" s="54" t="s">
        <v>79</v>
      </c>
      <c r="C4" s="55" t="s">
        <v>80</v>
      </c>
      <c r="D4" s="65">
        <v>13000</v>
      </c>
      <c r="E4" s="66">
        <v>1100</v>
      </c>
      <c r="F4" s="66">
        <v>770</v>
      </c>
      <c r="G4" s="67">
        <v>575.1</v>
      </c>
      <c r="H4" s="68" t="s">
        <v>75</v>
      </c>
      <c r="I4" s="68">
        <v>1287</v>
      </c>
      <c r="J4" s="69">
        <v>9.9000000000000005E-2</v>
      </c>
      <c r="K4" s="68">
        <v>40</v>
      </c>
      <c r="L4" s="68">
        <v>0</v>
      </c>
      <c r="M4" s="68">
        <v>4000</v>
      </c>
      <c r="N4" s="68">
        <v>200</v>
      </c>
      <c r="O4" s="68"/>
      <c r="P4" s="70" t="s">
        <v>81</v>
      </c>
      <c r="Q4" s="71">
        <v>0.72</v>
      </c>
      <c r="R4" s="68">
        <v>-8830</v>
      </c>
      <c r="S4" s="70" t="s">
        <v>82</v>
      </c>
      <c r="T4" s="62"/>
      <c r="U4" s="63">
        <v>13000</v>
      </c>
      <c r="V4" s="62"/>
      <c r="W4" s="64" t="s">
        <v>78</v>
      </c>
      <c r="X4" s="62">
        <v>0</v>
      </c>
      <c r="Y4" s="53"/>
      <c r="Z4" s="53">
        <f t="shared" si="0"/>
        <v>9360</v>
      </c>
      <c r="AA4" s="53"/>
    </row>
    <row r="5" spans="1:27" ht="47.25">
      <c r="A5" s="483"/>
      <c r="B5" s="54" t="s">
        <v>83</v>
      </c>
      <c r="C5" s="55" t="s">
        <v>84</v>
      </c>
      <c r="D5" s="65">
        <v>48000</v>
      </c>
      <c r="E5" s="66">
        <v>2500</v>
      </c>
      <c r="F5" s="66">
        <v>1750</v>
      </c>
      <c r="G5" s="66">
        <v>1603</v>
      </c>
      <c r="H5" s="66" t="s">
        <v>75</v>
      </c>
      <c r="I5" s="68">
        <v>4092</v>
      </c>
      <c r="J5" s="69">
        <v>8.5000000000000006E-2</v>
      </c>
      <c r="K5" s="68">
        <v>40</v>
      </c>
      <c r="L5" s="68">
        <v>1416</v>
      </c>
      <c r="M5" s="68">
        <v>1000</v>
      </c>
      <c r="N5" s="68">
        <v>200</v>
      </c>
      <c r="O5" s="68"/>
      <c r="P5" s="70" t="s">
        <v>85</v>
      </c>
      <c r="Q5" s="71">
        <v>0.82</v>
      </c>
      <c r="R5" s="68">
        <v>-10414</v>
      </c>
      <c r="S5" s="70" t="s">
        <v>86</v>
      </c>
      <c r="T5" s="62"/>
      <c r="U5" s="63">
        <v>48000</v>
      </c>
      <c r="V5" s="62"/>
      <c r="W5" s="64" t="s">
        <v>78</v>
      </c>
      <c r="X5" s="62">
        <v>0</v>
      </c>
      <c r="Y5" s="53"/>
      <c r="Z5" s="53">
        <f t="shared" si="0"/>
        <v>39360</v>
      </c>
      <c r="AA5" s="53"/>
    </row>
    <row r="6" spans="1:27" ht="78.75">
      <c r="A6" s="483"/>
      <c r="B6" s="54" t="s">
        <v>87</v>
      </c>
      <c r="C6" s="72" t="s">
        <v>88</v>
      </c>
      <c r="D6" s="65">
        <v>48000</v>
      </c>
      <c r="E6" s="66">
        <v>1600</v>
      </c>
      <c r="F6" s="66">
        <v>1120</v>
      </c>
      <c r="G6" s="66">
        <v>779.2</v>
      </c>
      <c r="H6" s="66" t="s">
        <v>75</v>
      </c>
      <c r="I6" s="66">
        <v>8501</v>
      </c>
      <c r="J6" s="69">
        <v>0.17710000000000001</v>
      </c>
      <c r="K6" s="66">
        <v>0</v>
      </c>
      <c r="L6" s="68">
        <v>0</v>
      </c>
      <c r="M6" s="68">
        <v>0</v>
      </c>
      <c r="N6" s="68">
        <v>0</v>
      </c>
      <c r="O6" s="68"/>
      <c r="P6" s="70" t="s">
        <v>89</v>
      </c>
      <c r="Q6" s="71">
        <v>0.83</v>
      </c>
      <c r="R6" s="68">
        <v>-376217</v>
      </c>
      <c r="S6" s="73"/>
      <c r="T6" s="64"/>
      <c r="U6" s="63">
        <v>29000</v>
      </c>
      <c r="V6" s="62"/>
      <c r="W6" s="64" t="s">
        <v>75</v>
      </c>
      <c r="X6" s="62">
        <v>0</v>
      </c>
      <c r="Y6" s="53"/>
      <c r="Z6" s="53">
        <f t="shared" si="0"/>
        <v>39840</v>
      </c>
      <c r="AA6" s="53"/>
    </row>
    <row r="7" spans="1:27" ht="63">
      <c r="A7" s="484"/>
      <c r="B7" s="54" t="s">
        <v>90</v>
      </c>
      <c r="C7" s="72" t="s">
        <v>91</v>
      </c>
      <c r="D7" s="65">
        <v>55000</v>
      </c>
      <c r="E7" s="66">
        <v>1500</v>
      </c>
      <c r="F7" s="66">
        <v>1050</v>
      </c>
      <c r="G7" s="66">
        <v>1380.6</v>
      </c>
      <c r="H7" s="66" t="s">
        <v>75</v>
      </c>
      <c r="I7" s="66">
        <v>4996</v>
      </c>
      <c r="J7" s="69">
        <v>9.0800000000000006E-2</v>
      </c>
      <c r="K7" s="66">
        <v>100</v>
      </c>
      <c r="L7" s="68">
        <v>0</v>
      </c>
      <c r="M7" s="68">
        <v>5000</v>
      </c>
      <c r="N7" s="68">
        <v>0</v>
      </c>
      <c r="O7" s="68" t="s">
        <v>92</v>
      </c>
      <c r="P7" s="70" t="s">
        <v>93</v>
      </c>
      <c r="Q7" s="71">
        <v>0.77</v>
      </c>
      <c r="R7" s="68">
        <v>-422316</v>
      </c>
      <c r="S7" s="70" t="s">
        <v>94</v>
      </c>
      <c r="T7" s="62"/>
      <c r="U7" s="63">
        <v>48378</v>
      </c>
      <c r="V7" s="62"/>
      <c r="W7" s="64" t="s">
        <v>75</v>
      </c>
      <c r="X7" s="62">
        <v>0</v>
      </c>
      <c r="Y7" s="53"/>
      <c r="Z7" s="53">
        <f t="shared" si="0"/>
        <v>42350</v>
      </c>
      <c r="AA7" s="53"/>
    </row>
    <row r="8" spans="1:27" ht="110.25">
      <c r="A8" s="485" t="s">
        <v>21</v>
      </c>
      <c r="B8" s="54" t="s">
        <v>95</v>
      </c>
      <c r="C8" s="55" t="s">
        <v>96</v>
      </c>
      <c r="D8" s="81">
        <v>5436</v>
      </c>
      <c r="E8" s="82">
        <v>1518</v>
      </c>
      <c r="F8" s="82">
        <v>1063</v>
      </c>
      <c r="G8" s="111">
        <v>147</v>
      </c>
      <c r="H8" s="111" t="s">
        <v>75</v>
      </c>
      <c r="I8" s="111">
        <v>0</v>
      </c>
      <c r="J8" s="111">
        <v>0</v>
      </c>
      <c r="K8" s="111">
        <v>0</v>
      </c>
      <c r="L8" s="111">
        <v>0</v>
      </c>
      <c r="M8" s="111">
        <v>0</v>
      </c>
      <c r="N8" s="111">
        <v>0</v>
      </c>
      <c r="O8" s="111" t="s">
        <v>92</v>
      </c>
      <c r="P8" s="97" t="s">
        <v>97</v>
      </c>
      <c r="Q8" s="120">
        <v>0.79</v>
      </c>
      <c r="R8" s="111">
        <v>-210</v>
      </c>
      <c r="S8" s="97" t="s">
        <v>98</v>
      </c>
      <c r="T8" s="74"/>
      <c r="U8" s="75">
        <v>5436</v>
      </c>
      <c r="V8" s="74"/>
      <c r="W8" s="76" t="s">
        <v>78</v>
      </c>
      <c r="X8" s="74">
        <v>0</v>
      </c>
      <c r="Y8" s="53" t="s">
        <v>99</v>
      </c>
      <c r="Z8" s="53">
        <f t="shared" si="0"/>
        <v>4294.4400000000005</v>
      </c>
      <c r="AA8" s="53"/>
    </row>
    <row r="9" spans="1:27" ht="31.5">
      <c r="A9" s="483"/>
      <c r="B9" s="54" t="s">
        <v>100</v>
      </c>
      <c r="C9" s="55" t="s">
        <v>101</v>
      </c>
      <c r="D9" s="86">
        <v>10000</v>
      </c>
      <c r="E9" s="92">
        <v>334</v>
      </c>
      <c r="F9" s="87">
        <v>234</v>
      </c>
      <c r="G9" s="92"/>
      <c r="H9" s="92" t="s">
        <v>78</v>
      </c>
      <c r="I9" s="92"/>
      <c r="J9" s="92"/>
      <c r="K9" s="92"/>
      <c r="L9" s="92"/>
      <c r="M9" s="92"/>
      <c r="N9" s="92"/>
      <c r="O9" s="92"/>
      <c r="P9" s="94"/>
      <c r="Q9" s="92"/>
      <c r="R9" s="92"/>
      <c r="S9" s="94" t="s">
        <v>102</v>
      </c>
      <c r="T9" s="74"/>
      <c r="U9" s="75">
        <v>10000</v>
      </c>
      <c r="V9" s="74"/>
      <c r="W9" s="76" t="s">
        <v>78</v>
      </c>
      <c r="X9" s="74">
        <v>0</v>
      </c>
      <c r="Y9" s="53"/>
      <c r="Z9" s="53">
        <f t="shared" si="0"/>
        <v>0</v>
      </c>
      <c r="AA9" s="53"/>
    </row>
    <row r="10" spans="1:27" ht="94.5">
      <c r="A10" s="483"/>
      <c r="B10" s="54" t="s">
        <v>103</v>
      </c>
      <c r="C10" s="55" t="s">
        <v>104</v>
      </c>
      <c r="D10" s="86">
        <v>2760</v>
      </c>
      <c r="E10" s="92">
        <v>134</v>
      </c>
      <c r="F10" s="87">
        <v>94</v>
      </c>
      <c r="G10" s="92">
        <v>70</v>
      </c>
      <c r="H10" s="92" t="s">
        <v>75</v>
      </c>
      <c r="I10" s="92">
        <v>78.2</v>
      </c>
      <c r="J10" s="93">
        <v>0.03</v>
      </c>
      <c r="K10" s="92">
        <v>0</v>
      </c>
      <c r="L10" s="92">
        <v>0</v>
      </c>
      <c r="M10" s="92">
        <v>0</v>
      </c>
      <c r="N10" s="92">
        <v>0</v>
      </c>
      <c r="O10" s="92" t="s">
        <v>105</v>
      </c>
      <c r="P10" s="94" t="s">
        <v>106</v>
      </c>
      <c r="Q10" s="93">
        <v>0.82</v>
      </c>
      <c r="R10" s="92"/>
      <c r="S10" s="80" t="s">
        <v>107</v>
      </c>
      <c r="T10" s="74"/>
      <c r="U10" s="75">
        <v>4000</v>
      </c>
      <c r="V10" s="74"/>
      <c r="W10" s="76" t="s">
        <v>78</v>
      </c>
      <c r="X10" s="74">
        <v>0</v>
      </c>
      <c r="Y10" s="53"/>
      <c r="Z10" s="53">
        <f t="shared" si="0"/>
        <v>2263.1999999999998</v>
      </c>
      <c r="AA10" s="53"/>
    </row>
    <row r="11" spans="1:27" ht="31.5">
      <c r="A11" s="483"/>
      <c r="B11" s="54" t="s">
        <v>108</v>
      </c>
      <c r="C11" s="55" t="s">
        <v>109</v>
      </c>
      <c r="D11" s="86">
        <v>10000</v>
      </c>
      <c r="E11" s="92">
        <v>334</v>
      </c>
      <c r="F11" s="87">
        <v>234</v>
      </c>
      <c r="G11" s="90">
        <v>143</v>
      </c>
      <c r="H11" s="90" t="s">
        <v>75</v>
      </c>
      <c r="I11" s="90">
        <v>79.2</v>
      </c>
      <c r="J11" s="89">
        <v>0.01</v>
      </c>
      <c r="K11" s="90">
        <v>0</v>
      </c>
      <c r="L11" s="90">
        <v>792</v>
      </c>
      <c r="M11" s="90">
        <v>100</v>
      </c>
      <c r="N11" s="90">
        <v>198</v>
      </c>
      <c r="O11" s="90" t="s">
        <v>92</v>
      </c>
      <c r="P11" s="80" t="s">
        <v>110</v>
      </c>
      <c r="Q11" s="89">
        <v>0.84</v>
      </c>
      <c r="R11" s="92"/>
      <c r="S11" s="80" t="s">
        <v>111</v>
      </c>
      <c r="T11" s="74"/>
      <c r="U11" s="75">
        <v>10000</v>
      </c>
      <c r="V11" s="74"/>
      <c r="W11" s="76" t="s">
        <v>78</v>
      </c>
      <c r="X11" s="74">
        <v>0</v>
      </c>
      <c r="Y11" s="53"/>
      <c r="Z11" s="53">
        <f t="shared" si="0"/>
        <v>8400</v>
      </c>
      <c r="AA11" s="53"/>
    </row>
    <row r="12" spans="1:27" ht="31.5">
      <c r="A12" s="483"/>
      <c r="B12" s="54" t="s">
        <v>112</v>
      </c>
      <c r="C12" s="55" t="s">
        <v>113</v>
      </c>
      <c r="D12" s="86">
        <v>3098</v>
      </c>
      <c r="E12" s="92">
        <v>134</v>
      </c>
      <c r="F12" s="87">
        <v>94</v>
      </c>
      <c r="G12" s="92">
        <v>1.9</v>
      </c>
      <c r="H12" s="92" t="s">
        <v>75</v>
      </c>
      <c r="I12" s="92">
        <v>731.6</v>
      </c>
      <c r="J12" s="93">
        <v>0.18</v>
      </c>
      <c r="K12" s="92">
        <v>0</v>
      </c>
      <c r="L12" s="92">
        <v>0</v>
      </c>
      <c r="M12" s="92">
        <v>0</v>
      </c>
      <c r="N12" s="92">
        <v>0</v>
      </c>
      <c r="O12" s="92" t="s">
        <v>92</v>
      </c>
      <c r="P12" s="94" t="s">
        <v>114</v>
      </c>
      <c r="Q12" s="93">
        <v>0.81</v>
      </c>
      <c r="R12" s="92"/>
      <c r="S12" s="94" t="s">
        <v>115</v>
      </c>
      <c r="T12" s="74"/>
      <c r="U12" s="75">
        <v>4000</v>
      </c>
      <c r="V12" s="74"/>
      <c r="W12" s="76" t="s">
        <v>78</v>
      </c>
      <c r="X12" s="74">
        <v>0</v>
      </c>
      <c r="Y12" s="53"/>
      <c r="Z12" s="53">
        <f t="shared" si="0"/>
        <v>2509.38</v>
      </c>
      <c r="AA12" s="53"/>
    </row>
    <row r="13" spans="1:27" ht="63">
      <c r="A13" s="484"/>
      <c r="B13" s="54" t="s">
        <v>116</v>
      </c>
      <c r="C13" s="55" t="s">
        <v>117</v>
      </c>
      <c r="D13" s="86">
        <v>16268</v>
      </c>
      <c r="E13" s="92">
        <v>1189</v>
      </c>
      <c r="F13" s="87">
        <v>832</v>
      </c>
      <c r="G13" s="92">
        <v>741</v>
      </c>
      <c r="H13" s="92" t="s">
        <v>75</v>
      </c>
      <c r="I13" s="92">
        <v>11191</v>
      </c>
      <c r="J13" s="93">
        <v>0.69</v>
      </c>
      <c r="K13" s="92">
        <v>0</v>
      </c>
      <c r="L13" s="92">
        <v>0</v>
      </c>
      <c r="M13" s="92">
        <v>0</v>
      </c>
      <c r="N13" s="92">
        <v>0</v>
      </c>
      <c r="O13" s="92" t="s">
        <v>118</v>
      </c>
      <c r="P13" s="94" t="s">
        <v>119</v>
      </c>
      <c r="Q13" s="93">
        <v>0.82</v>
      </c>
      <c r="R13" s="92"/>
      <c r="S13" s="70" t="s">
        <v>120</v>
      </c>
      <c r="T13" s="74"/>
      <c r="U13" s="75">
        <v>14000</v>
      </c>
      <c r="V13" s="74"/>
      <c r="W13" s="76" t="s">
        <v>78</v>
      </c>
      <c r="X13" s="74"/>
      <c r="Y13" s="53"/>
      <c r="Z13" s="53">
        <f t="shared" si="0"/>
        <v>13339.759999999998</v>
      </c>
      <c r="AA13" s="53"/>
    </row>
    <row r="14" spans="1:27" ht="78.75">
      <c r="A14" s="482" t="s">
        <v>22</v>
      </c>
      <c r="B14" s="77" t="s">
        <v>121</v>
      </c>
      <c r="C14" s="78" t="s">
        <v>122</v>
      </c>
      <c r="D14" s="56">
        <v>50000</v>
      </c>
      <c r="E14" s="57">
        <v>2660</v>
      </c>
      <c r="F14" s="57">
        <v>1862</v>
      </c>
      <c r="G14" s="57">
        <v>1279</v>
      </c>
      <c r="H14" s="58" t="s">
        <v>75</v>
      </c>
      <c r="I14" s="57">
        <v>2165</v>
      </c>
      <c r="J14" s="59">
        <v>4.4999999999999998E-2</v>
      </c>
      <c r="K14" s="58">
        <v>111</v>
      </c>
      <c r="L14" s="58">
        <v>19448</v>
      </c>
      <c r="M14" s="57">
        <v>3203</v>
      </c>
      <c r="N14" s="58">
        <v>392</v>
      </c>
      <c r="O14" s="58" t="s">
        <v>123</v>
      </c>
      <c r="P14" s="60" t="s">
        <v>124</v>
      </c>
      <c r="Q14" s="61">
        <v>0.82</v>
      </c>
      <c r="R14" s="57">
        <v>-37802</v>
      </c>
      <c r="S14" s="60" t="s">
        <v>125</v>
      </c>
      <c r="T14" s="74"/>
      <c r="U14" s="75">
        <v>50000</v>
      </c>
      <c r="V14" s="74"/>
      <c r="W14" s="76" t="s">
        <v>78</v>
      </c>
      <c r="X14" s="74">
        <v>0</v>
      </c>
      <c r="Y14" s="53"/>
      <c r="Z14" s="53">
        <f t="shared" si="0"/>
        <v>41000</v>
      </c>
      <c r="AA14" s="53"/>
    </row>
    <row r="15" spans="1:27" ht="110.25">
      <c r="A15" s="483"/>
      <c r="B15" s="77" t="s">
        <v>126</v>
      </c>
      <c r="C15" s="78" t="s">
        <v>127</v>
      </c>
      <c r="D15" s="65">
        <v>30000</v>
      </c>
      <c r="E15" s="66">
        <v>1596</v>
      </c>
      <c r="F15" s="66">
        <v>1117</v>
      </c>
      <c r="G15" s="68">
        <v>719</v>
      </c>
      <c r="H15" s="68" t="s">
        <v>75</v>
      </c>
      <c r="I15" s="68">
        <v>1641</v>
      </c>
      <c r="J15" s="69">
        <v>5.4699999999999999E-2</v>
      </c>
      <c r="K15" s="68">
        <v>63</v>
      </c>
      <c r="L15" s="68">
        <v>0</v>
      </c>
      <c r="M15" s="68">
        <v>900</v>
      </c>
      <c r="N15" s="68">
        <v>300</v>
      </c>
      <c r="O15" s="68" t="s">
        <v>128</v>
      </c>
      <c r="P15" s="70" t="s">
        <v>129</v>
      </c>
      <c r="Q15" s="71">
        <v>0.77</v>
      </c>
      <c r="R15" s="66">
        <v>-37802</v>
      </c>
      <c r="S15" s="70" t="s">
        <v>130</v>
      </c>
      <c r="T15" s="74"/>
      <c r="U15" s="75">
        <v>30000</v>
      </c>
      <c r="V15" s="74"/>
      <c r="W15" s="76" t="s">
        <v>78</v>
      </c>
      <c r="X15" s="74">
        <v>0</v>
      </c>
      <c r="Y15" s="53"/>
      <c r="Z15" s="53">
        <f t="shared" si="0"/>
        <v>23100</v>
      </c>
      <c r="AA15" s="53"/>
    </row>
    <row r="16" spans="1:27" ht="47.25">
      <c r="A16" s="483"/>
      <c r="B16" s="77" t="s">
        <v>131</v>
      </c>
      <c r="C16" s="78" t="s">
        <v>132</v>
      </c>
      <c r="D16" s="65">
        <v>25000</v>
      </c>
      <c r="E16" s="66">
        <v>1330</v>
      </c>
      <c r="F16" s="66">
        <v>931</v>
      </c>
      <c r="G16" s="68">
        <v>912</v>
      </c>
      <c r="H16" s="68" t="s">
        <v>75</v>
      </c>
      <c r="I16" s="66">
        <v>12663</v>
      </c>
      <c r="J16" s="69">
        <v>0.50700000000000001</v>
      </c>
      <c r="K16" s="68">
        <v>0</v>
      </c>
      <c r="L16" s="68">
        <v>0</v>
      </c>
      <c r="M16" s="68">
        <v>0</v>
      </c>
      <c r="N16" s="68">
        <v>0</v>
      </c>
      <c r="O16" s="68" t="s">
        <v>133</v>
      </c>
      <c r="P16" s="70" t="s">
        <v>134</v>
      </c>
      <c r="Q16" s="71">
        <v>0.75</v>
      </c>
      <c r="R16" s="66">
        <v>-9112</v>
      </c>
      <c r="S16" s="70" t="s">
        <v>135</v>
      </c>
      <c r="T16" s="74"/>
      <c r="U16" s="75">
        <v>25000</v>
      </c>
      <c r="V16" s="74"/>
      <c r="W16" s="76" t="s">
        <v>78</v>
      </c>
      <c r="X16" s="74">
        <v>0</v>
      </c>
      <c r="Y16" s="53"/>
      <c r="Z16" s="53">
        <f t="shared" si="0"/>
        <v>18750</v>
      </c>
      <c r="AA16" s="53"/>
    </row>
    <row r="17" spans="1:27" ht="47.25">
      <c r="A17" s="483"/>
      <c r="B17" s="77" t="s">
        <v>136</v>
      </c>
      <c r="C17" s="78" t="s">
        <v>137</v>
      </c>
      <c r="D17" s="65">
        <v>22800</v>
      </c>
      <c r="E17" s="66">
        <v>1094</v>
      </c>
      <c r="F17" s="66">
        <v>766</v>
      </c>
      <c r="G17" s="68">
        <v>105</v>
      </c>
      <c r="H17" s="68" t="s">
        <v>75</v>
      </c>
      <c r="I17" s="66">
        <v>16197</v>
      </c>
      <c r="J17" s="71">
        <v>0.76</v>
      </c>
      <c r="K17" s="68">
        <v>0</v>
      </c>
      <c r="L17" s="68">
        <v>0</v>
      </c>
      <c r="M17" s="68">
        <v>0</v>
      </c>
      <c r="N17" s="68">
        <v>0</v>
      </c>
      <c r="O17" s="68" t="s">
        <v>138</v>
      </c>
      <c r="P17" s="70" t="s">
        <v>139</v>
      </c>
      <c r="Q17" s="71">
        <v>0.82</v>
      </c>
      <c r="R17" s="66">
        <v>-250000</v>
      </c>
      <c r="S17" s="70" t="s">
        <v>140</v>
      </c>
      <c r="T17" s="74"/>
      <c r="U17" s="75">
        <v>22800</v>
      </c>
      <c r="V17" s="74"/>
      <c r="W17" s="76" t="s">
        <v>78</v>
      </c>
      <c r="X17" s="74">
        <v>0</v>
      </c>
      <c r="Y17" s="53"/>
      <c r="Z17" s="53">
        <f t="shared" si="0"/>
        <v>18696</v>
      </c>
      <c r="AA17" s="53"/>
    </row>
    <row r="18" spans="1:27" ht="94.5">
      <c r="A18" s="483"/>
      <c r="B18" s="77" t="s">
        <v>141</v>
      </c>
      <c r="C18" s="79" t="s">
        <v>142</v>
      </c>
      <c r="D18" s="65">
        <v>49500</v>
      </c>
      <c r="E18" s="68">
        <v>3000</v>
      </c>
      <c r="F18" s="66">
        <v>2100</v>
      </c>
      <c r="G18" s="66">
        <v>2051</v>
      </c>
      <c r="H18" s="68" t="s">
        <v>75</v>
      </c>
      <c r="I18" s="68">
        <v>9850</v>
      </c>
      <c r="J18" s="69">
        <v>0.2</v>
      </c>
      <c r="K18" s="68">
        <v>0</v>
      </c>
      <c r="L18" s="68">
        <v>0</v>
      </c>
      <c r="M18" s="68">
        <v>0</v>
      </c>
      <c r="N18" s="68">
        <v>0</v>
      </c>
      <c r="O18" s="68" t="s">
        <v>143</v>
      </c>
      <c r="P18" s="70" t="s">
        <v>144</v>
      </c>
      <c r="Q18" s="71">
        <v>0.76</v>
      </c>
      <c r="R18" s="66">
        <v>-516307</v>
      </c>
      <c r="S18" s="70" t="s">
        <v>145</v>
      </c>
      <c r="T18" s="74"/>
      <c r="U18" s="75">
        <v>49500</v>
      </c>
      <c r="V18" s="74"/>
      <c r="W18" s="76" t="s">
        <v>75</v>
      </c>
      <c r="X18" s="74">
        <v>0</v>
      </c>
      <c r="Y18" s="53"/>
      <c r="Z18" s="53">
        <f t="shared" si="0"/>
        <v>37620</v>
      </c>
      <c r="AA18" s="53"/>
    </row>
    <row r="19" spans="1:27" ht="63">
      <c r="A19" s="483"/>
      <c r="B19" s="77" t="s">
        <v>146</v>
      </c>
      <c r="C19" s="79" t="s">
        <v>147</v>
      </c>
      <c r="D19" s="65">
        <v>74128</v>
      </c>
      <c r="E19" s="68">
        <v>2500</v>
      </c>
      <c r="F19" s="66">
        <v>1750</v>
      </c>
      <c r="G19" s="66">
        <v>2036</v>
      </c>
      <c r="H19" s="68" t="s">
        <v>75</v>
      </c>
      <c r="I19" s="68">
        <v>7250</v>
      </c>
      <c r="J19" s="69">
        <v>0.1</v>
      </c>
      <c r="K19" s="68">
        <v>0</v>
      </c>
      <c r="L19" s="68">
        <v>0</v>
      </c>
      <c r="M19" s="68">
        <v>0</v>
      </c>
      <c r="N19" s="68">
        <v>0</v>
      </c>
      <c r="O19" s="68" t="s">
        <v>148</v>
      </c>
      <c r="P19" s="70" t="s">
        <v>149</v>
      </c>
      <c r="Q19" s="71">
        <v>0.81</v>
      </c>
      <c r="R19" s="66">
        <v>-299000</v>
      </c>
      <c r="S19" s="70" t="s">
        <v>150</v>
      </c>
      <c r="T19" s="74"/>
      <c r="U19" s="75">
        <v>95000</v>
      </c>
      <c r="V19" s="74"/>
      <c r="W19" s="76" t="s">
        <v>75</v>
      </c>
      <c r="X19" s="74">
        <v>0</v>
      </c>
      <c r="Y19" s="53"/>
      <c r="Z19" s="53">
        <f t="shared" si="0"/>
        <v>60043.680000000008</v>
      </c>
      <c r="AA19" s="53"/>
    </row>
    <row r="20" spans="1:27" ht="63">
      <c r="A20" s="483"/>
      <c r="B20" s="77" t="s">
        <v>151</v>
      </c>
      <c r="C20" s="79" t="s">
        <v>152</v>
      </c>
      <c r="D20" s="65">
        <v>57885</v>
      </c>
      <c r="E20" s="68">
        <v>4000</v>
      </c>
      <c r="F20" s="66">
        <v>2800</v>
      </c>
      <c r="G20" s="66">
        <v>2323</v>
      </c>
      <c r="H20" s="68" t="s">
        <v>75</v>
      </c>
      <c r="I20" s="68">
        <v>8125</v>
      </c>
      <c r="J20" s="69">
        <v>0.14000000000000001</v>
      </c>
      <c r="K20" s="68">
        <v>0</v>
      </c>
      <c r="L20" s="68">
        <v>0</v>
      </c>
      <c r="M20" s="68">
        <v>0</v>
      </c>
      <c r="N20" s="68">
        <v>0</v>
      </c>
      <c r="O20" s="68" t="s">
        <v>148</v>
      </c>
      <c r="P20" s="70" t="s">
        <v>153</v>
      </c>
      <c r="Q20" s="71">
        <v>0.72</v>
      </c>
      <c r="R20" s="66">
        <v>-649196</v>
      </c>
      <c r="S20" s="70" t="s">
        <v>154</v>
      </c>
      <c r="T20" s="74"/>
      <c r="U20" s="75">
        <v>80000</v>
      </c>
      <c r="V20" s="74"/>
      <c r="W20" s="76" t="s">
        <v>75</v>
      </c>
      <c r="X20" s="74">
        <v>0</v>
      </c>
      <c r="Y20" s="53"/>
      <c r="Z20" s="53">
        <f t="shared" si="0"/>
        <v>41677.199999999997</v>
      </c>
      <c r="AA20" s="53"/>
    </row>
    <row r="21" spans="1:27" ht="63">
      <c r="A21" s="483"/>
      <c r="B21" s="77" t="s">
        <v>155</v>
      </c>
      <c r="C21" s="79" t="s">
        <v>156</v>
      </c>
      <c r="D21" s="65">
        <v>36000</v>
      </c>
      <c r="E21" s="68">
        <v>1625</v>
      </c>
      <c r="F21" s="66">
        <v>1138</v>
      </c>
      <c r="G21" s="68">
        <v>1145</v>
      </c>
      <c r="H21" s="68" t="s">
        <v>75</v>
      </c>
      <c r="I21" s="68">
        <v>8400</v>
      </c>
      <c r="J21" s="69">
        <v>0.25</v>
      </c>
      <c r="K21" s="68">
        <v>0</v>
      </c>
      <c r="L21" s="68">
        <v>0</v>
      </c>
      <c r="M21" s="68">
        <v>0</v>
      </c>
      <c r="N21" s="68">
        <v>0</v>
      </c>
      <c r="O21" s="68" t="s">
        <v>148</v>
      </c>
      <c r="P21" s="70" t="s">
        <v>157</v>
      </c>
      <c r="Q21" s="71">
        <v>0.81</v>
      </c>
      <c r="R21" s="68"/>
      <c r="S21" s="70" t="s">
        <v>158</v>
      </c>
      <c r="T21" s="74"/>
      <c r="U21" s="75">
        <v>36000</v>
      </c>
      <c r="V21" s="74"/>
      <c r="W21" s="76" t="s">
        <v>75</v>
      </c>
      <c r="X21" s="74">
        <v>0</v>
      </c>
      <c r="Y21" s="53"/>
      <c r="Z21" s="53">
        <f t="shared" si="0"/>
        <v>29160.000000000004</v>
      </c>
      <c r="AA21" s="53"/>
    </row>
    <row r="22" spans="1:27" ht="47.25">
      <c r="A22" s="484"/>
      <c r="B22" s="54" t="s">
        <v>159</v>
      </c>
      <c r="C22" s="55" t="s">
        <v>160</v>
      </c>
      <c r="D22" s="65">
        <v>29798</v>
      </c>
      <c r="E22" s="68">
        <v>2549</v>
      </c>
      <c r="F22" s="66">
        <v>1784</v>
      </c>
      <c r="G22" s="66">
        <v>1603</v>
      </c>
      <c r="H22" s="68" t="s">
        <v>75</v>
      </c>
      <c r="I22" s="68">
        <v>5342</v>
      </c>
      <c r="J22" s="69">
        <v>0.17960000000000001</v>
      </c>
      <c r="K22" s="68">
        <v>0</v>
      </c>
      <c r="L22" s="68">
        <v>0</v>
      </c>
      <c r="M22" s="68">
        <v>0</v>
      </c>
      <c r="N22" s="68">
        <v>0</v>
      </c>
      <c r="O22" s="68" t="s">
        <v>133</v>
      </c>
      <c r="P22" s="70" t="s">
        <v>161</v>
      </c>
      <c r="Q22" s="71">
        <v>0.85</v>
      </c>
      <c r="R22" s="68">
        <v>-1423.5</v>
      </c>
      <c r="S22" s="70" t="s">
        <v>162</v>
      </c>
      <c r="T22" s="74"/>
      <c r="U22" s="75">
        <v>30000</v>
      </c>
      <c r="V22" s="74"/>
      <c r="W22" s="76" t="s">
        <v>78</v>
      </c>
      <c r="X22" s="74"/>
      <c r="Y22" s="53"/>
      <c r="Z22" s="53">
        <f t="shared" si="0"/>
        <v>25328.3</v>
      </c>
      <c r="AA22" s="53"/>
    </row>
    <row r="23" spans="1:27" ht="409.6" customHeight="1">
      <c r="A23" s="482" t="s">
        <v>23</v>
      </c>
      <c r="B23" s="54" t="s">
        <v>163</v>
      </c>
      <c r="C23" s="55" t="s">
        <v>164</v>
      </c>
      <c r="D23" s="81">
        <v>44940</v>
      </c>
      <c r="E23" s="82">
        <v>2054</v>
      </c>
      <c r="F23" s="82">
        <v>1438</v>
      </c>
      <c r="G23" s="130">
        <v>1247</v>
      </c>
      <c r="H23" s="92" t="s">
        <v>75</v>
      </c>
      <c r="I23" s="82">
        <v>22939</v>
      </c>
      <c r="J23" s="69">
        <v>0.51</v>
      </c>
      <c r="K23" s="92" t="s">
        <v>165</v>
      </c>
      <c r="L23" s="92" t="s">
        <v>165</v>
      </c>
      <c r="M23" s="82">
        <v>3515</v>
      </c>
      <c r="N23" s="111">
        <v>500</v>
      </c>
      <c r="O23" s="94" t="s">
        <v>166</v>
      </c>
      <c r="P23" s="94" t="s">
        <v>167</v>
      </c>
      <c r="Q23" s="89">
        <v>0.75</v>
      </c>
      <c r="R23" s="131">
        <v>-29842.639999999999</v>
      </c>
      <c r="S23" s="97" t="s">
        <v>168</v>
      </c>
      <c r="T23" s="74"/>
      <c r="U23" s="75">
        <v>44000</v>
      </c>
      <c r="V23" s="74"/>
      <c r="W23" s="76" t="s">
        <v>78</v>
      </c>
      <c r="X23" s="74">
        <v>0</v>
      </c>
      <c r="Y23" s="53"/>
      <c r="Z23" s="53">
        <f t="shared" si="0"/>
        <v>33705</v>
      </c>
      <c r="AA23" s="53"/>
    </row>
    <row r="24" spans="1:27" ht="94.5">
      <c r="A24" s="483"/>
      <c r="B24" s="54" t="s">
        <v>169</v>
      </c>
      <c r="C24" s="55" t="s">
        <v>170</v>
      </c>
      <c r="D24" s="86">
        <v>82360</v>
      </c>
      <c r="E24" s="87">
        <v>3256</v>
      </c>
      <c r="F24" s="87">
        <v>2279</v>
      </c>
      <c r="G24" s="92"/>
      <c r="H24" s="92" t="s">
        <v>78</v>
      </c>
      <c r="I24" s="92"/>
      <c r="J24" s="88"/>
      <c r="K24" s="92"/>
      <c r="L24" s="92"/>
      <c r="M24" s="92"/>
      <c r="N24" s="92"/>
      <c r="O24" s="94"/>
      <c r="P24" s="94"/>
      <c r="Q24" s="92"/>
      <c r="R24" s="92"/>
      <c r="S24" s="94" t="s">
        <v>467</v>
      </c>
      <c r="T24" s="74"/>
      <c r="U24" s="75">
        <v>76000</v>
      </c>
      <c r="V24" s="74"/>
      <c r="W24" s="76" t="s">
        <v>78</v>
      </c>
      <c r="X24" s="74">
        <v>0</v>
      </c>
      <c r="Y24" s="53"/>
      <c r="Z24" s="53">
        <f t="shared" si="0"/>
        <v>0</v>
      </c>
      <c r="AA24" s="53"/>
    </row>
    <row r="25" spans="1:27" ht="409.5">
      <c r="A25" s="483"/>
      <c r="B25" s="54" t="s">
        <v>171</v>
      </c>
      <c r="C25" s="55" t="s">
        <v>172</v>
      </c>
      <c r="D25" s="86">
        <v>45000</v>
      </c>
      <c r="E25" s="87">
        <v>2168</v>
      </c>
      <c r="F25" s="87">
        <v>1518</v>
      </c>
      <c r="G25" s="90">
        <v>379</v>
      </c>
      <c r="H25" s="92" t="s">
        <v>75</v>
      </c>
      <c r="I25" s="131">
        <v>4516</v>
      </c>
      <c r="J25" s="88">
        <v>0.1</v>
      </c>
      <c r="K25" s="92">
        <v>181</v>
      </c>
      <c r="L25" s="87">
        <v>8698</v>
      </c>
      <c r="M25" s="87">
        <v>4140</v>
      </c>
      <c r="N25" s="92">
        <v>867</v>
      </c>
      <c r="O25" s="94" t="s">
        <v>173</v>
      </c>
      <c r="P25" s="94" t="s">
        <v>174</v>
      </c>
      <c r="Q25" s="89">
        <v>0.78</v>
      </c>
      <c r="R25" s="131">
        <v>-2160.9299999999998</v>
      </c>
      <c r="S25" s="94" t="s">
        <v>175</v>
      </c>
      <c r="T25" s="74"/>
      <c r="U25" s="75">
        <v>45000</v>
      </c>
      <c r="V25" s="74"/>
      <c r="W25" s="76" t="s">
        <v>78</v>
      </c>
      <c r="X25" s="74">
        <v>0</v>
      </c>
      <c r="Y25" s="53"/>
      <c r="Z25" s="53">
        <f t="shared" si="0"/>
        <v>35100</v>
      </c>
      <c r="AA25" s="53"/>
    </row>
    <row r="26" spans="1:27" ht="78.75">
      <c r="A26" s="484"/>
      <c r="B26" s="54" t="s">
        <v>176</v>
      </c>
      <c r="C26" s="55" t="s">
        <v>177</v>
      </c>
      <c r="D26" s="86">
        <v>10000</v>
      </c>
      <c r="E26" s="92">
        <v>334</v>
      </c>
      <c r="F26" s="87">
        <v>234</v>
      </c>
      <c r="G26" s="90">
        <v>33</v>
      </c>
      <c r="H26" s="92" t="s">
        <v>75</v>
      </c>
      <c r="I26" s="90">
        <v>154.4</v>
      </c>
      <c r="J26" s="91">
        <v>0.02</v>
      </c>
      <c r="K26" s="92" t="s">
        <v>165</v>
      </c>
      <c r="L26" s="92" t="s">
        <v>165</v>
      </c>
      <c r="M26" s="92" t="s">
        <v>165</v>
      </c>
      <c r="N26" s="92" t="s">
        <v>165</v>
      </c>
      <c r="O26" s="94" t="s">
        <v>178</v>
      </c>
      <c r="P26" s="80" t="s">
        <v>179</v>
      </c>
      <c r="Q26" s="89">
        <v>0.79</v>
      </c>
      <c r="R26" s="92">
        <v>-0.65</v>
      </c>
      <c r="S26" s="122" t="s">
        <v>180</v>
      </c>
      <c r="T26" s="74"/>
      <c r="U26" s="75">
        <v>10000</v>
      </c>
      <c r="V26" s="74"/>
      <c r="W26" s="76" t="s">
        <v>78</v>
      </c>
      <c r="X26" s="74">
        <v>0</v>
      </c>
      <c r="Y26" s="53"/>
      <c r="Z26" s="53">
        <f t="shared" si="0"/>
        <v>7900</v>
      </c>
      <c r="AA26" s="53"/>
    </row>
    <row r="27" spans="1:27" ht="126">
      <c r="A27" s="482" t="s">
        <v>24</v>
      </c>
      <c r="B27" s="54" t="s">
        <v>181</v>
      </c>
      <c r="C27" s="55" t="s">
        <v>182</v>
      </c>
      <c r="D27" s="56">
        <v>96380</v>
      </c>
      <c r="E27" s="57">
        <v>3662</v>
      </c>
      <c r="F27" s="57">
        <v>2563</v>
      </c>
      <c r="G27" s="57">
        <v>2554</v>
      </c>
      <c r="H27" s="57" t="s">
        <v>75</v>
      </c>
      <c r="I27" s="57">
        <v>5983</v>
      </c>
      <c r="J27" s="59">
        <v>6.2100000000000002E-2</v>
      </c>
      <c r="K27" s="57">
        <v>76</v>
      </c>
      <c r="L27" s="57">
        <v>3032</v>
      </c>
      <c r="M27" s="57">
        <v>2700</v>
      </c>
      <c r="N27" s="57">
        <v>540</v>
      </c>
      <c r="O27" s="57" t="s">
        <v>183</v>
      </c>
      <c r="P27" s="132" t="s">
        <v>184</v>
      </c>
      <c r="Q27" s="61">
        <v>0.75</v>
      </c>
      <c r="R27" s="58" t="s">
        <v>264</v>
      </c>
      <c r="S27" s="60" t="s">
        <v>468</v>
      </c>
      <c r="T27" s="74"/>
      <c r="U27" s="75">
        <v>96380</v>
      </c>
      <c r="V27" s="74"/>
      <c r="W27" s="76" t="s">
        <v>78</v>
      </c>
      <c r="X27" s="74">
        <v>0</v>
      </c>
      <c r="Y27" s="53"/>
      <c r="Z27" s="53">
        <f t="shared" si="0"/>
        <v>72285</v>
      </c>
      <c r="AA27" s="53"/>
    </row>
    <row r="28" spans="1:27" ht="126">
      <c r="A28" s="483"/>
      <c r="B28" s="54" t="s">
        <v>186</v>
      </c>
      <c r="C28" s="55" t="s">
        <v>187</v>
      </c>
      <c r="D28" s="65">
        <v>45000</v>
      </c>
      <c r="E28" s="66">
        <v>1710</v>
      </c>
      <c r="F28" s="66">
        <v>1197</v>
      </c>
      <c r="G28" s="66">
        <v>715</v>
      </c>
      <c r="H28" s="57" t="s">
        <v>75</v>
      </c>
      <c r="I28" s="57">
        <v>5983</v>
      </c>
      <c r="J28" s="59">
        <v>6.2100000000000002E-2</v>
      </c>
      <c r="K28" s="57">
        <v>76</v>
      </c>
      <c r="L28" s="57">
        <v>3032</v>
      </c>
      <c r="M28" s="57">
        <v>2700</v>
      </c>
      <c r="N28" s="57">
        <v>540</v>
      </c>
      <c r="O28" s="57" t="s">
        <v>183</v>
      </c>
      <c r="P28" s="133" t="s">
        <v>184</v>
      </c>
      <c r="Q28" s="61">
        <v>0.75</v>
      </c>
      <c r="R28" s="58">
        <v>-6977</v>
      </c>
      <c r="S28" s="60" t="s">
        <v>185</v>
      </c>
      <c r="T28" s="74"/>
      <c r="U28" s="75">
        <v>10000</v>
      </c>
      <c r="V28" s="74"/>
      <c r="W28" s="76" t="s">
        <v>78</v>
      </c>
      <c r="X28" s="74">
        <v>0</v>
      </c>
      <c r="Y28" s="53"/>
      <c r="Z28" s="53">
        <f t="shared" si="0"/>
        <v>33750</v>
      </c>
      <c r="AA28" s="53"/>
    </row>
    <row r="29" spans="1:27" ht="47.25">
      <c r="A29" s="483"/>
      <c r="B29" s="54" t="s">
        <v>191</v>
      </c>
      <c r="C29" s="55" t="s">
        <v>192</v>
      </c>
      <c r="D29" s="65">
        <v>40000</v>
      </c>
      <c r="E29" s="66">
        <v>1520</v>
      </c>
      <c r="F29" s="66">
        <v>1064</v>
      </c>
      <c r="G29" s="66">
        <v>1985</v>
      </c>
      <c r="H29" s="66" t="s">
        <v>75</v>
      </c>
      <c r="I29" s="66">
        <v>4600</v>
      </c>
      <c r="J29" s="69">
        <v>0.1022</v>
      </c>
      <c r="K29" s="68">
        <v>333</v>
      </c>
      <c r="L29" s="68" t="s">
        <v>165</v>
      </c>
      <c r="M29" s="66">
        <v>38000</v>
      </c>
      <c r="N29" s="66">
        <v>1400</v>
      </c>
      <c r="O29" s="66" t="s">
        <v>188</v>
      </c>
      <c r="P29" s="134" t="s">
        <v>189</v>
      </c>
      <c r="Q29" s="71">
        <v>0.74</v>
      </c>
      <c r="R29" s="66">
        <v>-51978</v>
      </c>
      <c r="S29" s="70" t="s">
        <v>190</v>
      </c>
      <c r="T29" s="74"/>
      <c r="U29" s="75">
        <v>40000</v>
      </c>
      <c r="V29" s="74"/>
      <c r="W29" s="76" t="s">
        <v>78</v>
      </c>
      <c r="X29" s="74">
        <v>0</v>
      </c>
      <c r="Y29" s="53"/>
      <c r="Z29" s="53">
        <f t="shared" si="0"/>
        <v>29600</v>
      </c>
      <c r="AA29" s="53"/>
    </row>
    <row r="30" spans="1:27" ht="47.25">
      <c r="A30" s="483"/>
      <c r="B30" s="54" t="s">
        <v>195</v>
      </c>
      <c r="C30" s="55" t="s">
        <v>196</v>
      </c>
      <c r="D30" s="65">
        <v>75660</v>
      </c>
      <c r="E30" s="66">
        <v>2875</v>
      </c>
      <c r="F30" s="66">
        <v>2013</v>
      </c>
      <c r="G30" s="66">
        <v>698</v>
      </c>
      <c r="H30" s="66" t="s">
        <v>75</v>
      </c>
      <c r="I30" s="66">
        <v>1273</v>
      </c>
      <c r="J30" s="69">
        <v>3.1800000000000002E-2</v>
      </c>
      <c r="K30" s="66">
        <v>130</v>
      </c>
      <c r="L30" s="66">
        <v>932</v>
      </c>
      <c r="M30" s="66">
        <v>1200</v>
      </c>
      <c r="N30" s="66">
        <v>588</v>
      </c>
      <c r="O30" s="66" t="s">
        <v>188</v>
      </c>
      <c r="P30" s="134" t="s">
        <v>193</v>
      </c>
      <c r="Q30" s="71">
        <v>0.83</v>
      </c>
      <c r="R30" s="66">
        <v>-19102</v>
      </c>
      <c r="S30" s="70" t="s">
        <v>194</v>
      </c>
      <c r="T30" s="74"/>
      <c r="U30" s="75">
        <v>75660</v>
      </c>
      <c r="V30" s="74"/>
      <c r="W30" s="76" t="s">
        <v>78</v>
      </c>
      <c r="X30" s="74">
        <v>0</v>
      </c>
      <c r="Y30" s="53"/>
      <c r="Z30" s="53">
        <f t="shared" si="0"/>
        <v>62797.799999999996</v>
      </c>
      <c r="AA30" s="53"/>
    </row>
    <row r="31" spans="1:27" ht="78.75">
      <c r="A31" s="483"/>
      <c r="B31" s="54" t="s">
        <v>200</v>
      </c>
      <c r="C31" s="55" t="s">
        <v>201</v>
      </c>
      <c r="D31" s="65">
        <v>38800</v>
      </c>
      <c r="E31" s="66">
        <v>1474</v>
      </c>
      <c r="F31" s="66">
        <v>1032</v>
      </c>
      <c r="G31" s="66">
        <v>611</v>
      </c>
      <c r="H31" s="66" t="s">
        <v>75</v>
      </c>
      <c r="I31" s="66">
        <v>4044</v>
      </c>
      <c r="J31" s="69">
        <v>5.3400000000000003E-2</v>
      </c>
      <c r="K31" s="68">
        <v>155</v>
      </c>
      <c r="L31" s="66">
        <v>3314</v>
      </c>
      <c r="M31" s="66">
        <v>5400</v>
      </c>
      <c r="N31" s="68">
        <v>540</v>
      </c>
      <c r="O31" s="68" t="s">
        <v>197</v>
      </c>
      <c r="P31" s="134" t="s">
        <v>198</v>
      </c>
      <c r="Q31" s="71">
        <v>0.7</v>
      </c>
      <c r="R31" s="68">
        <v>-18050</v>
      </c>
      <c r="S31" s="70" t="s">
        <v>199</v>
      </c>
      <c r="T31" s="74"/>
      <c r="U31" s="75">
        <v>38800</v>
      </c>
      <c r="V31" s="74"/>
      <c r="W31" s="76" t="s">
        <v>78</v>
      </c>
      <c r="X31" s="74">
        <v>0</v>
      </c>
      <c r="Y31" s="53"/>
      <c r="Z31" s="53">
        <f t="shared" si="0"/>
        <v>27160</v>
      </c>
      <c r="AA31" s="53"/>
    </row>
    <row r="32" spans="1:27" ht="63">
      <c r="A32" s="483"/>
      <c r="B32" s="54" t="s">
        <v>202</v>
      </c>
      <c r="C32" s="55" t="s">
        <v>203</v>
      </c>
      <c r="D32" s="65">
        <v>50000</v>
      </c>
      <c r="E32" s="66">
        <v>1900</v>
      </c>
      <c r="F32" s="66">
        <v>1330</v>
      </c>
      <c r="G32" s="66">
        <v>1015</v>
      </c>
      <c r="H32" s="66" t="s">
        <v>75</v>
      </c>
      <c r="I32" s="66">
        <v>783</v>
      </c>
      <c r="J32" s="69">
        <v>2.0199999999999999E-2</v>
      </c>
      <c r="K32" s="66" t="s">
        <v>165</v>
      </c>
      <c r="L32" s="66" t="s">
        <v>165</v>
      </c>
      <c r="M32" s="66" t="s">
        <v>165</v>
      </c>
      <c r="N32" s="66" t="s">
        <v>165</v>
      </c>
      <c r="O32" s="66" t="s">
        <v>469</v>
      </c>
      <c r="P32" s="70" t="s">
        <v>470</v>
      </c>
      <c r="Q32" s="71">
        <v>0.88</v>
      </c>
      <c r="R32" s="68"/>
      <c r="S32" s="70" t="s">
        <v>471</v>
      </c>
      <c r="T32" s="74"/>
      <c r="U32" s="75">
        <v>50000</v>
      </c>
      <c r="V32" s="74"/>
      <c r="W32" s="76" t="s">
        <v>78</v>
      </c>
      <c r="X32" s="74">
        <v>0</v>
      </c>
      <c r="Y32" s="53"/>
      <c r="Z32" s="53">
        <f t="shared" si="0"/>
        <v>44000</v>
      </c>
      <c r="AA32" s="53"/>
    </row>
    <row r="33" spans="1:27" ht="78.75">
      <c r="A33" s="483"/>
      <c r="B33" s="54" t="s">
        <v>206</v>
      </c>
      <c r="C33" s="55" t="s">
        <v>207</v>
      </c>
      <c r="D33" s="65">
        <v>50000</v>
      </c>
      <c r="E33" s="66">
        <v>1900</v>
      </c>
      <c r="F33" s="66">
        <v>1330</v>
      </c>
      <c r="G33" s="66">
        <v>209</v>
      </c>
      <c r="H33" s="66" t="s">
        <v>75</v>
      </c>
      <c r="I33" s="66">
        <v>5694</v>
      </c>
      <c r="J33" s="69">
        <v>0.1139</v>
      </c>
      <c r="K33" s="66">
        <v>30</v>
      </c>
      <c r="L33" s="66">
        <v>19068</v>
      </c>
      <c r="M33" s="66">
        <v>1030</v>
      </c>
      <c r="N33" s="66">
        <v>206</v>
      </c>
      <c r="O33" s="66" t="s">
        <v>197</v>
      </c>
      <c r="P33" s="134" t="s">
        <v>204</v>
      </c>
      <c r="Q33" s="71">
        <v>0.71</v>
      </c>
      <c r="R33" s="68">
        <v>-11007</v>
      </c>
      <c r="S33" s="70" t="s">
        <v>205</v>
      </c>
      <c r="T33" s="74"/>
      <c r="U33" s="75">
        <v>50000</v>
      </c>
      <c r="V33" s="74"/>
      <c r="W33" s="76" t="s">
        <v>78</v>
      </c>
      <c r="X33" s="74">
        <v>0</v>
      </c>
      <c r="Y33" s="53"/>
      <c r="Z33" s="53">
        <f t="shared" si="0"/>
        <v>35500</v>
      </c>
      <c r="AA33" s="53"/>
    </row>
    <row r="34" spans="1:27" ht="47.25">
      <c r="A34" s="483"/>
      <c r="B34" s="54" t="s">
        <v>209</v>
      </c>
      <c r="C34" s="55" t="s">
        <v>210</v>
      </c>
      <c r="D34" s="65">
        <v>80000</v>
      </c>
      <c r="E34" s="66">
        <v>3040</v>
      </c>
      <c r="F34" s="66">
        <v>2128</v>
      </c>
      <c r="G34" s="66">
        <v>2087</v>
      </c>
      <c r="H34" s="66" t="s">
        <v>75</v>
      </c>
      <c r="I34" s="66">
        <v>13149</v>
      </c>
      <c r="J34" s="69">
        <v>0.26300000000000001</v>
      </c>
      <c r="K34" s="66">
        <v>186</v>
      </c>
      <c r="L34" s="66">
        <v>30345</v>
      </c>
      <c r="M34" s="66">
        <v>26000</v>
      </c>
      <c r="N34" s="66">
        <v>713</v>
      </c>
      <c r="O34" s="66" t="s">
        <v>188</v>
      </c>
      <c r="P34" s="134" t="s">
        <v>208</v>
      </c>
      <c r="Q34" s="71">
        <v>0.7</v>
      </c>
      <c r="R34" s="68"/>
      <c r="S34" s="70" t="s">
        <v>471</v>
      </c>
      <c r="T34" s="74"/>
      <c r="U34" s="75">
        <v>80000</v>
      </c>
      <c r="V34" s="74"/>
      <c r="W34" s="76" t="s">
        <v>78</v>
      </c>
      <c r="X34" s="74">
        <v>0</v>
      </c>
      <c r="Y34" s="53"/>
      <c r="Z34" s="53">
        <f t="shared" si="0"/>
        <v>56000</v>
      </c>
      <c r="AA34" s="53"/>
    </row>
    <row r="35" spans="1:27" ht="47.25">
      <c r="A35" s="483"/>
      <c r="B35" s="54" t="s">
        <v>211</v>
      </c>
      <c r="C35" s="55" t="s">
        <v>212</v>
      </c>
      <c r="D35" s="65">
        <v>18000</v>
      </c>
      <c r="E35" s="68">
        <v>760</v>
      </c>
      <c r="F35" s="66">
        <v>532</v>
      </c>
      <c r="G35" s="68">
        <v>479</v>
      </c>
      <c r="H35" s="68" t="s">
        <v>75</v>
      </c>
      <c r="I35" s="66">
        <v>7201</v>
      </c>
      <c r="J35" s="71">
        <v>0.4</v>
      </c>
      <c r="K35" s="66">
        <v>1010</v>
      </c>
      <c r="L35" s="68">
        <v>135</v>
      </c>
      <c r="M35" s="66">
        <v>15000</v>
      </c>
      <c r="N35" s="66">
        <v>1650</v>
      </c>
      <c r="O35" s="66" t="s">
        <v>213</v>
      </c>
      <c r="P35" s="135" t="s">
        <v>214</v>
      </c>
      <c r="Q35" s="71">
        <v>0.7</v>
      </c>
      <c r="R35" s="68">
        <v>-54</v>
      </c>
      <c r="S35" s="70" t="s">
        <v>215</v>
      </c>
      <c r="T35" s="74"/>
      <c r="U35" s="75">
        <v>18000</v>
      </c>
      <c r="V35" s="74"/>
      <c r="W35" s="76" t="s">
        <v>78</v>
      </c>
      <c r="X35" s="74">
        <v>0</v>
      </c>
      <c r="Y35" s="53"/>
      <c r="Z35" s="53">
        <f t="shared" si="0"/>
        <v>12600</v>
      </c>
      <c r="AA35" s="53"/>
    </row>
    <row r="36" spans="1:27" ht="47.25">
      <c r="A36" s="483"/>
      <c r="B36" s="54" t="s">
        <v>216</v>
      </c>
      <c r="C36" s="55" t="s">
        <v>217</v>
      </c>
      <c r="D36" s="65">
        <v>18000</v>
      </c>
      <c r="E36" s="68">
        <v>760</v>
      </c>
      <c r="F36" s="66">
        <v>532</v>
      </c>
      <c r="G36" s="66">
        <v>1664</v>
      </c>
      <c r="H36" s="68" t="s">
        <v>75</v>
      </c>
      <c r="I36" s="66">
        <v>2237</v>
      </c>
      <c r="J36" s="69">
        <v>0.12429999999999999</v>
      </c>
      <c r="K36" s="66">
        <v>36</v>
      </c>
      <c r="L36" s="68" t="s">
        <v>165</v>
      </c>
      <c r="M36" s="68">
        <v>360</v>
      </c>
      <c r="N36" s="68">
        <v>180</v>
      </c>
      <c r="O36" s="68" t="s">
        <v>188</v>
      </c>
      <c r="P36" s="134" t="s">
        <v>218</v>
      </c>
      <c r="Q36" s="71">
        <v>0.82</v>
      </c>
      <c r="R36" s="68">
        <v>-904</v>
      </c>
      <c r="S36" s="70" t="s">
        <v>472</v>
      </c>
      <c r="T36" s="74"/>
      <c r="U36" s="75">
        <v>18000</v>
      </c>
      <c r="V36" s="74"/>
      <c r="W36" s="76" t="s">
        <v>78</v>
      </c>
      <c r="X36" s="74">
        <v>0</v>
      </c>
      <c r="Y36" s="53"/>
      <c r="Z36" s="53">
        <f t="shared" si="0"/>
        <v>14760</v>
      </c>
      <c r="AA36" s="53"/>
    </row>
    <row r="37" spans="1:27" ht="47.25">
      <c r="A37" s="483"/>
      <c r="B37" s="54" t="s">
        <v>219</v>
      </c>
      <c r="C37" s="55" t="s">
        <v>220</v>
      </c>
      <c r="D37" s="65">
        <v>22000</v>
      </c>
      <c r="E37" s="68">
        <v>836</v>
      </c>
      <c r="F37" s="66">
        <v>585</v>
      </c>
      <c r="G37" s="68">
        <v>478</v>
      </c>
      <c r="H37" s="68" t="s">
        <v>75</v>
      </c>
      <c r="I37" s="68">
        <v>205</v>
      </c>
      <c r="J37" s="69">
        <v>9.2999999999999992E-3</v>
      </c>
      <c r="K37" s="68" t="s">
        <v>165</v>
      </c>
      <c r="L37" s="66">
        <v>1550</v>
      </c>
      <c r="M37" s="68">
        <v>400</v>
      </c>
      <c r="N37" s="66">
        <v>275</v>
      </c>
      <c r="O37" s="68" t="s">
        <v>188</v>
      </c>
      <c r="P37" s="134" t="s">
        <v>221</v>
      </c>
      <c r="Q37" s="71">
        <v>0.76</v>
      </c>
      <c r="R37" s="68">
        <v>-1631</v>
      </c>
      <c r="S37" s="70" t="s">
        <v>222</v>
      </c>
      <c r="T37" s="74"/>
      <c r="U37" s="75">
        <v>22000</v>
      </c>
      <c r="V37" s="74"/>
      <c r="W37" s="76" t="s">
        <v>78</v>
      </c>
      <c r="X37" s="74">
        <v>0</v>
      </c>
      <c r="Y37" s="53"/>
      <c r="Z37" s="53">
        <f t="shared" si="0"/>
        <v>16720</v>
      </c>
      <c r="AA37" s="53"/>
    </row>
    <row r="38" spans="1:27" ht="63">
      <c r="A38" s="483"/>
      <c r="B38" s="54" t="s">
        <v>223</v>
      </c>
      <c r="C38" s="55" t="s">
        <v>224</v>
      </c>
      <c r="D38" s="65">
        <v>25000</v>
      </c>
      <c r="E38" s="68">
        <v>950</v>
      </c>
      <c r="F38" s="66">
        <v>665</v>
      </c>
      <c r="G38" s="68">
        <v>528</v>
      </c>
      <c r="H38" s="68" t="s">
        <v>75</v>
      </c>
      <c r="I38" s="66">
        <v>13675</v>
      </c>
      <c r="J38" s="69">
        <v>0.54700000000000004</v>
      </c>
      <c r="K38" s="66" t="s">
        <v>165</v>
      </c>
      <c r="L38" s="68" t="s">
        <v>165</v>
      </c>
      <c r="M38" s="68" t="s">
        <v>165</v>
      </c>
      <c r="N38" s="68" t="s">
        <v>165</v>
      </c>
      <c r="O38" s="68" t="s">
        <v>225</v>
      </c>
      <c r="P38" s="134" t="s">
        <v>226</v>
      </c>
      <c r="Q38" s="71">
        <v>0.71</v>
      </c>
      <c r="R38" s="68">
        <v>-910</v>
      </c>
      <c r="S38" s="70" t="s">
        <v>215</v>
      </c>
      <c r="T38" s="74"/>
      <c r="U38" s="75">
        <v>25000</v>
      </c>
      <c r="V38" s="74"/>
      <c r="W38" s="76" t="s">
        <v>78</v>
      </c>
      <c r="X38" s="74">
        <v>0</v>
      </c>
      <c r="Y38" s="53"/>
      <c r="Z38" s="53">
        <f t="shared" si="0"/>
        <v>17750</v>
      </c>
      <c r="AA38" s="53"/>
    </row>
    <row r="39" spans="1:27" ht="31.5">
      <c r="A39" s="484"/>
      <c r="B39" s="54" t="s">
        <v>227</v>
      </c>
      <c r="C39" s="55" t="s">
        <v>228</v>
      </c>
      <c r="D39" s="65">
        <v>65000</v>
      </c>
      <c r="E39" s="66">
        <v>2470</v>
      </c>
      <c r="F39" s="66">
        <v>1729</v>
      </c>
      <c r="G39" s="66"/>
      <c r="H39" s="66" t="s">
        <v>78</v>
      </c>
      <c r="I39" s="68"/>
      <c r="J39" s="68"/>
      <c r="K39" s="68"/>
      <c r="L39" s="68"/>
      <c r="M39" s="68"/>
      <c r="N39" s="96"/>
      <c r="O39" s="68"/>
      <c r="P39" s="70"/>
      <c r="Q39" s="68"/>
      <c r="R39" s="68"/>
      <c r="S39" s="70" t="s">
        <v>473</v>
      </c>
      <c r="T39" s="74"/>
      <c r="U39" s="75">
        <v>65000</v>
      </c>
      <c r="V39" s="74"/>
      <c r="W39" s="76" t="s">
        <v>78</v>
      </c>
      <c r="X39" s="74">
        <v>0</v>
      </c>
      <c r="Y39" s="53"/>
      <c r="Z39" s="53">
        <f t="shared" si="0"/>
        <v>0</v>
      </c>
      <c r="AA39" s="53"/>
    </row>
    <row r="40" spans="1:27" ht="94.5">
      <c r="A40" s="482" t="s">
        <v>25</v>
      </c>
      <c r="B40" s="54" t="s">
        <v>229</v>
      </c>
      <c r="C40" s="55" t="s">
        <v>230</v>
      </c>
      <c r="D40" s="81">
        <v>80000</v>
      </c>
      <c r="E40" s="82">
        <v>3000</v>
      </c>
      <c r="F40" s="82">
        <v>2110</v>
      </c>
      <c r="G40" s="111">
        <v>911</v>
      </c>
      <c r="H40" s="111" t="s">
        <v>75</v>
      </c>
      <c r="I40" s="82">
        <v>31492</v>
      </c>
      <c r="J40" s="83">
        <v>0.39539999999999997</v>
      </c>
      <c r="K40" s="111">
        <v>62</v>
      </c>
      <c r="L40" s="92" t="s">
        <v>165</v>
      </c>
      <c r="M40" s="84">
        <v>992</v>
      </c>
      <c r="N40" s="84">
        <v>496</v>
      </c>
      <c r="O40" s="136" t="s">
        <v>231</v>
      </c>
      <c r="P40" s="97" t="s">
        <v>232</v>
      </c>
      <c r="Q40" s="120">
        <v>0.76</v>
      </c>
      <c r="R40" s="84">
        <v>-65537</v>
      </c>
      <c r="S40" s="97"/>
      <c r="T40" s="74"/>
      <c r="U40" s="75">
        <v>80000</v>
      </c>
      <c r="V40" s="74"/>
      <c r="W40" s="76" t="s">
        <v>78</v>
      </c>
      <c r="X40" s="74">
        <v>0</v>
      </c>
      <c r="Y40" s="53"/>
      <c r="Z40" s="53">
        <f t="shared" si="0"/>
        <v>60800</v>
      </c>
      <c r="AA40" s="53"/>
    </row>
    <row r="41" spans="1:27" ht="63">
      <c r="A41" s="483"/>
      <c r="B41" s="54" t="s">
        <v>233</v>
      </c>
      <c r="C41" s="55" t="s">
        <v>234</v>
      </c>
      <c r="D41" s="86">
        <v>48000</v>
      </c>
      <c r="E41" s="87">
        <v>1700</v>
      </c>
      <c r="F41" s="87">
        <v>1190</v>
      </c>
      <c r="G41" s="92">
        <v>297</v>
      </c>
      <c r="H41" s="92" t="s">
        <v>75</v>
      </c>
      <c r="I41" s="87">
        <v>12530</v>
      </c>
      <c r="J41" s="88">
        <v>0.2611</v>
      </c>
      <c r="K41" s="92" t="s">
        <v>165</v>
      </c>
      <c r="L41" s="92" t="s">
        <v>165</v>
      </c>
      <c r="M41" s="92" t="s">
        <v>165</v>
      </c>
      <c r="N41" s="92" t="s">
        <v>165</v>
      </c>
      <c r="O41" s="137" t="s">
        <v>235</v>
      </c>
      <c r="P41" s="94" t="s">
        <v>236</v>
      </c>
      <c r="Q41" s="93">
        <v>0.8</v>
      </c>
      <c r="R41" s="90">
        <v>-878</v>
      </c>
      <c r="S41" s="94"/>
      <c r="T41" s="74"/>
      <c r="U41" s="75">
        <v>48000</v>
      </c>
      <c r="V41" s="74"/>
      <c r="W41" s="76" t="s">
        <v>78</v>
      </c>
      <c r="X41" s="74">
        <v>0</v>
      </c>
      <c r="Y41" s="53"/>
      <c r="Z41" s="53">
        <f t="shared" si="0"/>
        <v>38400</v>
      </c>
      <c r="AA41" s="53"/>
    </row>
    <row r="42" spans="1:27" ht="63">
      <c r="A42" s="483"/>
      <c r="B42" s="54" t="s">
        <v>237</v>
      </c>
      <c r="C42" s="55" t="s">
        <v>238</v>
      </c>
      <c r="D42" s="86">
        <v>65000</v>
      </c>
      <c r="E42" s="87">
        <v>2000</v>
      </c>
      <c r="F42" s="87">
        <v>1400</v>
      </c>
      <c r="G42" s="92">
        <v>800</v>
      </c>
      <c r="H42" s="92" t="s">
        <v>75</v>
      </c>
      <c r="I42" s="87">
        <v>10188</v>
      </c>
      <c r="J42" s="88">
        <v>0.1686</v>
      </c>
      <c r="K42" s="92" t="s">
        <v>165</v>
      </c>
      <c r="L42" s="92" t="s">
        <v>165</v>
      </c>
      <c r="M42" s="92" t="s">
        <v>165</v>
      </c>
      <c r="N42" s="92" t="s">
        <v>165</v>
      </c>
      <c r="O42" s="137" t="s">
        <v>235</v>
      </c>
      <c r="P42" s="94" t="s">
        <v>239</v>
      </c>
      <c r="Q42" s="93">
        <v>0.79</v>
      </c>
      <c r="R42" s="90">
        <v>0</v>
      </c>
      <c r="S42" s="94"/>
      <c r="T42" s="74"/>
      <c r="U42" s="75">
        <v>65000</v>
      </c>
      <c r="V42" s="74"/>
      <c r="W42" s="76" t="s">
        <v>78</v>
      </c>
      <c r="X42" s="74">
        <v>0</v>
      </c>
      <c r="Y42" s="53"/>
      <c r="Z42" s="53">
        <f t="shared" si="0"/>
        <v>51350</v>
      </c>
      <c r="AA42" s="53"/>
    </row>
    <row r="43" spans="1:27" ht="47.25">
      <c r="A43" s="483"/>
      <c r="B43" s="54" t="s">
        <v>240</v>
      </c>
      <c r="C43" s="55" t="s">
        <v>241</v>
      </c>
      <c r="D43" s="86">
        <v>90000</v>
      </c>
      <c r="E43" s="87">
        <v>3600</v>
      </c>
      <c r="F43" s="87">
        <v>2520</v>
      </c>
      <c r="G43" s="92">
        <v>1222</v>
      </c>
      <c r="H43" s="92" t="s">
        <v>75</v>
      </c>
      <c r="I43" s="87">
        <v>14476</v>
      </c>
      <c r="J43" s="88">
        <v>0.1764</v>
      </c>
      <c r="K43" s="92" t="s">
        <v>165</v>
      </c>
      <c r="L43" s="92">
        <v>2084</v>
      </c>
      <c r="M43" s="90">
        <v>1563</v>
      </c>
      <c r="N43" s="90">
        <v>1042</v>
      </c>
      <c r="O43" s="137" t="s">
        <v>242</v>
      </c>
      <c r="P43" s="94" t="s">
        <v>243</v>
      </c>
      <c r="Q43" s="93">
        <v>0.75</v>
      </c>
      <c r="R43" s="90">
        <v>-2946</v>
      </c>
      <c r="S43" s="94"/>
      <c r="T43" s="74"/>
      <c r="U43" s="75">
        <v>90000</v>
      </c>
      <c r="V43" s="74"/>
      <c r="W43" s="76" t="s">
        <v>78</v>
      </c>
      <c r="X43" s="74">
        <v>0</v>
      </c>
      <c r="Y43" s="53"/>
      <c r="Z43" s="53">
        <f t="shared" si="0"/>
        <v>67500</v>
      </c>
      <c r="AA43" s="53"/>
    </row>
    <row r="44" spans="1:27" ht="47.25">
      <c r="A44" s="483"/>
      <c r="B44" s="54" t="s">
        <v>244</v>
      </c>
      <c r="C44" s="55" t="s">
        <v>245</v>
      </c>
      <c r="D44" s="86">
        <v>87000</v>
      </c>
      <c r="E44" s="87">
        <v>2600</v>
      </c>
      <c r="F44" s="87">
        <v>1820</v>
      </c>
      <c r="G44" s="92">
        <v>688</v>
      </c>
      <c r="H44" s="92" t="s">
        <v>75</v>
      </c>
      <c r="I44" s="87">
        <v>6623</v>
      </c>
      <c r="J44" s="88">
        <v>0.08</v>
      </c>
      <c r="K44" s="92">
        <v>326</v>
      </c>
      <c r="L44" s="92">
        <v>3565</v>
      </c>
      <c r="M44" s="90">
        <v>7889.75</v>
      </c>
      <c r="N44" s="90">
        <v>4390.5</v>
      </c>
      <c r="O44" s="92" t="s">
        <v>246</v>
      </c>
      <c r="P44" s="94" t="s">
        <v>247</v>
      </c>
      <c r="Q44" s="93">
        <v>0.76</v>
      </c>
      <c r="R44" s="92"/>
      <c r="S44" s="94"/>
      <c r="T44" s="74"/>
      <c r="U44" s="75">
        <v>87000</v>
      </c>
      <c r="V44" s="74"/>
      <c r="W44" s="76" t="s">
        <v>78</v>
      </c>
      <c r="X44" s="74">
        <v>0</v>
      </c>
      <c r="Y44" s="53"/>
      <c r="Z44" s="53">
        <f t="shared" si="0"/>
        <v>66120</v>
      </c>
      <c r="AA44" s="53"/>
    </row>
    <row r="45" spans="1:27" ht="47.25">
      <c r="A45" s="483"/>
      <c r="B45" s="54" t="s">
        <v>248</v>
      </c>
      <c r="C45" s="55" t="s">
        <v>249</v>
      </c>
      <c r="D45" s="86">
        <v>60000</v>
      </c>
      <c r="E45" s="87">
        <v>2700</v>
      </c>
      <c r="F45" s="87">
        <v>1890</v>
      </c>
      <c r="G45" s="92">
        <v>2011</v>
      </c>
      <c r="H45" s="92" t="s">
        <v>75</v>
      </c>
      <c r="I45" s="87">
        <v>4897</v>
      </c>
      <c r="J45" s="88">
        <v>8.1199999999999994E-2</v>
      </c>
      <c r="K45" s="92" t="s">
        <v>165</v>
      </c>
      <c r="L45" s="92" t="s">
        <v>165</v>
      </c>
      <c r="M45" s="92" t="s">
        <v>165</v>
      </c>
      <c r="N45" s="92" t="s">
        <v>165</v>
      </c>
      <c r="O45" s="92" t="s">
        <v>250</v>
      </c>
      <c r="P45" s="94" t="s">
        <v>251</v>
      </c>
      <c r="Q45" s="93">
        <v>0.76</v>
      </c>
      <c r="R45" s="90">
        <v>-9563</v>
      </c>
      <c r="S45" s="94"/>
      <c r="T45" s="74"/>
      <c r="U45" s="75">
        <v>60000</v>
      </c>
      <c r="V45" s="74"/>
      <c r="W45" s="76" t="s">
        <v>78</v>
      </c>
      <c r="X45" s="74">
        <v>0</v>
      </c>
      <c r="Y45" s="53"/>
      <c r="Z45" s="53">
        <f t="shared" si="0"/>
        <v>45600</v>
      </c>
      <c r="AA45" s="53"/>
    </row>
    <row r="46" spans="1:27" ht="47.25">
      <c r="A46" s="483"/>
      <c r="B46" s="54" t="s">
        <v>252</v>
      </c>
      <c r="C46" s="72" t="s">
        <v>253</v>
      </c>
      <c r="D46" s="86">
        <v>30000</v>
      </c>
      <c r="E46" s="92">
        <v>943</v>
      </c>
      <c r="F46" s="87">
        <v>660</v>
      </c>
      <c r="G46" s="92">
        <v>573</v>
      </c>
      <c r="H46" s="92" t="s">
        <v>75</v>
      </c>
      <c r="I46" s="92">
        <v>700</v>
      </c>
      <c r="J46" s="88">
        <v>2.3E-2</v>
      </c>
      <c r="K46" s="92" t="s">
        <v>165</v>
      </c>
      <c r="L46" s="92" t="s">
        <v>165</v>
      </c>
      <c r="M46" s="92" t="s">
        <v>165</v>
      </c>
      <c r="N46" s="92" t="s">
        <v>165</v>
      </c>
      <c r="O46" s="92" t="s">
        <v>254</v>
      </c>
      <c r="P46" s="94" t="s">
        <v>255</v>
      </c>
      <c r="Q46" s="93">
        <v>0.73</v>
      </c>
      <c r="R46" s="92"/>
      <c r="S46" s="94"/>
      <c r="T46" s="74"/>
      <c r="U46" s="75">
        <v>30000</v>
      </c>
      <c r="V46" s="74"/>
      <c r="W46" s="76" t="s">
        <v>75</v>
      </c>
      <c r="X46" s="74">
        <v>0</v>
      </c>
      <c r="Y46" s="53"/>
      <c r="Z46" s="53">
        <f t="shared" si="0"/>
        <v>21900</v>
      </c>
      <c r="AA46" s="53"/>
    </row>
    <row r="47" spans="1:27" ht="47.25">
      <c r="A47" s="483"/>
      <c r="B47" s="54" t="s">
        <v>256</v>
      </c>
      <c r="C47" s="72" t="s">
        <v>257</v>
      </c>
      <c r="D47" s="86">
        <v>10000</v>
      </c>
      <c r="E47" s="92">
        <v>314</v>
      </c>
      <c r="F47" s="87">
        <v>220</v>
      </c>
      <c r="G47" s="92">
        <v>140</v>
      </c>
      <c r="H47" s="92" t="s">
        <v>75</v>
      </c>
      <c r="I47" s="92">
        <v>319</v>
      </c>
      <c r="J47" s="88">
        <v>3.2000000000000001E-2</v>
      </c>
      <c r="K47" s="92" t="s">
        <v>165</v>
      </c>
      <c r="L47" s="92" t="s">
        <v>165</v>
      </c>
      <c r="M47" s="92" t="s">
        <v>165</v>
      </c>
      <c r="N47" s="92" t="s">
        <v>165</v>
      </c>
      <c r="O47" s="92" t="s">
        <v>254</v>
      </c>
      <c r="P47" s="94" t="s">
        <v>255</v>
      </c>
      <c r="Q47" s="93">
        <v>0.75</v>
      </c>
      <c r="R47" s="92"/>
      <c r="S47" s="94"/>
      <c r="T47" s="74"/>
      <c r="U47" s="75">
        <v>10000</v>
      </c>
      <c r="V47" s="74"/>
      <c r="W47" s="76" t="s">
        <v>75</v>
      </c>
      <c r="X47" s="74">
        <v>0</v>
      </c>
      <c r="Y47" s="53"/>
      <c r="Z47" s="53">
        <f t="shared" si="0"/>
        <v>7500</v>
      </c>
      <c r="AA47" s="53"/>
    </row>
    <row r="48" spans="1:27" ht="47.25">
      <c r="A48" s="484"/>
      <c r="B48" s="54" t="s">
        <v>258</v>
      </c>
      <c r="C48" s="72" t="s">
        <v>259</v>
      </c>
      <c r="D48" s="86">
        <v>10000</v>
      </c>
      <c r="E48" s="92">
        <v>314</v>
      </c>
      <c r="F48" s="87">
        <v>220</v>
      </c>
      <c r="G48" s="92">
        <v>193</v>
      </c>
      <c r="H48" s="92" t="s">
        <v>75</v>
      </c>
      <c r="I48" s="92">
        <v>189</v>
      </c>
      <c r="J48" s="88">
        <v>1.9E-2</v>
      </c>
      <c r="K48" s="92" t="s">
        <v>165</v>
      </c>
      <c r="L48" s="92" t="s">
        <v>165</v>
      </c>
      <c r="M48" s="92" t="s">
        <v>165</v>
      </c>
      <c r="N48" s="92" t="s">
        <v>165</v>
      </c>
      <c r="O48" s="92" t="s">
        <v>254</v>
      </c>
      <c r="P48" s="94" t="s">
        <v>255</v>
      </c>
      <c r="Q48" s="93">
        <v>0.75</v>
      </c>
      <c r="R48" s="92"/>
      <c r="S48" s="94"/>
      <c r="T48" s="74"/>
      <c r="U48" s="75">
        <v>10000</v>
      </c>
      <c r="V48" s="74"/>
      <c r="W48" s="76" t="s">
        <v>75</v>
      </c>
      <c r="X48" s="74">
        <v>0</v>
      </c>
      <c r="Y48" s="53"/>
      <c r="Z48" s="53">
        <f t="shared" si="0"/>
        <v>7500</v>
      </c>
      <c r="AA48" s="53"/>
    </row>
    <row r="49" spans="1:27" ht="78.75">
      <c r="A49" s="482" t="s">
        <v>26</v>
      </c>
      <c r="B49" s="77" t="s">
        <v>260</v>
      </c>
      <c r="C49" s="97" t="s">
        <v>261</v>
      </c>
      <c r="D49" s="57">
        <v>16000</v>
      </c>
      <c r="E49" s="58">
        <v>1750</v>
      </c>
      <c r="F49" s="57">
        <v>1225</v>
      </c>
      <c r="G49" s="58">
        <v>946</v>
      </c>
      <c r="H49" s="58" t="s">
        <v>75</v>
      </c>
      <c r="I49" s="58">
        <v>7133</v>
      </c>
      <c r="J49" s="59">
        <v>0.75309999999999999</v>
      </c>
      <c r="K49" s="58" t="s">
        <v>165</v>
      </c>
      <c r="L49" s="58" t="s">
        <v>165</v>
      </c>
      <c r="M49" s="58" t="s">
        <v>165</v>
      </c>
      <c r="N49" s="58" t="s">
        <v>165</v>
      </c>
      <c r="O49" s="58" t="s">
        <v>262</v>
      </c>
      <c r="P49" s="98" t="s">
        <v>263</v>
      </c>
      <c r="Q49" s="61">
        <v>0.83</v>
      </c>
      <c r="R49" s="99" t="s">
        <v>264</v>
      </c>
      <c r="S49" s="60" t="s">
        <v>265</v>
      </c>
      <c r="T49" s="74"/>
      <c r="U49" s="75">
        <v>16000</v>
      </c>
      <c r="V49" s="74"/>
      <c r="W49" s="76" t="s">
        <v>78</v>
      </c>
      <c r="X49" s="74">
        <v>0</v>
      </c>
      <c r="Y49" s="53"/>
      <c r="Z49" s="53">
        <f t="shared" si="0"/>
        <v>13280</v>
      </c>
      <c r="AA49" s="53"/>
    </row>
    <row r="50" spans="1:27" ht="78.75">
      <c r="A50" s="483"/>
      <c r="B50" s="100" t="s">
        <v>266</v>
      </c>
      <c r="C50" s="94" t="s">
        <v>267</v>
      </c>
      <c r="D50" s="66">
        <v>32000</v>
      </c>
      <c r="E50" s="68">
        <v>2000</v>
      </c>
      <c r="F50" s="66">
        <v>1400</v>
      </c>
      <c r="G50" s="68">
        <v>1122</v>
      </c>
      <c r="H50" s="68" t="s">
        <v>75</v>
      </c>
      <c r="I50" s="68">
        <v>15584</v>
      </c>
      <c r="J50" s="69">
        <v>0.79600000000000004</v>
      </c>
      <c r="K50" s="68" t="s">
        <v>165</v>
      </c>
      <c r="L50" s="68" t="s">
        <v>165</v>
      </c>
      <c r="M50" s="68" t="s">
        <v>165</v>
      </c>
      <c r="N50" s="68" t="s">
        <v>165</v>
      </c>
      <c r="O50" s="68" t="s">
        <v>262</v>
      </c>
      <c r="P50" s="101" t="s">
        <v>268</v>
      </c>
      <c r="Q50" s="71">
        <v>0.7</v>
      </c>
      <c r="R50" s="102" t="s">
        <v>264</v>
      </c>
      <c r="S50" s="70" t="s">
        <v>265</v>
      </c>
      <c r="T50" s="74"/>
      <c r="U50" s="75">
        <v>32000</v>
      </c>
      <c r="V50" s="74"/>
      <c r="W50" s="76" t="s">
        <v>78</v>
      </c>
      <c r="X50" s="74">
        <v>0</v>
      </c>
      <c r="Y50" s="53"/>
      <c r="Z50" s="53">
        <f t="shared" si="0"/>
        <v>22400</v>
      </c>
      <c r="AA50" s="53"/>
    </row>
    <row r="51" spans="1:27" ht="78.75">
      <c r="A51" s="483"/>
      <c r="B51" s="100" t="s">
        <v>269</v>
      </c>
      <c r="C51" s="94" t="s">
        <v>270</v>
      </c>
      <c r="D51" s="66">
        <v>20000</v>
      </c>
      <c r="E51" s="68">
        <v>450</v>
      </c>
      <c r="F51" s="66">
        <v>315</v>
      </c>
      <c r="G51" s="68">
        <v>1079</v>
      </c>
      <c r="H51" s="68" t="s">
        <v>75</v>
      </c>
      <c r="I51" s="68">
        <v>1208</v>
      </c>
      <c r="J51" s="69">
        <v>0.13389999999999999</v>
      </c>
      <c r="K51" s="68" t="s">
        <v>165</v>
      </c>
      <c r="L51" s="68" t="s">
        <v>165</v>
      </c>
      <c r="M51" s="68" t="s">
        <v>165</v>
      </c>
      <c r="N51" s="68" t="s">
        <v>165</v>
      </c>
      <c r="O51" s="68" t="s">
        <v>262</v>
      </c>
      <c r="P51" s="101" t="s">
        <v>271</v>
      </c>
      <c r="Q51" s="71">
        <v>0.82</v>
      </c>
      <c r="R51" s="102" t="s">
        <v>264</v>
      </c>
      <c r="S51" s="70" t="s">
        <v>265</v>
      </c>
      <c r="T51" s="74"/>
      <c r="U51" s="75">
        <v>20000</v>
      </c>
      <c r="V51" s="74"/>
      <c r="W51" s="76" t="s">
        <v>78</v>
      </c>
      <c r="X51" s="74">
        <v>0</v>
      </c>
      <c r="Y51" s="53"/>
      <c r="Z51" s="53">
        <f t="shared" si="0"/>
        <v>16400</v>
      </c>
      <c r="AA51" s="53"/>
    </row>
    <row r="52" spans="1:27" ht="78.75">
      <c r="A52" s="483"/>
      <c r="B52" s="100" t="s">
        <v>272</v>
      </c>
      <c r="C52" s="94" t="s">
        <v>273</v>
      </c>
      <c r="D52" s="66">
        <v>20000</v>
      </c>
      <c r="E52" s="68">
        <v>311.3</v>
      </c>
      <c r="F52" s="66">
        <v>218</v>
      </c>
      <c r="G52" s="68">
        <v>1063</v>
      </c>
      <c r="H52" s="68" t="s">
        <v>75</v>
      </c>
      <c r="I52" s="68">
        <v>8307</v>
      </c>
      <c r="J52" s="69">
        <v>0.79339999999999999</v>
      </c>
      <c r="K52" s="68" t="s">
        <v>165</v>
      </c>
      <c r="L52" s="68" t="s">
        <v>165</v>
      </c>
      <c r="M52" s="68" t="s">
        <v>165</v>
      </c>
      <c r="N52" s="68" t="s">
        <v>165</v>
      </c>
      <c r="O52" s="68" t="s">
        <v>262</v>
      </c>
      <c r="P52" s="101" t="s">
        <v>274</v>
      </c>
      <c r="Q52" s="71">
        <v>0.82</v>
      </c>
      <c r="R52" s="103">
        <v>-48140</v>
      </c>
      <c r="S52" s="70" t="s">
        <v>265</v>
      </c>
      <c r="T52" s="74"/>
      <c r="U52" s="75">
        <v>20000</v>
      </c>
      <c r="V52" s="74"/>
      <c r="W52" s="76" t="s">
        <v>78</v>
      </c>
      <c r="X52" s="74">
        <v>0</v>
      </c>
      <c r="Y52" s="53"/>
      <c r="Z52" s="53">
        <f t="shared" si="0"/>
        <v>16400</v>
      </c>
      <c r="AA52" s="53"/>
    </row>
    <row r="53" spans="1:27" ht="78.75">
      <c r="A53" s="483"/>
      <c r="B53" s="100" t="s">
        <v>275</v>
      </c>
      <c r="C53" s="94" t="s">
        <v>276</v>
      </c>
      <c r="D53" s="66">
        <v>20000</v>
      </c>
      <c r="E53" s="68">
        <v>225</v>
      </c>
      <c r="F53" s="66">
        <v>158</v>
      </c>
      <c r="G53" s="68">
        <v>964</v>
      </c>
      <c r="H53" s="68" t="s">
        <v>75</v>
      </c>
      <c r="I53" s="68">
        <v>7628</v>
      </c>
      <c r="J53" s="69">
        <v>0.72719999999999996</v>
      </c>
      <c r="K53" s="68" t="s">
        <v>165</v>
      </c>
      <c r="L53" s="68" t="s">
        <v>165</v>
      </c>
      <c r="M53" s="68" t="s">
        <v>165</v>
      </c>
      <c r="N53" s="68" t="s">
        <v>165</v>
      </c>
      <c r="O53" s="68" t="s">
        <v>262</v>
      </c>
      <c r="P53" s="101" t="s">
        <v>277</v>
      </c>
      <c r="Q53" s="71">
        <v>0.74</v>
      </c>
      <c r="R53" s="103">
        <v>-34800</v>
      </c>
      <c r="S53" s="70" t="s">
        <v>265</v>
      </c>
      <c r="T53" s="74"/>
      <c r="U53" s="75">
        <v>20000</v>
      </c>
      <c r="V53" s="74"/>
      <c r="W53" s="76" t="s">
        <v>78</v>
      </c>
      <c r="X53" s="74">
        <v>0</v>
      </c>
      <c r="Y53" s="53"/>
      <c r="Z53" s="53">
        <f t="shared" si="0"/>
        <v>14800</v>
      </c>
      <c r="AA53" s="53"/>
    </row>
    <row r="54" spans="1:27" ht="47.25">
      <c r="A54" s="483"/>
      <c r="B54" s="100" t="s">
        <v>278</v>
      </c>
      <c r="C54" s="94" t="s">
        <v>279</v>
      </c>
      <c r="D54" s="66">
        <v>14650</v>
      </c>
      <c r="E54" s="68">
        <v>489</v>
      </c>
      <c r="F54" s="66">
        <v>342</v>
      </c>
      <c r="G54" s="104">
        <v>95</v>
      </c>
      <c r="H54" s="68" t="s">
        <v>75</v>
      </c>
      <c r="I54" s="104">
        <v>2272</v>
      </c>
      <c r="J54" s="71">
        <v>0.16</v>
      </c>
      <c r="K54" s="68">
        <v>38</v>
      </c>
      <c r="L54" s="68">
        <v>3640</v>
      </c>
      <c r="M54" s="68">
        <v>2685</v>
      </c>
      <c r="N54" s="68">
        <v>550</v>
      </c>
      <c r="O54" s="68" t="s">
        <v>280</v>
      </c>
      <c r="P54" s="70" t="s">
        <v>281</v>
      </c>
      <c r="Q54" s="71">
        <v>0.7</v>
      </c>
      <c r="R54" s="105"/>
      <c r="S54" s="106"/>
      <c r="T54" s="74"/>
      <c r="U54" s="75">
        <v>14650</v>
      </c>
      <c r="V54" s="74"/>
      <c r="W54" s="76" t="s">
        <v>78</v>
      </c>
      <c r="X54" s="74">
        <v>0</v>
      </c>
      <c r="Y54" s="53"/>
      <c r="Z54" s="53">
        <f t="shared" si="0"/>
        <v>10255</v>
      </c>
      <c r="AA54" s="53"/>
    </row>
    <row r="55" spans="1:27" ht="31.5">
      <c r="A55" s="483"/>
      <c r="B55" s="100" t="s">
        <v>282</v>
      </c>
      <c r="C55" s="94" t="s">
        <v>283</v>
      </c>
      <c r="D55" s="66">
        <v>50000</v>
      </c>
      <c r="E55" s="66">
        <v>1670</v>
      </c>
      <c r="F55" s="66">
        <v>1169</v>
      </c>
      <c r="G55" s="68">
        <v>2009</v>
      </c>
      <c r="H55" s="68" t="s">
        <v>75</v>
      </c>
      <c r="I55" s="68">
        <v>3810</v>
      </c>
      <c r="J55" s="71">
        <v>0.08</v>
      </c>
      <c r="K55" s="68">
        <v>100</v>
      </c>
      <c r="L55" s="68">
        <v>21531</v>
      </c>
      <c r="M55" s="68">
        <v>10000</v>
      </c>
      <c r="N55" s="68">
        <v>1200</v>
      </c>
      <c r="O55" s="68" t="s">
        <v>165</v>
      </c>
      <c r="P55" s="106" t="s">
        <v>165</v>
      </c>
      <c r="Q55" s="71">
        <v>0.75</v>
      </c>
      <c r="R55" s="105"/>
      <c r="S55" s="106"/>
      <c r="T55" s="74"/>
      <c r="U55" s="75">
        <v>50000</v>
      </c>
      <c r="V55" s="74"/>
      <c r="W55" s="76" t="s">
        <v>78</v>
      </c>
      <c r="X55" s="74">
        <v>0</v>
      </c>
      <c r="Y55" s="53"/>
      <c r="Z55" s="53">
        <f t="shared" si="0"/>
        <v>37500</v>
      </c>
      <c r="AA55" s="53"/>
    </row>
    <row r="56" spans="1:27" ht="63">
      <c r="A56" s="483"/>
      <c r="B56" s="100" t="s">
        <v>284</v>
      </c>
      <c r="C56" s="94" t="s">
        <v>285</v>
      </c>
      <c r="D56" s="66">
        <v>35000</v>
      </c>
      <c r="E56" s="66">
        <v>1169</v>
      </c>
      <c r="F56" s="66">
        <v>818</v>
      </c>
      <c r="G56" s="68">
        <v>170</v>
      </c>
      <c r="H56" s="68" t="s">
        <v>75</v>
      </c>
      <c r="I56" s="68">
        <v>2593</v>
      </c>
      <c r="J56" s="71">
        <v>7.0000000000000007E-2</v>
      </c>
      <c r="K56" s="68">
        <v>59</v>
      </c>
      <c r="L56" s="68">
        <v>16142</v>
      </c>
      <c r="M56" s="68">
        <v>2000</v>
      </c>
      <c r="N56" s="68">
        <v>500</v>
      </c>
      <c r="O56" s="68" t="s">
        <v>286</v>
      </c>
      <c r="P56" s="70" t="s">
        <v>287</v>
      </c>
      <c r="Q56" s="71">
        <v>0.7</v>
      </c>
      <c r="R56" s="105"/>
      <c r="S56" s="106"/>
      <c r="T56" s="74"/>
      <c r="U56" s="75">
        <v>35000</v>
      </c>
      <c r="V56" s="74"/>
      <c r="W56" s="76" t="s">
        <v>78</v>
      </c>
      <c r="X56" s="74">
        <v>0</v>
      </c>
      <c r="Y56" s="53"/>
      <c r="Z56" s="53">
        <f t="shared" si="0"/>
        <v>24500</v>
      </c>
      <c r="AA56" s="53"/>
    </row>
    <row r="57" spans="1:27" ht="47.25">
      <c r="A57" s="483"/>
      <c r="B57" s="100" t="s">
        <v>288</v>
      </c>
      <c r="C57" s="94" t="s">
        <v>289</v>
      </c>
      <c r="D57" s="66">
        <v>10000</v>
      </c>
      <c r="E57" s="68">
        <v>334</v>
      </c>
      <c r="F57" s="66">
        <v>234</v>
      </c>
      <c r="G57" s="68">
        <v>117</v>
      </c>
      <c r="H57" s="68" t="s">
        <v>75</v>
      </c>
      <c r="I57" s="68">
        <v>2408</v>
      </c>
      <c r="J57" s="71">
        <v>0.24</v>
      </c>
      <c r="K57" s="68">
        <v>240</v>
      </c>
      <c r="L57" s="68"/>
      <c r="M57" s="68">
        <v>60</v>
      </c>
      <c r="N57" s="68">
        <v>600</v>
      </c>
      <c r="O57" s="68" t="s">
        <v>290</v>
      </c>
      <c r="P57" s="70" t="s">
        <v>291</v>
      </c>
      <c r="Q57" s="71">
        <v>0.72</v>
      </c>
      <c r="R57" s="105"/>
      <c r="S57" s="106"/>
      <c r="T57" s="74"/>
      <c r="U57" s="75">
        <v>10000</v>
      </c>
      <c r="V57" s="74"/>
      <c r="W57" s="76" t="s">
        <v>78</v>
      </c>
      <c r="X57" s="74">
        <v>0</v>
      </c>
      <c r="Y57" s="53"/>
      <c r="Z57" s="53">
        <f t="shared" si="0"/>
        <v>7200</v>
      </c>
      <c r="AA57" s="53"/>
    </row>
    <row r="58" spans="1:27" ht="31.5">
      <c r="A58" s="483"/>
      <c r="B58" s="100" t="s">
        <v>292</v>
      </c>
      <c r="C58" s="94" t="s">
        <v>293</v>
      </c>
      <c r="D58" s="66">
        <v>20000</v>
      </c>
      <c r="E58" s="68">
        <v>668</v>
      </c>
      <c r="F58" s="66">
        <v>468</v>
      </c>
      <c r="G58" s="68">
        <v>774</v>
      </c>
      <c r="H58" s="68" t="s">
        <v>75</v>
      </c>
      <c r="I58" s="68">
        <v>2147</v>
      </c>
      <c r="J58" s="71">
        <v>0.11</v>
      </c>
      <c r="K58" s="68">
        <v>200</v>
      </c>
      <c r="L58" s="68"/>
      <c r="M58" s="68"/>
      <c r="N58" s="68"/>
      <c r="O58" s="68"/>
      <c r="P58" s="70" t="s">
        <v>294</v>
      </c>
      <c r="Q58" s="71">
        <v>0.8</v>
      </c>
      <c r="R58" s="105"/>
      <c r="S58" s="106"/>
      <c r="T58" s="74"/>
      <c r="U58" s="75">
        <v>20000</v>
      </c>
      <c r="V58" s="74"/>
      <c r="W58" s="76" t="s">
        <v>78</v>
      </c>
      <c r="X58" s="74">
        <v>0</v>
      </c>
      <c r="Y58" s="53"/>
      <c r="Z58" s="53">
        <f t="shared" si="0"/>
        <v>16000</v>
      </c>
      <c r="AA58" s="53"/>
    </row>
    <row r="59" spans="1:27" ht="47.25">
      <c r="A59" s="483"/>
      <c r="B59" s="100" t="s">
        <v>295</v>
      </c>
      <c r="C59" s="94" t="s">
        <v>296</v>
      </c>
      <c r="D59" s="66">
        <v>21800</v>
      </c>
      <c r="E59" s="68">
        <v>728</v>
      </c>
      <c r="F59" s="66">
        <v>510</v>
      </c>
      <c r="G59" s="68">
        <v>592</v>
      </c>
      <c r="H59" s="68" t="s">
        <v>75</v>
      </c>
      <c r="I59" s="68">
        <v>1418</v>
      </c>
      <c r="J59" s="71">
        <v>0.05</v>
      </c>
      <c r="K59" s="68">
        <v>172</v>
      </c>
      <c r="L59" s="68"/>
      <c r="M59" s="68"/>
      <c r="N59" s="68">
        <v>1026</v>
      </c>
      <c r="O59" s="68" t="s">
        <v>297</v>
      </c>
      <c r="P59" s="70" t="s">
        <v>297</v>
      </c>
      <c r="Q59" s="71">
        <v>0.71</v>
      </c>
      <c r="R59" s="105"/>
      <c r="S59" s="106"/>
      <c r="T59" s="74"/>
      <c r="U59" s="75">
        <v>21800</v>
      </c>
      <c r="V59" s="74"/>
      <c r="W59" s="76" t="s">
        <v>78</v>
      </c>
      <c r="X59" s="74">
        <v>0</v>
      </c>
      <c r="Y59" s="53"/>
      <c r="Z59" s="53">
        <f t="shared" si="0"/>
        <v>15478</v>
      </c>
      <c r="AA59" s="53"/>
    </row>
    <row r="60" spans="1:27" ht="47.25">
      <c r="A60" s="483"/>
      <c r="B60" s="100" t="s">
        <v>298</v>
      </c>
      <c r="C60" s="94" t="s">
        <v>299</v>
      </c>
      <c r="D60" s="66">
        <v>26000</v>
      </c>
      <c r="E60" s="68">
        <v>868</v>
      </c>
      <c r="F60" s="66">
        <v>608</v>
      </c>
      <c r="G60" s="68">
        <v>697</v>
      </c>
      <c r="H60" s="68" t="s">
        <v>75</v>
      </c>
      <c r="I60" s="104">
        <v>10263</v>
      </c>
      <c r="J60" s="71">
        <v>0.46</v>
      </c>
      <c r="K60" s="68">
        <v>27</v>
      </c>
      <c r="L60" s="68"/>
      <c r="M60" s="68">
        <v>555</v>
      </c>
      <c r="N60" s="68">
        <v>1650</v>
      </c>
      <c r="O60" s="68" t="s">
        <v>300</v>
      </c>
      <c r="P60" s="70" t="s">
        <v>301</v>
      </c>
      <c r="Q60" s="71">
        <v>0.77</v>
      </c>
      <c r="R60" s="105"/>
      <c r="S60" s="106"/>
      <c r="T60" s="74"/>
      <c r="U60" s="75">
        <v>26000</v>
      </c>
      <c r="V60" s="74"/>
      <c r="W60" s="76" t="s">
        <v>78</v>
      </c>
      <c r="X60" s="74">
        <v>0</v>
      </c>
      <c r="Y60" s="53"/>
      <c r="Z60" s="53">
        <f t="shared" si="0"/>
        <v>20020</v>
      </c>
      <c r="AA60" s="53"/>
    </row>
    <row r="61" spans="1:27" ht="47.25">
      <c r="A61" s="483"/>
      <c r="B61" s="100" t="s">
        <v>302</v>
      </c>
      <c r="C61" s="72" t="s">
        <v>303</v>
      </c>
      <c r="D61" s="66">
        <v>114568</v>
      </c>
      <c r="E61" s="68">
        <v>8750</v>
      </c>
      <c r="F61" s="66">
        <v>6125</v>
      </c>
      <c r="G61" s="68">
        <v>2923</v>
      </c>
      <c r="H61" s="68" t="s">
        <v>75</v>
      </c>
      <c r="I61" s="104">
        <v>0</v>
      </c>
      <c r="J61" s="71">
        <v>0</v>
      </c>
      <c r="K61" s="68" t="s">
        <v>165</v>
      </c>
      <c r="L61" s="68" t="s">
        <v>165</v>
      </c>
      <c r="M61" s="68" t="s">
        <v>165</v>
      </c>
      <c r="N61" s="68" t="s">
        <v>165</v>
      </c>
      <c r="O61" s="68" t="s">
        <v>165</v>
      </c>
      <c r="P61" s="70"/>
      <c r="Q61" s="71">
        <v>0.92</v>
      </c>
      <c r="R61" s="105"/>
      <c r="S61" s="106"/>
      <c r="T61" s="74"/>
      <c r="U61" s="75"/>
      <c r="V61" s="74"/>
      <c r="W61" s="76" t="s">
        <v>75</v>
      </c>
      <c r="X61" s="74"/>
      <c r="Y61" s="53"/>
      <c r="Z61" s="53">
        <f t="shared" si="0"/>
        <v>105402.56</v>
      </c>
      <c r="AA61" s="53"/>
    </row>
    <row r="62" spans="1:27" ht="47.25">
      <c r="A62" s="484"/>
      <c r="B62" s="100" t="s">
        <v>304</v>
      </c>
      <c r="C62" s="72" t="s">
        <v>305</v>
      </c>
      <c r="D62" s="66">
        <v>48000</v>
      </c>
      <c r="E62" s="68">
        <v>2562.5</v>
      </c>
      <c r="F62" s="66">
        <v>1794</v>
      </c>
      <c r="G62" s="68">
        <v>708.1</v>
      </c>
      <c r="H62" s="68" t="s">
        <v>75</v>
      </c>
      <c r="I62" s="104">
        <v>4111</v>
      </c>
      <c r="J62" s="71">
        <v>0.09</v>
      </c>
      <c r="K62" s="68" t="s">
        <v>165</v>
      </c>
      <c r="L62" s="68" t="s">
        <v>165</v>
      </c>
      <c r="M62" s="68" t="s">
        <v>165</v>
      </c>
      <c r="N62" s="68" t="s">
        <v>165</v>
      </c>
      <c r="O62" s="68" t="s">
        <v>165</v>
      </c>
      <c r="P62" s="70"/>
      <c r="Q62" s="71">
        <v>0.81</v>
      </c>
      <c r="R62" s="105"/>
      <c r="S62" s="106"/>
      <c r="T62" s="74"/>
      <c r="U62" s="75"/>
      <c r="V62" s="74"/>
      <c r="W62" s="76" t="s">
        <v>75</v>
      </c>
      <c r="X62" s="74"/>
      <c r="Y62" s="53"/>
      <c r="Z62" s="53">
        <f t="shared" si="0"/>
        <v>38880</v>
      </c>
      <c r="AA62" s="53"/>
    </row>
    <row r="63" spans="1:27" ht="47.25">
      <c r="A63" s="482" t="s">
        <v>27</v>
      </c>
      <c r="B63" s="100" t="s">
        <v>306</v>
      </c>
      <c r="C63" s="78" t="s">
        <v>307</v>
      </c>
      <c r="D63" s="56">
        <v>48000</v>
      </c>
      <c r="E63" s="57">
        <v>2244</v>
      </c>
      <c r="F63" s="57">
        <v>1571</v>
      </c>
      <c r="G63" s="58">
        <v>899</v>
      </c>
      <c r="H63" s="68" t="s">
        <v>75</v>
      </c>
      <c r="I63" s="68">
        <v>6287</v>
      </c>
      <c r="J63" s="59">
        <v>0.1321</v>
      </c>
      <c r="K63" s="58">
        <v>2100</v>
      </c>
      <c r="L63" s="58">
        <v>0</v>
      </c>
      <c r="M63" s="58">
        <v>3300</v>
      </c>
      <c r="N63" s="58">
        <v>1100</v>
      </c>
      <c r="O63" s="58" t="s">
        <v>308</v>
      </c>
      <c r="P63" s="60" t="s">
        <v>309</v>
      </c>
      <c r="Q63" s="61">
        <v>0.74</v>
      </c>
      <c r="R63" s="68" t="s">
        <v>264</v>
      </c>
      <c r="S63" s="60" t="s">
        <v>310</v>
      </c>
      <c r="T63" s="74"/>
      <c r="U63" s="75">
        <v>48000</v>
      </c>
      <c r="V63" s="74"/>
      <c r="W63" s="76" t="s">
        <v>78</v>
      </c>
      <c r="X63" s="74">
        <v>0</v>
      </c>
      <c r="Y63" s="53"/>
      <c r="Z63" s="53">
        <f t="shared" si="0"/>
        <v>35520</v>
      </c>
      <c r="AA63" s="53"/>
    </row>
    <row r="64" spans="1:27" ht="31.5">
      <c r="A64" s="483"/>
      <c r="B64" s="100" t="s">
        <v>311</v>
      </c>
      <c r="C64" s="55" t="s">
        <v>312</v>
      </c>
      <c r="D64" s="65">
        <v>30000</v>
      </c>
      <c r="E64" s="66">
        <v>1681</v>
      </c>
      <c r="F64" s="66">
        <v>1177</v>
      </c>
      <c r="G64" s="68">
        <v>208</v>
      </c>
      <c r="H64" s="68" t="s">
        <v>75</v>
      </c>
      <c r="I64" s="68">
        <v>7030</v>
      </c>
      <c r="J64" s="69">
        <v>0.246</v>
      </c>
      <c r="K64" s="68">
        <v>2400</v>
      </c>
      <c r="L64" s="68">
        <v>90</v>
      </c>
      <c r="M64" s="68">
        <v>2490</v>
      </c>
      <c r="N64" s="68">
        <v>600</v>
      </c>
      <c r="O64" s="68" t="s">
        <v>313</v>
      </c>
      <c r="P64" s="70" t="s">
        <v>314</v>
      </c>
      <c r="Q64" s="71">
        <v>0.89</v>
      </c>
      <c r="R64" s="68">
        <v>-42.3</v>
      </c>
      <c r="S64" s="70" t="s">
        <v>474</v>
      </c>
      <c r="T64" s="74"/>
      <c r="U64" s="75">
        <v>30000</v>
      </c>
      <c r="V64" s="74"/>
      <c r="W64" s="76" t="s">
        <v>78</v>
      </c>
      <c r="X64" s="74">
        <v>0</v>
      </c>
      <c r="Y64" s="53"/>
      <c r="Z64" s="53">
        <f t="shared" si="0"/>
        <v>26700</v>
      </c>
      <c r="AA64" s="53"/>
    </row>
    <row r="65" spans="1:27" ht="31.5">
      <c r="A65" s="483"/>
      <c r="B65" s="100" t="s">
        <v>315</v>
      </c>
      <c r="C65" s="55" t="s">
        <v>316</v>
      </c>
      <c r="D65" s="65">
        <v>25000</v>
      </c>
      <c r="E65" s="66">
        <v>2775</v>
      </c>
      <c r="F65" s="66">
        <v>1943</v>
      </c>
      <c r="G65" s="68">
        <v>1242</v>
      </c>
      <c r="H65" s="68" t="s">
        <v>75</v>
      </c>
      <c r="I65" s="68">
        <v>2655</v>
      </c>
      <c r="J65" s="71">
        <v>0.11</v>
      </c>
      <c r="K65" s="68">
        <v>59</v>
      </c>
      <c r="L65" s="68">
        <v>4944</v>
      </c>
      <c r="M65" s="68">
        <v>5003</v>
      </c>
      <c r="N65" s="68">
        <v>800</v>
      </c>
      <c r="O65" s="68" t="s">
        <v>317</v>
      </c>
      <c r="P65" s="70" t="s">
        <v>318</v>
      </c>
      <c r="Q65" s="71">
        <v>0.71</v>
      </c>
      <c r="R65" s="68">
        <v>-514.29999999999995</v>
      </c>
      <c r="S65" s="70" t="s">
        <v>474</v>
      </c>
      <c r="T65" s="74"/>
      <c r="U65" s="75">
        <v>25000</v>
      </c>
      <c r="V65" s="74"/>
      <c r="W65" s="76" t="s">
        <v>78</v>
      </c>
      <c r="X65" s="74"/>
      <c r="Y65" s="53"/>
      <c r="Z65" s="53">
        <f t="shared" si="0"/>
        <v>17750</v>
      </c>
      <c r="AA65" s="53"/>
    </row>
    <row r="66" spans="1:27" ht="31.5">
      <c r="A66" s="484"/>
      <c r="B66" s="107" t="s">
        <v>319</v>
      </c>
      <c r="C66" s="60" t="s">
        <v>320</v>
      </c>
      <c r="D66" s="66">
        <v>6000</v>
      </c>
      <c r="E66" s="66">
        <v>620</v>
      </c>
      <c r="F66" s="66">
        <v>434</v>
      </c>
      <c r="G66" s="68"/>
      <c r="H66" s="68" t="s">
        <v>78</v>
      </c>
      <c r="I66" s="68"/>
      <c r="J66" s="71"/>
      <c r="K66" s="68"/>
      <c r="L66" s="68"/>
      <c r="M66" s="68"/>
      <c r="N66" s="68"/>
      <c r="O66" s="68"/>
      <c r="P66" s="70"/>
      <c r="Q66" s="71"/>
      <c r="R66" s="68"/>
      <c r="S66" s="80" t="s">
        <v>475</v>
      </c>
      <c r="T66" s="74"/>
      <c r="U66" s="75"/>
      <c r="V66" s="74"/>
      <c r="W66" s="76"/>
      <c r="X66" s="74"/>
      <c r="Y66" s="53"/>
      <c r="Z66" s="53">
        <f t="shared" si="0"/>
        <v>0</v>
      </c>
      <c r="AA66" s="53"/>
    </row>
    <row r="67" spans="1:27" ht="31.5">
      <c r="A67" s="482" t="s">
        <v>28</v>
      </c>
      <c r="B67" s="77" t="s">
        <v>321</v>
      </c>
      <c r="C67" s="78" t="s">
        <v>322</v>
      </c>
      <c r="D67" s="56">
        <v>6000</v>
      </c>
      <c r="E67" s="58">
        <v>620</v>
      </c>
      <c r="F67" s="57">
        <v>434</v>
      </c>
      <c r="G67" s="58"/>
      <c r="H67" s="58" t="s">
        <v>78</v>
      </c>
      <c r="I67" s="58"/>
      <c r="J67" s="108"/>
      <c r="K67" s="58"/>
      <c r="L67" s="58"/>
      <c r="M67" s="58"/>
      <c r="N67" s="58"/>
      <c r="O67" s="58"/>
      <c r="P67" s="60"/>
      <c r="Q67" s="61"/>
      <c r="R67" s="58"/>
      <c r="S67" s="70"/>
      <c r="T67" s="74"/>
      <c r="U67" s="74">
        <v>25000</v>
      </c>
      <c r="V67" s="74"/>
      <c r="W67" s="76" t="s">
        <v>78</v>
      </c>
      <c r="X67" s="74">
        <v>0</v>
      </c>
      <c r="Y67" s="53" t="s">
        <v>99</v>
      </c>
      <c r="Z67" s="53">
        <v>0</v>
      </c>
      <c r="AA67" s="53"/>
    </row>
    <row r="68" spans="1:27" ht="63">
      <c r="A68" s="483"/>
      <c r="B68" s="77" t="s">
        <v>323</v>
      </c>
      <c r="C68" s="78" t="s">
        <v>324</v>
      </c>
      <c r="D68" s="109">
        <v>25000</v>
      </c>
      <c r="E68" s="68">
        <v>835</v>
      </c>
      <c r="F68" s="66">
        <v>585</v>
      </c>
      <c r="G68" s="103">
        <v>556</v>
      </c>
      <c r="H68" s="68" t="s">
        <v>75</v>
      </c>
      <c r="I68" s="68">
        <v>1392</v>
      </c>
      <c r="J68" s="110">
        <v>5.6000000000000001E-2</v>
      </c>
      <c r="K68" s="68">
        <v>0</v>
      </c>
      <c r="L68" s="68">
        <v>120</v>
      </c>
      <c r="M68" s="68">
        <v>1025</v>
      </c>
      <c r="N68" s="68">
        <v>205</v>
      </c>
      <c r="O68" s="68" t="s">
        <v>325</v>
      </c>
      <c r="P68" s="70" t="s">
        <v>326</v>
      </c>
      <c r="Q68" s="71">
        <v>0.73</v>
      </c>
      <c r="R68" s="68">
        <v>-106.3</v>
      </c>
      <c r="S68" s="70" t="s">
        <v>327</v>
      </c>
      <c r="T68" s="74"/>
      <c r="U68" s="74">
        <v>6500</v>
      </c>
      <c r="V68" s="74"/>
      <c r="W68" s="76" t="s">
        <v>78</v>
      </c>
      <c r="X68" s="74">
        <v>0</v>
      </c>
      <c r="Y68" s="53" t="s">
        <v>99</v>
      </c>
      <c r="Z68" s="53">
        <v>18250</v>
      </c>
      <c r="AA68" s="53"/>
    </row>
    <row r="69" spans="1:27" ht="31.5">
      <c r="A69" s="483"/>
      <c r="B69" s="77" t="s">
        <v>328</v>
      </c>
      <c r="C69" s="78" t="s">
        <v>329</v>
      </c>
      <c r="D69" s="65">
        <v>6500</v>
      </c>
      <c r="E69" s="66">
        <v>217</v>
      </c>
      <c r="F69" s="66">
        <v>152</v>
      </c>
      <c r="G69" s="68">
        <v>328</v>
      </c>
      <c r="H69" s="68" t="s">
        <v>75</v>
      </c>
      <c r="I69" s="66">
        <v>0</v>
      </c>
      <c r="J69" s="69">
        <v>0</v>
      </c>
      <c r="K69" s="68">
        <v>0</v>
      </c>
      <c r="L69" s="68">
        <v>0</v>
      </c>
      <c r="M69" s="68">
        <v>0</v>
      </c>
      <c r="N69" s="68">
        <v>0</v>
      </c>
      <c r="O69" s="68" t="s">
        <v>165</v>
      </c>
      <c r="P69" s="70" t="s">
        <v>165</v>
      </c>
      <c r="Q69" s="71">
        <v>0.77</v>
      </c>
      <c r="R69" s="68">
        <v>0</v>
      </c>
      <c r="S69" s="70" t="s">
        <v>327</v>
      </c>
      <c r="T69" s="74"/>
      <c r="U69" s="75">
        <v>41000</v>
      </c>
      <c r="V69" s="74"/>
      <c r="W69" s="76" t="s">
        <v>78</v>
      </c>
      <c r="X69" s="74">
        <v>0</v>
      </c>
      <c r="Y69" s="53"/>
      <c r="Z69" s="53">
        <v>5005</v>
      </c>
      <c r="AA69" s="53"/>
    </row>
    <row r="70" spans="1:27" ht="63">
      <c r="A70" s="483"/>
      <c r="B70" s="77" t="s">
        <v>330</v>
      </c>
      <c r="C70" s="78" t="s">
        <v>331</v>
      </c>
      <c r="D70" s="65">
        <v>41000</v>
      </c>
      <c r="E70" s="66">
        <v>1748</v>
      </c>
      <c r="F70" s="66">
        <v>1224</v>
      </c>
      <c r="G70" s="68">
        <v>1097</v>
      </c>
      <c r="H70" s="68" t="s">
        <v>75</v>
      </c>
      <c r="I70" s="66">
        <v>19897</v>
      </c>
      <c r="J70" s="69">
        <v>0.48530000000000001</v>
      </c>
      <c r="K70" s="68">
        <v>0</v>
      </c>
      <c r="L70" s="68">
        <v>120</v>
      </c>
      <c r="M70" s="68">
        <v>3000</v>
      </c>
      <c r="N70" s="68">
        <v>600</v>
      </c>
      <c r="O70" s="68" t="s">
        <v>332</v>
      </c>
      <c r="P70" s="70" t="s">
        <v>333</v>
      </c>
      <c r="Q70" s="71">
        <v>0.8</v>
      </c>
      <c r="R70" s="68">
        <v>-29711</v>
      </c>
      <c r="S70" s="70" t="s">
        <v>334</v>
      </c>
      <c r="T70" s="74"/>
      <c r="U70" s="75">
        <v>40000</v>
      </c>
      <c r="V70" s="74"/>
      <c r="W70" s="76" t="s">
        <v>78</v>
      </c>
      <c r="X70" s="74">
        <v>0</v>
      </c>
      <c r="Y70" s="53"/>
      <c r="Z70" s="53">
        <v>32800</v>
      </c>
      <c r="AA70" s="53"/>
    </row>
    <row r="71" spans="1:27" ht="63">
      <c r="A71" s="484"/>
      <c r="B71" s="54" t="s">
        <v>335</v>
      </c>
      <c r="C71" s="55" t="s">
        <v>336</v>
      </c>
      <c r="D71" s="65">
        <v>40000</v>
      </c>
      <c r="E71" s="66">
        <v>1710</v>
      </c>
      <c r="F71" s="66">
        <v>1197</v>
      </c>
      <c r="G71" s="103">
        <v>2731</v>
      </c>
      <c r="H71" s="68" t="s">
        <v>75</v>
      </c>
      <c r="I71" s="68">
        <v>6026</v>
      </c>
      <c r="J71" s="69">
        <v>0.1507</v>
      </c>
      <c r="K71" s="68">
        <v>0</v>
      </c>
      <c r="L71" s="68">
        <v>847</v>
      </c>
      <c r="M71" s="68">
        <v>6520</v>
      </c>
      <c r="N71" s="68">
        <v>850</v>
      </c>
      <c r="O71" s="68" t="s">
        <v>332</v>
      </c>
      <c r="P71" s="70" t="s">
        <v>337</v>
      </c>
      <c r="Q71" s="71">
        <v>0.77</v>
      </c>
      <c r="R71" s="66">
        <v>0</v>
      </c>
      <c r="S71" s="70" t="s">
        <v>338</v>
      </c>
      <c r="T71" s="74"/>
      <c r="U71" s="75">
        <v>16500</v>
      </c>
      <c r="V71" s="74"/>
      <c r="W71" s="76"/>
      <c r="X71" s="74"/>
      <c r="Y71" s="53"/>
      <c r="Z71" s="53">
        <v>30800</v>
      </c>
      <c r="AA71" s="53"/>
    </row>
    <row r="72" spans="1:27" ht="33">
      <c r="A72" s="482" t="s">
        <v>29</v>
      </c>
      <c r="B72" s="77" t="s">
        <v>339</v>
      </c>
      <c r="C72" s="78" t="s">
        <v>340</v>
      </c>
      <c r="D72" s="138">
        <v>16500</v>
      </c>
      <c r="E72" s="138">
        <v>1398</v>
      </c>
      <c r="F72" s="138">
        <v>979</v>
      </c>
      <c r="G72" s="139">
        <v>587</v>
      </c>
      <c r="H72" s="140" t="s">
        <v>75</v>
      </c>
      <c r="I72" s="140">
        <v>993</v>
      </c>
      <c r="J72" s="141">
        <v>6.0199999999999997E-2</v>
      </c>
      <c r="K72" s="140">
        <v>190</v>
      </c>
      <c r="L72" s="140">
        <v>0</v>
      </c>
      <c r="M72" s="140">
        <v>5670</v>
      </c>
      <c r="N72" s="140">
        <v>1134</v>
      </c>
      <c r="O72" s="140" t="s">
        <v>476</v>
      </c>
      <c r="P72" s="139" t="s">
        <v>477</v>
      </c>
      <c r="Q72" s="142">
        <v>0.84</v>
      </c>
      <c r="R72" s="140">
        <v>-401</v>
      </c>
      <c r="S72" s="139" t="s">
        <v>478</v>
      </c>
      <c r="T72" s="74"/>
      <c r="U72" s="75">
        <v>50000</v>
      </c>
      <c r="V72" s="74"/>
      <c r="W72" s="76" t="s">
        <v>78</v>
      </c>
      <c r="X72" s="74">
        <v>0</v>
      </c>
      <c r="Y72" s="53"/>
      <c r="Z72" s="53">
        <v>13860</v>
      </c>
      <c r="AA72" s="53"/>
    </row>
    <row r="73" spans="1:27" ht="31.5">
      <c r="A73" s="483"/>
      <c r="B73" s="77" t="s">
        <v>342</v>
      </c>
      <c r="C73" s="78" t="s">
        <v>343</v>
      </c>
      <c r="D73" s="143">
        <v>58500</v>
      </c>
      <c r="E73" s="144">
        <v>2223</v>
      </c>
      <c r="F73" s="143">
        <v>1556</v>
      </c>
      <c r="G73" s="145"/>
      <c r="H73" s="144" t="s">
        <v>78</v>
      </c>
      <c r="I73" s="144"/>
      <c r="J73" s="146"/>
      <c r="K73" s="144"/>
      <c r="L73" s="144"/>
      <c r="M73" s="144"/>
      <c r="N73" s="144"/>
      <c r="O73" s="144"/>
      <c r="P73" s="145"/>
      <c r="Q73" s="147"/>
      <c r="R73" s="144"/>
      <c r="S73" s="145" t="s">
        <v>479</v>
      </c>
      <c r="T73" s="74"/>
      <c r="U73" s="75">
        <v>13000</v>
      </c>
      <c r="V73" s="74"/>
      <c r="W73" s="76" t="s">
        <v>78</v>
      </c>
      <c r="X73" s="74">
        <v>0</v>
      </c>
      <c r="Y73" s="53"/>
      <c r="Z73" s="53">
        <v>0</v>
      </c>
      <c r="AA73" s="53"/>
    </row>
    <row r="74" spans="1:27" ht="63">
      <c r="A74" s="483"/>
      <c r="B74" s="77" t="s">
        <v>348</v>
      </c>
      <c r="C74" s="78" t="s">
        <v>349</v>
      </c>
      <c r="D74" s="66">
        <v>14600</v>
      </c>
      <c r="E74" s="66">
        <v>650</v>
      </c>
      <c r="F74" s="66">
        <v>455</v>
      </c>
      <c r="G74" s="68">
        <v>230</v>
      </c>
      <c r="H74" s="68" t="s">
        <v>75</v>
      </c>
      <c r="I74" s="66">
        <v>813</v>
      </c>
      <c r="J74" s="69">
        <v>5.57E-2</v>
      </c>
      <c r="K74" s="68">
        <v>0</v>
      </c>
      <c r="L74" s="68">
        <v>2108</v>
      </c>
      <c r="M74" s="68">
        <v>190</v>
      </c>
      <c r="N74" s="68">
        <v>128</v>
      </c>
      <c r="O74" s="68" t="s">
        <v>480</v>
      </c>
      <c r="P74" s="70" t="s">
        <v>481</v>
      </c>
      <c r="Q74" s="71">
        <v>0.8</v>
      </c>
      <c r="R74" s="68"/>
      <c r="S74" s="70" t="s">
        <v>347</v>
      </c>
      <c r="T74" s="74"/>
      <c r="U74" s="75">
        <v>48000</v>
      </c>
      <c r="V74" s="74"/>
      <c r="W74" s="76" t="s">
        <v>78</v>
      </c>
      <c r="X74" s="74">
        <v>0</v>
      </c>
      <c r="Y74" s="53"/>
      <c r="Z74" s="53">
        <v>11680</v>
      </c>
      <c r="AA74" s="53"/>
    </row>
    <row r="75" spans="1:27" ht="47.25">
      <c r="A75" s="483"/>
      <c r="B75" s="77" t="s">
        <v>352</v>
      </c>
      <c r="C75" s="79" t="s">
        <v>353</v>
      </c>
      <c r="D75" s="66">
        <v>34935</v>
      </c>
      <c r="E75" s="66">
        <v>1730</v>
      </c>
      <c r="F75" s="66">
        <v>1211</v>
      </c>
      <c r="G75" s="68">
        <v>879</v>
      </c>
      <c r="H75" s="68" t="s">
        <v>75</v>
      </c>
      <c r="I75" s="66">
        <v>8111</v>
      </c>
      <c r="J75" s="69">
        <v>0.23219999999999999</v>
      </c>
      <c r="K75" s="68" t="s">
        <v>341</v>
      </c>
      <c r="L75" s="68" t="s">
        <v>341</v>
      </c>
      <c r="M75" s="68" t="s">
        <v>341</v>
      </c>
      <c r="N75" s="68" t="s">
        <v>341</v>
      </c>
      <c r="O75" s="68" t="s">
        <v>341</v>
      </c>
      <c r="P75" s="70" t="s">
        <v>350</v>
      </c>
      <c r="Q75" s="71">
        <v>0.82</v>
      </c>
      <c r="R75" s="68">
        <v>-4182</v>
      </c>
      <c r="S75" s="70" t="s">
        <v>351</v>
      </c>
      <c r="T75" s="74"/>
      <c r="U75" s="75">
        <v>29000</v>
      </c>
      <c r="V75" s="74"/>
      <c r="W75" s="76" t="s">
        <v>75</v>
      </c>
      <c r="X75" s="74">
        <v>0</v>
      </c>
      <c r="Y75" s="53"/>
      <c r="Z75" s="53">
        <v>28646.699999999997</v>
      </c>
      <c r="AA75" s="53"/>
    </row>
    <row r="76" spans="1:27" ht="47.25">
      <c r="A76" s="484"/>
      <c r="B76" s="77" t="s">
        <v>356</v>
      </c>
      <c r="C76" s="79" t="s">
        <v>357</v>
      </c>
      <c r="D76" s="66">
        <v>120000</v>
      </c>
      <c r="E76" s="68">
        <v>735</v>
      </c>
      <c r="F76" s="66">
        <v>588</v>
      </c>
      <c r="G76" s="68">
        <v>459</v>
      </c>
      <c r="H76" s="68" t="s">
        <v>75</v>
      </c>
      <c r="I76" s="66">
        <v>45563</v>
      </c>
      <c r="J76" s="69">
        <v>0.37959999999999999</v>
      </c>
      <c r="K76" s="68" t="s">
        <v>341</v>
      </c>
      <c r="L76" s="68" t="s">
        <v>341</v>
      </c>
      <c r="M76" s="68" t="s">
        <v>341</v>
      </c>
      <c r="N76" s="68" t="s">
        <v>341</v>
      </c>
      <c r="O76" s="68" t="s">
        <v>341</v>
      </c>
      <c r="P76" s="70" t="s">
        <v>354</v>
      </c>
      <c r="Q76" s="71">
        <v>0.64</v>
      </c>
      <c r="R76" s="66">
        <v>-3</v>
      </c>
      <c r="S76" s="70" t="s">
        <v>355</v>
      </c>
      <c r="T76" s="74"/>
      <c r="U76" s="75">
        <v>48378</v>
      </c>
      <c r="V76" s="74"/>
      <c r="W76" s="76" t="s">
        <v>75</v>
      </c>
      <c r="X76" s="74">
        <v>0</v>
      </c>
      <c r="Y76" s="53"/>
      <c r="Z76" s="53">
        <v>76800</v>
      </c>
      <c r="AA76" s="53"/>
    </row>
    <row r="77" spans="1:27" ht="63">
      <c r="A77" s="482"/>
      <c r="B77" s="54" t="s">
        <v>358</v>
      </c>
      <c r="C77" s="55" t="s">
        <v>359</v>
      </c>
      <c r="D77" s="56">
        <v>142186</v>
      </c>
      <c r="E77" s="57">
        <v>6839</v>
      </c>
      <c r="F77" s="57">
        <v>4787</v>
      </c>
      <c r="G77" s="57"/>
      <c r="H77" s="58" t="s">
        <v>78</v>
      </c>
      <c r="I77" s="57"/>
      <c r="J77" s="58"/>
      <c r="K77" s="58"/>
      <c r="L77" s="58"/>
      <c r="M77" s="58"/>
      <c r="N77" s="58"/>
      <c r="O77" s="58"/>
      <c r="P77" s="148"/>
      <c r="Q77" s="149"/>
      <c r="R77" s="123"/>
      <c r="S77" s="94" t="s">
        <v>482</v>
      </c>
      <c r="T77" s="112"/>
      <c r="U77" s="75"/>
      <c r="V77" s="74"/>
      <c r="W77" s="76"/>
      <c r="X77" s="74"/>
      <c r="Y77" s="53"/>
      <c r="Z77" s="53">
        <f t="shared" ref="Z77:Z105" si="1">Q77*D77</f>
        <v>0</v>
      </c>
      <c r="AA77" s="53"/>
    </row>
    <row r="78" spans="1:27" ht="220.5">
      <c r="A78" s="483"/>
      <c r="B78" s="54" t="s">
        <v>361</v>
      </c>
      <c r="C78" s="55" t="s">
        <v>362</v>
      </c>
      <c r="D78" s="65">
        <v>32374</v>
      </c>
      <c r="E78" s="66">
        <v>1557</v>
      </c>
      <c r="F78" s="66">
        <v>1090</v>
      </c>
      <c r="G78" s="66">
        <v>765</v>
      </c>
      <c r="H78" s="68" t="s">
        <v>75</v>
      </c>
      <c r="I78" s="66">
        <v>2721</v>
      </c>
      <c r="J78" s="66">
        <v>8</v>
      </c>
      <c r="K78" s="68"/>
      <c r="L78" s="68">
        <v>325</v>
      </c>
      <c r="M78" s="68"/>
      <c r="N78" s="68"/>
      <c r="O78" s="70" t="s">
        <v>363</v>
      </c>
      <c r="P78" s="70" t="s">
        <v>364</v>
      </c>
      <c r="Q78" s="71">
        <v>0.71</v>
      </c>
      <c r="R78" s="68">
        <v>-569.79999999999995</v>
      </c>
      <c r="S78" s="94" t="s">
        <v>360</v>
      </c>
      <c r="T78" s="112"/>
      <c r="U78" s="75">
        <v>32374</v>
      </c>
      <c r="V78" s="74"/>
      <c r="W78" s="76" t="s">
        <v>78</v>
      </c>
      <c r="X78" s="74">
        <v>0</v>
      </c>
      <c r="Y78" s="53"/>
      <c r="Z78" s="53">
        <f t="shared" si="1"/>
        <v>22985.539999999997</v>
      </c>
      <c r="AA78" s="53"/>
    </row>
    <row r="79" spans="1:27" ht="47.25">
      <c r="A79" s="483"/>
      <c r="B79" s="77" t="s">
        <v>365</v>
      </c>
      <c r="C79" s="78" t="s">
        <v>366</v>
      </c>
      <c r="D79" s="66">
        <v>21000</v>
      </c>
      <c r="E79" s="68">
        <v>1010</v>
      </c>
      <c r="F79" s="66">
        <v>707</v>
      </c>
      <c r="G79" s="68">
        <v>347</v>
      </c>
      <c r="H79" s="68" t="s">
        <v>75</v>
      </c>
      <c r="I79" s="68">
        <v>2683</v>
      </c>
      <c r="J79" s="69">
        <v>0.12770000000000001</v>
      </c>
      <c r="K79" s="113">
        <v>0</v>
      </c>
      <c r="L79" s="113">
        <v>0</v>
      </c>
      <c r="M79" s="113">
        <v>0</v>
      </c>
      <c r="N79" s="113">
        <v>0</v>
      </c>
      <c r="O79" s="70" t="s">
        <v>367</v>
      </c>
      <c r="P79" s="70" t="s">
        <v>368</v>
      </c>
      <c r="Q79" s="114">
        <v>0.74</v>
      </c>
      <c r="R79" s="71"/>
      <c r="S79" s="94" t="s">
        <v>360</v>
      </c>
      <c r="T79" s="64"/>
      <c r="U79" s="63">
        <v>20000</v>
      </c>
      <c r="V79" s="74"/>
      <c r="W79" s="76" t="s">
        <v>78</v>
      </c>
      <c r="X79" s="74">
        <v>0</v>
      </c>
      <c r="Y79" s="38"/>
      <c r="Z79" s="53">
        <f t="shared" si="1"/>
        <v>15540</v>
      </c>
      <c r="AA79" s="53"/>
    </row>
    <row r="80" spans="1:27" ht="47.25">
      <c r="A80" s="483"/>
      <c r="B80" s="77" t="s">
        <v>369</v>
      </c>
      <c r="C80" s="78" t="s">
        <v>370</v>
      </c>
      <c r="D80" s="115">
        <v>22497</v>
      </c>
      <c r="E80" s="66">
        <v>1082</v>
      </c>
      <c r="F80" s="66">
        <v>757</v>
      </c>
      <c r="G80" s="68"/>
      <c r="H80" s="68" t="s">
        <v>78</v>
      </c>
      <c r="I80" s="68"/>
      <c r="J80" s="69"/>
      <c r="K80" s="68"/>
      <c r="L80" s="68"/>
      <c r="M80" s="68"/>
      <c r="N80" s="68"/>
      <c r="O80" s="68"/>
      <c r="P80" s="70"/>
      <c r="Q80" s="68"/>
      <c r="R80" s="68"/>
      <c r="S80" s="80" t="s">
        <v>483</v>
      </c>
      <c r="T80" s="74"/>
      <c r="U80" s="75">
        <v>22497</v>
      </c>
      <c r="V80" s="74"/>
      <c r="W80" s="76" t="s">
        <v>78</v>
      </c>
      <c r="X80" s="74">
        <v>0</v>
      </c>
      <c r="Y80" s="53"/>
      <c r="Z80" s="53">
        <f t="shared" si="1"/>
        <v>0</v>
      </c>
      <c r="AA80" s="53"/>
    </row>
    <row r="81" spans="1:27" ht="31.5">
      <c r="A81" s="483"/>
      <c r="B81" s="77" t="s">
        <v>371</v>
      </c>
      <c r="C81" s="78" t="s">
        <v>372</v>
      </c>
      <c r="D81" s="115">
        <v>45166</v>
      </c>
      <c r="E81" s="66">
        <v>2172</v>
      </c>
      <c r="F81" s="66">
        <v>1521</v>
      </c>
      <c r="G81" s="66"/>
      <c r="H81" s="68" t="s">
        <v>78</v>
      </c>
      <c r="I81" s="68"/>
      <c r="J81" s="69"/>
      <c r="K81" s="68"/>
      <c r="L81" s="68"/>
      <c r="M81" s="68"/>
      <c r="N81" s="68"/>
      <c r="O81" s="68"/>
      <c r="P81" s="70"/>
      <c r="Q81" s="68"/>
      <c r="R81" s="68"/>
      <c r="S81" s="80" t="s">
        <v>484</v>
      </c>
      <c r="T81" s="74"/>
      <c r="U81" s="75">
        <v>41067</v>
      </c>
      <c r="V81" s="74"/>
      <c r="W81" s="76" t="s">
        <v>78</v>
      </c>
      <c r="X81" s="74">
        <v>0</v>
      </c>
      <c r="Y81" s="53"/>
      <c r="Z81" s="53">
        <f t="shared" si="1"/>
        <v>0</v>
      </c>
      <c r="AA81" s="53"/>
    </row>
    <row r="82" spans="1:27" ht="31.5">
      <c r="A82" s="483"/>
      <c r="B82" s="77" t="s">
        <v>373</v>
      </c>
      <c r="C82" s="78" t="s">
        <v>374</v>
      </c>
      <c r="D82" s="115">
        <v>46803</v>
      </c>
      <c r="E82" s="66">
        <v>2251</v>
      </c>
      <c r="F82" s="66">
        <v>1576</v>
      </c>
      <c r="G82" s="66"/>
      <c r="H82" s="68" t="s">
        <v>78</v>
      </c>
      <c r="I82" s="68"/>
      <c r="J82" s="69"/>
      <c r="K82" s="68"/>
      <c r="L82" s="68"/>
      <c r="M82" s="68"/>
      <c r="N82" s="68"/>
      <c r="O82" s="68"/>
      <c r="P82" s="70"/>
      <c r="Q82" s="68"/>
      <c r="R82" s="68"/>
      <c r="S82" s="80" t="s">
        <v>485</v>
      </c>
      <c r="T82" s="74"/>
      <c r="U82" s="75">
        <v>42580</v>
      </c>
      <c r="V82" s="74"/>
      <c r="W82" s="76" t="s">
        <v>78</v>
      </c>
      <c r="X82" s="74">
        <v>0</v>
      </c>
      <c r="Y82" s="53"/>
      <c r="Z82" s="53">
        <f t="shared" si="1"/>
        <v>0</v>
      </c>
      <c r="AA82" s="53"/>
    </row>
    <row r="83" spans="1:27" ht="63">
      <c r="A83" s="483"/>
      <c r="B83" s="77" t="s">
        <v>375</v>
      </c>
      <c r="C83" s="78" t="s">
        <v>486</v>
      </c>
      <c r="D83" s="115">
        <v>15000</v>
      </c>
      <c r="E83" s="66">
        <v>722</v>
      </c>
      <c r="F83" s="66">
        <v>505</v>
      </c>
      <c r="G83" s="68"/>
      <c r="H83" s="68" t="s">
        <v>78</v>
      </c>
      <c r="I83" s="68"/>
      <c r="J83" s="69"/>
      <c r="K83" s="68"/>
      <c r="L83" s="68"/>
      <c r="M83" s="68"/>
      <c r="N83" s="68"/>
      <c r="O83" s="68"/>
      <c r="P83" s="70"/>
      <c r="Q83" s="68"/>
      <c r="R83" s="68"/>
      <c r="S83" s="80" t="s">
        <v>487</v>
      </c>
      <c r="T83" s="74"/>
      <c r="U83" s="75">
        <v>15000</v>
      </c>
      <c r="V83" s="74"/>
      <c r="W83" s="76" t="s">
        <v>78</v>
      </c>
      <c r="X83" s="74">
        <v>0</v>
      </c>
      <c r="Y83" s="53"/>
      <c r="Z83" s="53">
        <f t="shared" si="1"/>
        <v>0</v>
      </c>
      <c r="AA83" s="53"/>
    </row>
    <row r="84" spans="1:27" ht="236.25">
      <c r="A84" s="483"/>
      <c r="B84" s="77" t="s">
        <v>376</v>
      </c>
      <c r="C84" s="78" t="s">
        <v>377</v>
      </c>
      <c r="D84" s="115">
        <v>4370</v>
      </c>
      <c r="E84" s="66">
        <v>210</v>
      </c>
      <c r="F84" s="66">
        <v>147</v>
      </c>
      <c r="G84" s="68">
        <v>56</v>
      </c>
      <c r="H84" s="68" t="s">
        <v>75</v>
      </c>
      <c r="I84" s="68">
        <v>357.8</v>
      </c>
      <c r="J84" s="69">
        <v>8.1900000000000001E-2</v>
      </c>
      <c r="K84" s="69"/>
      <c r="L84" s="68"/>
      <c r="M84" s="68"/>
      <c r="N84" s="68"/>
      <c r="O84" s="70" t="s">
        <v>378</v>
      </c>
      <c r="P84" s="70" t="s">
        <v>379</v>
      </c>
      <c r="Q84" s="71">
        <v>0.85</v>
      </c>
      <c r="R84" s="71"/>
      <c r="S84" s="94" t="s">
        <v>360</v>
      </c>
      <c r="T84" s="74"/>
      <c r="U84" s="75">
        <v>4370</v>
      </c>
      <c r="V84" s="74"/>
      <c r="W84" s="76" t="s">
        <v>78</v>
      </c>
      <c r="X84" s="74">
        <v>0</v>
      </c>
      <c r="Y84" s="53"/>
      <c r="Z84" s="53">
        <f t="shared" si="1"/>
        <v>3714.5</v>
      </c>
      <c r="AA84" s="53"/>
    </row>
    <row r="85" spans="1:27" ht="78.75">
      <c r="A85" s="483"/>
      <c r="B85" s="77" t="s">
        <v>380</v>
      </c>
      <c r="C85" s="78" t="s">
        <v>381</v>
      </c>
      <c r="D85" s="115">
        <v>173350</v>
      </c>
      <c r="E85" s="66">
        <v>8338</v>
      </c>
      <c r="F85" s="66">
        <v>5837</v>
      </c>
      <c r="G85" s="66">
        <v>4645</v>
      </c>
      <c r="H85" s="68" t="s">
        <v>75</v>
      </c>
      <c r="I85" s="66">
        <v>16740</v>
      </c>
      <c r="J85" s="69">
        <v>9.6600000000000005E-2</v>
      </c>
      <c r="K85" s="69"/>
      <c r="L85" s="68"/>
      <c r="M85" s="68"/>
      <c r="N85" s="68"/>
      <c r="O85" s="96" t="s">
        <v>382</v>
      </c>
      <c r="P85" s="70" t="s">
        <v>383</v>
      </c>
      <c r="Q85" s="71">
        <v>0.85</v>
      </c>
      <c r="R85" s="71"/>
      <c r="S85" s="94" t="s">
        <v>360</v>
      </c>
      <c r="T85" s="74"/>
      <c r="U85" s="75">
        <v>173350</v>
      </c>
      <c r="V85" s="74"/>
      <c r="W85" s="76" t="s">
        <v>78</v>
      </c>
      <c r="X85" s="74">
        <v>0</v>
      </c>
      <c r="Y85" s="53"/>
      <c r="Z85" s="53">
        <f t="shared" si="1"/>
        <v>147347.5</v>
      </c>
      <c r="AA85" s="53"/>
    </row>
    <row r="86" spans="1:27" ht="31.5">
      <c r="A86" s="483"/>
      <c r="B86" s="77" t="s">
        <v>384</v>
      </c>
      <c r="C86" s="97" t="s">
        <v>385</v>
      </c>
      <c r="D86" s="66">
        <v>9661</v>
      </c>
      <c r="E86" s="66">
        <v>465</v>
      </c>
      <c r="F86" s="66">
        <v>326</v>
      </c>
      <c r="G86" s="68">
        <v>16</v>
      </c>
      <c r="H86" s="68" t="s">
        <v>78</v>
      </c>
      <c r="I86" s="66">
        <v>2141</v>
      </c>
      <c r="J86" s="69">
        <v>0.24779999999999999</v>
      </c>
      <c r="K86" s="70">
        <v>0</v>
      </c>
      <c r="L86" s="70">
        <v>0</v>
      </c>
      <c r="M86" s="70">
        <v>1130</v>
      </c>
      <c r="N86" s="70">
        <v>0</v>
      </c>
      <c r="O86" s="70" t="s">
        <v>386</v>
      </c>
      <c r="P86" s="70" t="s">
        <v>387</v>
      </c>
      <c r="Q86" s="114">
        <v>0.85</v>
      </c>
      <c r="R86" s="68"/>
      <c r="S86" s="94" t="s">
        <v>360</v>
      </c>
      <c r="T86" s="74"/>
      <c r="U86" s="75">
        <v>4600</v>
      </c>
      <c r="V86" s="74"/>
      <c r="W86" s="76" t="s">
        <v>78</v>
      </c>
      <c r="X86" s="74">
        <v>0</v>
      </c>
      <c r="Y86" s="53"/>
      <c r="Z86" s="53">
        <f t="shared" si="1"/>
        <v>8211.85</v>
      </c>
      <c r="AA86" s="53"/>
    </row>
    <row r="87" spans="1:27" ht="102.75" customHeight="1">
      <c r="A87" s="484"/>
      <c r="B87" s="77" t="s">
        <v>388</v>
      </c>
      <c r="C87" s="78" t="s">
        <v>389</v>
      </c>
      <c r="D87" s="115">
        <v>6091</v>
      </c>
      <c r="E87" s="116">
        <v>293</v>
      </c>
      <c r="F87" s="116">
        <v>205</v>
      </c>
      <c r="G87" s="116">
        <v>200</v>
      </c>
      <c r="H87" s="68" t="s">
        <v>75</v>
      </c>
      <c r="I87" s="66">
        <v>2183</v>
      </c>
      <c r="J87" s="69">
        <v>0.3584</v>
      </c>
      <c r="K87" s="69"/>
      <c r="L87" s="68"/>
      <c r="M87" s="68"/>
      <c r="N87" s="68"/>
      <c r="O87" s="70" t="s">
        <v>390</v>
      </c>
      <c r="P87" s="70" t="s">
        <v>391</v>
      </c>
      <c r="Q87" s="71">
        <v>0.77</v>
      </c>
      <c r="R87" s="71"/>
      <c r="S87" s="94" t="s">
        <v>360</v>
      </c>
      <c r="T87" s="74"/>
      <c r="U87" s="75">
        <v>5550</v>
      </c>
      <c r="V87" s="74"/>
      <c r="W87" s="76" t="s">
        <v>78</v>
      </c>
      <c r="X87" s="74">
        <v>0</v>
      </c>
      <c r="Y87" s="53"/>
      <c r="Z87" s="53">
        <f t="shared" si="1"/>
        <v>4690.07</v>
      </c>
      <c r="AA87" s="53"/>
    </row>
    <row r="88" spans="1:27" ht="94.5">
      <c r="A88" s="482" t="s">
        <v>31</v>
      </c>
      <c r="B88" s="77" t="s">
        <v>392</v>
      </c>
      <c r="C88" s="94" t="s">
        <v>393</v>
      </c>
      <c r="D88" s="56">
        <v>12945</v>
      </c>
      <c r="E88" s="58">
        <v>480</v>
      </c>
      <c r="F88" s="57">
        <v>336</v>
      </c>
      <c r="G88" s="117">
        <v>81</v>
      </c>
      <c r="H88" s="58" t="s">
        <v>75</v>
      </c>
      <c r="I88" s="117">
        <v>2596</v>
      </c>
      <c r="J88" s="59">
        <v>0.28000000000000003</v>
      </c>
      <c r="K88" s="58">
        <v>40</v>
      </c>
      <c r="L88" s="58"/>
      <c r="M88" s="58">
        <v>800</v>
      </c>
      <c r="N88" s="58">
        <v>100</v>
      </c>
      <c r="O88" s="58" t="s">
        <v>394</v>
      </c>
      <c r="P88" s="60" t="s">
        <v>395</v>
      </c>
      <c r="Q88" s="61">
        <v>0.75</v>
      </c>
      <c r="R88" s="118">
        <v>286</v>
      </c>
      <c r="S88" s="60" t="s">
        <v>396</v>
      </c>
      <c r="T88" s="74"/>
      <c r="U88" s="75">
        <v>9980</v>
      </c>
      <c r="V88" s="74"/>
      <c r="W88" s="76" t="s">
        <v>78</v>
      </c>
      <c r="X88" s="74">
        <v>0</v>
      </c>
      <c r="Y88" s="53"/>
      <c r="Z88" s="53">
        <f t="shared" si="1"/>
        <v>9708.75</v>
      </c>
      <c r="AA88" s="53"/>
    </row>
    <row r="89" spans="1:27" ht="63">
      <c r="A89" s="483"/>
      <c r="B89" s="100" t="s">
        <v>397</v>
      </c>
      <c r="C89" s="94" t="s">
        <v>398</v>
      </c>
      <c r="D89" s="65">
        <v>25100</v>
      </c>
      <c r="E89" s="66">
        <v>1207</v>
      </c>
      <c r="F89" s="66">
        <v>845</v>
      </c>
      <c r="G89" s="104">
        <v>384</v>
      </c>
      <c r="H89" s="68" t="s">
        <v>75</v>
      </c>
      <c r="I89" s="104">
        <v>9806</v>
      </c>
      <c r="J89" s="69">
        <v>0.39</v>
      </c>
      <c r="K89" s="68">
        <v>50</v>
      </c>
      <c r="L89" s="68">
        <v>200</v>
      </c>
      <c r="M89" s="68">
        <v>200</v>
      </c>
      <c r="N89" s="68">
        <v>100</v>
      </c>
      <c r="O89" s="68" t="s">
        <v>399</v>
      </c>
      <c r="P89" s="70" t="s">
        <v>400</v>
      </c>
      <c r="Q89" s="71">
        <v>0.85</v>
      </c>
      <c r="R89" s="68">
        <v>-2919</v>
      </c>
      <c r="S89" s="150" t="s">
        <v>401</v>
      </c>
      <c r="T89" s="74"/>
      <c r="U89" s="75">
        <v>43000</v>
      </c>
      <c r="V89" s="74"/>
      <c r="W89" s="76" t="s">
        <v>78</v>
      </c>
      <c r="X89" s="74">
        <v>0</v>
      </c>
      <c r="Y89" s="53"/>
      <c r="Z89" s="53">
        <f t="shared" si="1"/>
        <v>21335</v>
      </c>
      <c r="AA89" s="53"/>
    </row>
    <row r="90" spans="1:27" ht="31.5">
      <c r="A90" s="483"/>
      <c r="B90" s="100" t="s">
        <v>402</v>
      </c>
      <c r="C90" s="94" t="s">
        <v>403</v>
      </c>
      <c r="D90" s="65">
        <v>15000</v>
      </c>
      <c r="E90" s="68">
        <v>552</v>
      </c>
      <c r="F90" s="66">
        <v>386</v>
      </c>
      <c r="G90" s="104">
        <v>40</v>
      </c>
      <c r="H90" s="68" t="s">
        <v>78</v>
      </c>
      <c r="I90" s="119">
        <v>1707</v>
      </c>
      <c r="J90" s="69">
        <v>0.1047</v>
      </c>
      <c r="K90" s="68"/>
      <c r="L90" s="68"/>
      <c r="M90" s="68"/>
      <c r="N90" s="68"/>
      <c r="O90" s="68" t="s">
        <v>404</v>
      </c>
      <c r="P90" s="70" t="s">
        <v>405</v>
      </c>
      <c r="Q90" s="71">
        <v>0.77</v>
      </c>
      <c r="R90" s="105"/>
      <c r="S90" s="70" t="s">
        <v>406</v>
      </c>
      <c r="T90" s="74"/>
      <c r="U90" s="75">
        <v>15000</v>
      </c>
      <c r="V90" s="74"/>
      <c r="W90" s="76" t="s">
        <v>78</v>
      </c>
      <c r="X90" s="74">
        <v>0</v>
      </c>
      <c r="Y90" s="53"/>
      <c r="Z90" s="53">
        <f t="shared" si="1"/>
        <v>11550</v>
      </c>
      <c r="AA90" s="53"/>
    </row>
    <row r="91" spans="1:27" ht="63">
      <c r="A91" s="483"/>
      <c r="B91" s="100" t="s">
        <v>407</v>
      </c>
      <c r="C91" s="94" t="s">
        <v>408</v>
      </c>
      <c r="D91" s="65">
        <v>28878</v>
      </c>
      <c r="E91" s="66">
        <v>1063</v>
      </c>
      <c r="F91" s="66">
        <v>744</v>
      </c>
      <c r="G91" s="104">
        <v>329</v>
      </c>
      <c r="H91" s="68" t="s">
        <v>75</v>
      </c>
      <c r="I91" s="104">
        <v>4458</v>
      </c>
      <c r="J91" s="69">
        <v>0.15</v>
      </c>
      <c r="K91" s="68">
        <v>80</v>
      </c>
      <c r="L91" s="68">
        <v>0</v>
      </c>
      <c r="M91" s="68">
        <v>1100</v>
      </c>
      <c r="N91" s="68"/>
      <c r="O91" s="68" t="s">
        <v>409</v>
      </c>
      <c r="P91" s="70" t="s">
        <v>410</v>
      </c>
      <c r="Q91" s="71">
        <v>0.73</v>
      </c>
      <c r="R91" s="105"/>
      <c r="S91" s="70" t="s">
        <v>411</v>
      </c>
      <c r="T91" s="74"/>
      <c r="U91" s="75">
        <v>28500</v>
      </c>
      <c r="V91" s="74"/>
      <c r="W91" s="76" t="s">
        <v>78</v>
      </c>
      <c r="X91" s="74">
        <v>0</v>
      </c>
      <c r="Y91" s="53"/>
      <c r="Z91" s="53">
        <f t="shared" si="1"/>
        <v>21080.94</v>
      </c>
      <c r="AA91" s="53"/>
    </row>
    <row r="92" spans="1:27" ht="31.5">
      <c r="A92" s="483"/>
      <c r="B92" s="100" t="s">
        <v>412</v>
      </c>
      <c r="C92" s="94" t="s">
        <v>413</v>
      </c>
      <c r="D92" s="65">
        <v>25647</v>
      </c>
      <c r="E92" s="66">
        <v>1039</v>
      </c>
      <c r="F92" s="66">
        <v>727</v>
      </c>
      <c r="G92" s="104">
        <v>175</v>
      </c>
      <c r="H92" s="68" t="s">
        <v>75</v>
      </c>
      <c r="I92" s="104">
        <v>3894</v>
      </c>
      <c r="J92" s="69">
        <v>0.14000000000000001</v>
      </c>
      <c r="K92" s="68"/>
      <c r="L92" s="68"/>
      <c r="M92" s="68"/>
      <c r="N92" s="68"/>
      <c r="O92" s="68" t="s">
        <v>414</v>
      </c>
      <c r="P92" s="70" t="s">
        <v>415</v>
      </c>
      <c r="Q92" s="71">
        <v>0.73</v>
      </c>
      <c r="R92" s="105"/>
      <c r="S92" s="70" t="s">
        <v>416</v>
      </c>
      <c r="T92" s="74"/>
      <c r="U92" s="75">
        <v>48000</v>
      </c>
      <c r="V92" s="74"/>
      <c r="W92" s="76" t="s">
        <v>78</v>
      </c>
      <c r="X92" s="74">
        <v>0</v>
      </c>
      <c r="Y92" s="53"/>
      <c r="Z92" s="53">
        <f t="shared" si="1"/>
        <v>18722.310000000001</v>
      </c>
      <c r="AA92" s="53"/>
    </row>
    <row r="93" spans="1:27" ht="63">
      <c r="A93" s="483"/>
      <c r="B93" s="100" t="s">
        <v>417</v>
      </c>
      <c r="C93" s="94" t="s">
        <v>418</v>
      </c>
      <c r="D93" s="65">
        <v>9850</v>
      </c>
      <c r="E93" s="66">
        <v>339</v>
      </c>
      <c r="F93" s="66">
        <v>237</v>
      </c>
      <c r="G93" s="104">
        <v>61</v>
      </c>
      <c r="H93" s="68" t="s">
        <v>75</v>
      </c>
      <c r="I93" s="104">
        <v>2922</v>
      </c>
      <c r="J93" s="69">
        <v>0.3</v>
      </c>
      <c r="K93" s="68"/>
      <c r="L93" s="68"/>
      <c r="M93" s="68"/>
      <c r="N93" s="68"/>
      <c r="O93" s="68" t="s">
        <v>419</v>
      </c>
      <c r="P93" s="70" t="s">
        <v>420</v>
      </c>
      <c r="Q93" s="71">
        <v>0.78</v>
      </c>
      <c r="R93" s="68">
        <v>0</v>
      </c>
      <c r="S93" s="70" t="s">
        <v>421</v>
      </c>
      <c r="T93" s="74"/>
      <c r="U93" s="75">
        <v>9200</v>
      </c>
      <c r="V93" s="74"/>
      <c r="W93" s="76" t="s">
        <v>78</v>
      </c>
      <c r="X93" s="74">
        <v>0</v>
      </c>
      <c r="Y93" s="53"/>
      <c r="Z93" s="53">
        <f t="shared" si="1"/>
        <v>7683</v>
      </c>
      <c r="AA93" s="53"/>
    </row>
    <row r="94" spans="1:27" ht="47.25">
      <c r="A94" s="484"/>
      <c r="B94" s="107" t="s">
        <v>422</v>
      </c>
      <c r="C94" s="70" t="s">
        <v>423</v>
      </c>
      <c r="D94" s="65">
        <v>18894</v>
      </c>
      <c r="E94" s="66">
        <v>847</v>
      </c>
      <c r="F94" s="66">
        <v>593</v>
      </c>
      <c r="G94" s="104">
        <v>111</v>
      </c>
      <c r="H94" s="68" t="s">
        <v>75</v>
      </c>
      <c r="I94" s="104">
        <v>3084</v>
      </c>
      <c r="J94" s="69">
        <v>0.16</v>
      </c>
      <c r="K94" s="68"/>
      <c r="L94" s="68"/>
      <c r="M94" s="68"/>
      <c r="N94" s="68"/>
      <c r="O94" s="68" t="s">
        <v>419</v>
      </c>
      <c r="P94" s="70" t="s">
        <v>424</v>
      </c>
      <c r="Q94" s="71">
        <v>0.77</v>
      </c>
      <c r="R94" s="68">
        <v>-3.7</v>
      </c>
      <c r="S94" s="70" t="s">
        <v>125</v>
      </c>
      <c r="T94" s="74"/>
      <c r="U94" s="75">
        <v>23000</v>
      </c>
      <c r="V94" s="74"/>
      <c r="W94" s="76" t="s">
        <v>78</v>
      </c>
      <c r="X94" s="74">
        <v>0</v>
      </c>
      <c r="Y94" s="53"/>
      <c r="Z94" s="53">
        <f t="shared" si="1"/>
        <v>14548.380000000001</v>
      </c>
      <c r="AA94" s="53"/>
    </row>
    <row r="95" spans="1:27" ht="110.25">
      <c r="A95" s="482" t="s">
        <v>32</v>
      </c>
      <c r="B95" s="77" t="s">
        <v>425</v>
      </c>
      <c r="C95" s="78" t="s">
        <v>426</v>
      </c>
      <c r="D95" s="56">
        <v>21000</v>
      </c>
      <c r="E95" s="58">
        <v>752</v>
      </c>
      <c r="F95" s="117">
        <v>526</v>
      </c>
      <c r="G95" s="58">
        <v>-37.9</v>
      </c>
      <c r="H95" s="58" t="s">
        <v>75</v>
      </c>
      <c r="I95" s="58">
        <v>226.8</v>
      </c>
      <c r="J95" s="59">
        <v>0.10879999999999999</v>
      </c>
      <c r="K95" s="58">
        <v>200</v>
      </c>
      <c r="L95" s="58"/>
      <c r="M95" s="58">
        <v>5000</v>
      </c>
      <c r="N95" s="58"/>
      <c r="O95" s="58" t="s">
        <v>427</v>
      </c>
      <c r="P95" s="60" t="s">
        <v>428</v>
      </c>
      <c r="Q95" s="61">
        <v>0.7</v>
      </c>
      <c r="R95" s="58">
        <v>0</v>
      </c>
      <c r="S95" s="60" t="s">
        <v>488</v>
      </c>
      <c r="T95" s="74"/>
      <c r="U95" s="75">
        <v>21000</v>
      </c>
      <c r="V95" s="74"/>
      <c r="W95" s="76" t="s">
        <v>78</v>
      </c>
      <c r="X95" s="74">
        <v>0</v>
      </c>
      <c r="Y95" s="53" t="s">
        <v>99</v>
      </c>
      <c r="Z95" s="53">
        <f t="shared" si="1"/>
        <v>14699.999999999998</v>
      </c>
      <c r="AA95" s="53"/>
    </row>
    <row r="96" spans="1:27" ht="78.75">
      <c r="A96" s="483"/>
      <c r="B96" s="77" t="s">
        <v>429</v>
      </c>
      <c r="C96" s="78" t="s">
        <v>430</v>
      </c>
      <c r="D96" s="65">
        <v>9100</v>
      </c>
      <c r="E96" s="104">
        <v>326</v>
      </c>
      <c r="F96" s="104">
        <v>228</v>
      </c>
      <c r="G96" s="68">
        <v>108.7</v>
      </c>
      <c r="H96" s="68" t="s">
        <v>75</v>
      </c>
      <c r="I96" s="66">
        <v>4450</v>
      </c>
      <c r="J96" s="69">
        <v>0.48899999999999999</v>
      </c>
      <c r="K96" s="68"/>
      <c r="L96" s="68"/>
      <c r="M96" s="68"/>
      <c r="N96" s="68"/>
      <c r="O96" s="68"/>
      <c r="P96" s="70" t="s">
        <v>431</v>
      </c>
      <c r="Q96" s="71">
        <v>0.71</v>
      </c>
      <c r="R96" s="68">
        <v>606.20000000000005</v>
      </c>
      <c r="S96" s="70" t="s">
        <v>489</v>
      </c>
      <c r="T96" s="74"/>
      <c r="U96" s="75">
        <v>9100</v>
      </c>
      <c r="V96" s="74"/>
      <c r="W96" s="76" t="s">
        <v>78</v>
      </c>
      <c r="X96" s="74">
        <v>0</v>
      </c>
      <c r="Y96" s="53" t="s">
        <v>99</v>
      </c>
      <c r="Z96" s="53">
        <f t="shared" si="1"/>
        <v>6461</v>
      </c>
      <c r="AA96" s="53"/>
    </row>
    <row r="97" spans="1:27" ht="47.25">
      <c r="A97" s="483"/>
      <c r="B97" s="77" t="s">
        <v>432</v>
      </c>
      <c r="C97" s="78" t="s">
        <v>433</v>
      </c>
      <c r="D97" s="65">
        <v>12280</v>
      </c>
      <c r="E97" s="104">
        <v>550</v>
      </c>
      <c r="F97" s="66">
        <v>385</v>
      </c>
      <c r="G97" s="68"/>
      <c r="H97" s="68" t="s">
        <v>78</v>
      </c>
      <c r="I97" s="68"/>
      <c r="J97" s="68"/>
      <c r="K97" s="68">
        <v>700</v>
      </c>
      <c r="L97" s="68">
        <v>2000</v>
      </c>
      <c r="M97" s="68">
        <v>1000</v>
      </c>
      <c r="N97" s="68"/>
      <c r="O97" s="68" t="s">
        <v>434</v>
      </c>
      <c r="P97" s="70" t="s">
        <v>435</v>
      </c>
      <c r="Q97" s="105"/>
      <c r="R97" s="105"/>
      <c r="S97" s="70" t="s">
        <v>490</v>
      </c>
      <c r="T97" s="74"/>
      <c r="U97" s="75">
        <v>12280</v>
      </c>
      <c r="V97" s="74"/>
      <c r="W97" s="76" t="s">
        <v>78</v>
      </c>
      <c r="X97" s="74"/>
      <c r="Y97" s="53"/>
      <c r="Z97" s="53">
        <f t="shared" si="1"/>
        <v>0</v>
      </c>
      <c r="AA97" s="53"/>
    </row>
    <row r="98" spans="1:27" ht="94.5">
      <c r="A98" s="483"/>
      <c r="B98" s="77" t="s">
        <v>436</v>
      </c>
      <c r="C98" s="78" t="s">
        <v>437</v>
      </c>
      <c r="D98" s="65">
        <v>20000</v>
      </c>
      <c r="E98" s="104">
        <v>750</v>
      </c>
      <c r="F98" s="66">
        <v>525</v>
      </c>
      <c r="G98" s="68"/>
      <c r="H98" s="68" t="s">
        <v>78</v>
      </c>
      <c r="I98" s="68"/>
      <c r="J98" s="68"/>
      <c r="K98" s="68">
        <v>180</v>
      </c>
      <c r="L98" s="68"/>
      <c r="M98" s="68">
        <v>500</v>
      </c>
      <c r="N98" s="68"/>
      <c r="O98" s="68" t="s">
        <v>427</v>
      </c>
      <c r="P98" s="70" t="s">
        <v>438</v>
      </c>
      <c r="Q98" s="105"/>
      <c r="R98" s="105"/>
      <c r="S98" s="70" t="s">
        <v>491</v>
      </c>
      <c r="T98" s="74"/>
      <c r="U98" s="75">
        <v>20000</v>
      </c>
      <c r="V98" s="74"/>
      <c r="W98" s="76" t="s">
        <v>78</v>
      </c>
      <c r="X98" s="74"/>
      <c r="Y98" s="53"/>
      <c r="Z98" s="53">
        <f t="shared" si="1"/>
        <v>0</v>
      </c>
      <c r="AA98" s="53"/>
    </row>
    <row r="99" spans="1:27" ht="157.5">
      <c r="A99" s="483"/>
      <c r="B99" s="77" t="s">
        <v>439</v>
      </c>
      <c r="C99" s="78" t="s">
        <v>440</v>
      </c>
      <c r="D99" s="65">
        <v>4000</v>
      </c>
      <c r="E99" s="104">
        <v>30</v>
      </c>
      <c r="F99" s="66">
        <v>21</v>
      </c>
      <c r="G99" s="68">
        <v>27</v>
      </c>
      <c r="H99" s="68" t="s">
        <v>75</v>
      </c>
      <c r="I99" s="68">
        <v>0</v>
      </c>
      <c r="J99" s="71">
        <v>0</v>
      </c>
      <c r="K99" s="68"/>
      <c r="L99" s="68"/>
      <c r="M99" s="68"/>
      <c r="N99" s="68"/>
      <c r="O99" s="68"/>
      <c r="P99" s="106"/>
      <c r="Q99" s="71">
        <v>0.79</v>
      </c>
      <c r="R99" s="68">
        <v>0</v>
      </c>
      <c r="S99" s="70" t="s">
        <v>492</v>
      </c>
      <c r="T99" s="74"/>
      <c r="U99" s="75">
        <v>4000</v>
      </c>
      <c r="V99" s="74"/>
      <c r="W99" s="76" t="s">
        <v>78</v>
      </c>
      <c r="X99" s="74"/>
      <c r="Y99" s="53"/>
      <c r="Z99" s="53">
        <f t="shared" si="1"/>
        <v>3160</v>
      </c>
      <c r="AA99" s="53"/>
    </row>
    <row r="100" spans="1:27" ht="31.5">
      <c r="A100" s="483"/>
      <c r="B100" s="77" t="s">
        <v>441</v>
      </c>
      <c r="C100" s="78" t="s">
        <v>442</v>
      </c>
      <c r="D100" s="65">
        <v>52749</v>
      </c>
      <c r="E100" s="104">
        <v>450</v>
      </c>
      <c r="F100" s="66">
        <v>315</v>
      </c>
      <c r="G100" s="68">
        <v>59.54</v>
      </c>
      <c r="H100" s="68" t="s">
        <v>75</v>
      </c>
      <c r="I100" s="66">
        <v>11273</v>
      </c>
      <c r="J100" s="71">
        <v>0.2137</v>
      </c>
      <c r="K100" s="68"/>
      <c r="L100" s="68"/>
      <c r="M100" s="68"/>
      <c r="N100" s="68"/>
      <c r="O100" s="68" t="s">
        <v>443</v>
      </c>
      <c r="P100" s="106"/>
      <c r="Q100" s="71">
        <v>0.7</v>
      </c>
      <c r="R100" s="105"/>
      <c r="S100" s="70" t="s">
        <v>444</v>
      </c>
      <c r="T100" s="74"/>
      <c r="U100" s="75">
        <v>49821</v>
      </c>
      <c r="V100" s="74"/>
      <c r="W100" s="76"/>
      <c r="X100" s="74"/>
      <c r="Y100" s="53"/>
      <c r="Z100" s="53">
        <f t="shared" si="1"/>
        <v>36924.299999999996</v>
      </c>
      <c r="AA100" s="53"/>
    </row>
    <row r="101" spans="1:27" ht="78.75">
      <c r="A101" s="484"/>
      <c r="B101" s="77" t="s">
        <v>445</v>
      </c>
      <c r="C101" s="55" t="s">
        <v>446</v>
      </c>
      <c r="D101" s="65">
        <v>4000</v>
      </c>
      <c r="E101" s="104">
        <v>35</v>
      </c>
      <c r="F101" s="66">
        <v>25</v>
      </c>
      <c r="G101" s="68"/>
      <c r="H101" s="68" t="s">
        <v>78</v>
      </c>
      <c r="I101" s="68"/>
      <c r="J101" s="68"/>
      <c r="K101" s="68"/>
      <c r="L101" s="68"/>
      <c r="M101" s="68"/>
      <c r="N101" s="68"/>
      <c r="O101" s="68"/>
      <c r="P101" s="106"/>
      <c r="Q101" s="105"/>
      <c r="R101" s="105"/>
      <c r="S101" s="70" t="s">
        <v>493</v>
      </c>
      <c r="T101" s="74"/>
      <c r="U101" s="75">
        <v>4000</v>
      </c>
      <c r="V101" s="74"/>
      <c r="W101" s="76"/>
      <c r="X101" s="74"/>
      <c r="Y101" s="53"/>
      <c r="Z101" s="53">
        <f t="shared" si="1"/>
        <v>0</v>
      </c>
      <c r="AA101" s="53"/>
    </row>
    <row r="102" spans="1:27" ht="94.5">
      <c r="A102" s="482" t="s">
        <v>33</v>
      </c>
      <c r="B102" s="54" t="s">
        <v>449</v>
      </c>
      <c r="C102" s="55" t="s">
        <v>450</v>
      </c>
      <c r="D102" s="81">
        <v>12760</v>
      </c>
      <c r="E102" s="111">
        <v>570</v>
      </c>
      <c r="F102" s="82">
        <v>399</v>
      </c>
      <c r="G102" s="111">
        <v>64</v>
      </c>
      <c r="H102" s="111" t="s">
        <v>75</v>
      </c>
      <c r="I102" s="111">
        <v>3674</v>
      </c>
      <c r="J102" s="83">
        <v>0.28789999999999999</v>
      </c>
      <c r="K102" s="111">
        <v>43</v>
      </c>
      <c r="L102" s="111">
        <v>110</v>
      </c>
      <c r="M102" s="111">
        <v>177</v>
      </c>
      <c r="N102" s="111"/>
      <c r="O102" s="111" t="s">
        <v>451</v>
      </c>
      <c r="P102" s="94" t="s">
        <v>452</v>
      </c>
      <c r="Q102" s="120">
        <v>0.74</v>
      </c>
      <c r="R102" s="151"/>
      <c r="S102" s="85"/>
      <c r="T102" s="74"/>
      <c r="U102" s="75">
        <v>15000</v>
      </c>
      <c r="V102" s="74"/>
      <c r="W102" s="76" t="s">
        <v>78</v>
      </c>
      <c r="X102" s="74">
        <v>0</v>
      </c>
      <c r="Y102" s="53"/>
      <c r="Z102" s="53">
        <f t="shared" si="1"/>
        <v>9442.4</v>
      </c>
      <c r="AA102" s="53"/>
    </row>
    <row r="103" spans="1:27" ht="63">
      <c r="A103" s="483"/>
      <c r="B103" s="54" t="s">
        <v>453</v>
      </c>
      <c r="C103" s="55" t="s">
        <v>454</v>
      </c>
      <c r="D103" s="86">
        <v>8982</v>
      </c>
      <c r="E103" s="92">
        <v>341</v>
      </c>
      <c r="F103" s="87">
        <v>239</v>
      </c>
      <c r="G103" s="92">
        <v>96</v>
      </c>
      <c r="H103" s="92" t="s">
        <v>75</v>
      </c>
      <c r="I103" s="92">
        <v>819</v>
      </c>
      <c r="J103" s="88">
        <v>9.1200000000000003E-2</v>
      </c>
      <c r="K103" s="92">
        <v>13</v>
      </c>
      <c r="L103" s="92">
        <v>296</v>
      </c>
      <c r="M103" s="92">
        <v>1759</v>
      </c>
      <c r="N103" s="92"/>
      <c r="O103" s="92" t="s">
        <v>455</v>
      </c>
      <c r="P103" s="94" t="s">
        <v>456</v>
      </c>
      <c r="Q103" s="93">
        <v>0.72</v>
      </c>
      <c r="R103" s="121"/>
      <c r="S103" s="80"/>
      <c r="T103" s="74"/>
      <c r="U103" s="75">
        <v>15000</v>
      </c>
      <c r="V103" s="74"/>
      <c r="W103" s="76" t="s">
        <v>78</v>
      </c>
      <c r="X103" s="74">
        <v>0</v>
      </c>
      <c r="Y103" s="53"/>
      <c r="Z103" s="53">
        <f t="shared" si="1"/>
        <v>6467.04</v>
      </c>
      <c r="AA103" s="53"/>
    </row>
    <row r="104" spans="1:27" ht="110.25">
      <c r="A104" s="483"/>
      <c r="B104" s="54" t="s">
        <v>457</v>
      </c>
      <c r="C104" s="55" t="s">
        <v>458</v>
      </c>
      <c r="D104" s="86">
        <v>45049</v>
      </c>
      <c r="E104" s="87">
        <v>1712</v>
      </c>
      <c r="F104" s="87">
        <v>1198</v>
      </c>
      <c r="G104" s="92">
        <v>121</v>
      </c>
      <c r="H104" s="90" t="s">
        <v>75</v>
      </c>
      <c r="I104" s="87">
        <v>4858</v>
      </c>
      <c r="J104" s="88">
        <v>0.10780000000000001</v>
      </c>
      <c r="K104" s="92">
        <v>50</v>
      </c>
      <c r="L104" s="92"/>
      <c r="M104" s="92">
        <v>100</v>
      </c>
      <c r="N104" s="92"/>
      <c r="O104" s="92" t="s">
        <v>459</v>
      </c>
      <c r="P104" s="94" t="s">
        <v>460</v>
      </c>
      <c r="Q104" s="93">
        <v>0.83</v>
      </c>
      <c r="R104" s="121"/>
      <c r="S104" s="122"/>
      <c r="T104" s="74"/>
      <c r="U104" s="75">
        <v>46049</v>
      </c>
      <c r="V104" s="74"/>
      <c r="W104" s="76" t="s">
        <v>78</v>
      </c>
      <c r="X104" s="74">
        <v>0</v>
      </c>
      <c r="Y104" s="53"/>
      <c r="Z104" s="53">
        <f t="shared" si="1"/>
        <v>37390.67</v>
      </c>
      <c r="AA104" s="53"/>
    </row>
    <row r="105" spans="1:27" ht="110.25">
      <c r="A105" s="484"/>
      <c r="B105" s="54" t="s">
        <v>461</v>
      </c>
      <c r="C105" s="55" t="s">
        <v>462</v>
      </c>
      <c r="D105" s="86">
        <v>46173</v>
      </c>
      <c r="E105" s="87">
        <v>1760</v>
      </c>
      <c r="F105" s="87">
        <v>1232</v>
      </c>
      <c r="G105" s="92">
        <v>258</v>
      </c>
      <c r="H105" s="92" t="s">
        <v>75</v>
      </c>
      <c r="I105" s="87">
        <v>3840</v>
      </c>
      <c r="J105" s="88">
        <v>8.3199999999999996E-2</v>
      </c>
      <c r="K105" s="92">
        <v>50</v>
      </c>
      <c r="L105" s="92"/>
      <c r="M105" s="92">
        <v>100</v>
      </c>
      <c r="N105" s="92"/>
      <c r="O105" s="92" t="s">
        <v>459</v>
      </c>
      <c r="P105" s="94" t="s">
        <v>463</v>
      </c>
      <c r="Q105" s="93">
        <v>0.81</v>
      </c>
      <c r="R105" s="121"/>
      <c r="T105" s="74"/>
      <c r="U105" s="75">
        <v>46173</v>
      </c>
      <c r="V105" s="74"/>
      <c r="W105" s="76" t="s">
        <v>78</v>
      </c>
      <c r="X105" s="74">
        <v>0</v>
      </c>
      <c r="Y105" s="53"/>
      <c r="Z105" s="53">
        <f t="shared" si="1"/>
        <v>37400.130000000005</v>
      </c>
      <c r="AA105" s="53"/>
    </row>
    <row r="106" spans="1:27" ht="18.75">
      <c r="A106" s="53"/>
      <c r="B106" s="124"/>
      <c r="C106" s="39"/>
      <c r="D106" s="125"/>
      <c r="E106" s="125"/>
      <c r="F106" s="126"/>
      <c r="G106" s="127"/>
      <c r="H106" s="128"/>
      <c r="I106" s="125"/>
      <c r="J106" s="129"/>
      <c r="K106" s="128"/>
      <c r="L106" s="125"/>
      <c r="M106" s="125"/>
      <c r="N106" s="125"/>
      <c r="O106" s="125"/>
      <c r="P106" s="125"/>
      <c r="Q106" s="128"/>
      <c r="R106" s="128"/>
      <c r="S106" s="39"/>
      <c r="T106" s="41"/>
      <c r="U106" s="41"/>
      <c r="V106" s="41"/>
      <c r="W106" s="41"/>
      <c r="X106" s="41"/>
      <c r="Y106" s="41"/>
      <c r="Z106" s="41"/>
      <c r="AA106" s="41"/>
    </row>
    <row r="107" spans="1:27" ht="18.75">
      <c r="A107" s="53"/>
      <c r="B107" s="124"/>
      <c r="C107" s="39"/>
      <c r="D107" s="125"/>
      <c r="E107" s="125"/>
      <c r="F107" s="126"/>
      <c r="G107" s="127"/>
      <c r="H107" s="37"/>
      <c r="I107" s="125"/>
      <c r="J107" s="129"/>
      <c r="K107" s="128"/>
      <c r="L107" s="125"/>
      <c r="M107" s="125"/>
      <c r="N107" s="125"/>
      <c r="O107" s="125"/>
      <c r="P107" s="125"/>
      <c r="Q107" s="128"/>
      <c r="R107" s="128"/>
      <c r="S107" s="39"/>
      <c r="T107" s="41"/>
      <c r="U107" s="41"/>
      <c r="V107" s="41"/>
      <c r="W107" s="41"/>
      <c r="X107" s="41"/>
      <c r="Y107" s="41"/>
      <c r="Z107" s="41"/>
      <c r="AA107" s="41"/>
    </row>
    <row r="108" spans="1:27" ht="18.75">
      <c r="A108" s="53"/>
      <c r="B108" s="124"/>
      <c r="C108" s="39"/>
      <c r="D108" s="125"/>
      <c r="E108" s="125"/>
      <c r="F108" s="126"/>
      <c r="G108" s="39"/>
      <c r="H108" s="128"/>
      <c r="I108" s="125"/>
      <c r="J108" s="129"/>
      <c r="K108" s="128"/>
      <c r="L108" s="125"/>
      <c r="M108" s="125"/>
      <c r="N108" s="125"/>
      <c r="O108" s="125"/>
      <c r="P108" s="125"/>
      <c r="Q108" s="128"/>
      <c r="R108" s="128"/>
      <c r="S108" s="39"/>
      <c r="T108" s="41"/>
      <c r="U108" s="41"/>
      <c r="V108" s="41"/>
      <c r="W108" s="41"/>
      <c r="X108" s="41"/>
      <c r="Y108" s="41"/>
      <c r="Z108" s="41"/>
      <c r="AA108" s="41"/>
    </row>
  </sheetData>
  <autoFilter ref="B2:Y105" xr:uid="{00000000-0009-0000-0000-000004000000}"/>
  <mergeCells count="14">
    <mergeCell ref="A95:A101"/>
    <mergeCell ref="A102:A105"/>
    <mergeCell ref="A3:A7"/>
    <mergeCell ref="A8:A13"/>
    <mergeCell ref="A14:A22"/>
    <mergeCell ref="A23:A26"/>
    <mergeCell ref="A27:A39"/>
    <mergeCell ref="A40:A48"/>
    <mergeCell ref="A49:A62"/>
    <mergeCell ref="A63:A66"/>
    <mergeCell ref="A67:A71"/>
    <mergeCell ref="A72:A76"/>
    <mergeCell ref="A77:A87"/>
    <mergeCell ref="A88:A94"/>
  </mergeCells>
  <phoneticPr fontId="67" type="noConversion"/>
  <dataValidations count="1">
    <dataValidation type="list" allowBlank="1" showErrorMessage="1" sqref="A1" xr:uid="{00000000-0002-0000-0400-000000000000}">
      <formula1>"1-,2-,3-,4-,5-,6-,7-,8-,9-,10-,11-,12-,13-,14-"</formula1>
    </dataValidation>
  </dataValidations>
  <printOptions horizontalCentered="1"/>
  <pageMargins left="0.7" right="0.7" top="0.75" bottom="0.75" header="0" footer="0"/>
  <pageSetup paperSize="8" fitToHeight="0" pageOrder="overThenDown" orientation="landscape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>
    <outlinePr summaryRight="0"/>
    <pageSetUpPr fitToPage="1"/>
  </sheetPr>
  <dimension ref="A1:AA212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ColWidth="12.7109375" defaultRowHeight="15.75" customHeight="1"/>
  <cols>
    <col min="1" max="1" width="8.28515625" customWidth="1"/>
    <col min="2" max="2" width="7.42578125" customWidth="1"/>
    <col min="3" max="3" width="31.28515625" customWidth="1"/>
    <col min="4" max="6" width="10.42578125" customWidth="1"/>
    <col min="7" max="7" width="14.140625" customWidth="1"/>
    <col min="8" max="8" width="9" customWidth="1"/>
    <col min="9" max="15" width="10.42578125" customWidth="1"/>
    <col min="16" max="16" width="20.85546875" customWidth="1"/>
    <col min="17" max="18" width="10.42578125" customWidth="1"/>
    <col min="19" max="19" width="42.85546875" customWidth="1"/>
  </cols>
  <sheetData>
    <row r="1" spans="1:27" ht="30.75">
      <c r="A1" s="38" t="s">
        <v>45</v>
      </c>
      <c r="B1" s="152"/>
      <c r="C1" s="152"/>
      <c r="E1" s="39"/>
      <c r="F1" s="153"/>
      <c r="G1" s="154">
        <f>COUNTIFS($H$3:$H212,"是",$B$3:$B212,"=2-*")</f>
        <v>5</v>
      </c>
      <c r="H1" s="155">
        <f>COUNTIF(H2:H212,"是")</f>
        <v>88</v>
      </c>
      <c r="I1" s="156" t="s">
        <v>46</v>
      </c>
      <c r="J1" s="157"/>
      <c r="L1" s="158"/>
      <c r="P1" s="158"/>
      <c r="R1" s="154"/>
      <c r="S1" s="159" t="s">
        <v>494</v>
      </c>
      <c r="T1" s="46"/>
      <c r="U1" s="46"/>
      <c r="V1" s="46"/>
      <c r="W1" s="46"/>
      <c r="X1" s="46"/>
      <c r="Y1" s="47"/>
      <c r="Z1" s="47"/>
      <c r="AA1" s="47"/>
    </row>
    <row r="2" spans="1:27" ht="99">
      <c r="A2" s="48" t="s">
        <v>4</v>
      </c>
      <c r="B2" s="48" t="s">
        <v>48</v>
      </c>
      <c r="C2" s="49" t="s">
        <v>49</v>
      </c>
      <c r="D2" s="49" t="s">
        <v>50</v>
      </c>
      <c r="E2" s="49" t="s">
        <v>51</v>
      </c>
      <c r="F2" s="160" t="s">
        <v>52</v>
      </c>
      <c r="G2" s="49" t="s">
        <v>53</v>
      </c>
      <c r="H2" s="49" t="s">
        <v>54</v>
      </c>
      <c r="I2" s="49" t="s">
        <v>55</v>
      </c>
      <c r="J2" s="49" t="s">
        <v>56</v>
      </c>
      <c r="K2" s="49" t="s">
        <v>57</v>
      </c>
      <c r="L2" s="49" t="s">
        <v>58</v>
      </c>
      <c r="M2" s="49" t="s">
        <v>59</v>
      </c>
      <c r="N2" s="49" t="s">
        <v>60</v>
      </c>
      <c r="O2" s="49" t="s">
        <v>61</v>
      </c>
      <c r="P2" s="49" t="s">
        <v>495</v>
      </c>
      <c r="Q2" s="49" t="s">
        <v>63</v>
      </c>
      <c r="R2" s="49" t="s">
        <v>64</v>
      </c>
      <c r="S2" s="49" t="s">
        <v>65</v>
      </c>
      <c r="T2" s="52" t="s">
        <v>66</v>
      </c>
      <c r="U2" s="52" t="s">
        <v>67</v>
      </c>
      <c r="V2" s="52" t="s">
        <v>68</v>
      </c>
      <c r="W2" s="52" t="s">
        <v>69</v>
      </c>
      <c r="X2" s="53" t="s">
        <v>70</v>
      </c>
      <c r="Y2" s="53" t="s">
        <v>71</v>
      </c>
      <c r="Z2" s="53" t="s">
        <v>72</v>
      </c>
      <c r="AA2" s="53"/>
    </row>
    <row r="3" spans="1:27" ht="31.5" hidden="1" customHeight="1">
      <c r="A3" s="482" t="s">
        <v>20</v>
      </c>
      <c r="B3" s="161" t="s">
        <v>73</v>
      </c>
      <c r="C3" s="162" t="s">
        <v>74</v>
      </c>
      <c r="D3" s="163">
        <v>50000</v>
      </c>
      <c r="E3" s="138">
        <v>2200</v>
      </c>
      <c r="F3" s="138">
        <v>1540</v>
      </c>
      <c r="G3" s="138">
        <v>612</v>
      </c>
      <c r="H3" s="138" t="s">
        <v>75</v>
      </c>
      <c r="I3" s="140">
        <v>11713</v>
      </c>
      <c r="J3" s="141">
        <v>0.22700000000000001</v>
      </c>
      <c r="K3" s="140">
        <v>124</v>
      </c>
      <c r="L3" s="140">
        <v>10583</v>
      </c>
      <c r="M3" s="140">
        <v>27234</v>
      </c>
      <c r="N3" s="140">
        <v>2000</v>
      </c>
      <c r="O3" s="140"/>
      <c r="P3" s="139" t="s">
        <v>76</v>
      </c>
      <c r="Q3" s="142">
        <v>0.73</v>
      </c>
      <c r="R3" s="140">
        <v>-2027</v>
      </c>
      <c r="S3" s="145" t="s">
        <v>77</v>
      </c>
      <c r="T3" s="62"/>
      <c r="U3" s="63">
        <v>50000</v>
      </c>
      <c r="V3" s="62"/>
      <c r="W3" s="64" t="s">
        <v>78</v>
      </c>
      <c r="X3" s="62">
        <v>0</v>
      </c>
      <c r="Y3" s="53"/>
      <c r="Z3" s="53">
        <f t="shared" ref="Z3:Z65" si="0">D3*Q3</f>
        <v>36500</v>
      </c>
      <c r="AA3" s="53"/>
    </row>
    <row r="4" spans="1:27" ht="31.5" hidden="1" customHeight="1">
      <c r="A4" s="483"/>
      <c r="B4" s="161" t="s">
        <v>79</v>
      </c>
      <c r="C4" s="162" t="s">
        <v>80</v>
      </c>
      <c r="D4" s="164">
        <v>13000</v>
      </c>
      <c r="E4" s="143">
        <v>1100</v>
      </c>
      <c r="F4" s="143">
        <v>770</v>
      </c>
      <c r="G4" s="165">
        <v>575.1</v>
      </c>
      <c r="H4" s="166" t="s">
        <v>75</v>
      </c>
      <c r="I4" s="144">
        <v>1287</v>
      </c>
      <c r="J4" s="146">
        <v>9.9000000000000005E-2</v>
      </c>
      <c r="K4" s="144">
        <v>40</v>
      </c>
      <c r="L4" s="144">
        <v>0</v>
      </c>
      <c r="M4" s="144">
        <v>4000</v>
      </c>
      <c r="N4" s="144">
        <v>200</v>
      </c>
      <c r="O4" s="144"/>
      <c r="P4" s="145" t="s">
        <v>81</v>
      </c>
      <c r="Q4" s="147">
        <v>0.72</v>
      </c>
      <c r="R4" s="144">
        <v>-8830</v>
      </c>
      <c r="S4" s="145" t="s">
        <v>82</v>
      </c>
      <c r="T4" s="62"/>
      <c r="U4" s="63">
        <v>13000</v>
      </c>
      <c r="V4" s="62"/>
      <c r="W4" s="64" t="s">
        <v>78</v>
      </c>
      <c r="X4" s="62">
        <v>0</v>
      </c>
      <c r="Y4" s="53"/>
      <c r="Z4" s="53">
        <f t="shared" si="0"/>
        <v>9360</v>
      </c>
      <c r="AA4" s="53"/>
    </row>
    <row r="5" spans="1:27" ht="31.5" hidden="1" customHeight="1">
      <c r="A5" s="483"/>
      <c r="B5" s="161" t="s">
        <v>83</v>
      </c>
      <c r="C5" s="162" t="s">
        <v>84</v>
      </c>
      <c r="D5" s="164">
        <v>48000</v>
      </c>
      <c r="E5" s="143">
        <v>2500</v>
      </c>
      <c r="F5" s="143">
        <v>1750</v>
      </c>
      <c r="G5" s="138">
        <v>1603</v>
      </c>
      <c r="H5" s="143" t="s">
        <v>75</v>
      </c>
      <c r="I5" s="144">
        <v>4092</v>
      </c>
      <c r="J5" s="146">
        <v>8.5000000000000006E-2</v>
      </c>
      <c r="K5" s="144">
        <v>40</v>
      </c>
      <c r="L5" s="144">
        <v>1416</v>
      </c>
      <c r="M5" s="144">
        <v>1000</v>
      </c>
      <c r="N5" s="144">
        <v>200</v>
      </c>
      <c r="O5" s="144"/>
      <c r="P5" s="145" t="s">
        <v>85</v>
      </c>
      <c r="Q5" s="147">
        <v>0.82</v>
      </c>
      <c r="R5" s="144">
        <v>-10414</v>
      </c>
      <c r="S5" s="145" t="s">
        <v>86</v>
      </c>
      <c r="T5" s="62"/>
      <c r="U5" s="63">
        <v>48000</v>
      </c>
      <c r="V5" s="62"/>
      <c r="W5" s="64" t="s">
        <v>78</v>
      </c>
      <c r="X5" s="62">
        <v>0</v>
      </c>
      <c r="Y5" s="53"/>
      <c r="Z5" s="53">
        <f t="shared" si="0"/>
        <v>39360</v>
      </c>
      <c r="AA5" s="53"/>
    </row>
    <row r="6" spans="1:27" ht="31.5" hidden="1" customHeight="1">
      <c r="A6" s="483"/>
      <c r="B6" s="161" t="s">
        <v>87</v>
      </c>
      <c r="C6" s="167" t="s">
        <v>88</v>
      </c>
      <c r="D6" s="164">
        <v>48000</v>
      </c>
      <c r="E6" s="143">
        <v>1600</v>
      </c>
      <c r="F6" s="143">
        <v>1120</v>
      </c>
      <c r="G6" s="143">
        <v>779.2</v>
      </c>
      <c r="H6" s="143" t="s">
        <v>75</v>
      </c>
      <c r="I6" s="168">
        <v>8501</v>
      </c>
      <c r="J6" s="146">
        <v>0.17710000000000001</v>
      </c>
      <c r="K6" s="143">
        <v>0</v>
      </c>
      <c r="L6" s="144">
        <v>0</v>
      </c>
      <c r="M6" s="144">
        <v>0</v>
      </c>
      <c r="N6" s="144">
        <v>0</v>
      </c>
      <c r="O6" s="144"/>
      <c r="P6" s="145" t="s">
        <v>89</v>
      </c>
      <c r="Q6" s="147">
        <v>0.83</v>
      </c>
      <c r="R6" s="144">
        <v>-376217</v>
      </c>
      <c r="S6" s="169"/>
      <c r="T6" s="64"/>
      <c r="U6" s="63">
        <v>29000</v>
      </c>
      <c r="V6" s="62"/>
      <c r="W6" s="64" t="s">
        <v>75</v>
      </c>
      <c r="X6" s="62">
        <v>0</v>
      </c>
      <c r="Y6" s="53"/>
      <c r="Z6" s="53">
        <f t="shared" si="0"/>
        <v>39840</v>
      </c>
      <c r="AA6" s="53"/>
    </row>
    <row r="7" spans="1:27" ht="31.5" hidden="1" customHeight="1">
      <c r="A7" s="484"/>
      <c r="B7" s="161" t="s">
        <v>90</v>
      </c>
      <c r="C7" s="167" t="s">
        <v>91</v>
      </c>
      <c r="D7" s="164">
        <v>55000</v>
      </c>
      <c r="E7" s="143">
        <v>1500</v>
      </c>
      <c r="F7" s="143">
        <v>1050</v>
      </c>
      <c r="G7" s="168">
        <v>1380.6</v>
      </c>
      <c r="H7" s="143" t="s">
        <v>75</v>
      </c>
      <c r="I7" s="143">
        <v>4996</v>
      </c>
      <c r="J7" s="146">
        <v>9.0800000000000006E-2</v>
      </c>
      <c r="K7" s="143">
        <v>100</v>
      </c>
      <c r="L7" s="144">
        <v>0</v>
      </c>
      <c r="M7" s="144">
        <v>5000</v>
      </c>
      <c r="N7" s="144">
        <v>0</v>
      </c>
      <c r="O7" s="144" t="s">
        <v>92</v>
      </c>
      <c r="P7" s="145" t="s">
        <v>93</v>
      </c>
      <c r="Q7" s="147">
        <v>0.77</v>
      </c>
      <c r="R7" s="144">
        <v>-422316</v>
      </c>
      <c r="S7" s="145" t="s">
        <v>94</v>
      </c>
      <c r="T7" s="62"/>
      <c r="U7" s="63">
        <v>48378</v>
      </c>
      <c r="V7" s="62"/>
      <c r="W7" s="64" t="s">
        <v>75</v>
      </c>
      <c r="X7" s="62">
        <v>0</v>
      </c>
      <c r="Y7" s="53"/>
      <c r="Z7" s="53">
        <f t="shared" si="0"/>
        <v>42350</v>
      </c>
      <c r="AA7" s="53"/>
    </row>
    <row r="8" spans="1:27" ht="31.5" hidden="1" customHeight="1">
      <c r="A8" s="485" t="s">
        <v>21</v>
      </c>
      <c r="B8" s="161" t="s">
        <v>95</v>
      </c>
      <c r="C8" s="162" t="s">
        <v>96</v>
      </c>
      <c r="D8" s="163">
        <v>5436</v>
      </c>
      <c r="E8" s="138">
        <v>1518</v>
      </c>
      <c r="F8" s="138">
        <v>1063</v>
      </c>
      <c r="G8" s="140">
        <v>147</v>
      </c>
      <c r="H8" s="140" t="s">
        <v>75</v>
      </c>
      <c r="I8" s="140">
        <v>0</v>
      </c>
      <c r="J8" s="140">
        <v>0</v>
      </c>
      <c r="K8" s="140">
        <v>0</v>
      </c>
      <c r="L8" s="140">
        <v>0</v>
      </c>
      <c r="M8" s="140">
        <v>0</v>
      </c>
      <c r="N8" s="140">
        <v>0</v>
      </c>
      <c r="O8" s="140" t="s">
        <v>92</v>
      </c>
      <c r="P8" s="139" t="s">
        <v>97</v>
      </c>
      <c r="Q8" s="170">
        <v>0.79</v>
      </c>
      <c r="R8" s="64">
        <v>-210</v>
      </c>
      <c r="S8" s="139" t="s">
        <v>98</v>
      </c>
      <c r="T8" s="74"/>
      <c r="U8" s="75">
        <v>5436</v>
      </c>
      <c r="V8" s="74"/>
      <c r="W8" s="76" t="s">
        <v>78</v>
      </c>
      <c r="X8" s="74">
        <v>0</v>
      </c>
      <c r="Y8" s="53" t="s">
        <v>99</v>
      </c>
      <c r="Z8" s="53">
        <f t="shared" si="0"/>
        <v>4294.4400000000005</v>
      </c>
      <c r="AA8" s="53"/>
    </row>
    <row r="9" spans="1:27" ht="31.5" hidden="1" customHeight="1">
      <c r="A9" s="483"/>
      <c r="B9" s="161" t="s">
        <v>100</v>
      </c>
      <c r="C9" s="162" t="s">
        <v>101</v>
      </c>
      <c r="D9" s="164">
        <v>10000</v>
      </c>
      <c r="E9" s="144">
        <v>334</v>
      </c>
      <c r="F9" s="143">
        <v>234</v>
      </c>
      <c r="G9" s="145"/>
      <c r="H9" s="144" t="s">
        <v>78</v>
      </c>
      <c r="I9" s="144"/>
      <c r="J9" s="144"/>
      <c r="K9" s="144"/>
      <c r="L9" s="144"/>
      <c r="M9" s="144"/>
      <c r="N9" s="144"/>
      <c r="O9" s="144"/>
      <c r="P9" s="145"/>
      <c r="Q9" s="64"/>
      <c r="R9" s="64"/>
      <c r="S9" s="145" t="s">
        <v>102</v>
      </c>
      <c r="T9" s="74"/>
      <c r="U9" s="75">
        <v>10000</v>
      </c>
      <c r="V9" s="74"/>
      <c r="W9" s="76" t="s">
        <v>78</v>
      </c>
      <c r="X9" s="74">
        <v>0</v>
      </c>
      <c r="Y9" s="53"/>
      <c r="Z9" s="53">
        <f t="shared" si="0"/>
        <v>0</v>
      </c>
      <c r="AA9" s="53"/>
    </row>
    <row r="10" spans="1:27" ht="31.5" hidden="1" customHeight="1">
      <c r="A10" s="483"/>
      <c r="B10" s="161" t="s">
        <v>103</v>
      </c>
      <c r="C10" s="162" t="s">
        <v>104</v>
      </c>
      <c r="D10" s="164">
        <v>2760</v>
      </c>
      <c r="E10" s="144">
        <v>134</v>
      </c>
      <c r="F10" s="143">
        <v>94</v>
      </c>
      <c r="G10" s="145">
        <v>70</v>
      </c>
      <c r="H10" s="144" t="s">
        <v>75</v>
      </c>
      <c r="I10" s="144">
        <v>78.2</v>
      </c>
      <c r="J10" s="147">
        <v>0.03</v>
      </c>
      <c r="K10" s="144">
        <v>0</v>
      </c>
      <c r="L10" s="144">
        <v>0</v>
      </c>
      <c r="M10" s="144">
        <v>0</v>
      </c>
      <c r="N10" s="144">
        <v>0</v>
      </c>
      <c r="O10" s="144" t="s">
        <v>105</v>
      </c>
      <c r="P10" s="145" t="s">
        <v>106</v>
      </c>
      <c r="Q10" s="147">
        <v>0.82</v>
      </c>
      <c r="R10" s="144"/>
      <c r="S10" s="145" t="s">
        <v>107</v>
      </c>
      <c r="T10" s="74"/>
      <c r="U10" s="75">
        <v>4000</v>
      </c>
      <c r="V10" s="74"/>
      <c r="W10" s="76" t="s">
        <v>78</v>
      </c>
      <c r="X10" s="74">
        <v>0</v>
      </c>
      <c r="Y10" s="53"/>
      <c r="Z10" s="53">
        <f t="shared" si="0"/>
        <v>2263.1999999999998</v>
      </c>
      <c r="AA10" s="53"/>
    </row>
    <row r="11" spans="1:27" ht="31.5" hidden="1" customHeight="1">
      <c r="A11" s="483"/>
      <c r="B11" s="161" t="s">
        <v>108</v>
      </c>
      <c r="C11" s="162" t="s">
        <v>109</v>
      </c>
      <c r="D11" s="164">
        <v>10000</v>
      </c>
      <c r="E11" s="144">
        <v>334</v>
      </c>
      <c r="F11" s="143">
        <v>234</v>
      </c>
      <c r="G11" s="145">
        <v>143</v>
      </c>
      <c r="H11" s="144" t="s">
        <v>75</v>
      </c>
      <c r="I11" s="144">
        <v>79.2</v>
      </c>
      <c r="J11" s="147">
        <v>0.01</v>
      </c>
      <c r="K11" s="144">
        <v>0</v>
      </c>
      <c r="L11" s="144">
        <v>792</v>
      </c>
      <c r="M11" s="144">
        <v>100</v>
      </c>
      <c r="N11" s="144">
        <v>198</v>
      </c>
      <c r="O11" s="144" t="s">
        <v>92</v>
      </c>
      <c r="P11" s="145" t="s">
        <v>110</v>
      </c>
      <c r="Q11" s="147">
        <v>0.84</v>
      </c>
      <c r="R11" s="144"/>
      <c r="S11" s="145" t="s">
        <v>111</v>
      </c>
      <c r="T11" s="74"/>
      <c r="U11" s="75">
        <v>10000</v>
      </c>
      <c r="V11" s="74"/>
      <c r="W11" s="76" t="s">
        <v>78</v>
      </c>
      <c r="X11" s="74">
        <v>0</v>
      </c>
      <c r="Y11" s="53"/>
      <c r="Z11" s="53">
        <f t="shared" si="0"/>
        <v>8400</v>
      </c>
      <c r="AA11" s="53"/>
    </row>
    <row r="12" spans="1:27" ht="31.5" hidden="1" customHeight="1">
      <c r="A12" s="483"/>
      <c r="B12" s="161" t="s">
        <v>112</v>
      </c>
      <c r="C12" s="162" t="s">
        <v>113</v>
      </c>
      <c r="D12" s="164">
        <v>3098</v>
      </c>
      <c r="E12" s="144">
        <v>134</v>
      </c>
      <c r="F12" s="143">
        <v>94</v>
      </c>
      <c r="G12" s="145">
        <v>1.9</v>
      </c>
      <c r="H12" s="144" t="s">
        <v>75</v>
      </c>
      <c r="I12" s="144">
        <v>731.6</v>
      </c>
      <c r="J12" s="147">
        <v>0.18</v>
      </c>
      <c r="K12" s="144">
        <v>0</v>
      </c>
      <c r="L12" s="144">
        <v>0</v>
      </c>
      <c r="M12" s="144">
        <v>0</v>
      </c>
      <c r="N12" s="144">
        <v>0</v>
      </c>
      <c r="O12" s="144" t="s">
        <v>92</v>
      </c>
      <c r="P12" s="145" t="s">
        <v>114</v>
      </c>
      <c r="Q12" s="147">
        <v>0.81</v>
      </c>
      <c r="R12" s="144"/>
      <c r="S12" s="145" t="s">
        <v>115</v>
      </c>
      <c r="T12" s="74"/>
      <c r="U12" s="75">
        <v>4000</v>
      </c>
      <c r="V12" s="74"/>
      <c r="W12" s="76" t="s">
        <v>78</v>
      </c>
      <c r="X12" s="74">
        <v>0</v>
      </c>
      <c r="Y12" s="53"/>
      <c r="Z12" s="53">
        <f t="shared" si="0"/>
        <v>2509.38</v>
      </c>
      <c r="AA12" s="53"/>
    </row>
    <row r="13" spans="1:27" ht="31.5" hidden="1" customHeight="1">
      <c r="A13" s="484"/>
      <c r="B13" s="161" t="s">
        <v>116</v>
      </c>
      <c r="C13" s="171" t="s">
        <v>117</v>
      </c>
      <c r="D13" s="164">
        <v>16268</v>
      </c>
      <c r="E13" s="144">
        <v>1189</v>
      </c>
      <c r="F13" s="143">
        <v>832</v>
      </c>
      <c r="G13" s="145">
        <v>741</v>
      </c>
      <c r="H13" s="144" t="s">
        <v>75</v>
      </c>
      <c r="I13" s="144">
        <v>11191</v>
      </c>
      <c r="J13" s="147">
        <v>0.69</v>
      </c>
      <c r="K13" s="144">
        <v>0</v>
      </c>
      <c r="L13" s="144">
        <v>0</v>
      </c>
      <c r="M13" s="144">
        <v>0</v>
      </c>
      <c r="N13" s="144">
        <v>0</v>
      </c>
      <c r="O13" s="144" t="s">
        <v>118</v>
      </c>
      <c r="P13" s="145" t="s">
        <v>119</v>
      </c>
      <c r="Q13" s="147">
        <v>0.82</v>
      </c>
      <c r="R13" s="144"/>
      <c r="S13" s="145" t="s">
        <v>120</v>
      </c>
      <c r="T13" s="74"/>
      <c r="U13" s="75">
        <v>14000</v>
      </c>
      <c r="V13" s="74"/>
      <c r="W13" s="76" t="s">
        <v>78</v>
      </c>
      <c r="X13" s="74"/>
      <c r="Y13" s="53"/>
      <c r="Z13" s="53">
        <f t="shared" si="0"/>
        <v>13339.759999999998</v>
      </c>
      <c r="AA13" s="53"/>
    </row>
    <row r="14" spans="1:27" ht="31.5" hidden="1" customHeight="1">
      <c r="A14" s="482" t="s">
        <v>22</v>
      </c>
      <c r="B14" s="172" t="s">
        <v>121</v>
      </c>
      <c r="C14" s="173" t="s">
        <v>122</v>
      </c>
      <c r="D14" s="138">
        <v>50000</v>
      </c>
      <c r="E14" s="138">
        <v>2660</v>
      </c>
      <c r="F14" s="138">
        <v>1862</v>
      </c>
      <c r="G14" s="174">
        <v>1279</v>
      </c>
      <c r="H14" s="140" t="s">
        <v>75</v>
      </c>
      <c r="I14" s="138">
        <v>2165</v>
      </c>
      <c r="J14" s="141">
        <v>4.4999999999999998E-2</v>
      </c>
      <c r="K14" s="140">
        <v>111</v>
      </c>
      <c r="L14" s="140">
        <v>19448</v>
      </c>
      <c r="M14" s="138">
        <v>3203</v>
      </c>
      <c r="N14" s="140">
        <v>392</v>
      </c>
      <c r="O14" s="140" t="s">
        <v>123</v>
      </c>
      <c r="P14" s="139" t="s">
        <v>124</v>
      </c>
      <c r="Q14" s="142">
        <v>0.82</v>
      </c>
      <c r="R14" s="138">
        <v>-37802</v>
      </c>
      <c r="S14" s="139" t="s">
        <v>125</v>
      </c>
      <c r="T14" s="74"/>
      <c r="U14" s="75">
        <v>50000</v>
      </c>
      <c r="V14" s="74"/>
      <c r="W14" s="76" t="s">
        <v>78</v>
      </c>
      <c r="X14" s="74">
        <v>0</v>
      </c>
      <c r="Y14" s="53"/>
      <c r="Z14" s="53">
        <f t="shared" si="0"/>
        <v>41000</v>
      </c>
      <c r="AA14" s="53"/>
    </row>
    <row r="15" spans="1:27" ht="31.5" hidden="1" customHeight="1">
      <c r="A15" s="483"/>
      <c r="B15" s="175" t="s">
        <v>126</v>
      </c>
      <c r="C15" s="176" t="s">
        <v>127</v>
      </c>
      <c r="D15" s="143">
        <v>30000</v>
      </c>
      <c r="E15" s="143">
        <v>1596</v>
      </c>
      <c r="F15" s="143">
        <v>1117</v>
      </c>
      <c r="G15" s="145">
        <v>719</v>
      </c>
      <c r="H15" s="144" t="s">
        <v>75</v>
      </c>
      <c r="I15" s="144">
        <v>1641</v>
      </c>
      <c r="J15" s="146">
        <v>5.4699999999999999E-2</v>
      </c>
      <c r="K15" s="144">
        <v>63</v>
      </c>
      <c r="L15" s="144">
        <v>0</v>
      </c>
      <c r="M15" s="144">
        <v>900</v>
      </c>
      <c r="N15" s="144">
        <v>300</v>
      </c>
      <c r="O15" s="144" t="s">
        <v>128</v>
      </c>
      <c r="P15" s="145" t="s">
        <v>129</v>
      </c>
      <c r="Q15" s="147">
        <v>0.77</v>
      </c>
      <c r="R15" s="143">
        <v>-37802</v>
      </c>
      <c r="S15" s="145" t="s">
        <v>130</v>
      </c>
      <c r="T15" s="74"/>
      <c r="U15" s="75">
        <v>30000</v>
      </c>
      <c r="V15" s="74"/>
      <c r="W15" s="76" t="s">
        <v>78</v>
      </c>
      <c r="X15" s="74">
        <v>0</v>
      </c>
      <c r="Y15" s="53"/>
      <c r="Z15" s="53">
        <f t="shared" si="0"/>
        <v>23100</v>
      </c>
      <c r="AA15" s="53"/>
    </row>
    <row r="16" spans="1:27" ht="31.5" hidden="1" customHeight="1">
      <c r="A16" s="483"/>
      <c r="B16" s="175" t="s">
        <v>131</v>
      </c>
      <c r="C16" s="176" t="s">
        <v>132</v>
      </c>
      <c r="D16" s="143">
        <v>25000</v>
      </c>
      <c r="E16" s="143">
        <v>1330</v>
      </c>
      <c r="F16" s="143">
        <v>931</v>
      </c>
      <c r="G16" s="145">
        <v>912</v>
      </c>
      <c r="H16" s="144" t="s">
        <v>75</v>
      </c>
      <c r="I16" s="143">
        <v>12663</v>
      </c>
      <c r="J16" s="146">
        <v>0.50700000000000001</v>
      </c>
      <c r="K16" s="145">
        <v>0</v>
      </c>
      <c r="L16" s="145">
        <v>0</v>
      </c>
      <c r="M16" s="144">
        <v>0</v>
      </c>
      <c r="N16" s="144">
        <v>0</v>
      </c>
      <c r="O16" s="144" t="s">
        <v>133</v>
      </c>
      <c r="P16" s="145" t="s">
        <v>134</v>
      </c>
      <c r="Q16" s="147">
        <v>0.75</v>
      </c>
      <c r="R16" s="143">
        <v>-9112</v>
      </c>
      <c r="S16" s="145" t="s">
        <v>135</v>
      </c>
      <c r="T16" s="74"/>
      <c r="U16" s="75">
        <v>25000</v>
      </c>
      <c r="V16" s="74"/>
      <c r="W16" s="76" t="s">
        <v>78</v>
      </c>
      <c r="X16" s="74">
        <v>0</v>
      </c>
      <c r="Y16" s="53"/>
      <c r="Z16" s="53">
        <f t="shared" si="0"/>
        <v>18750</v>
      </c>
      <c r="AA16" s="53"/>
    </row>
    <row r="17" spans="1:27" ht="31.5" hidden="1" customHeight="1">
      <c r="A17" s="483"/>
      <c r="B17" s="175" t="s">
        <v>136</v>
      </c>
      <c r="C17" s="176" t="s">
        <v>137</v>
      </c>
      <c r="D17" s="143">
        <v>22800</v>
      </c>
      <c r="E17" s="143">
        <v>1094</v>
      </c>
      <c r="F17" s="143">
        <v>766</v>
      </c>
      <c r="G17" s="145">
        <v>105</v>
      </c>
      <c r="H17" s="144" t="s">
        <v>75</v>
      </c>
      <c r="I17" s="143">
        <v>16197</v>
      </c>
      <c r="J17" s="147">
        <v>0.76</v>
      </c>
      <c r="K17" s="70">
        <v>0</v>
      </c>
      <c r="L17" s="70">
        <v>0</v>
      </c>
      <c r="M17" s="144">
        <v>0</v>
      </c>
      <c r="N17" s="144">
        <v>0</v>
      </c>
      <c r="O17" s="144" t="s">
        <v>138</v>
      </c>
      <c r="P17" s="145" t="s">
        <v>139</v>
      </c>
      <c r="Q17" s="147">
        <v>0.82</v>
      </c>
      <c r="R17" s="143">
        <v>-250000</v>
      </c>
      <c r="S17" s="145" t="s">
        <v>140</v>
      </c>
      <c r="T17" s="74"/>
      <c r="U17" s="75">
        <v>22800</v>
      </c>
      <c r="V17" s="74"/>
      <c r="W17" s="76" t="s">
        <v>78</v>
      </c>
      <c r="X17" s="74">
        <v>0</v>
      </c>
      <c r="Y17" s="53"/>
      <c r="Z17" s="53">
        <f t="shared" si="0"/>
        <v>18696</v>
      </c>
      <c r="AA17" s="53"/>
    </row>
    <row r="18" spans="1:27" ht="31.5" hidden="1" customHeight="1">
      <c r="A18" s="483"/>
      <c r="B18" s="175" t="s">
        <v>141</v>
      </c>
      <c r="C18" s="176" t="s">
        <v>142</v>
      </c>
      <c r="D18" s="143">
        <v>49500</v>
      </c>
      <c r="E18" s="144">
        <v>3000</v>
      </c>
      <c r="F18" s="143">
        <v>2100</v>
      </c>
      <c r="G18" s="168">
        <v>2051</v>
      </c>
      <c r="H18" s="144" t="s">
        <v>75</v>
      </c>
      <c r="I18" s="144">
        <v>9850</v>
      </c>
      <c r="J18" s="146">
        <v>0.2</v>
      </c>
      <c r="K18" s="144">
        <v>0</v>
      </c>
      <c r="L18" s="144">
        <v>0</v>
      </c>
      <c r="M18" s="144">
        <v>0</v>
      </c>
      <c r="N18" s="144">
        <v>0</v>
      </c>
      <c r="O18" s="144" t="s">
        <v>143</v>
      </c>
      <c r="P18" s="145" t="s">
        <v>144</v>
      </c>
      <c r="Q18" s="147">
        <v>0.76</v>
      </c>
      <c r="R18" s="143">
        <v>-516307</v>
      </c>
      <c r="S18" s="145" t="s">
        <v>145</v>
      </c>
      <c r="T18" s="74"/>
      <c r="U18" s="75">
        <v>49500</v>
      </c>
      <c r="V18" s="74"/>
      <c r="W18" s="76" t="s">
        <v>75</v>
      </c>
      <c r="X18" s="74">
        <v>0</v>
      </c>
      <c r="Y18" s="53"/>
      <c r="Z18" s="53">
        <f t="shared" si="0"/>
        <v>37620</v>
      </c>
      <c r="AA18" s="53"/>
    </row>
    <row r="19" spans="1:27" ht="31.5" hidden="1" customHeight="1">
      <c r="A19" s="483"/>
      <c r="B19" s="175" t="s">
        <v>146</v>
      </c>
      <c r="C19" s="177" t="s">
        <v>147</v>
      </c>
      <c r="D19" s="143">
        <v>74128</v>
      </c>
      <c r="E19" s="144">
        <v>2500</v>
      </c>
      <c r="F19" s="143">
        <v>1750</v>
      </c>
      <c r="G19" s="168">
        <v>2036</v>
      </c>
      <c r="H19" s="144" t="s">
        <v>75</v>
      </c>
      <c r="I19" s="144">
        <v>7250</v>
      </c>
      <c r="J19" s="146">
        <v>0.1</v>
      </c>
      <c r="K19" s="145">
        <v>0</v>
      </c>
      <c r="L19" s="144">
        <v>0</v>
      </c>
      <c r="M19" s="144">
        <v>0</v>
      </c>
      <c r="N19" s="144">
        <v>0</v>
      </c>
      <c r="O19" s="144" t="s">
        <v>148</v>
      </c>
      <c r="P19" s="145" t="s">
        <v>149</v>
      </c>
      <c r="Q19" s="147">
        <v>0.81</v>
      </c>
      <c r="R19" s="143">
        <v>-299000</v>
      </c>
      <c r="S19" s="145" t="s">
        <v>150</v>
      </c>
      <c r="T19" s="74"/>
      <c r="U19" s="75">
        <v>95000</v>
      </c>
      <c r="V19" s="74"/>
      <c r="W19" s="76" t="s">
        <v>75</v>
      </c>
      <c r="X19" s="74">
        <v>0</v>
      </c>
      <c r="Y19" s="53"/>
      <c r="Z19" s="53">
        <f t="shared" si="0"/>
        <v>60043.680000000008</v>
      </c>
      <c r="AA19" s="53"/>
    </row>
    <row r="20" spans="1:27" ht="31.5" hidden="1" customHeight="1">
      <c r="A20" s="483"/>
      <c r="B20" s="175" t="s">
        <v>151</v>
      </c>
      <c r="C20" s="177" t="s">
        <v>152</v>
      </c>
      <c r="D20" s="143">
        <v>57885</v>
      </c>
      <c r="E20" s="144">
        <v>4000</v>
      </c>
      <c r="F20" s="143">
        <v>2800</v>
      </c>
      <c r="G20" s="143">
        <v>2323</v>
      </c>
      <c r="H20" s="144" t="s">
        <v>75</v>
      </c>
      <c r="I20" s="144">
        <v>8125</v>
      </c>
      <c r="J20" s="146">
        <v>0.14000000000000001</v>
      </c>
      <c r="K20" s="144">
        <v>0</v>
      </c>
      <c r="L20" s="144">
        <v>0</v>
      </c>
      <c r="M20" s="144">
        <v>0</v>
      </c>
      <c r="N20" s="144">
        <v>0</v>
      </c>
      <c r="O20" s="144" t="s">
        <v>148</v>
      </c>
      <c r="P20" s="145" t="s">
        <v>153</v>
      </c>
      <c r="Q20" s="147">
        <v>0.72</v>
      </c>
      <c r="R20" s="143">
        <v>-649196</v>
      </c>
      <c r="S20" s="145" t="s">
        <v>154</v>
      </c>
      <c r="T20" s="74"/>
      <c r="U20" s="75">
        <v>80000</v>
      </c>
      <c r="V20" s="74"/>
      <c r="W20" s="76" t="s">
        <v>75</v>
      </c>
      <c r="X20" s="74">
        <v>0</v>
      </c>
      <c r="Y20" s="53"/>
      <c r="Z20" s="53">
        <f t="shared" si="0"/>
        <v>41677.199999999997</v>
      </c>
      <c r="AA20" s="53"/>
    </row>
    <row r="21" spans="1:27" ht="31.5" hidden="1" customHeight="1">
      <c r="A21" s="483"/>
      <c r="B21" s="175" t="s">
        <v>155</v>
      </c>
      <c r="C21" s="177" t="s">
        <v>156</v>
      </c>
      <c r="D21" s="143">
        <v>36000</v>
      </c>
      <c r="E21" s="144">
        <v>1625</v>
      </c>
      <c r="F21" s="143">
        <v>1138</v>
      </c>
      <c r="G21" s="145">
        <v>1145</v>
      </c>
      <c r="H21" s="144" t="s">
        <v>75</v>
      </c>
      <c r="I21" s="144">
        <v>8400</v>
      </c>
      <c r="J21" s="146">
        <v>0.25</v>
      </c>
      <c r="K21" s="144">
        <v>0</v>
      </c>
      <c r="L21" s="144">
        <v>0</v>
      </c>
      <c r="M21" s="144">
        <v>0</v>
      </c>
      <c r="N21" s="144">
        <v>0</v>
      </c>
      <c r="O21" s="144" t="s">
        <v>148</v>
      </c>
      <c r="P21" s="145" t="s">
        <v>157</v>
      </c>
      <c r="Q21" s="147">
        <v>0.81</v>
      </c>
      <c r="R21" s="144"/>
      <c r="S21" s="145" t="s">
        <v>158</v>
      </c>
      <c r="T21" s="74"/>
      <c r="U21" s="75">
        <v>36000</v>
      </c>
      <c r="V21" s="74"/>
      <c r="W21" s="76" t="s">
        <v>75</v>
      </c>
      <c r="X21" s="74">
        <v>0</v>
      </c>
      <c r="Y21" s="53"/>
      <c r="Z21" s="53">
        <f t="shared" si="0"/>
        <v>29160.000000000004</v>
      </c>
      <c r="AA21" s="53"/>
    </row>
    <row r="22" spans="1:27" ht="31.5" hidden="1" customHeight="1">
      <c r="A22" s="484"/>
      <c r="B22" s="175" t="s">
        <v>159</v>
      </c>
      <c r="C22" s="177" t="s">
        <v>160</v>
      </c>
      <c r="D22" s="143">
        <v>29798</v>
      </c>
      <c r="E22" s="144">
        <v>2549</v>
      </c>
      <c r="F22" s="143">
        <v>1784</v>
      </c>
      <c r="G22" s="168">
        <v>1603</v>
      </c>
      <c r="H22" s="144" t="s">
        <v>75</v>
      </c>
      <c r="I22" s="144">
        <v>5342</v>
      </c>
      <c r="J22" s="146">
        <v>0.17960000000000001</v>
      </c>
      <c r="K22" s="144">
        <v>0</v>
      </c>
      <c r="L22" s="144">
        <v>0</v>
      </c>
      <c r="M22" s="144">
        <v>0</v>
      </c>
      <c r="N22" s="144">
        <v>0</v>
      </c>
      <c r="O22" s="144" t="s">
        <v>133</v>
      </c>
      <c r="P22" s="145" t="s">
        <v>161</v>
      </c>
      <c r="Q22" s="147">
        <v>0.85</v>
      </c>
      <c r="R22" s="144">
        <v>-1423.5</v>
      </c>
      <c r="S22" s="145" t="s">
        <v>162</v>
      </c>
      <c r="T22" s="74"/>
      <c r="U22" s="75">
        <v>30000</v>
      </c>
      <c r="V22" s="74"/>
      <c r="W22" s="76" t="s">
        <v>78</v>
      </c>
      <c r="X22" s="74"/>
      <c r="Y22" s="53"/>
      <c r="Z22" s="53">
        <f t="shared" si="0"/>
        <v>25328.3</v>
      </c>
      <c r="AA22" s="53"/>
    </row>
    <row r="23" spans="1:27" ht="31.5" hidden="1" customHeight="1">
      <c r="A23" s="482" t="s">
        <v>23</v>
      </c>
      <c r="B23" s="178" t="s">
        <v>163</v>
      </c>
      <c r="C23" s="145" t="s">
        <v>164</v>
      </c>
      <c r="D23" s="143">
        <v>44940</v>
      </c>
      <c r="E23" s="143">
        <v>2054</v>
      </c>
      <c r="F23" s="143">
        <v>1438</v>
      </c>
      <c r="G23" s="179">
        <v>1247</v>
      </c>
      <c r="H23" s="144" t="s">
        <v>75</v>
      </c>
      <c r="I23" s="143">
        <v>22939</v>
      </c>
      <c r="J23" s="146">
        <v>0.51</v>
      </c>
      <c r="K23" s="144" t="s">
        <v>165</v>
      </c>
      <c r="L23" s="144" t="s">
        <v>165</v>
      </c>
      <c r="M23" s="143">
        <v>3515</v>
      </c>
      <c r="N23" s="144">
        <v>500</v>
      </c>
      <c r="O23" s="144" t="s">
        <v>166</v>
      </c>
      <c r="P23" s="145" t="s">
        <v>167</v>
      </c>
      <c r="Q23" s="147">
        <v>0.75</v>
      </c>
      <c r="R23" s="179">
        <v>-29842.639999999999</v>
      </c>
      <c r="S23" s="145" t="s">
        <v>168</v>
      </c>
      <c r="T23" s="74"/>
      <c r="U23" s="75">
        <v>44000</v>
      </c>
      <c r="V23" s="74"/>
      <c r="W23" s="76" t="s">
        <v>78</v>
      </c>
      <c r="X23" s="74">
        <v>0</v>
      </c>
      <c r="Y23" s="53"/>
      <c r="Z23" s="53">
        <f t="shared" si="0"/>
        <v>33705</v>
      </c>
      <c r="AA23" s="53"/>
    </row>
    <row r="24" spans="1:27" ht="31.5" hidden="1" customHeight="1">
      <c r="A24" s="483"/>
      <c r="B24" s="161" t="s">
        <v>169</v>
      </c>
      <c r="C24" s="162" t="s">
        <v>170</v>
      </c>
      <c r="D24" s="163">
        <v>82360</v>
      </c>
      <c r="E24" s="163">
        <v>3256</v>
      </c>
      <c r="F24" s="163">
        <v>2279</v>
      </c>
      <c r="G24" s="162"/>
      <c r="H24" s="64" t="s">
        <v>78</v>
      </c>
      <c r="I24" s="64"/>
      <c r="J24" s="180"/>
      <c r="K24" s="64"/>
      <c r="L24" s="64"/>
      <c r="M24" s="64"/>
      <c r="N24" s="64"/>
      <c r="O24" s="64"/>
      <c r="P24" s="162"/>
      <c r="Q24" s="64"/>
      <c r="R24" s="64"/>
      <c r="S24" s="162" t="s">
        <v>467</v>
      </c>
      <c r="T24" s="74"/>
      <c r="U24" s="75">
        <v>76000</v>
      </c>
      <c r="V24" s="74"/>
      <c r="W24" s="76" t="s">
        <v>78</v>
      </c>
      <c r="X24" s="74">
        <v>0</v>
      </c>
      <c r="Y24" s="53"/>
      <c r="Z24" s="53">
        <f t="shared" si="0"/>
        <v>0</v>
      </c>
      <c r="AA24" s="53"/>
    </row>
    <row r="25" spans="1:27" ht="31.5" hidden="1" customHeight="1">
      <c r="A25" s="483"/>
      <c r="B25" s="161" t="s">
        <v>171</v>
      </c>
      <c r="C25" s="162" t="s">
        <v>172</v>
      </c>
      <c r="D25" s="163">
        <v>45000</v>
      </c>
      <c r="E25" s="163">
        <v>2168</v>
      </c>
      <c r="F25" s="163">
        <v>1518</v>
      </c>
      <c r="G25" s="162">
        <v>379</v>
      </c>
      <c r="H25" s="64" t="s">
        <v>75</v>
      </c>
      <c r="I25" s="181">
        <v>4516</v>
      </c>
      <c r="J25" s="180">
        <v>0.1</v>
      </c>
      <c r="K25" s="64">
        <v>181</v>
      </c>
      <c r="L25" s="163">
        <v>8698</v>
      </c>
      <c r="M25" s="163">
        <v>4140</v>
      </c>
      <c r="N25" s="64">
        <v>867</v>
      </c>
      <c r="O25" s="162" t="s">
        <v>173</v>
      </c>
      <c r="P25" s="162" t="s">
        <v>174</v>
      </c>
      <c r="Q25" s="170">
        <v>0.78</v>
      </c>
      <c r="R25" s="181">
        <v>-2160.9299999999998</v>
      </c>
      <c r="S25" s="162" t="s">
        <v>175</v>
      </c>
      <c r="T25" s="74"/>
      <c r="U25" s="75">
        <v>45000</v>
      </c>
      <c r="V25" s="74"/>
      <c r="W25" s="76" t="s">
        <v>78</v>
      </c>
      <c r="X25" s="74">
        <v>0</v>
      </c>
      <c r="Y25" s="53"/>
      <c r="Z25" s="53">
        <f t="shared" si="0"/>
        <v>35100</v>
      </c>
      <c r="AA25" s="53"/>
    </row>
    <row r="26" spans="1:27" ht="31.5" hidden="1" customHeight="1">
      <c r="A26" s="484"/>
      <c r="B26" s="161" t="s">
        <v>176</v>
      </c>
      <c r="C26" s="162" t="s">
        <v>177</v>
      </c>
      <c r="D26" s="163">
        <v>10000</v>
      </c>
      <c r="E26" s="64">
        <v>334</v>
      </c>
      <c r="F26" s="163">
        <v>234</v>
      </c>
      <c r="G26" s="162">
        <v>33</v>
      </c>
      <c r="H26" s="64" t="s">
        <v>75</v>
      </c>
      <c r="I26" s="64">
        <v>154.4</v>
      </c>
      <c r="J26" s="180">
        <v>0.02</v>
      </c>
      <c r="K26" s="64" t="s">
        <v>165</v>
      </c>
      <c r="L26" s="64" t="s">
        <v>165</v>
      </c>
      <c r="M26" s="64" t="s">
        <v>165</v>
      </c>
      <c r="N26" s="182" t="s">
        <v>165</v>
      </c>
      <c r="O26" s="182" t="s">
        <v>178</v>
      </c>
      <c r="P26" s="162" t="s">
        <v>179</v>
      </c>
      <c r="Q26" s="170">
        <v>0.79</v>
      </c>
      <c r="R26" s="64">
        <v>-0.65</v>
      </c>
      <c r="S26" s="162" t="s">
        <v>180</v>
      </c>
      <c r="T26" s="74"/>
      <c r="U26" s="75">
        <v>10000</v>
      </c>
      <c r="V26" s="74"/>
      <c r="W26" s="76" t="s">
        <v>78</v>
      </c>
      <c r="X26" s="74">
        <v>0</v>
      </c>
      <c r="Y26" s="53"/>
      <c r="Z26" s="53">
        <f t="shared" si="0"/>
        <v>7900</v>
      </c>
      <c r="AA26" s="53"/>
    </row>
    <row r="27" spans="1:27" ht="31.5" hidden="1" customHeight="1">
      <c r="A27" s="482" t="s">
        <v>24</v>
      </c>
      <c r="B27" s="161" t="s">
        <v>181</v>
      </c>
      <c r="C27" s="162" t="s">
        <v>182</v>
      </c>
      <c r="D27" s="163">
        <v>96380</v>
      </c>
      <c r="E27" s="163">
        <v>3662</v>
      </c>
      <c r="F27" s="163">
        <v>2563</v>
      </c>
      <c r="G27" s="183">
        <v>2554</v>
      </c>
      <c r="H27" s="163" t="s">
        <v>75</v>
      </c>
      <c r="I27" s="163">
        <v>5983</v>
      </c>
      <c r="J27" s="180">
        <v>6.2100000000000002E-2</v>
      </c>
      <c r="K27" s="163">
        <v>76</v>
      </c>
      <c r="L27" s="163">
        <v>3032</v>
      </c>
      <c r="M27" s="163">
        <v>2700</v>
      </c>
      <c r="N27" s="184">
        <v>540</v>
      </c>
      <c r="O27" s="185" t="s">
        <v>183</v>
      </c>
      <c r="P27" s="162" t="s">
        <v>184</v>
      </c>
      <c r="Q27" s="170">
        <v>0.75</v>
      </c>
      <c r="R27" s="64" t="s">
        <v>264</v>
      </c>
      <c r="S27" s="162" t="s">
        <v>468</v>
      </c>
      <c r="T27" s="74"/>
      <c r="U27" s="75">
        <v>96380</v>
      </c>
      <c r="V27" s="74"/>
      <c r="W27" s="76" t="s">
        <v>78</v>
      </c>
      <c r="X27" s="74">
        <v>0</v>
      </c>
      <c r="Y27" s="53"/>
      <c r="Z27" s="53">
        <f t="shared" si="0"/>
        <v>72285</v>
      </c>
      <c r="AA27" s="53"/>
    </row>
    <row r="28" spans="1:27" ht="31.5" hidden="1" customHeight="1">
      <c r="A28" s="483"/>
      <c r="B28" s="161" t="s">
        <v>186</v>
      </c>
      <c r="C28" s="162" t="s">
        <v>187</v>
      </c>
      <c r="D28" s="163">
        <v>45000</v>
      </c>
      <c r="E28" s="163">
        <v>1710</v>
      </c>
      <c r="F28" s="163">
        <v>1197</v>
      </c>
      <c r="G28" s="183">
        <v>715</v>
      </c>
      <c r="H28" s="163" t="s">
        <v>75</v>
      </c>
      <c r="I28" s="163">
        <v>5983</v>
      </c>
      <c r="J28" s="180">
        <v>6.2100000000000002E-2</v>
      </c>
      <c r="K28" s="163">
        <v>76</v>
      </c>
      <c r="L28" s="163">
        <v>3032</v>
      </c>
      <c r="M28" s="163">
        <v>2700</v>
      </c>
      <c r="N28" s="163">
        <v>540</v>
      </c>
      <c r="O28" s="163" t="s">
        <v>183</v>
      </c>
      <c r="P28" s="183" t="s">
        <v>184</v>
      </c>
      <c r="Q28" s="170">
        <v>0.75</v>
      </c>
      <c r="R28" s="64">
        <v>-6977</v>
      </c>
      <c r="S28" s="162" t="s">
        <v>185</v>
      </c>
      <c r="T28" s="74"/>
      <c r="U28" s="75">
        <v>10000</v>
      </c>
      <c r="V28" s="74"/>
      <c r="W28" s="76" t="s">
        <v>78</v>
      </c>
      <c r="X28" s="74">
        <v>0</v>
      </c>
      <c r="Y28" s="53"/>
      <c r="Z28" s="53">
        <f t="shared" si="0"/>
        <v>33750</v>
      </c>
      <c r="AA28" s="53"/>
    </row>
    <row r="29" spans="1:27" ht="31.5" hidden="1" customHeight="1">
      <c r="A29" s="483"/>
      <c r="B29" s="161" t="s">
        <v>191</v>
      </c>
      <c r="C29" s="162" t="s">
        <v>192</v>
      </c>
      <c r="D29" s="163">
        <v>40000</v>
      </c>
      <c r="E29" s="163">
        <v>1520</v>
      </c>
      <c r="F29" s="163">
        <v>1064</v>
      </c>
      <c r="G29" s="183">
        <v>1985</v>
      </c>
      <c r="H29" s="163" t="s">
        <v>75</v>
      </c>
      <c r="I29" s="163">
        <v>4600</v>
      </c>
      <c r="J29" s="180">
        <v>0.1022</v>
      </c>
      <c r="K29" s="64">
        <v>333</v>
      </c>
      <c r="L29" s="64" t="s">
        <v>165</v>
      </c>
      <c r="M29" s="163">
        <v>38000</v>
      </c>
      <c r="N29" s="163">
        <v>1400</v>
      </c>
      <c r="O29" s="163" t="s">
        <v>188</v>
      </c>
      <c r="P29" s="162" t="s">
        <v>189</v>
      </c>
      <c r="Q29" s="170">
        <v>0.74</v>
      </c>
      <c r="R29" s="163">
        <v>-51978</v>
      </c>
      <c r="S29" s="186" t="s">
        <v>190</v>
      </c>
      <c r="T29" s="74"/>
      <c r="U29" s="75">
        <v>40000</v>
      </c>
      <c r="V29" s="74"/>
      <c r="W29" s="76" t="s">
        <v>78</v>
      </c>
      <c r="X29" s="74">
        <v>0</v>
      </c>
      <c r="Y29" s="53"/>
      <c r="Z29" s="53">
        <f t="shared" si="0"/>
        <v>29600</v>
      </c>
      <c r="AA29" s="53"/>
    </row>
    <row r="30" spans="1:27" ht="31.5" hidden="1" customHeight="1">
      <c r="A30" s="483"/>
      <c r="B30" s="161" t="s">
        <v>195</v>
      </c>
      <c r="C30" s="162" t="s">
        <v>196</v>
      </c>
      <c r="D30" s="163">
        <v>75660</v>
      </c>
      <c r="E30" s="163">
        <v>2875</v>
      </c>
      <c r="F30" s="163">
        <v>2013</v>
      </c>
      <c r="G30" s="183">
        <v>698</v>
      </c>
      <c r="H30" s="163" t="s">
        <v>75</v>
      </c>
      <c r="I30" s="163">
        <v>1273</v>
      </c>
      <c r="J30" s="180">
        <v>3.1800000000000002E-2</v>
      </c>
      <c r="K30" s="163">
        <v>130</v>
      </c>
      <c r="L30" s="163">
        <v>932</v>
      </c>
      <c r="M30" s="163">
        <v>1200</v>
      </c>
      <c r="N30" s="163">
        <v>588</v>
      </c>
      <c r="O30" s="163" t="s">
        <v>188</v>
      </c>
      <c r="P30" s="162" t="s">
        <v>193</v>
      </c>
      <c r="Q30" s="170">
        <v>0.83</v>
      </c>
      <c r="R30" s="163">
        <v>-19102</v>
      </c>
      <c r="S30" s="186" t="s">
        <v>194</v>
      </c>
      <c r="T30" s="74"/>
      <c r="U30" s="75">
        <v>75660</v>
      </c>
      <c r="V30" s="74"/>
      <c r="W30" s="76" t="s">
        <v>78</v>
      </c>
      <c r="X30" s="74">
        <v>0</v>
      </c>
      <c r="Y30" s="53"/>
      <c r="Z30" s="53">
        <f t="shared" si="0"/>
        <v>62797.799999999996</v>
      </c>
      <c r="AA30" s="53"/>
    </row>
    <row r="31" spans="1:27" ht="31.5" hidden="1" customHeight="1">
      <c r="A31" s="483"/>
      <c r="B31" s="161" t="s">
        <v>200</v>
      </c>
      <c r="C31" s="162" t="s">
        <v>201</v>
      </c>
      <c r="D31" s="163">
        <v>38800</v>
      </c>
      <c r="E31" s="163">
        <v>1474</v>
      </c>
      <c r="F31" s="163">
        <v>1032</v>
      </c>
      <c r="G31" s="183">
        <v>611</v>
      </c>
      <c r="H31" s="163" t="s">
        <v>75</v>
      </c>
      <c r="I31" s="163">
        <v>4044</v>
      </c>
      <c r="J31" s="180">
        <v>5.3400000000000003E-2</v>
      </c>
      <c r="K31" s="64">
        <v>155</v>
      </c>
      <c r="L31" s="163">
        <v>3314</v>
      </c>
      <c r="M31" s="163">
        <v>5400</v>
      </c>
      <c r="N31" s="64">
        <v>540</v>
      </c>
      <c r="O31" s="64" t="s">
        <v>197</v>
      </c>
      <c r="P31" s="162" t="s">
        <v>198</v>
      </c>
      <c r="Q31" s="170">
        <v>0.7</v>
      </c>
      <c r="R31" s="64">
        <v>-18050</v>
      </c>
      <c r="S31" s="186" t="s">
        <v>199</v>
      </c>
      <c r="T31" s="74"/>
      <c r="U31" s="75">
        <v>38800</v>
      </c>
      <c r="V31" s="74"/>
      <c r="W31" s="76" t="s">
        <v>78</v>
      </c>
      <c r="X31" s="74">
        <v>0</v>
      </c>
      <c r="Y31" s="53"/>
      <c r="Z31" s="53">
        <f t="shared" si="0"/>
        <v>27160</v>
      </c>
      <c r="AA31" s="53"/>
    </row>
    <row r="32" spans="1:27" ht="31.5" hidden="1" customHeight="1">
      <c r="A32" s="483"/>
      <c r="B32" s="161" t="s">
        <v>202</v>
      </c>
      <c r="C32" s="162" t="s">
        <v>203</v>
      </c>
      <c r="D32" s="163">
        <v>50000</v>
      </c>
      <c r="E32" s="163">
        <v>1900</v>
      </c>
      <c r="F32" s="163">
        <v>1330</v>
      </c>
      <c r="G32" s="183">
        <v>1015</v>
      </c>
      <c r="H32" s="163" t="s">
        <v>75</v>
      </c>
      <c r="I32" s="163">
        <v>783</v>
      </c>
      <c r="J32" s="180">
        <v>2.0199999999999999E-2</v>
      </c>
      <c r="K32" s="163" t="s">
        <v>165</v>
      </c>
      <c r="L32" s="163" t="s">
        <v>165</v>
      </c>
      <c r="M32" s="163" t="s">
        <v>165</v>
      </c>
      <c r="N32" s="163" t="s">
        <v>165</v>
      </c>
      <c r="O32" s="163" t="s">
        <v>469</v>
      </c>
      <c r="P32" s="162" t="s">
        <v>470</v>
      </c>
      <c r="Q32" s="170">
        <v>0.88</v>
      </c>
      <c r="R32" s="64"/>
      <c r="S32" s="186" t="s">
        <v>471</v>
      </c>
      <c r="T32" s="74"/>
      <c r="U32" s="75">
        <v>50000</v>
      </c>
      <c r="V32" s="74"/>
      <c r="W32" s="76" t="s">
        <v>78</v>
      </c>
      <c r="X32" s="74">
        <v>0</v>
      </c>
      <c r="Y32" s="53"/>
      <c r="Z32" s="53">
        <f t="shared" si="0"/>
        <v>44000</v>
      </c>
      <c r="AA32" s="53"/>
    </row>
    <row r="33" spans="1:27" ht="31.5" hidden="1" customHeight="1">
      <c r="A33" s="483"/>
      <c r="B33" s="161" t="s">
        <v>206</v>
      </c>
      <c r="C33" s="162" t="s">
        <v>207</v>
      </c>
      <c r="D33" s="163">
        <v>50000</v>
      </c>
      <c r="E33" s="163">
        <v>1900</v>
      </c>
      <c r="F33" s="163">
        <v>1330</v>
      </c>
      <c r="G33" s="183">
        <v>209</v>
      </c>
      <c r="H33" s="163" t="s">
        <v>75</v>
      </c>
      <c r="I33" s="163">
        <v>5694</v>
      </c>
      <c r="J33" s="180">
        <v>0.1139</v>
      </c>
      <c r="K33" s="163">
        <v>30</v>
      </c>
      <c r="L33" s="163">
        <v>19068</v>
      </c>
      <c r="M33" s="163">
        <v>1030</v>
      </c>
      <c r="N33" s="163">
        <v>206</v>
      </c>
      <c r="O33" s="163" t="s">
        <v>197</v>
      </c>
      <c r="P33" s="162" t="s">
        <v>204</v>
      </c>
      <c r="Q33" s="170">
        <v>0.71</v>
      </c>
      <c r="R33" s="64">
        <v>-11007</v>
      </c>
      <c r="S33" s="186" t="s">
        <v>205</v>
      </c>
      <c r="T33" s="74"/>
      <c r="U33" s="75">
        <v>50000</v>
      </c>
      <c r="V33" s="74"/>
      <c r="W33" s="76" t="s">
        <v>78</v>
      </c>
      <c r="X33" s="74">
        <v>0</v>
      </c>
      <c r="Y33" s="53"/>
      <c r="Z33" s="53">
        <f t="shared" si="0"/>
        <v>35500</v>
      </c>
      <c r="AA33" s="53"/>
    </row>
    <row r="34" spans="1:27" ht="31.5" hidden="1" customHeight="1">
      <c r="A34" s="483"/>
      <c r="B34" s="161" t="s">
        <v>209</v>
      </c>
      <c r="C34" s="162" t="s">
        <v>210</v>
      </c>
      <c r="D34" s="163">
        <v>80000</v>
      </c>
      <c r="E34" s="163">
        <v>3040</v>
      </c>
      <c r="F34" s="163">
        <v>2128</v>
      </c>
      <c r="G34" s="183">
        <v>2087</v>
      </c>
      <c r="H34" s="163" t="s">
        <v>75</v>
      </c>
      <c r="I34" s="163">
        <v>13149</v>
      </c>
      <c r="J34" s="180">
        <v>0.26300000000000001</v>
      </c>
      <c r="K34" s="163">
        <v>186</v>
      </c>
      <c r="L34" s="163">
        <v>30345</v>
      </c>
      <c r="M34" s="163">
        <v>26000</v>
      </c>
      <c r="N34" s="163">
        <v>713</v>
      </c>
      <c r="O34" s="163" t="s">
        <v>188</v>
      </c>
      <c r="P34" s="162" t="s">
        <v>208</v>
      </c>
      <c r="Q34" s="170">
        <v>0.7</v>
      </c>
      <c r="R34" s="64"/>
      <c r="S34" s="186" t="s">
        <v>471</v>
      </c>
      <c r="T34" s="74"/>
      <c r="U34" s="75">
        <v>80000</v>
      </c>
      <c r="V34" s="74"/>
      <c r="W34" s="76" t="s">
        <v>78</v>
      </c>
      <c r="X34" s="74">
        <v>0</v>
      </c>
      <c r="Y34" s="53"/>
      <c r="Z34" s="53">
        <f t="shared" si="0"/>
        <v>56000</v>
      </c>
      <c r="AA34" s="53"/>
    </row>
    <row r="35" spans="1:27" ht="31.5" hidden="1" customHeight="1">
      <c r="A35" s="483"/>
      <c r="B35" s="161" t="s">
        <v>211</v>
      </c>
      <c r="C35" s="162" t="s">
        <v>212</v>
      </c>
      <c r="D35" s="163">
        <v>18000</v>
      </c>
      <c r="E35" s="64">
        <v>760</v>
      </c>
      <c r="F35" s="163">
        <v>532</v>
      </c>
      <c r="G35" s="162">
        <v>479</v>
      </c>
      <c r="H35" s="64" t="s">
        <v>75</v>
      </c>
      <c r="I35" s="163">
        <v>7201</v>
      </c>
      <c r="J35" s="170">
        <v>0.4</v>
      </c>
      <c r="K35" s="163">
        <v>1010</v>
      </c>
      <c r="L35" s="64">
        <v>135</v>
      </c>
      <c r="M35" s="163">
        <v>15000</v>
      </c>
      <c r="N35" s="163">
        <v>1650</v>
      </c>
      <c r="O35" s="163" t="s">
        <v>213</v>
      </c>
      <c r="P35" s="183" t="s">
        <v>214</v>
      </c>
      <c r="Q35" s="170">
        <v>0.7</v>
      </c>
      <c r="R35" s="64">
        <v>-54</v>
      </c>
      <c r="S35" s="186" t="s">
        <v>215</v>
      </c>
      <c r="T35" s="74"/>
      <c r="U35" s="75">
        <v>18000</v>
      </c>
      <c r="V35" s="74"/>
      <c r="W35" s="76" t="s">
        <v>78</v>
      </c>
      <c r="X35" s="74">
        <v>0</v>
      </c>
      <c r="Y35" s="53"/>
      <c r="Z35" s="53">
        <f t="shared" si="0"/>
        <v>12600</v>
      </c>
      <c r="AA35" s="53"/>
    </row>
    <row r="36" spans="1:27" ht="31.5" hidden="1" customHeight="1">
      <c r="A36" s="483"/>
      <c r="B36" s="161" t="s">
        <v>216</v>
      </c>
      <c r="C36" s="162" t="s">
        <v>217</v>
      </c>
      <c r="D36" s="163">
        <v>18000</v>
      </c>
      <c r="E36" s="64">
        <v>760</v>
      </c>
      <c r="F36" s="163">
        <v>532</v>
      </c>
      <c r="G36" s="183">
        <v>1664</v>
      </c>
      <c r="H36" s="64" t="s">
        <v>75</v>
      </c>
      <c r="I36" s="163">
        <v>2237</v>
      </c>
      <c r="J36" s="180">
        <v>0.12429999999999999</v>
      </c>
      <c r="K36" s="163">
        <v>36</v>
      </c>
      <c r="L36" s="64" t="s">
        <v>165</v>
      </c>
      <c r="M36" s="64">
        <v>360</v>
      </c>
      <c r="N36" s="64">
        <v>180</v>
      </c>
      <c r="O36" s="64" t="s">
        <v>188</v>
      </c>
      <c r="P36" s="162" t="s">
        <v>218</v>
      </c>
      <c r="Q36" s="170">
        <v>0.82</v>
      </c>
      <c r="R36" s="64">
        <v>-904</v>
      </c>
      <c r="S36" s="186" t="s">
        <v>472</v>
      </c>
      <c r="T36" s="74"/>
      <c r="U36" s="75">
        <v>18000</v>
      </c>
      <c r="V36" s="74"/>
      <c r="W36" s="76" t="s">
        <v>78</v>
      </c>
      <c r="X36" s="74">
        <v>0</v>
      </c>
      <c r="Y36" s="53"/>
      <c r="Z36" s="53">
        <f t="shared" si="0"/>
        <v>14760</v>
      </c>
      <c r="AA36" s="53"/>
    </row>
    <row r="37" spans="1:27" ht="31.5" hidden="1" customHeight="1">
      <c r="A37" s="483"/>
      <c r="B37" s="161" t="s">
        <v>219</v>
      </c>
      <c r="C37" s="162" t="s">
        <v>220</v>
      </c>
      <c r="D37" s="163">
        <v>22000</v>
      </c>
      <c r="E37" s="64">
        <v>836</v>
      </c>
      <c r="F37" s="163">
        <v>585</v>
      </c>
      <c r="G37" s="162">
        <v>478</v>
      </c>
      <c r="H37" s="64" t="s">
        <v>75</v>
      </c>
      <c r="I37" s="64">
        <v>205</v>
      </c>
      <c r="J37" s="180">
        <v>9.2999999999999992E-3</v>
      </c>
      <c r="K37" s="64" t="s">
        <v>165</v>
      </c>
      <c r="L37" s="163">
        <v>1550</v>
      </c>
      <c r="M37" s="64">
        <v>400</v>
      </c>
      <c r="N37" s="163">
        <v>275</v>
      </c>
      <c r="O37" s="64" t="s">
        <v>188</v>
      </c>
      <c r="P37" s="162" t="s">
        <v>221</v>
      </c>
      <c r="Q37" s="170">
        <v>0.76</v>
      </c>
      <c r="R37" s="64">
        <v>-1631</v>
      </c>
      <c r="S37" s="186" t="s">
        <v>222</v>
      </c>
      <c r="T37" s="74"/>
      <c r="U37" s="75">
        <v>22000</v>
      </c>
      <c r="V37" s="74"/>
      <c r="W37" s="76" t="s">
        <v>78</v>
      </c>
      <c r="X37" s="74">
        <v>0</v>
      </c>
      <c r="Y37" s="53"/>
      <c r="Z37" s="53">
        <f t="shared" si="0"/>
        <v>16720</v>
      </c>
      <c r="AA37" s="53"/>
    </row>
    <row r="38" spans="1:27" ht="31.5" hidden="1" customHeight="1">
      <c r="A38" s="483"/>
      <c r="B38" s="161" t="s">
        <v>223</v>
      </c>
      <c r="C38" s="162" t="s">
        <v>224</v>
      </c>
      <c r="D38" s="163">
        <v>25000</v>
      </c>
      <c r="E38" s="64">
        <v>950</v>
      </c>
      <c r="F38" s="163">
        <v>665</v>
      </c>
      <c r="G38" s="162">
        <v>528</v>
      </c>
      <c r="H38" s="64" t="s">
        <v>75</v>
      </c>
      <c r="I38" s="163">
        <v>13675</v>
      </c>
      <c r="J38" s="180">
        <v>0.54700000000000004</v>
      </c>
      <c r="K38" s="163" t="s">
        <v>165</v>
      </c>
      <c r="L38" s="64" t="s">
        <v>165</v>
      </c>
      <c r="M38" s="64" t="s">
        <v>165</v>
      </c>
      <c r="N38" s="64" t="s">
        <v>165</v>
      </c>
      <c r="O38" s="64" t="s">
        <v>225</v>
      </c>
      <c r="P38" s="162" t="s">
        <v>226</v>
      </c>
      <c r="Q38" s="170">
        <v>0.71</v>
      </c>
      <c r="R38" s="64">
        <v>-910</v>
      </c>
      <c r="S38" s="186" t="s">
        <v>215</v>
      </c>
      <c r="T38" s="74"/>
      <c r="U38" s="75">
        <v>25000</v>
      </c>
      <c r="V38" s="74"/>
      <c r="W38" s="76" t="s">
        <v>78</v>
      </c>
      <c r="X38" s="74">
        <v>0</v>
      </c>
      <c r="Y38" s="53"/>
      <c r="Z38" s="53">
        <f t="shared" si="0"/>
        <v>17750</v>
      </c>
      <c r="AA38" s="53"/>
    </row>
    <row r="39" spans="1:27" ht="31.5" hidden="1" customHeight="1">
      <c r="A39" s="484"/>
      <c r="B39" s="161" t="s">
        <v>227</v>
      </c>
      <c r="C39" s="162" t="s">
        <v>228</v>
      </c>
      <c r="D39" s="163">
        <v>65000</v>
      </c>
      <c r="E39" s="163">
        <v>2470</v>
      </c>
      <c r="F39" s="163">
        <v>1729</v>
      </c>
      <c r="G39" s="183"/>
      <c r="H39" s="163" t="s">
        <v>78</v>
      </c>
      <c r="I39" s="64"/>
      <c r="J39" s="64"/>
      <c r="K39" s="64"/>
      <c r="L39" s="64"/>
      <c r="M39" s="64"/>
      <c r="N39" s="64"/>
      <c r="O39" s="64"/>
      <c r="P39" s="162"/>
      <c r="Q39" s="64"/>
      <c r="R39" s="64"/>
      <c r="S39" s="186" t="s">
        <v>473</v>
      </c>
      <c r="T39" s="74"/>
      <c r="U39" s="75">
        <v>65000</v>
      </c>
      <c r="V39" s="74"/>
      <c r="W39" s="76" t="s">
        <v>78</v>
      </c>
      <c r="X39" s="74">
        <v>0</v>
      </c>
      <c r="Y39" s="53"/>
      <c r="Z39" s="53">
        <f t="shared" si="0"/>
        <v>0</v>
      </c>
      <c r="AA39" s="53"/>
    </row>
    <row r="40" spans="1:27" ht="31.5" hidden="1" customHeight="1">
      <c r="A40" s="482" t="s">
        <v>25</v>
      </c>
      <c r="B40" s="161" t="s">
        <v>229</v>
      </c>
      <c r="C40" s="162" t="s">
        <v>230</v>
      </c>
      <c r="D40" s="163">
        <v>80000</v>
      </c>
      <c r="E40" s="163">
        <v>3000</v>
      </c>
      <c r="F40" s="163">
        <v>2110</v>
      </c>
      <c r="G40" s="162">
        <v>911</v>
      </c>
      <c r="H40" s="64" t="s">
        <v>75</v>
      </c>
      <c r="I40" s="163">
        <v>31492</v>
      </c>
      <c r="J40" s="180">
        <v>0.39539999999999997</v>
      </c>
      <c r="K40" s="64">
        <v>62</v>
      </c>
      <c r="L40" s="64" t="s">
        <v>165</v>
      </c>
      <c r="M40" s="64">
        <v>992</v>
      </c>
      <c r="N40" s="182">
        <v>496</v>
      </c>
      <c r="O40" s="64" t="s">
        <v>231</v>
      </c>
      <c r="P40" s="162" t="s">
        <v>232</v>
      </c>
      <c r="Q40" s="170">
        <v>0.76</v>
      </c>
      <c r="R40" s="64">
        <v>-65537</v>
      </c>
      <c r="S40" s="186"/>
      <c r="T40" s="74"/>
      <c r="U40" s="75">
        <v>80000</v>
      </c>
      <c r="V40" s="74"/>
      <c r="W40" s="76" t="s">
        <v>78</v>
      </c>
      <c r="X40" s="74">
        <v>0</v>
      </c>
      <c r="Y40" s="53"/>
      <c r="Z40" s="53">
        <f t="shared" si="0"/>
        <v>60800</v>
      </c>
      <c r="AA40" s="53"/>
    </row>
    <row r="41" spans="1:27" ht="31.5" hidden="1" customHeight="1">
      <c r="A41" s="483"/>
      <c r="B41" s="161" t="s">
        <v>233</v>
      </c>
      <c r="C41" s="162" t="s">
        <v>234</v>
      </c>
      <c r="D41" s="163">
        <v>48000</v>
      </c>
      <c r="E41" s="163">
        <v>1700</v>
      </c>
      <c r="F41" s="163">
        <v>1190</v>
      </c>
      <c r="G41" s="162">
        <v>297</v>
      </c>
      <c r="H41" s="64" t="s">
        <v>75</v>
      </c>
      <c r="I41" s="163">
        <v>12530</v>
      </c>
      <c r="J41" s="180">
        <v>0.2611</v>
      </c>
      <c r="K41" s="64" t="s">
        <v>165</v>
      </c>
      <c r="L41" s="64" t="s">
        <v>165</v>
      </c>
      <c r="M41" s="64" t="s">
        <v>165</v>
      </c>
      <c r="N41" s="187" t="s">
        <v>165</v>
      </c>
      <c r="O41" s="64" t="s">
        <v>235</v>
      </c>
      <c r="P41" s="162" t="s">
        <v>236</v>
      </c>
      <c r="Q41" s="170">
        <v>0.8</v>
      </c>
      <c r="R41" s="64">
        <v>-878</v>
      </c>
      <c r="S41" s="186"/>
      <c r="T41" s="74"/>
      <c r="U41" s="75">
        <v>48000</v>
      </c>
      <c r="V41" s="74"/>
      <c r="W41" s="76" t="s">
        <v>78</v>
      </c>
      <c r="X41" s="74">
        <v>0</v>
      </c>
      <c r="Y41" s="53"/>
      <c r="Z41" s="53">
        <f t="shared" si="0"/>
        <v>38400</v>
      </c>
      <c r="AA41" s="53"/>
    </row>
    <row r="42" spans="1:27" ht="31.5" hidden="1" customHeight="1">
      <c r="A42" s="483"/>
      <c r="B42" s="161" t="s">
        <v>237</v>
      </c>
      <c r="C42" s="162" t="s">
        <v>238</v>
      </c>
      <c r="D42" s="163">
        <v>65000</v>
      </c>
      <c r="E42" s="138">
        <v>2000</v>
      </c>
      <c r="F42" s="138">
        <v>1400</v>
      </c>
      <c r="G42" s="139">
        <v>800</v>
      </c>
      <c r="H42" s="140" t="s">
        <v>75</v>
      </c>
      <c r="I42" s="138">
        <v>10188</v>
      </c>
      <c r="J42" s="141">
        <v>0.1686</v>
      </c>
      <c r="K42" s="140" t="s">
        <v>165</v>
      </c>
      <c r="L42" s="140" t="s">
        <v>165</v>
      </c>
      <c r="M42" s="140" t="s">
        <v>165</v>
      </c>
      <c r="N42" s="95" t="s">
        <v>165</v>
      </c>
      <c r="O42" s="188" t="s">
        <v>235</v>
      </c>
      <c r="P42" s="139" t="s">
        <v>239</v>
      </c>
      <c r="Q42" s="142">
        <v>0.79</v>
      </c>
      <c r="R42" s="140">
        <v>0</v>
      </c>
      <c r="S42" s="139"/>
      <c r="T42" s="74"/>
      <c r="U42" s="75">
        <v>65000</v>
      </c>
      <c r="V42" s="74"/>
      <c r="W42" s="76" t="s">
        <v>78</v>
      </c>
      <c r="X42" s="74">
        <v>0</v>
      </c>
      <c r="Y42" s="53"/>
      <c r="Z42" s="53">
        <f t="shared" si="0"/>
        <v>51350</v>
      </c>
      <c r="AA42" s="53"/>
    </row>
    <row r="43" spans="1:27" ht="31.5" hidden="1" customHeight="1">
      <c r="A43" s="483"/>
      <c r="B43" s="161" t="s">
        <v>240</v>
      </c>
      <c r="C43" s="162" t="s">
        <v>241</v>
      </c>
      <c r="D43" s="164">
        <v>90000</v>
      </c>
      <c r="E43" s="143">
        <v>3600</v>
      </c>
      <c r="F43" s="143">
        <v>2520</v>
      </c>
      <c r="G43" s="145">
        <v>1222</v>
      </c>
      <c r="H43" s="144" t="s">
        <v>75</v>
      </c>
      <c r="I43" s="143">
        <v>14476</v>
      </c>
      <c r="J43" s="146">
        <v>0.1764</v>
      </c>
      <c r="K43" s="68" t="s">
        <v>165</v>
      </c>
      <c r="L43" s="68">
        <v>2084</v>
      </c>
      <c r="M43" s="68">
        <v>1563</v>
      </c>
      <c r="N43" s="96">
        <v>1042</v>
      </c>
      <c r="O43" s="189" t="s">
        <v>242</v>
      </c>
      <c r="P43" s="145" t="s">
        <v>243</v>
      </c>
      <c r="Q43" s="147">
        <v>0.75</v>
      </c>
      <c r="R43" s="144">
        <v>-2946</v>
      </c>
      <c r="S43" s="145"/>
      <c r="T43" s="74"/>
      <c r="U43" s="75">
        <v>90000</v>
      </c>
      <c r="V43" s="74"/>
      <c r="W43" s="76" t="s">
        <v>78</v>
      </c>
      <c r="X43" s="74">
        <v>0</v>
      </c>
      <c r="Y43" s="53"/>
      <c r="Z43" s="53">
        <f t="shared" si="0"/>
        <v>67500</v>
      </c>
      <c r="AA43" s="53"/>
    </row>
    <row r="44" spans="1:27" ht="31.5" hidden="1" customHeight="1">
      <c r="A44" s="483"/>
      <c r="B44" s="161" t="s">
        <v>244</v>
      </c>
      <c r="C44" s="162" t="s">
        <v>245</v>
      </c>
      <c r="D44" s="164">
        <v>87000</v>
      </c>
      <c r="E44" s="143">
        <v>2600</v>
      </c>
      <c r="F44" s="143">
        <v>1820</v>
      </c>
      <c r="G44" s="145">
        <v>688</v>
      </c>
      <c r="H44" s="144" t="s">
        <v>75</v>
      </c>
      <c r="I44" s="143">
        <v>6623</v>
      </c>
      <c r="J44" s="146">
        <v>0.08</v>
      </c>
      <c r="K44" s="144">
        <v>326</v>
      </c>
      <c r="L44" s="144">
        <v>3565</v>
      </c>
      <c r="M44" s="68">
        <v>7889.75</v>
      </c>
      <c r="N44" s="96">
        <v>4390.5</v>
      </c>
      <c r="O44" s="189" t="s">
        <v>246</v>
      </c>
      <c r="P44" s="145" t="s">
        <v>247</v>
      </c>
      <c r="Q44" s="147">
        <v>0.76</v>
      </c>
      <c r="R44" s="144"/>
      <c r="S44" s="145"/>
      <c r="T44" s="74"/>
      <c r="U44" s="75">
        <v>87000</v>
      </c>
      <c r="V44" s="74"/>
      <c r="W44" s="76" t="s">
        <v>78</v>
      </c>
      <c r="X44" s="74">
        <v>0</v>
      </c>
      <c r="Y44" s="53"/>
      <c r="Z44" s="53">
        <f t="shared" si="0"/>
        <v>66120</v>
      </c>
      <c r="AA44" s="53"/>
    </row>
    <row r="45" spans="1:27" ht="31.5" hidden="1" customHeight="1">
      <c r="A45" s="483"/>
      <c r="B45" s="161" t="s">
        <v>248</v>
      </c>
      <c r="C45" s="162" t="s">
        <v>249</v>
      </c>
      <c r="D45" s="164">
        <v>60000</v>
      </c>
      <c r="E45" s="143">
        <v>2700</v>
      </c>
      <c r="F45" s="143">
        <v>1890</v>
      </c>
      <c r="G45" s="145">
        <v>2011</v>
      </c>
      <c r="H45" s="144" t="s">
        <v>75</v>
      </c>
      <c r="I45" s="143">
        <v>4897</v>
      </c>
      <c r="J45" s="146">
        <v>8.1199999999999994E-2</v>
      </c>
      <c r="K45" s="144" t="s">
        <v>165</v>
      </c>
      <c r="L45" s="144" t="s">
        <v>165</v>
      </c>
      <c r="M45" s="144" t="s">
        <v>165</v>
      </c>
      <c r="N45" s="144" t="s">
        <v>165</v>
      </c>
      <c r="O45" s="144" t="s">
        <v>250</v>
      </c>
      <c r="P45" s="145" t="s">
        <v>251</v>
      </c>
      <c r="Q45" s="147">
        <v>0.76</v>
      </c>
      <c r="R45" s="144">
        <v>-9563</v>
      </c>
      <c r="S45" s="145"/>
      <c r="T45" s="74"/>
      <c r="U45" s="75">
        <v>60000</v>
      </c>
      <c r="V45" s="74"/>
      <c r="W45" s="76" t="s">
        <v>78</v>
      </c>
      <c r="X45" s="74">
        <v>0</v>
      </c>
      <c r="Y45" s="53"/>
      <c r="Z45" s="53">
        <f t="shared" si="0"/>
        <v>45600</v>
      </c>
      <c r="AA45" s="53"/>
    </row>
    <row r="46" spans="1:27" ht="31.5" hidden="1" customHeight="1">
      <c r="A46" s="483"/>
      <c r="B46" s="161" t="s">
        <v>252</v>
      </c>
      <c r="C46" s="162" t="s">
        <v>253</v>
      </c>
      <c r="D46" s="164">
        <v>30000</v>
      </c>
      <c r="E46" s="144">
        <v>943</v>
      </c>
      <c r="F46" s="143">
        <v>660</v>
      </c>
      <c r="G46" s="145">
        <v>573</v>
      </c>
      <c r="H46" s="144" t="s">
        <v>75</v>
      </c>
      <c r="I46" s="144">
        <v>700</v>
      </c>
      <c r="J46" s="146">
        <v>2.3E-2</v>
      </c>
      <c r="K46" s="144" t="s">
        <v>165</v>
      </c>
      <c r="L46" s="144" t="s">
        <v>165</v>
      </c>
      <c r="M46" s="144" t="s">
        <v>165</v>
      </c>
      <c r="N46" s="144" t="s">
        <v>165</v>
      </c>
      <c r="O46" s="144" t="s">
        <v>254</v>
      </c>
      <c r="P46" s="145" t="s">
        <v>255</v>
      </c>
      <c r="Q46" s="147">
        <v>0.73</v>
      </c>
      <c r="R46" s="144"/>
      <c r="S46" s="145"/>
      <c r="T46" s="74"/>
      <c r="U46" s="75">
        <v>30000</v>
      </c>
      <c r="V46" s="74"/>
      <c r="W46" s="76" t="s">
        <v>75</v>
      </c>
      <c r="X46" s="74">
        <v>0</v>
      </c>
      <c r="Y46" s="53"/>
      <c r="Z46" s="53">
        <f t="shared" si="0"/>
        <v>21900</v>
      </c>
      <c r="AA46" s="53"/>
    </row>
    <row r="47" spans="1:27" ht="31.5" hidden="1" customHeight="1">
      <c r="A47" s="483"/>
      <c r="B47" s="161" t="s">
        <v>256</v>
      </c>
      <c r="C47" s="162" t="s">
        <v>257</v>
      </c>
      <c r="D47" s="164">
        <v>10000</v>
      </c>
      <c r="E47" s="144">
        <v>314</v>
      </c>
      <c r="F47" s="143">
        <v>220</v>
      </c>
      <c r="G47" s="145">
        <v>140</v>
      </c>
      <c r="H47" s="144" t="s">
        <v>75</v>
      </c>
      <c r="I47" s="144">
        <v>319</v>
      </c>
      <c r="J47" s="146">
        <v>3.2000000000000001E-2</v>
      </c>
      <c r="K47" s="144" t="s">
        <v>165</v>
      </c>
      <c r="L47" s="144" t="s">
        <v>165</v>
      </c>
      <c r="M47" s="144" t="s">
        <v>165</v>
      </c>
      <c r="N47" s="144" t="s">
        <v>165</v>
      </c>
      <c r="O47" s="144" t="s">
        <v>254</v>
      </c>
      <c r="P47" s="145" t="s">
        <v>255</v>
      </c>
      <c r="Q47" s="147">
        <v>0.75</v>
      </c>
      <c r="R47" s="144"/>
      <c r="S47" s="145"/>
      <c r="T47" s="74"/>
      <c r="U47" s="75">
        <v>10000</v>
      </c>
      <c r="V47" s="74"/>
      <c r="W47" s="76" t="s">
        <v>75</v>
      </c>
      <c r="X47" s="74">
        <v>0</v>
      </c>
      <c r="Y47" s="53"/>
      <c r="Z47" s="53">
        <f t="shared" si="0"/>
        <v>7500</v>
      </c>
      <c r="AA47" s="53"/>
    </row>
    <row r="48" spans="1:27" ht="31.5" hidden="1" customHeight="1">
      <c r="A48" s="484"/>
      <c r="B48" s="161" t="s">
        <v>258</v>
      </c>
      <c r="C48" s="162" t="s">
        <v>259</v>
      </c>
      <c r="D48" s="164">
        <v>10000</v>
      </c>
      <c r="E48" s="144">
        <v>314</v>
      </c>
      <c r="F48" s="143">
        <v>220</v>
      </c>
      <c r="G48" s="145">
        <v>193</v>
      </c>
      <c r="H48" s="144" t="s">
        <v>75</v>
      </c>
      <c r="I48" s="144">
        <v>189</v>
      </c>
      <c r="J48" s="146">
        <v>1.9E-2</v>
      </c>
      <c r="K48" s="144" t="s">
        <v>165</v>
      </c>
      <c r="L48" s="144" t="s">
        <v>165</v>
      </c>
      <c r="M48" s="144" t="s">
        <v>165</v>
      </c>
      <c r="N48" s="144" t="s">
        <v>165</v>
      </c>
      <c r="O48" s="144" t="s">
        <v>254</v>
      </c>
      <c r="P48" s="145" t="s">
        <v>255</v>
      </c>
      <c r="Q48" s="147">
        <v>0.75</v>
      </c>
      <c r="R48" s="144"/>
      <c r="S48" s="145"/>
      <c r="T48" s="74"/>
      <c r="U48" s="75">
        <v>10000</v>
      </c>
      <c r="V48" s="74"/>
      <c r="W48" s="76" t="s">
        <v>75</v>
      </c>
      <c r="X48" s="74">
        <v>0</v>
      </c>
      <c r="Y48" s="53"/>
      <c r="Z48" s="53">
        <f t="shared" si="0"/>
        <v>7500</v>
      </c>
      <c r="AA48" s="53"/>
    </row>
    <row r="49" spans="1:27" ht="31.5" hidden="1" customHeight="1">
      <c r="A49" s="482" t="s">
        <v>26</v>
      </c>
      <c r="B49" s="161" t="s">
        <v>260</v>
      </c>
      <c r="C49" s="167" t="s">
        <v>261</v>
      </c>
      <c r="D49" s="164">
        <v>16000</v>
      </c>
      <c r="E49" s="144">
        <v>1750</v>
      </c>
      <c r="F49" s="143">
        <v>1225</v>
      </c>
      <c r="G49" s="144">
        <v>946</v>
      </c>
      <c r="H49" s="144" t="s">
        <v>75</v>
      </c>
      <c r="I49" s="144">
        <v>7133</v>
      </c>
      <c r="J49" s="146">
        <v>0.75309999999999999</v>
      </c>
      <c r="K49" s="144" t="s">
        <v>165</v>
      </c>
      <c r="L49" s="144" t="s">
        <v>165</v>
      </c>
      <c r="M49" s="144" t="s">
        <v>165</v>
      </c>
      <c r="N49" s="144" t="s">
        <v>165</v>
      </c>
      <c r="O49" s="144" t="s">
        <v>262</v>
      </c>
      <c r="P49" s="145" t="s">
        <v>263</v>
      </c>
      <c r="Q49" s="147">
        <v>0.83</v>
      </c>
      <c r="R49" s="144" t="s">
        <v>264</v>
      </c>
      <c r="S49" s="145" t="s">
        <v>265</v>
      </c>
      <c r="T49" s="74"/>
      <c r="U49" s="75">
        <v>16000</v>
      </c>
      <c r="V49" s="74"/>
      <c r="W49" s="76" t="s">
        <v>78</v>
      </c>
      <c r="X49" s="74">
        <v>0</v>
      </c>
      <c r="Y49" s="53"/>
      <c r="Z49" s="53">
        <f t="shared" si="0"/>
        <v>13280</v>
      </c>
      <c r="AA49" s="53"/>
    </row>
    <row r="50" spans="1:27" ht="31.5" hidden="1" customHeight="1">
      <c r="A50" s="483"/>
      <c r="B50" s="161" t="s">
        <v>266</v>
      </c>
      <c r="C50" s="167" t="s">
        <v>267</v>
      </c>
      <c r="D50" s="164">
        <v>32000</v>
      </c>
      <c r="E50" s="144">
        <v>2000</v>
      </c>
      <c r="F50" s="143">
        <v>1400</v>
      </c>
      <c r="G50" s="145">
        <v>1122</v>
      </c>
      <c r="H50" s="144" t="s">
        <v>75</v>
      </c>
      <c r="I50" s="144">
        <v>15584</v>
      </c>
      <c r="J50" s="146">
        <v>0.79600000000000004</v>
      </c>
      <c r="K50" s="144" t="s">
        <v>165</v>
      </c>
      <c r="L50" s="144" t="s">
        <v>165</v>
      </c>
      <c r="M50" s="144" t="s">
        <v>165</v>
      </c>
      <c r="N50" s="144" t="s">
        <v>165</v>
      </c>
      <c r="O50" s="144" t="s">
        <v>262</v>
      </c>
      <c r="P50" s="145" t="s">
        <v>268</v>
      </c>
      <c r="Q50" s="147">
        <v>0.7</v>
      </c>
      <c r="R50" s="144" t="s">
        <v>264</v>
      </c>
      <c r="S50" s="145" t="s">
        <v>265</v>
      </c>
      <c r="T50" s="74"/>
      <c r="U50" s="75">
        <v>32000</v>
      </c>
      <c r="V50" s="74"/>
      <c r="W50" s="76" t="s">
        <v>78</v>
      </c>
      <c r="X50" s="74">
        <v>0</v>
      </c>
      <c r="Y50" s="53"/>
      <c r="Z50" s="53">
        <f t="shared" si="0"/>
        <v>22400</v>
      </c>
      <c r="AA50" s="53"/>
    </row>
    <row r="51" spans="1:27" ht="31.5" hidden="1" customHeight="1">
      <c r="A51" s="483"/>
      <c r="B51" s="161" t="s">
        <v>269</v>
      </c>
      <c r="C51" s="167" t="s">
        <v>270</v>
      </c>
      <c r="D51" s="164">
        <v>20000</v>
      </c>
      <c r="E51" s="144">
        <v>450</v>
      </c>
      <c r="F51" s="143">
        <v>315</v>
      </c>
      <c r="G51" s="144">
        <v>1079</v>
      </c>
      <c r="H51" s="144" t="s">
        <v>75</v>
      </c>
      <c r="I51" s="144">
        <v>1208</v>
      </c>
      <c r="J51" s="146">
        <v>0.13389999999999999</v>
      </c>
      <c r="K51" s="144" t="s">
        <v>165</v>
      </c>
      <c r="L51" s="144" t="s">
        <v>165</v>
      </c>
      <c r="M51" s="144" t="s">
        <v>165</v>
      </c>
      <c r="N51" s="144" t="s">
        <v>165</v>
      </c>
      <c r="O51" s="144" t="s">
        <v>262</v>
      </c>
      <c r="P51" s="145" t="s">
        <v>271</v>
      </c>
      <c r="Q51" s="147">
        <v>0.82</v>
      </c>
      <c r="R51" s="144" t="s">
        <v>264</v>
      </c>
      <c r="S51" s="145" t="s">
        <v>265</v>
      </c>
      <c r="T51" s="74"/>
      <c r="U51" s="75">
        <v>20000</v>
      </c>
      <c r="V51" s="74"/>
      <c r="W51" s="76" t="s">
        <v>78</v>
      </c>
      <c r="X51" s="74">
        <v>0</v>
      </c>
      <c r="Y51" s="53"/>
      <c r="Z51" s="53">
        <f t="shared" si="0"/>
        <v>16400</v>
      </c>
      <c r="AA51" s="53"/>
    </row>
    <row r="52" spans="1:27" ht="31.5" hidden="1" customHeight="1">
      <c r="A52" s="483"/>
      <c r="B52" s="161" t="s">
        <v>272</v>
      </c>
      <c r="C52" s="162" t="s">
        <v>273</v>
      </c>
      <c r="D52" s="163">
        <v>20000</v>
      </c>
      <c r="E52" s="64">
        <v>311.3</v>
      </c>
      <c r="F52" s="163">
        <v>218</v>
      </c>
      <c r="G52" s="162">
        <v>1063</v>
      </c>
      <c r="H52" s="64" t="s">
        <v>75</v>
      </c>
      <c r="I52" s="64">
        <v>8307</v>
      </c>
      <c r="J52" s="180">
        <v>0.79339999999999999</v>
      </c>
      <c r="K52" s="64" t="s">
        <v>165</v>
      </c>
      <c r="L52" s="64" t="s">
        <v>165</v>
      </c>
      <c r="M52" s="64" t="s">
        <v>165</v>
      </c>
      <c r="N52" s="64" t="s">
        <v>165</v>
      </c>
      <c r="O52" s="64" t="s">
        <v>262</v>
      </c>
      <c r="P52" s="190" t="s">
        <v>274</v>
      </c>
      <c r="Q52" s="170">
        <v>0.82</v>
      </c>
      <c r="R52" s="191">
        <v>-48140</v>
      </c>
      <c r="S52" s="162" t="s">
        <v>265</v>
      </c>
      <c r="T52" s="74"/>
      <c r="U52" s="75">
        <v>20000</v>
      </c>
      <c r="V52" s="74"/>
      <c r="W52" s="76" t="s">
        <v>78</v>
      </c>
      <c r="X52" s="74">
        <v>0</v>
      </c>
      <c r="Y52" s="53"/>
      <c r="Z52" s="53">
        <f t="shared" si="0"/>
        <v>16400</v>
      </c>
      <c r="AA52" s="53"/>
    </row>
    <row r="53" spans="1:27" ht="31.5" hidden="1" customHeight="1">
      <c r="A53" s="483"/>
      <c r="B53" s="161" t="s">
        <v>275</v>
      </c>
      <c r="C53" s="162" t="s">
        <v>276</v>
      </c>
      <c r="D53" s="163">
        <v>20000</v>
      </c>
      <c r="E53" s="64">
        <v>225</v>
      </c>
      <c r="F53" s="163">
        <v>158</v>
      </c>
      <c r="G53" s="162">
        <v>964</v>
      </c>
      <c r="H53" s="64" t="s">
        <v>75</v>
      </c>
      <c r="I53" s="64">
        <v>7628</v>
      </c>
      <c r="J53" s="180">
        <v>0.72719999999999996</v>
      </c>
      <c r="K53" s="64" t="s">
        <v>165</v>
      </c>
      <c r="L53" s="64" t="s">
        <v>165</v>
      </c>
      <c r="M53" s="64" t="s">
        <v>165</v>
      </c>
      <c r="N53" s="64" t="s">
        <v>165</v>
      </c>
      <c r="O53" s="64" t="s">
        <v>262</v>
      </c>
      <c r="P53" s="190" t="s">
        <v>277</v>
      </c>
      <c r="Q53" s="170">
        <v>0.74</v>
      </c>
      <c r="R53" s="191">
        <v>-34800</v>
      </c>
      <c r="S53" s="162" t="s">
        <v>265</v>
      </c>
      <c r="T53" s="74"/>
      <c r="U53" s="75">
        <v>20000</v>
      </c>
      <c r="V53" s="74"/>
      <c r="W53" s="76" t="s">
        <v>78</v>
      </c>
      <c r="X53" s="74">
        <v>0</v>
      </c>
      <c r="Y53" s="53"/>
      <c r="Z53" s="53">
        <f t="shared" si="0"/>
        <v>14800</v>
      </c>
      <c r="AA53" s="53"/>
    </row>
    <row r="54" spans="1:27" ht="31.5" hidden="1" customHeight="1">
      <c r="A54" s="483"/>
      <c r="B54" s="161" t="s">
        <v>278</v>
      </c>
      <c r="C54" s="162" t="s">
        <v>279</v>
      </c>
      <c r="D54" s="163">
        <v>14650</v>
      </c>
      <c r="E54" s="64">
        <v>489</v>
      </c>
      <c r="F54" s="163">
        <v>342</v>
      </c>
      <c r="G54" s="192">
        <v>95</v>
      </c>
      <c r="H54" s="64" t="s">
        <v>75</v>
      </c>
      <c r="I54" s="193">
        <v>2272</v>
      </c>
      <c r="J54" s="170">
        <v>0.16</v>
      </c>
      <c r="K54" s="64">
        <v>38</v>
      </c>
      <c r="L54" s="64">
        <v>3640</v>
      </c>
      <c r="M54" s="64">
        <v>2685</v>
      </c>
      <c r="N54" s="64">
        <v>550</v>
      </c>
      <c r="O54" s="64" t="s">
        <v>280</v>
      </c>
      <c r="P54" s="190" t="s">
        <v>281</v>
      </c>
      <c r="Q54" s="170">
        <v>0.7</v>
      </c>
      <c r="R54" s="191"/>
      <c r="S54" s="162"/>
      <c r="T54" s="74"/>
      <c r="U54" s="75">
        <v>14650</v>
      </c>
      <c r="V54" s="74"/>
      <c r="W54" s="76" t="s">
        <v>78</v>
      </c>
      <c r="X54" s="74">
        <v>0</v>
      </c>
      <c r="Y54" s="53"/>
      <c r="Z54" s="53">
        <f t="shared" si="0"/>
        <v>10255</v>
      </c>
      <c r="AA54" s="53"/>
    </row>
    <row r="55" spans="1:27" ht="31.5" hidden="1" customHeight="1">
      <c r="A55" s="483"/>
      <c r="B55" s="161" t="s">
        <v>282</v>
      </c>
      <c r="C55" s="162" t="s">
        <v>283</v>
      </c>
      <c r="D55" s="163">
        <v>50000</v>
      </c>
      <c r="E55" s="163">
        <v>1670</v>
      </c>
      <c r="F55" s="163">
        <v>1169</v>
      </c>
      <c r="G55" s="162">
        <v>2009</v>
      </c>
      <c r="H55" s="64" t="s">
        <v>75</v>
      </c>
      <c r="I55" s="64">
        <v>3810</v>
      </c>
      <c r="J55" s="170">
        <v>0.08</v>
      </c>
      <c r="K55" s="64">
        <v>100</v>
      </c>
      <c r="L55" s="64">
        <v>21531</v>
      </c>
      <c r="M55" s="64">
        <v>10000</v>
      </c>
      <c r="N55" s="64">
        <v>1200</v>
      </c>
      <c r="O55" s="64" t="s">
        <v>165</v>
      </c>
      <c r="P55" s="190" t="s">
        <v>165</v>
      </c>
      <c r="Q55" s="170">
        <v>0.75</v>
      </c>
      <c r="R55" s="191"/>
      <c r="S55" s="162"/>
      <c r="T55" s="74"/>
      <c r="U55" s="75">
        <v>50000</v>
      </c>
      <c r="V55" s="74"/>
      <c r="W55" s="76" t="s">
        <v>78</v>
      </c>
      <c r="X55" s="74">
        <v>0</v>
      </c>
      <c r="Y55" s="53"/>
      <c r="Z55" s="53">
        <f t="shared" si="0"/>
        <v>37500</v>
      </c>
      <c r="AA55" s="53"/>
    </row>
    <row r="56" spans="1:27" ht="31.5" hidden="1" customHeight="1">
      <c r="A56" s="483"/>
      <c r="B56" s="161" t="s">
        <v>284</v>
      </c>
      <c r="C56" s="162" t="s">
        <v>285</v>
      </c>
      <c r="D56" s="163">
        <v>35000</v>
      </c>
      <c r="E56" s="163">
        <v>1169</v>
      </c>
      <c r="F56" s="163">
        <v>818</v>
      </c>
      <c r="G56" s="162">
        <v>170</v>
      </c>
      <c r="H56" s="64" t="s">
        <v>75</v>
      </c>
      <c r="I56" s="64">
        <v>2593</v>
      </c>
      <c r="J56" s="170">
        <v>7.0000000000000007E-2</v>
      </c>
      <c r="K56" s="64">
        <v>59</v>
      </c>
      <c r="L56" s="64">
        <v>16142</v>
      </c>
      <c r="M56" s="64">
        <v>2000</v>
      </c>
      <c r="N56" s="64">
        <v>500</v>
      </c>
      <c r="O56" s="64" t="s">
        <v>286</v>
      </c>
      <c r="P56" s="190" t="s">
        <v>287</v>
      </c>
      <c r="Q56" s="170">
        <v>0.7</v>
      </c>
      <c r="R56" s="191"/>
      <c r="S56" s="162"/>
      <c r="T56" s="74"/>
      <c r="U56" s="75">
        <v>35000</v>
      </c>
      <c r="V56" s="74"/>
      <c r="W56" s="76" t="s">
        <v>78</v>
      </c>
      <c r="X56" s="74">
        <v>0</v>
      </c>
      <c r="Y56" s="53"/>
      <c r="Z56" s="53">
        <f t="shared" si="0"/>
        <v>24500</v>
      </c>
      <c r="AA56" s="53"/>
    </row>
    <row r="57" spans="1:27" ht="31.5" hidden="1" customHeight="1">
      <c r="A57" s="483"/>
      <c r="B57" s="161" t="s">
        <v>288</v>
      </c>
      <c r="C57" s="162" t="s">
        <v>289</v>
      </c>
      <c r="D57" s="163">
        <v>10000</v>
      </c>
      <c r="E57" s="64">
        <v>334</v>
      </c>
      <c r="F57" s="163">
        <v>234</v>
      </c>
      <c r="G57" s="162">
        <v>117</v>
      </c>
      <c r="H57" s="64" t="s">
        <v>75</v>
      </c>
      <c r="I57" s="64">
        <v>2408</v>
      </c>
      <c r="J57" s="170">
        <v>0.24</v>
      </c>
      <c r="K57" s="191">
        <v>240</v>
      </c>
      <c r="L57" s="64"/>
      <c r="M57" s="64">
        <v>60</v>
      </c>
      <c r="N57" s="64">
        <v>600</v>
      </c>
      <c r="O57" s="64" t="s">
        <v>290</v>
      </c>
      <c r="P57" s="190" t="s">
        <v>291</v>
      </c>
      <c r="Q57" s="170">
        <v>0.72</v>
      </c>
      <c r="R57" s="191"/>
      <c r="S57" s="162"/>
      <c r="T57" s="74"/>
      <c r="U57" s="75">
        <v>10000</v>
      </c>
      <c r="V57" s="74"/>
      <c r="W57" s="76" t="s">
        <v>78</v>
      </c>
      <c r="X57" s="74">
        <v>0</v>
      </c>
      <c r="Y57" s="53"/>
      <c r="Z57" s="53">
        <f t="shared" si="0"/>
        <v>7200</v>
      </c>
      <c r="AA57" s="53"/>
    </row>
    <row r="58" spans="1:27" ht="31.5" hidden="1" customHeight="1">
      <c r="A58" s="483"/>
      <c r="B58" s="161" t="s">
        <v>292</v>
      </c>
      <c r="C58" s="162" t="s">
        <v>293</v>
      </c>
      <c r="D58" s="163">
        <v>20000</v>
      </c>
      <c r="E58" s="64">
        <v>668</v>
      </c>
      <c r="F58" s="163">
        <v>468</v>
      </c>
      <c r="G58" s="162">
        <v>774</v>
      </c>
      <c r="H58" s="64" t="s">
        <v>75</v>
      </c>
      <c r="I58" s="64">
        <v>2147</v>
      </c>
      <c r="J58" s="170">
        <v>0.11</v>
      </c>
      <c r="K58" s="64">
        <v>200</v>
      </c>
      <c r="L58" s="64"/>
      <c r="M58" s="64"/>
      <c r="N58" s="64"/>
      <c r="O58" s="64"/>
      <c r="P58" s="190" t="s">
        <v>294</v>
      </c>
      <c r="Q58" s="170">
        <v>0.8</v>
      </c>
      <c r="R58" s="191"/>
      <c r="S58" s="162"/>
      <c r="T58" s="74"/>
      <c r="U58" s="75">
        <v>20000</v>
      </c>
      <c r="V58" s="74"/>
      <c r="W58" s="76" t="s">
        <v>78</v>
      </c>
      <c r="X58" s="74">
        <v>0</v>
      </c>
      <c r="Y58" s="53"/>
      <c r="Z58" s="53">
        <f t="shared" si="0"/>
        <v>16000</v>
      </c>
      <c r="AA58" s="53"/>
    </row>
    <row r="59" spans="1:27" ht="31.5" hidden="1" customHeight="1">
      <c r="A59" s="483"/>
      <c r="B59" s="161" t="s">
        <v>295</v>
      </c>
      <c r="C59" s="162" t="s">
        <v>296</v>
      </c>
      <c r="D59" s="163">
        <v>21800</v>
      </c>
      <c r="E59" s="64">
        <v>728</v>
      </c>
      <c r="F59" s="163">
        <v>510</v>
      </c>
      <c r="G59" s="162">
        <v>592</v>
      </c>
      <c r="H59" s="64" t="s">
        <v>75</v>
      </c>
      <c r="I59" s="64">
        <v>1418</v>
      </c>
      <c r="J59" s="170">
        <v>0.05</v>
      </c>
      <c r="K59" s="64">
        <v>172</v>
      </c>
      <c r="L59" s="64"/>
      <c r="M59" s="64"/>
      <c r="N59" s="64">
        <v>1026</v>
      </c>
      <c r="O59" s="64" t="s">
        <v>297</v>
      </c>
      <c r="P59" s="190" t="s">
        <v>297</v>
      </c>
      <c r="Q59" s="170">
        <v>0.71</v>
      </c>
      <c r="R59" s="191"/>
      <c r="S59" s="162"/>
      <c r="T59" s="74"/>
      <c r="U59" s="75">
        <v>21800</v>
      </c>
      <c r="V59" s="74"/>
      <c r="W59" s="76" t="s">
        <v>78</v>
      </c>
      <c r="X59" s="74">
        <v>0</v>
      </c>
      <c r="Y59" s="53"/>
      <c r="Z59" s="53">
        <f t="shared" si="0"/>
        <v>15478</v>
      </c>
      <c r="AA59" s="53"/>
    </row>
    <row r="60" spans="1:27" ht="31.5" hidden="1" customHeight="1">
      <c r="A60" s="483"/>
      <c r="B60" s="161" t="s">
        <v>298</v>
      </c>
      <c r="C60" s="162" t="s">
        <v>299</v>
      </c>
      <c r="D60" s="163">
        <v>26000</v>
      </c>
      <c r="E60" s="64">
        <v>868</v>
      </c>
      <c r="F60" s="163">
        <v>608</v>
      </c>
      <c r="G60" s="162">
        <v>697</v>
      </c>
      <c r="H60" s="64" t="s">
        <v>75</v>
      </c>
      <c r="I60" s="193">
        <v>10263</v>
      </c>
      <c r="J60" s="170">
        <v>0.46</v>
      </c>
      <c r="K60" s="64">
        <v>27</v>
      </c>
      <c r="L60" s="64"/>
      <c r="M60" s="64">
        <v>555</v>
      </c>
      <c r="N60" s="64">
        <v>1650</v>
      </c>
      <c r="O60" s="64" t="s">
        <v>300</v>
      </c>
      <c r="P60" s="190" t="s">
        <v>301</v>
      </c>
      <c r="Q60" s="170">
        <v>0.77</v>
      </c>
      <c r="R60" s="191"/>
      <c r="S60" s="162"/>
      <c r="T60" s="74"/>
      <c r="U60" s="75">
        <v>26000</v>
      </c>
      <c r="V60" s="74"/>
      <c r="W60" s="76" t="s">
        <v>78</v>
      </c>
      <c r="X60" s="74">
        <v>0</v>
      </c>
      <c r="Y60" s="53"/>
      <c r="Z60" s="53">
        <f t="shared" si="0"/>
        <v>20020</v>
      </c>
      <c r="AA60" s="53"/>
    </row>
    <row r="61" spans="1:27" ht="31.5" hidden="1" customHeight="1">
      <c r="A61" s="483"/>
      <c r="B61" s="161" t="s">
        <v>302</v>
      </c>
      <c r="C61" s="162" t="s">
        <v>303</v>
      </c>
      <c r="D61" s="163">
        <v>114568</v>
      </c>
      <c r="E61" s="64">
        <v>8750</v>
      </c>
      <c r="F61" s="163">
        <v>6125</v>
      </c>
      <c r="G61" s="162">
        <v>2923</v>
      </c>
      <c r="H61" s="64" t="s">
        <v>75</v>
      </c>
      <c r="I61" s="193">
        <v>0</v>
      </c>
      <c r="J61" s="170">
        <v>0</v>
      </c>
      <c r="K61" s="64" t="s">
        <v>165</v>
      </c>
      <c r="L61" s="64" t="s">
        <v>165</v>
      </c>
      <c r="M61" s="64" t="s">
        <v>165</v>
      </c>
      <c r="N61" s="64" t="s">
        <v>165</v>
      </c>
      <c r="O61" s="64" t="s">
        <v>165</v>
      </c>
      <c r="P61" s="190"/>
      <c r="Q61" s="170">
        <v>0.92</v>
      </c>
      <c r="R61" s="191"/>
      <c r="S61" s="162"/>
      <c r="T61" s="74"/>
      <c r="U61" s="75"/>
      <c r="V61" s="74"/>
      <c r="W61" s="76" t="s">
        <v>75</v>
      </c>
      <c r="X61" s="74"/>
      <c r="Y61" s="53"/>
      <c r="Z61" s="53">
        <f t="shared" si="0"/>
        <v>105402.56</v>
      </c>
      <c r="AA61" s="53"/>
    </row>
    <row r="62" spans="1:27" ht="31.5" hidden="1" customHeight="1">
      <c r="A62" s="484"/>
      <c r="B62" s="161" t="s">
        <v>304</v>
      </c>
      <c r="C62" s="162" t="s">
        <v>305</v>
      </c>
      <c r="D62" s="163">
        <v>48000</v>
      </c>
      <c r="E62" s="64">
        <v>2562.5</v>
      </c>
      <c r="F62" s="163">
        <v>1794</v>
      </c>
      <c r="G62" s="162">
        <v>708.1</v>
      </c>
      <c r="H62" s="64" t="s">
        <v>75</v>
      </c>
      <c r="I62" s="193">
        <v>4111</v>
      </c>
      <c r="J62" s="170">
        <v>0.09</v>
      </c>
      <c r="K62" s="64" t="s">
        <v>165</v>
      </c>
      <c r="L62" s="64" t="s">
        <v>165</v>
      </c>
      <c r="M62" s="64" t="s">
        <v>165</v>
      </c>
      <c r="N62" s="64" t="s">
        <v>165</v>
      </c>
      <c r="O62" s="64" t="s">
        <v>165</v>
      </c>
      <c r="P62" s="190"/>
      <c r="Q62" s="170">
        <v>0.81</v>
      </c>
      <c r="R62" s="191"/>
      <c r="S62" s="162"/>
      <c r="T62" s="74"/>
      <c r="U62" s="75"/>
      <c r="V62" s="74"/>
      <c r="W62" s="76" t="s">
        <v>75</v>
      </c>
      <c r="X62" s="74"/>
      <c r="Y62" s="53"/>
      <c r="Z62" s="53">
        <f t="shared" si="0"/>
        <v>38880</v>
      </c>
      <c r="AA62" s="53"/>
    </row>
    <row r="63" spans="1:27" ht="31.5" hidden="1" customHeight="1">
      <c r="A63" s="482" t="s">
        <v>27</v>
      </c>
      <c r="B63" s="161" t="s">
        <v>306</v>
      </c>
      <c r="C63" s="162" t="s">
        <v>307</v>
      </c>
      <c r="D63" s="163">
        <v>48000</v>
      </c>
      <c r="E63" s="163">
        <v>2244</v>
      </c>
      <c r="F63" s="163">
        <v>1571</v>
      </c>
      <c r="G63" s="162">
        <v>899</v>
      </c>
      <c r="H63" s="64" t="s">
        <v>75</v>
      </c>
      <c r="I63" s="64">
        <v>6287</v>
      </c>
      <c r="J63" s="180">
        <v>0.1321</v>
      </c>
      <c r="K63" s="64">
        <v>2100</v>
      </c>
      <c r="L63" s="64">
        <v>0</v>
      </c>
      <c r="M63" s="64">
        <v>3300</v>
      </c>
      <c r="N63" s="64">
        <v>1100</v>
      </c>
      <c r="O63" s="64" t="s">
        <v>308</v>
      </c>
      <c r="P63" s="190" t="s">
        <v>309</v>
      </c>
      <c r="Q63" s="170">
        <v>0.74</v>
      </c>
      <c r="R63" s="191" t="s">
        <v>264</v>
      </c>
      <c r="S63" s="162" t="s">
        <v>310</v>
      </c>
      <c r="T63" s="74"/>
      <c r="U63" s="75">
        <v>48000</v>
      </c>
      <c r="V63" s="74"/>
      <c r="W63" s="76" t="s">
        <v>78</v>
      </c>
      <c r="X63" s="74">
        <v>0</v>
      </c>
      <c r="Y63" s="53"/>
      <c r="Z63" s="53">
        <f t="shared" si="0"/>
        <v>35520</v>
      </c>
      <c r="AA63" s="53"/>
    </row>
    <row r="64" spans="1:27" ht="31.5" hidden="1" customHeight="1">
      <c r="A64" s="483"/>
      <c r="B64" s="172" t="s">
        <v>311</v>
      </c>
      <c r="C64" s="173" t="s">
        <v>312</v>
      </c>
      <c r="D64" s="138">
        <v>30000</v>
      </c>
      <c r="E64" s="138">
        <v>1681</v>
      </c>
      <c r="F64" s="138">
        <v>1177</v>
      </c>
      <c r="G64" s="139">
        <v>208</v>
      </c>
      <c r="H64" s="140" t="s">
        <v>75</v>
      </c>
      <c r="I64" s="140">
        <v>7030</v>
      </c>
      <c r="J64" s="141">
        <v>0.246</v>
      </c>
      <c r="K64" s="140">
        <v>2400</v>
      </c>
      <c r="L64" s="140">
        <v>90</v>
      </c>
      <c r="M64" s="140">
        <v>2490</v>
      </c>
      <c r="N64" s="140">
        <v>600</v>
      </c>
      <c r="O64" s="140" t="s">
        <v>313</v>
      </c>
      <c r="P64" s="139" t="s">
        <v>314</v>
      </c>
      <c r="Q64" s="142">
        <v>0.89</v>
      </c>
      <c r="R64" s="140">
        <v>-42.3</v>
      </c>
      <c r="S64" s="139" t="s">
        <v>474</v>
      </c>
      <c r="T64" s="74"/>
      <c r="U64" s="75">
        <v>30000</v>
      </c>
      <c r="V64" s="74"/>
      <c r="W64" s="76" t="s">
        <v>78</v>
      </c>
      <c r="X64" s="74">
        <v>0</v>
      </c>
      <c r="Y64" s="53"/>
      <c r="Z64" s="53">
        <f t="shared" si="0"/>
        <v>26700</v>
      </c>
      <c r="AA64" s="53"/>
    </row>
    <row r="65" spans="1:27" ht="31.5" hidden="1" customHeight="1">
      <c r="A65" s="483"/>
      <c r="B65" s="178" t="s">
        <v>315</v>
      </c>
      <c r="C65" s="145" t="s">
        <v>316</v>
      </c>
      <c r="D65" s="143">
        <v>25000</v>
      </c>
      <c r="E65" s="143">
        <v>2775</v>
      </c>
      <c r="F65" s="143">
        <v>1943</v>
      </c>
      <c r="G65" s="145">
        <v>1242</v>
      </c>
      <c r="H65" s="144" t="s">
        <v>75</v>
      </c>
      <c r="I65" s="144">
        <v>2655</v>
      </c>
      <c r="J65" s="147">
        <v>0.11</v>
      </c>
      <c r="K65" s="144">
        <v>59</v>
      </c>
      <c r="L65" s="144">
        <v>4944</v>
      </c>
      <c r="M65" s="144">
        <v>5003</v>
      </c>
      <c r="N65" s="144">
        <v>800</v>
      </c>
      <c r="O65" s="144" t="s">
        <v>317</v>
      </c>
      <c r="P65" s="145" t="s">
        <v>318</v>
      </c>
      <c r="Q65" s="147">
        <v>0.71</v>
      </c>
      <c r="R65" s="144">
        <v>-514.29999999999995</v>
      </c>
      <c r="S65" s="145" t="s">
        <v>474</v>
      </c>
      <c r="T65" s="74"/>
      <c r="U65" s="75">
        <v>25000</v>
      </c>
      <c r="V65" s="74"/>
      <c r="W65" s="76" t="s">
        <v>78</v>
      </c>
      <c r="X65" s="74"/>
      <c r="Y65" s="53"/>
      <c r="Z65" s="53">
        <f t="shared" si="0"/>
        <v>17750</v>
      </c>
      <c r="AA65" s="53"/>
    </row>
    <row r="66" spans="1:27" ht="31.5" hidden="1" customHeight="1">
      <c r="A66" s="484"/>
      <c r="B66" s="107" t="s">
        <v>319</v>
      </c>
      <c r="C66" s="60" t="s">
        <v>320</v>
      </c>
      <c r="D66" s="66">
        <v>6000</v>
      </c>
      <c r="E66" s="66">
        <v>620</v>
      </c>
      <c r="F66" s="66">
        <v>434</v>
      </c>
      <c r="G66" s="68"/>
      <c r="H66" s="68" t="s">
        <v>78</v>
      </c>
      <c r="I66" s="68"/>
      <c r="J66" s="71"/>
      <c r="K66" s="68"/>
      <c r="L66" s="68"/>
      <c r="M66" s="68"/>
      <c r="N66" s="68"/>
      <c r="O66" s="68"/>
      <c r="P66" s="70"/>
      <c r="Q66" s="71"/>
      <c r="R66" s="68"/>
      <c r="S66" s="80" t="s">
        <v>475</v>
      </c>
      <c r="T66" s="74"/>
      <c r="U66" s="75"/>
      <c r="V66" s="74"/>
      <c r="W66" s="76"/>
      <c r="X66" s="74"/>
      <c r="Y66" s="53"/>
      <c r="Z66" s="53"/>
      <c r="AA66" s="53"/>
    </row>
    <row r="67" spans="1:27" ht="31.5" hidden="1" customHeight="1">
      <c r="A67" s="482" t="s">
        <v>28</v>
      </c>
      <c r="B67" s="178" t="s">
        <v>321</v>
      </c>
      <c r="C67" s="145" t="s">
        <v>322</v>
      </c>
      <c r="D67" s="143">
        <v>25000</v>
      </c>
      <c r="E67" s="144">
        <v>835</v>
      </c>
      <c r="F67" s="143">
        <v>585</v>
      </c>
      <c r="G67" s="145">
        <v>556</v>
      </c>
      <c r="H67" s="140" t="s">
        <v>75</v>
      </c>
      <c r="I67" s="144">
        <v>1392</v>
      </c>
      <c r="J67" s="194">
        <v>5.6000000000000001E-2</v>
      </c>
      <c r="K67" s="144">
        <v>0</v>
      </c>
      <c r="L67" s="144">
        <v>120</v>
      </c>
      <c r="M67" s="144">
        <v>1025</v>
      </c>
      <c r="N67" s="144">
        <v>205</v>
      </c>
      <c r="O67" s="144" t="s">
        <v>325</v>
      </c>
      <c r="P67" s="145" t="s">
        <v>326</v>
      </c>
      <c r="Q67" s="147">
        <v>0.73</v>
      </c>
      <c r="R67" s="144">
        <v>-106.3</v>
      </c>
      <c r="S67" s="145" t="s">
        <v>327</v>
      </c>
      <c r="T67" s="74"/>
      <c r="U67" s="74">
        <v>25000</v>
      </c>
      <c r="V67" s="74"/>
      <c r="W67" s="76" t="s">
        <v>78</v>
      </c>
      <c r="X67" s="74">
        <v>0</v>
      </c>
      <c r="Y67" s="53" t="s">
        <v>99</v>
      </c>
      <c r="Z67" s="53">
        <f t="shared" ref="Z67:Z105" si="1">D67*Q67</f>
        <v>18250</v>
      </c>
      <c r="AA67" s="53"/>
    </row>
    <row r="68" spans="1:27" ht="31.5" hidden="1" customHeight="1">
      <c r="A68" s="483"/>
      <c r="B68" s="161" t="s">
        <v>323</v>
      </c>
      <c r="C68" s="162" t="s">
        <v>324</v>
      </c>
      <c r="D68" s="64">
        <v>6500</v>
      </c>
      <c r="E68" s="140">
        <v>217</v>
      </c>
      <c r="F68" s="138">
        <v>152</v>
      </c>
      <c r="G68" s="140">
        <v>328</v>
      </c>
      <c r="H68" s="140" t="s">
        <v>75</v>
      </c>
      <c r="I68" s="140">
        <v>0</v>
      </c>
      <c r="J68" s="195">
        <v>0</v>
      </c>
      <c r="K68" s="140">
        <v>0</v>
      </c>
      <c r="L68" s="140">
        <v>0</v>
      </c>
      <c r="M68" s="140">
        <v>0</v>
      </c>
      <c r="N68" s="140">
        <v>0</v>
      </c>
      <c r="O68" s="140" t="s">
        <v>165</v>
      </c>
      <c r="P68" s="139" t="s">
        <v>165</v>
      </c>
      <c r="Q68" s="142">
        <v>0.77</v>
      </c>
      <c r="R68" s="140">
        <v>0</v>
      </c>
      <c r="S68" s="139" t="s">
        <v>327</v>
      </c>
      <c r="T68" s="74"/>
      <c r="U68" s="74">
        <v>6500</v>
      </c>
      <c r="V68" s="74"/>
      <c r="W68" s="76" t="s">
        <v>78</v>
      </c>
      <c r="X68" s="74">
        <v>0</v>
      </c>
      <c r="Y68" s="53" t="s">
        <v>99</v>
      </c>
      <c r="Z68" s="53">
        <f t="shared" si="1"/>
        <v>5005</v>
      </c>
      <c r="AA68" s="53"/>
    </row>
    <row r="69" spans="1:27" ht="31.5" hidden="1" customHeight="1">
      <c r="A69" s="483"/>
      <c r="B69" s="161" t="s">
        <v>328</v>
      </c>
      <c r="C69" s="162" t="s">
        <v>329</v>
      </c>
      <c r="D69" s="164">
        <v>41000</v>
      </c>
      <c r="E69" s="143">
        <v>1748</v>
      </c>
      <c r="F69" s="143">
        <v>1224</v>
      </c>
      <c r="G69" s="196">
        <v>1097</v>
      </c>
      <c r="H69" s="144" t="s">
        <v>75</v>
      </c>
      <c r="I69" s="143">
        <v>19897</v>
      </c>
      <c r="J69" s="146">
        <v>0.48530000000000001</v>
      </c>
      <c r="K69" s="144">
        <v>0</v>
      </c>
      <c r="L69" s="144">
        <v>120</v>
      </c>
      <c r="M69" s="144">
        <v>3000</v>
      </c>
      <c r="N69" s="144">
        <v>600</v>
      </c>
      <c r="O69" s="144" t="s">
        <v>332</v>
      </c>
      <c r="P69" s="145" t="s">
        <v>333</v>
      </c>
      <c r="Q69" s="147">
        <v>0.8</v>
      </c>
      <c r="R69" s="144">
        <v>-29711</v>
      </c>
      <c r="S69" s="145" t="s">
        <v>334</v>
      </c>
      <c r="T69" s="74"/>
      <c r="U69" s="75">
        <v>41000</v>
      </c>
      <c r="V69" s="74"/>
      <c r="W69" s="76" t="s">
        <v>78</v>
      </c>
      <c r="X69" s="74">
        <v>0</v>
      </c>
      <c r="Y69" s="53"/>
      <c r="Z69" s="53">
        <f t="shared" si="1"/>
        <v>32800</v>
      </c>
      <c r="AA69" s="53"/>
    </row>
    <row r="70" spans="1:27" ht="31.5" hidden="1" customHeight="1">
      <c r="A70" s="483"/>
      <c r="B70" s="161" t="s">
        <v>330</v>
      </c>
      <c r="C70" s="162" t="s">
        <v>331</v>
      </c>
      <c r="D70" s="164">
        <v>40000</v>
      </c>
      <c r="E70" s="143">
        <v>1710</v>
      </c>
      <c r="F70" s="143">
        <v>1197</v>
      </c>
      <c r="G70" s="145">
        <v>2731</v>
      </c>
      <c r="H70" s="144" t="s">
        <v>75</v>
      </c>
      <c r="I70" s="143">
        <v>6026</v>
      </c>
      <c r="J70" s="146">
        <v>0.1507</v>
      </c>
      <c r="K70" s="144">
        <v>0</v>
      </c>
      <c r="L70" s="144">
        <v>847</v>
      </c>
      <c r="M70" s="144">
        <v>6520</v>
      </c>
      <c r="N70" s="144">
        <v>850</v>
      </c>
      <c r="O70" s="144" t="s">
        <v>332</v>
      </c>
      <c r="P70" s="145" t="s">
        <v>337</v>
      </c>
      <c r="Q70" s="147">
        <v>0.77</v>
      </c>
      <c r="R70" s="144">
        <v>0</v>
      </c>
      <c r="S70" s="145" t="s">
        <v>338</v>
      </c>
      <c r="T70" s="74"/>
      <c r="U70" s="75">
        <v>40000</v>
      </c>
      <c r="V70" s="74"/>
      <c r="W70" s="76" t="s">
        <v>78</v>
      </c>
      <c r="X70" s="74">
        <v>0</v>
      </c>
      <c r="Y70" s="53"/>
      <c r="Z70" s="53">
        <f t="shared" si="1"/>
        <v>30800</v>
      </c>
      <c r="AA70" s="53"/>
    </row>
    <row r="71" spans="1:27" ht="31.5" hidden="1" customHeight="1">
      <c r="A71" s="484"/>
      <c r="B71" s="161" t="s">
        <v>335</v>
      </c>
      <c r="C71" s="162" t="s">
        <v>336</v>
      </c>
      <c r="D71" s="164">
        <v>16500</v>
      </c>
      <c r="E71" s="143">
        <v>1398</v>
      </c>
      <c r="F71" s="143">
        <v>979</v>
      </c>
      <c r="G71" s="145">
        <v>587</v>
      </c>
      <c r="H71" s="144" t="s">
        <v>75</v>
      </c>
      <c r="I71" s="144">
        <v>993</v>
      </c>
      <c r="J71" s="146">
        <v>6.0199999999999997E-2</v>
      </c>
      <c r="K71" s="144">
        <v>190</v>
      </c>
      <c r="L71" s="144">
        <v>0</v>
      </c>
      <c r="M71" s="144">
        <v>5670</v>
      </c>
      <c r="N71" s="144">
        <v>1134</v>
      </c>
      <c r="O71" s="144" t="s">
        <v>476</v>
      </c>
      <c r="P71" s="145" t="s">
        <v>477</v>
      </c>
      <c r="Q71" s="147">
        <v>0.84</v>
      </c>
      <c r="R71" s="143">
        <v>-401</v>
      </c>
      <c r="S71" s="145" t="s">
        <v>478</v>
      </c>
      <c r="T71" s="74"/>
      <c r="U71" s="75">
        <v>16500</v>
      </c>
      <c r="V71" s="74"/>
      <c r="W71" s="76"/>
      <c r="X71" s="74"/>
      <c r="Y71" s="53"/>
      <c r="Z71" s="53">
        <f t="shared" si="1"/>
        <v>13860</v>
      </c>
      <c r="AA71" s="53"/>
    </row>
    <row r="72" spans="1:27" ht="31.5" hidden="1" customHeight="1">
      <c r="A72" s="482" t="s">
        <v>29</v>
      </c>
      <c r="B72" s="172" t="s">
        <v>339</v>
      </c>
      <c r="C72" s="173" t="s">
        <v>340</v>
      </c>
      <c r="D72" s="138">
        <v>58500</v>
      </c>
      <c r="E72" s="138">
        <v>2223</v>
      </c>
      <c r="F72" s="138">
        <v>1556</v>
      </c>
      <c r="G72" s="139"/>
      <c r="H72" s="140" t="s">
        <v>78</v>
      </c>
      <c r="I72" s="140"/>
      <c r="J72" s="141"/>
      <c r="K72" s="140"/>
      <c r="L72" s="140"/>
      <c r="M72" s="140"/>
      <c r="N72" s="140"/>
      <c r="O72" s="140"/>
      <c r="P72" s="139"/>
      <c r="Q72" s="142"/>
      <c r="R72" s="140"/>
      <c r="S72" s="139" t="s">
        <v>496</v>
      </c>
      <c r="T72" s="74"/>
      <c r="U72" s="75">
        <v>50000</v>
      </c>
      <c r="V72" s="74"/>
      <c r="W72" s="76" t="s">
        <v>78</v>
      </c>
      <c r="X72" s="74">
        <v>0</v>
      </c>
      <c r="Y72" s="53"/>
      <c r="Z72" s="53">
        <f t="shared" si="1"/>
        <v>0</v>
      </c>
      <c r="AA72" s="53"/>
    </row>
    <row r="73" spans="1:27" ht="31.5" hidden="1" customHeight="1">
      <c r="A73" s="483"/>
      <c r="B73" s="175" t="s">
        <v>342</v>
      </c>
      <c r="C73" s="176" t="s">
        <v>343</v>
      </c>
      <c r="D73" s="143">
        <v>14600</v>
      </c>
      <c r="E73" s="144">
        <v>650</v>
      </c>
      <c r="F73" s="143">
        <v>455</v>
      </c>
      <c r="G73" s="145">
        <v>230</v>
      </c>
      <c r="H73" s="144" t="s">
        <v>75</v>
      </c>
      <c r="I73" s="144">
        <v>813</v>
      </c>
      <c r="J73" s="146">
        <v>5.57E-2</v>
      </c>
      <c r="K73" s="144" t="s">
        <v>344</v>
      </c>
      <c r="L73" s="144">
        <v>2108</v>
      </c>
      <c r="M73" s="144">
        <v>190</v>
      </c>
      <c r="N73" s="144">
        <v>128</v>
      </c>
      <c r="O73" s="144" t="s">
        <v>345</v>
      </c>
      <c r="P73" s="145" t="s">
        <v>346</v>
      </c>
      <c r="Q73" s="147">
        <v>0.8</v>
      </c>
      <c r="R73" s="144"/>
      <c r="S73" s="145" t="s">
        <v>347</v>
      </c>
      <c r="T73" s="74"/>
      <c r="U73" s="75">
        <v>13000</v>
      </c>
      <c r="V73" s="74"/>
      <c r="W73" s="76" t="s">
        <v>78</v>
      </c>
      <c r="X73" s="74">
        <v>0</v>
      </c>
      <c r="Y73" s="53"/>
      <c r="Z73" s="53">
        <f t="shared" si="1"/>
        <v>11680</v>
      </c>
      <c r="AA73" s="53"/>
    </row>
    <row r="74" spans="1:27" ht="106.5" hidden="1" customHeight="1">
      <c r="A74" s="483"/>
      <c r="B74" s="175" t="s">
        <v>348</v>
      </c>
      <c r="C74" s="176" t="s">
        <v>349</v>
      </c>
      <c r="D74" s="143">
        <v>14600</v>
      </c>
      <c r="E74" s="143">
        <v>650</v>
      </c>
      <c r="F74" s="143">
        <v>455</v>
      </c>
      <c r="G74" s="145">
        <v>230</v>
      </c>
      <c r="H74" s="144" t="s">
        <v>75</v>
      </c>
      <c r="I74" s="143">
        <v>813</v>
      </c>
      <c r="J74" s="146">
        <v>5.57E-2</v>
      </c>
      <c r="K74" s="144">
        <v>0</v>
      </c>
      <c r="L74" s="144">
        <v>2108</v>
      </c>
      <c r="M74" s="144">
        <v>190</v>
      </c>
      <c r="N74" s="144">
        <v>128</v>
      </c>
      <c r="O74" s="144" t="s">
        <v>480</v>
      </c>
      <c r="P74" s="145" t="s">
        <v>481</v>
      </c>
      <c r="Q74" s="147">
        <v>0.8</v>
      </c>
      <c r="R74" s="144"/>
      <c r="S74" s="145" t="s">
        <v>347</v>
      </c>
      <c r="T74" s="74"/>
      <c r="U74" s="75">
        <v>48000</v>
      </c>
      <c r="V74" s="74"/>
      <c r="W74" s="76" t="s">
        <v>78</v>
      </c>
      <c r="X74" s="74">
        <v>0</v>
      </c>
      <c r="Y74" s="53"/>
      <c r="Z74" s="53">
        <f t="shared" si="1"/>
        <v>11680</v>
      </c>
      <c r="AA74" s="53"/>
    </row>
    <row r="75" spans="1:27" ht="117.75" hidden="1" customHeight="1">
      <c r="A75" s="483"/>
      <c r="B75" s="175" t="s">
        <v>352</v>
      </c>
      <c r="C75" s="177" t="s">
        <v>353</v>
      </c>
      <c r="D75" s="143">
        <v>34935</v>
      </c>
      <c r="E75" s="143">
        <v>1730</v>
      </c>
      <c r="F75" s="143">
        <v>1211</v>
      </c>
      <c r="G75" s="144">
        <v>879</v>
      </c>
      <c r="H75" s="144" t="s">
        <v>75</v>
      </c>
      <c r="I75" s="143">
        <v>8111</v>
      </c>
      <c r="J75" s="146">
        <v>0.23219999999999999</v>
      </c>
      <c r="K75" s="144" t="s">
        <v>341</v>
      </c>
      <c r="L75" s="144" t="s">
        <v>341</v>
      </c>
      <c r="M75" s="144" t="s">
        <v>341</v>
      </c>
      <c r="N75" s="144" t="s">
        <v>341</v>
      </c>
      <c r="O75" s="144" t="s">
        <v>341</v>
      </c>
      <c r="P75" s="145" t="s">
        <v>350</v>
      </c>
      <c r="Q75" s="147">
        <v>0.82</v>
      </c>
      <c r="R75" s="144">
        <v>-4182</v>
      </c>
      <c r="S75" s="145" t="s">
        <v>351</v>
      </c>
      <c r="T75" s="74"/>
      <c r="U75" s="75">
        <v>29000</v>
      </c>
      <c r="V75" s="74"/>
      <c r="W75" s="76" t="s">
        <v>75</v>
      </c>
      <c r="X75" s="74">
        <v>0</v>
      </c>
      <c r="Y75" s="53"/>
      <c r="Z75" s="53">
        <f t="shared" si="1"/>
        <v>28646.699999999997</v>
      </c>
      <c r="AA75" s="53"/>
    </row>
    <row r="76" spans="1:27" ht="31.5" hidden="1" customHeight="1">
      <c r="A76" s="484"/>
      <c r="B76" s="175" t="s">
        <v>356</v>
      </c>
      <c r="C76" s="177" t="s">
        <v>357</v>
      </c>
      <c r="D76" s="143">
        <v>120000</v>
      </c>
      <c r="E76" s="144">
        <v>735</v>
      </c>
      <c r="F76" s="143">
        <v>588</v>
      </c>
      <c r="G76" s="145">
        <v>459</v>
      </c>
      <c r="H76" s="144" t="s">
        <v>75</v>
      </c>
      <c r="I76" s="143">
        <v>45563</v>
      </c>
      <c r="J76" s="146">
        <v>0.37959999999999999</v>
      </c>
      <c r="K76" s="144" t="s">
        <v>341</v>
      </c>
      <c r="L76" s="144" t="s">
        <v>341</v>
      </c>
      <c r="M76" s="144" t="s">
        <v>341</v>
      </c>
      <c r="N76" s="144" t="s">
        <v>341</v>
      </c>
      <c r="O76" s="144" t="s">
        <v>341</v>
      </c>
      <c r="P76" s="145" t="s">
        <v>354</v>
      </c>
      <c r="Q76" s="147">
        <v>0.64</v>
      </c>
      <c r="R76" s="143">
        <v>-3</v>
      </c>
      <c r="S76" s="145" t="s">
        <v>355</v>
      </c>
      <c r="T76" s="74"/>
      <c r="U76" s="75">
        <v>48378</v>
      </c>
      <c r="V76" s="74"/>
      <c r="W76" s="76" t="s">
        <v>75</v>
      </c>
      <c r="X76" s="74">
        <v>0</v>
      </c>
      <c r="Y76" s="53"/>
      <c r="Z76" s="53">
        <f t="shared" si="1"/>
        <v>76800</v>
      </c>
      <c r="AA76" s="53"/>
    </row>
    <row r="77" spans="1:27" ht="31.5" customHeight="1">
      <c r="A77" s="482"/>
      <c r="B77" s="172" t="s">
        <v>358</v>
      </c>
      <c r="C77" s="173" t="s">
        <v>359</v>
      </c>
      <c r="D77" s="138">
        <v>142186</v>
      </c>
      <c r="E77" s="138">
        <v>6839</v>
      </c>
      <c r="F77" s="138">
        <v>4787</v>
      </c>
      <c r="G77" s="138"/>
      <c r="H77" s="140" t="s">
        <v>78</v>
      </c>
      <c r="I77" s="138"/>
      <c r="J77" s="140"/>
      <c r="K77" s="140"/>
      <c r="L77" s="140"/>
      <c r="M77" s="140"/>
      <c r="N77" s="140"/>
      <c r="O77" s="140"/>
      <c r="P77" s="139"/>
      <c r="Q77" s="142"/>
      <c r="R77" s="140"/>
      <c r="S77" s="139" t="s">
        <v>482</v>
      </c>
      <c r="T77" s="112"/>
      <c r="U77" s="75"/>
      <c r="V77" s="74"/>
      <c r="W77" s="76"/>
      <c r="X77" s="74"/>
      <c r="Y77" s="53"/>
      <c r="Z77" s="53">
        <f t="shared" si="1"/>
        <v>0</v>
      </c>
      <c r="AA77" s="53"/>
    </row>
    <row r="78" spans="1:27" ht="31.5" customHeight="1">
      <c r="A78" s="483"/>
      <c r="B78" s="175" t="s">
        <v>361</v>
      </c>
      <c r="C78" s="176" t="s">
        <v>362</v>
      </c>
      <c r="D78" s="197">
        <v>32374</v>
      </c>
      <c r="E78" s="197">
        <v>1557</v>
      </c>
      <c r="F78" s="197">
        <v>1090</v>
      </c>
      <c r="G78" s="197">
        <v>765</v>
      </c>
      <c r="H78" s="144" t="s">
        <v>75</v>
      </c>
      <c r="I78" s="197">
        <v>2721</v>
      </c>
      <c r="J78" s="143">
        <v>8</v>
      </c>
      <c r="K78" s="144"/>
      <c r="L78" s="144">
        <v>325</v>
      </c>
      <c r="M78" s="144"/>
      <c r="N78" s="144"/>
      <c r="O78" s="145" t="s">
        <v>363</v>
      </c>
      <c r="P78" s="145" t="s">
        <v>364</v>
      </c>
      <c r="Q78" s="147">
        <v>0.71</v>
      </c>
      <c r="R78" s="144">
        <v>-569.79999999999995</v>
      </c>
      <c r="S78" s="145" t="s">
        <v>360</v>
      </c>
      <c r="T78" s="198"/>
      <c r="U78" s="63">
        <v>32374</v>
      </c>
      <c r="V78" s="74"/>
      <c r="W78" s="76" t="s">
        <v>78</v>
      </c>
      <c r="X78" s="74">
        <v>0</v>
      </c>
      <c r="Y78" s="38"/>
      <c r="Z78" s="53">
        <f t="shared" si="1"/>
        <v>22985.539999999997</v>
      </c>
      <c r="AA78" s="38"/>
    </row>
    <row r="79" spans="1:27" ht="31.5" customHeight="1">
      <c r="A79" s="483"/>
      <c r="B79" s="175" t="s">
        <v>365</v>
      </c>
      <c r="C79" s="176" t="s">
        <v>366</v>
      </c>
      <c r="D79" s="199">
        <v>21000</v>
      </c>
      <c r="E79" s="200">
        <v>1010</v>
      </c>
      <c r="F79" s="197">
        <v>707</v>
      </c>
      <c r="G79" s="144">
        <v>347</v>
      </c>
      <c r="H79" s="144" t="s">
        <v>75</v>
      </c>
      <c r="I79" s="144">
        <v>2683</v>
      </c>
      <c r="J79" s="146">
        <v>0.12770000000000001</v>
      </c>
      <c r="K79" s="144">
        <v>0</v>
      </c>
      <c r="L79" s="144">
        <v>0</v>
      </c>
      <c r="M79" s="144">
        <v>0</v>
      </c>
      <c r="N79" s="144">
        <v>0</v>
      </c>
      <c r="O79" s="144" t="s">
        <v>367</v>
      </c>
      <c r="P79" s="145" t="s">
        <v>368</v>
      </c>
      <c r="Q79" s="147">
        <v>0.74</v>
      </c>
      <c r="R79" s="147"/>
      <c r="S79" s="144" t="s">
        <v>360</v>
      </c>
      <c r="T79" s="74"/>
      <c r="U79" s="75">
        <v>20000</v>
      </c>
      <c r="V79" s="74"/>
      <c r="W79" s="76" t="s">
        <v>78</v>
      </c>
      <c r="X79" s="74">
        <v>0</v>
      </c>
      <c r="Y79" s="53"/>
      <c r="Z79" s="53">
        <f t="shared" si="1"/>
        <v>15540</v>
      </c>
      <c r="AA79" s="53"/>
    </row>
    <row r="80" spans="1:27" ht="31.5" customHeight="1">
      <c r="A80" s="483"/>
      <c r="B80" s="175" t="s">
        <v>369</v>
      </c>
      <c r="C80" s="176" t="s">
        <v>370</v>
      </c>
      <c r="D80" s="199">
        <v>22497</v>
      </c>
      <c r="E80" s="197">
        <v>1082</v>
      </c>
      <c r="F80" s="197">
        <v>757</v>
      </c>
      <c r="G80" s="144"/>
      <c r="H80" s="144" t="s">
        <v>78</v>
      </c>
      <c r="I80" s="144"/>
      <c r="J80" s="146"/>
      <c r="K80" s="144"/>
      <c r="L80" s="144"/>
      <c r="M80" s="144"/>
      <c r="N80" s="144"/>
      <c r="O80" s="144"/>
      <c r="P80" s="145"/>
      <c r="Q80" s="144"/>
      <c r="R80" s="144"/>
      <c r="S80" s="144" t="s">
        <v>483</v>
      </c>
      <c r="T80" s="74"/>
      <c r="U80" s="75">
        <v>22497</v>
      </c>
      <c r="V80" s="74"/>
      <c r="W80" s="76" t="s">
        <v>78</v>
      </c>
      <c r="X80" s="74">
        <v>0</v>
      </c>
      <c r="Y80" s="53"/>
      <c r="Z80" s="53">
        <f t="shared" si="1"/>
        <v>0</v>
      </c>
      <c r="AA80" s="53"/>
    </row>
    <row r="81" spans="1:27" ht="31.5" customHeight="1">
      <c r="A81" s="483"/>
      <c r="B81" s="175" t="s">
        <v>371</v>
      </c>
      <c r="C81" s="176" t="s">
        <v>372</v>
      </c>
      <c r="D81" s="199">
        <v>45166</v>
      </c>
      <c r="E81" s="197">
        <v>2172</v>
      </c>
      <c r="F81" s="197">
        <v>1521</v>
      </c>
      <c r="G81" s="143"/>
      <c r="H81" s="144" t="s">
        <v>78</v>
      </c>
      <c r="I81" s="144"/>
      <c r="J81" s="146"/>
      <c r="K81" s="144"/>
      <c r="L81" s="144"/>
      <c r="M81" s="144"/>
      <c r="N81" s="144"/>
      <c r="O81" s="144"/>
      <c r="P81" s="145"/>
      <c r="Q81" s="144"/>
      <c r="R81" s="144"/>
      <c r="S81" s="145" t="s">
        <v>484</v>
      </c>
      <c r="T81" s="74"/>
      <c r="U81" s="75">
        <v>41067</v>
      </c>
      <c r="V81" s="74"/>
      <c r="W81" s="76" t="s">
        <v>78</v>
      </c>
      <c r="X81" s="74">
        <v>0</v>
      </c>
      <c r="Y81" s="53"/>
      <c r="Z81" s="53">
        <f t="shared" si="1"/>
        <v>0</v>
      </c>
      <c r="AA81" s="53"/>
    </row>
    <row r="82" spans="1:27" ht="31.5" customHeight="1">
      <c r="A82" s="483"/>
      <c r="B82" s="175" t="s">
        <v>373</v>
      </c>
      <c r="C82" s="176" t="s">
        <v>374</v>
      </c>
      <c r="D82" s="199">
        <v>46803</v>
      </c>
      <c r="E82" s="197">
        <v>2251</v>
      </c>
      <c r="F82" s="197">
        <v>1576</v>
      </c>
      <c r="G82" s="143"/>
      <c r="H82" s="144" t="s">
        <v>78</v>
      </c>
      <c r="I82" s="144"/>
      <c r="J82" s="146"/>
      <c r="K82" s="144"/>
      <c r="L82" s="144"/>
      <c r="M82" s="144"/>
      <c r="N82" s="144"/>
      <c r="O82" s="144"/>
      <c r="P82" s="145"/>
      <c r="Q82" s="144"/>
      <c r="R82" s="144"/>
      <c r="S82" s="144" t="s">
        <v>485</v>
      </c>
      <c r="T82" s="74"/>
      <c r="U82" s="75">
        <v>42580</v>
      </c>
      <c r="V82" s="74"/>
      <c r="W82" s="76" t="s">
        <v>78</v>
      </c>
      <c r="X82" s="74">
        <v>0</v>
      </c>
      <c r="Y82" s="53"/>
      <c r="Z82" s="53">
        <f t="shared" si="1"/>
        <v>0</v>
      </c>
      <c r="AA82" s="53"/>
    </row>
    <row r="83" spans="1:27" ht="31.5" customHeight="1">
      <c r="A83" s="483"/>
      <c r="B83" s="178" t="s">
        <v>375</v>
      </c>
      <c r="C83" s="145" t="s">
        <v>486</v>
      </c>
      <c r="D83" s="199">
        <v>15000</v>
      </c>
      <c r="E83" s="197">
        <v>722</v>
      </c>
      <c r="F83" s="197">
        <v>505</v>
      </c>
      <c r="G83" s="144"/>
      <c r="H83" s="144" t="s">
        <v>78</v>
      </c>
      <c r="I83" s="144"/>
      <c r="J83" s="146"/>
      <c r="K83" s="144"/>
      <c r="L83" s="144"/>
      <c r="M83" s="144"/>
      <c r="N83" s="144"/>
      <c r="O83" s="144"/>
      <c r="P83" s="145"/>
      <c r="Q83" s="144"/>
      <c r="R83" s="144"/>
      <c r="S83" s="144" t="s">
        <v>487</v>
      </c>
      <c r="T83" s="74"/>
      <c r="U83" s="75">
        <v>15000</v>
      </c>
      <c r="V83" s="74"/>
      <c r="W83" s="76" t="s">
        <v>78</v>
      </c>
      <c r="X83" s="74">
        <v>0</v>
      </c>
      <c r="Y83" s="53"/>
      <c r="Z83" s="53">
        <f t="shared" si="1"/>
        <v>0</v>
      </c>
      <c r="AA83" s="53"/>
    </row>
    <row r="84" spans="1:27" ht="31.5" customHeight="1">
      <c r="A84" s="483"/>
      <c r="B84" s="178" t="s">
        <v>376</v>
      </c>
      <c r="C84" s="145" t="s">
        <v>377</v>
      </c>
      <c r="D84" s="201">
        <v>4370</v>
      </c>
      <c r="E84" s="197">
        <v>210</v>
      </c>
      <c r="F84" s="197">
        <v>147</v>
      </c>
      <c r="G84" s="144">
        <v>56</v>
      </c>
      <c r="H84" s="144" t="s">
        <v>75</v>
      </c>
      <c r="I84" s="144">
        <v>357.8</v>
      </c>
      <c r="J84" s="146">
        <v>8.1900000000000001E-2</v>
      </c>
      <c r="K84" s="146"/>
      <c r="L84" s="144"/>
      <c r="M84" s="144"/>
      <c r="N84" s="144"/>
      <c r="O84" s="186" t="s">
        <v>378</v>
      </c>
      <c r="P84" s="145" t="s">
        <v>379</v>
      </c>
      <c r="Q84" s="147">
        <v>0.85</v>
      </c>
      <c r="R84" s="142"/>
      <c r="S84" s="145" t="s">
        <v>360</v>
      </c>
      <c r="T84" s="74"/>
      <c r="U84" s="75">
        <v>4370</v>
      </c>
      <c r="V84" s="74"/>
      <c r="W84" s="76" t="s">
        <v>78</v>
      </c>
      <c r="X84" s="74">
        <v>0</v>
      </c>
      <c r="Y84" s="53"/>
      <c r="Z84" s="53">
        <f t="shared" si="1"/>
        <v>3714.5</v>
      </c>
      <c r="AA84" s="53"/>
    </row>
    <row r="85" spans="1:27" ht="31.5" customHeight="1">
      <c r="A85" s="483"/>
      <c r="B85" s="178" t="s">
        <v>380</v>
      </c>
      <c r="C85" s="145" t="s">
        <v>381</v>
      </c>
      <c r="D85" s="201">
        <v>173350</v>
      </c>
      <c r="E85" s="197">
        <v>8338</v>
      </c>
      <c r="F85" s="197">
        <v>5837</v>
      </c>
      <c r="G85" s="202">
        <v>4645</v>
      </c>
      <c r="H85" s="203" t="s">
        <v>75</v>
      </c>
      <c r="I85" s="143">
        <v>16740</v>
      </c>
      <c r="J85" s="204">
        <v>9.6600000000000005E-2</v>
      </c>
      <c r="K85" s="146"/>
      <c r="L85" s="144"/>
      <c r="M85" s="144"/>
      <c r="N85" s="144"/>
      <c r="O85" s="205" t="s">
        <v>382</v>
      </c>
      <c r="P85" s="206" t="s">
        <v>383</v>
      </c>
      <c r="Q85" s="207">
        <v>0.85</v>
      </c>
      <c r="R85" s="147"/>
      <c r="S85" s="186" t="s">
        <v>360</v>
      </c>
      <c r="T85" s="74"/>
      <c r="U85" s="75">
        <v>173350</v>
      </c>
      <c r="V85" s="74"/>
      <c r="W85" s="76" t="s">
        <v>78</v>
      </c>
      <c r="X85" s="74">
        <v>0</v>
      </c>
      <c r="Y85" s="53"/>
      <c r="Z85" s="53">
        <f t="shared" si="1"/>
        <v>147347.5</v>
      </c>
      <c r="AA85" s="53"/>
    </row>
    <row r="86" spans="1:27" ht="31.5" customHeight="1">
      <c r="A86" s="483"/>
      <c r="B86" s="178" t="s">
        <v>384</v>
      </c>
      <c r="C86" s="145" t="s">
        <v>385</v>
      </c>
      <c r="D86" s="199">
        <v>9661</v>
      </c>
      <c r="E86" s="197">
        <v>465</v>
      </c>
      <c r="F86" s="208">
        <v>326</v>
      </c>
      <c r="G86" s="64">
        <v>16</v>
      </c>
      <c r="H86" s="64" t="s">
        <v>78</v>
      </c>
      <c r="I86" s="163">
        <v>2141</v>
      </c>
      <c r="J86" s="180">
        <v>0.24779999999999999</v>
      </c>
      <c r="K86" s="64">
        <v>0</v>
      </c>
      <c r="L86" s="144">
        <v>0</v>
      </c>
      <c r="M86" s="144">
        <v>1130</v>
      </c>
      <c r="N86" s="144">
        <v>0</v>
      </c>
      <c r="O86" s="209" t="s">
        <v>386</v>
      </c>
      <c r="P86" s="210" t="s">
        <v>387</v>
      </c>
      <c r="Q86" s="211">
        <v>0.85</v>
      </c>
      <c r="R86" s="144"/>
      <c r="S86" s="209" t="s">
        <v>360</v>
      </c>
      <c r="T86" s="74"/>
      <c r="U86" s="75">
        <v>4600</v>
      </c>
      <c r="V86" s="74"/>
      <c r="W86" s="76" t="s">
        <v>78</v>
      </c>
      <c r="X86" s="74">
        <v>0</v>
      </c>
      <c r="Y86" s="53"/>
      <c r="Z86" s="53">
        <f t="shared" si="1"/>
        <v>8211.85</v>
      </c>
      <c r="AA86" s="53"/>
    </row>
    <row r="87" spans="1:27" ht="31.5" customHeight="1">
      <c r="A87" s="484"/>
      <c r="B87" s="178" t="s">
        <v>388</v>
      </c>
      <c r="C87" s="145" t="s">
        <v>389</v>
      </c>
      <c r="D87" s="199">
        <v>6091</v>
      </c>
      <c r="E87" s="199">
        <v>293</v>
      </c>
      <c r="F87" s="199">
        <v>205</v>
      </c>
      <c r="G87" s="199">
        <v>200</v>
      </c>
      <c r="H87" s="64" t="s">
        <v>75</v>
      </c>
      <c r="I87" s="163">
        <v>2183</v>
      </c>
      <c r="J87" s="180">
        <v>0.3584</v>
      </c>
      <c r="K87" s="180"/>
      <c r="L87" s="144"/>
      <c r="M87" s="144"/>
      <c r="N87" s="144"/>
      <c r="O87" s="210" t="s">
        <v>390</v>
      </c>
      <c r="P87" s="210" t="s">
        <v>391</v>
      </c>
      <c r="Q87" s="211">
        <v>0.77</v>
      </c>
      <c r="R87" s="147"/>
      <c r="S87" s="186" t="s">
        <v>360</v>
      </c>
      <c r="T87" s="74"/>
      <c r="U87" s="75">
        <v>5550</v>
      </c>
      <c r="V87" s="74"/>
      <c r="W87" s="76" t="s">
        <v>78</v>
      </c>
      <c r="X87" s="74">
        <v>0</v>
      </c>
      <c r="Y87" s="53"/>
      <c r="Z87" s="53">
        <f t="shared" si="1"/>
        <v>4690.07</v>
      </c>
      <c r="AA87" s="53"/>
    </row>
    <row r="88" spans="1:27" ht="31.5" hidden="1" customHeight="1">
      <c r="A88" s="482" t="s">
        <v>31</v>
      </c>
      <c r="B88" s="161" t="s">
        <v>392</v>
      </c>
      <c r="C88" s="162" t="s">
        <v>393</v>
      </c>
      <c r="D88" s="163">
        <v>12945</v>
      </c>
      <c r="E88" s="140">
        <v>480</v>
      </c>
      <c r="F88" s="138">
        <v>336</v>
      </c>
      <c r="G88" s="212">
        <v>81</v>
      </c>
      <c r="H88" s="140" t="s">
        <v>75</v>
      </c>
      <c r="I88" s="213">
        <v>2596</v>
      </c>
      <c r="J88" s="141">
        <v>0.28000000000000003</v>
      </c>
      <c r="K88" s="140">
        <v>40</v>
      </c>
      <c r="L88" s="140"/>
      <c r="M88" s="140">
        <v>800</v>
      </c>
      <c r="N88" s="140">
        <v>100</v>
      </c>
      <c r="O88" s="140" t="s">
        <v>394</v>
      </c>
      <c r="P88" s="139" t="s">
        <v>395</v>
      </c>
      <c r="Q88" s="142">
        <v>0.75</v>
      </c>
      <c r="R88" s="140">
        <v>286</v>
      </c>
      <c r="S88" s="162" t="s">
        <v>396</v>
      </c>
      <c r="T88" s="74"/>
      <c r="U88" s="75">
        <v>9980</v>
      </c>
      <c r="V88" s="74"/>
      <c r="W88" s="76" t="s">
        <v>78</v>
      </c>
      <c r="X88" s="74">
        <v>0</v>
      </c>
      <c r="Y88" s="53"/>
      <c r="Z88" s="53">
        <f t="shared" si="1"/>
        <v>9708.75</v>
      </c>
      <c r="AA88" s="53"/>
    </row>
    <row r="89" spans="1:27" ht="31.5" hidden="1" customHeight="1">
      <c r="A89" s="483"/>
      <c r="B89" s="161" t="s">
        <v>397</v>
      </c>
      <c r="C89" s="162" t="s">
        <v>398</v>
      </c>
      <c r="D89" s="164">
        <v>25100</v>
      </c>
      <c r="E89" s="143">
        <v>1207</v>
      </c>
      <c r="F89" s="143">
        <v>845</v>
      </c>
      <c r="G89" s="214">
        <v>384</v>
      </c>
      <c r="H89" s="144" t="s">
        <v>75</v>
      </c>
      <c r="I89" s="215">
        <v>9806</v>
      </c>
      <c r="J89" s="146">
        <v>0.39</v>
      </c>
      <c r="K89" s="144">
        <v>50</v>
      </c>
      <c r="L89" s="144">
        <v>200</v>
      </c>
      <c r="M89" s="144">
        <v>200</v>
      </c>
      <c r="N89" s="144">
        <v>100</v>
      </c>
      <c r="O89" s="144" t="s">
        <v>399</v>
      </c>
      <c r="P89" s="145" t="s">
        <v>400</v>
      </c>
      <c r="Q89" s="147">
        <v>0.85</v>
      </c>
      <c r="R89" s="144">
        <v>-2919</v>
      </c>
      <c r="S89" s="145" t="s">
        <v>401</v>
      </c>
      <c r="T89" s="74"/>
      <c r="U89" s="75">
        <v>43000</v>
      </c>
      <c r="V89" s="74"/>
      <c r="W89" s="76" t="s">
        <v>78</v>
      </c>
      <c r="X89" s="74">
        <v>0</v>
      </c>
      <c r="Y89" s="53"/>
      <c r="Z89" s="53">
        <f t="shared" si="1"/>
        <v>21335</v>
      </c>
      <c r="AA89" s="53"/>
    </row>
    <row r="90" spans="1:27" ht="31.5" hidden="1" customHeight="1">
      <c r="A90" s="483"/>
      <c r="B90" s="161" t="s">
        <v>402</v>
      </c>
      <c r="C90" s="162" t="s">
        <v>403</v>
      </c>
      <c r="D90" s="164">
        <v>15000</v>
      </c>
      <c r="E90" s="144">
        <v>552</v>
      </c>
      <c r="F90" s="143">
        <v>386</v>
      </c>
      <c r="G90" s="214">
        <v>40</v>
      </c>
      <c r="H90" s="144" t="s">
        <v>78</v>
      </c>
      <c r="I90" s="215">
        <v>1707</v>
      </c>
      <c r="J90" s="146">
        <v>0.1047</v>
      </c>
      <c r="K90" s="144"/>
      <c r="L90" s="144"/>
      <c r="M90" s="144"/>
      <c r="N90" s="144"/>
      <c r="O90" s="144" t="s">
        <v>404</v>
      </c>
      <c r="P90" s="145" t="s">
        <v>405</v>
      </c>
      <c r="Q90" s="147">
        <v>0.77</v>
      </c>
      <c r="R90" s="144"/>
      <c r="S90" s="145" t="s">
        <v>406</v>
      </c>
      <c r="T90" s="74"/>
      <c r="U90" s="75">
        <v>15000</v>
      </c>
      <c r="V90" s="74"/>
      <c r="W90" s="76" t="s">
        <v>78</v>
      </c>
      <c r="X90" s="74">
        <v>0</v>
      </c>
      <c r="Y90" s="53"/>
      <c r="Z90" s="53">
        <f t="shared" si="1"/>
        <v>11550</v>
      </c>
      <c r="AA90" s="53"/>
    </row>
    <row r="91" spans="1:27" ht="31.5" hidden="1" customHeight="1">
      <c r="A91" s="483"/>
      <c r="B91" s="161" t="s">
        <v>407</v>
      </c>
      <c r="C91" s="162" t="s">
        <v>408</v>
      </c>
      <c r="D91" s="164">
        <v>28878</v>
      </c>
      <c r="E91" s="143">
        <v>1063</v>
      </c>
      <c r="F91" s="143">
        <v>744</v>
      </c>
      <c r="G91" s="214">
        <v>329</v>
      </c>
      <c r="H91" s="144" t="s">
        <v>75</v>
      </c>
      <c r="I91" s="215">
        <v>4458</v>
      </c>
      <c r="J91" s="146">
        <v>0.15</v>
      </c>
      <c r="K91" s="144">
        <v>80</v>
      </c>
      <c r="L91" s="144">
        <v>0</v>
      </c>
      <c r="M91" s="144">
        <v>1100</v>
      </c>
      <c r="N91" s="144"/>
      <c r="O91" s="144" t="s">
        <v>409</v>
      </c>
      <c r="P91" s="145" t="s">
        <v>410</v>
      </c>
      <c r="Q91" s="147">
        <v>0.73</v>
      </c>
      <c r="R91" s="144"/>
      <c r="S91" s="145" t="s">
        <v>411</v>
      </c>
      <c r="T91" s="74"/>
      <c r="U91" s="75">
        <v>28500</v>
      </c>
      <c r="V91" s="74"/>
      <c r="W91" s="76" t="s">
        <v>78</v>
      </c>
      <c r="X91" s="74">
        <v>0</v>
      </c>
      <c r="Y91" s="53"/>
      <c r="Z91" s="53">
        <f t="shared" si="1"/>
        <v>21080.94</v>
      </c>
      <c r="AA91" s="53"/>
    </row>
    <row r="92" spans="1:27" ht="31.5" hidden="1" customHeight="1">
      <c r="A92" s="483"/>
      <c r="B92" s="161" t="s">
        <v>412</v>
      </c>
      <c r="C92" s="162" t="s">
        <v>413</v>
      </c>
      <c r="D92" s="164">
        <v>25647</v>
      </c>
      <c r="E92" s="143">
        <v>1039</v>
      </c>
      <c r="F92" s="143">
        <v>727</v>
      </c>
      <c r="G92" s="214">
        <v>175</v>
      </c>
      <c r="H92" s="144" t="s">
        <v>75</v>
      </c>
      <c r="I92" s="215">
        <v>3894</v>
      </c>
      <c r="J92" s="146">
        <v>0.14000000000000001</v>
      </c>
      <c r="K92" s="144"/>
      <c r="L92" s="144"/>
      <c r="M92" s="144"/>
      <c r="N92" s="144"/>
      <c r="O92" s="144" t="s">
        <v>414</v>
      </c>
      <c r="P92" s="145" t="s">
        <v>415</v>
      </c>
      <c r="Q92" s="147">
        <v>0.73</v>
      </c>
      <c r="R92" s="144"/>
      <c r="S92" s="145" t="s">
        <v>416</v>
      </c>
      <c r="T92" s="74"/>
      <c r="U92" s="75">
        <v>48000</v>
      </c>
      <c r="V92" s="74"/>
      <c r="W92" s="76" t="s">
        <v>78</v>
      </c>
      <c r="X92" s="74">
        <v>0</v>
      </c>
      <c r="Y92" s="53"/>
      <c r="Z92" s="53">
        <f t="shared" si="1"/>
        <v>18722.310000000001</v>
      </c>
      <c r="AA92" s="53"/>
    </row>
    <row r="93" spans="1:27" ht="242.25" hidden="1" customHeight="1">
      <c r="A93" s="483"/>
      <c r="B93" s="161" t="s">
        <v>417</v>
      </c>
      <c r="C93" s="162" t="s">
        <v>418</v>
      </c>
      <c r="D93" s="164">
        <v>9850</v>
      </c>
      <c r="E93" s="143">
        <v>339</v>
      </c>
      <c r="F93" s="143">
        <v>237</v>
      </c>
      <c r="G93" s="214">
        <v>61</v>
      </c>
      <c r="H93" s="144" t="s">
        <v>75</v>
      </c>
      <c r="I93" s="215">
        <v>2922</v>
      </c>
      <c r="J93" s="146">
        <v>0.3</v>
      </c>
      <c r="K93" s="144"/>
      <c r="L93" s="144"/>
      <c r="M93" s="144"/>
      <c r="N93" s="144"/>
      <c r="O93" s="144" t="s">
        <v>419</v>
      </c>
      <c r="P93" s="145" t="s">
        <v>420</v>
      </c>
      <c r="Q93" s="147">
        <v>0.78</v>
      </c>
      <c r="R93" s="144">
        <v>0</v>
      </c>
      <c r="S93" s="145" t="s">
        <v>421</v>
      </c>
      <c r="T93" s="74"/>
      <c r="U93" s="75">
        <v>9200</v>
      </c>
      <c r="V93" s="74"/>
      <c r="W93" s="76" t="s">
        <v>78</v>
      </c>
      <c r="X93" s="74">
        <v>0</v>
      </c>
      <c r="Y93" s="53"/>
      <c r="Z93" s="53">
        <f t="shared" si="1"/>
        <v>7683</v>
      </c>
      <c r="AA93" s="53"/>
    </row>
    <row r="94" spans="1:27" ht="31.5" hidden="1" customHeight="1">
      <c r="A94" s="484"/>
      <c r="B94" s="161" t="s">
        <v>422</v>
      </c>
      <c r="C94" s="162" t="s">
        <v>423</v>
      </c>
      <c r="D94" s="164">
        <v>18894</v>
      </c>
      <c r="E94" s="143">
        <v>847</v>
      </c>
      <c r="F94" s="143">
        <v>593</v>
      </c>
      <c r="G94" s="214">
        <v>111</v>
      </c>
      <c r="H94" s="144" t="s">
        <v>75</v>
      </c>
      <c r="I94" s="215">
        <v>3084</v>
      </c>
      <c r="J94" s="146">
        <v>0.16</v>
      </c>
      <c r="K94" s="144"/>
      <c r="L94" s="144"/>
      <c r="M94" s="144"/>
      <c r="N94" s="144"/>
      <c r="O94" s="144" t="s">
        <v>419</v>
      </c>
      <c r="P94" s="145" t="s">
        <v>424</v>
      </c>
      <c r="Q94" s="147">
        <v>0.77</v>
      </c>
      <c r="R94" s="144">
        <v>-3.7</v>
      </c>
      <c r="S94" s="145" t="s">
        <v>125</v>
      </c>
      <c r="T94" s="74"/>
      <c r="U94" s="75">
        <v>23000</v>
      </c>
      <c r="V94" s="74"/>
      <c r="W94" s="76" t="s">
        <v>78</v>
      </c>
      <c r="X94" s="74">
        <v>0</v>
      </c>
      <c r="Y94" s="53"/>
      <c r="Z94" s="53">
        <f t="shared" si="1"/>
        <v>14548.380000000001</v>
      </c>
      <c r="AA94" s="53"/>
    </row>
    <row r="95" spans="1:27" ht="31.5" hidden="1" customHeight="1">
      <c r="A95" s="482" t="s">
        <v>32</v>
      </c>
      <c r="B95" s="175" t="s">
        <v>425</v>
      </c>
      <c r="C95" s="176" t="s">
        <v>426</v>
      </c>
      <c r="D95" s="143">
        <v>21000</v>
      </c>
      <c r="E95" s="144">
        <v>752</v>
      </c>
      <c r="F95" s="215">
        <v>526</v>
      </c>
      <c r="G95" s="144">
        <v>-37.9</v>
      </c>
      <c r="H95" s="144" t="s">
        <v>75</v>
      </c>
      <c r="I95" s="144">
        <v>226.8</v>
      </c>
      <c r="J95" s="146">
        <v>0.10879999999999999</v>
      </c>
      <c r="K95" s="144">
        <v>200</v>
      </c>
      <c r="L95" s="144"/>
      <c r="M95" s="144">
        <v>5000</v>
      </c>
      <c r="N95" s="144"/>
      <c r="O95" s="144" t="s">
        <v>427</v>
      </c>
      <c r="P95" s="162" t="s">
        <v>428</v>
      </c>
      <c r="Q95" s="170">
        <v>0.7</v>
      </c>
      <c r="R95" s="64">
        <v>0</v>
      </c>
      <c r="S95" s="162" t="s">
        <v>488</v>
      </c>
      <c r="T95" s="74"/>
      <c r="U95" s="75">
        <v>21000</v>
      </c>
      <c r="V95" s="74"/>
      <c r="W95" s="76" t="s">
        <v>78</v>
      </c>
      <c r="X95" s="74">
        <v>0</v>
      </c>
      <c r="Y95" s="53" t="s">
        <v>99</v>
      </c>
      <c r="Z95" s="53">
        <f t="shared" si="1"/>
        <v>14699.999999999998</v>
      </c>
      <c r="AA95" s="53"/>
    </row>
    <row r="96" spans="1:27" ht="110.25" hidden="1" customHeight="1">
      <c r="A96" s="483"/>
      <c r="B96" s="175" t="s">
        <v>429</v>
      </c>
      <c r="C96" s="176" t="s">
        <v>430</v>
      </c>
      <c r="D96" s="143">
        <v>9100</v>
      </c>
      <c r="E96" s="215">
        <v>326</v>
      </c>
      <c r="F96" s="215">
        <v>228</v>
      </c>
      <c r="G96" s="145">
        <v>108.7</v>
      </c>
      <c r="H96" s="144" t="s">
        <v>75</v>
      </c>
      <c r="I96" s="143">
        <v>4450</v>
      </c>
      <c r="J96" s="146">
        <v>0.48899999999999999</v>
      </c>
      <c r="K96" s="144"/>
      <c r="L96" s="144"/>
      <c r="M96" s="144"/>
      <c r="N96" s="144"/>
      <c r="O96" s="144"/>
      <c r="P96" s="162" t="s">
        <v>431</v>
      </c>
      <c r="Q96" s="170">
        <v>0.71</v>
      </c>
      <c r="R96" s="64">
        <v>606.20000000000005</v>
      </c>
      <c r="S96" s="162" t="s">
        <v>489</v>
      </c>
      <c r="T96" s="74"/>
      <c r="U96" s="75">
        <v>9100</v>
      </c>
      <c r="V96" s="74"/>
      <c r="W96" s="76" t="s">
        <v>78</v>
      </c>
      <c r="X96" s="74">
        <v>0</v>
      </c>
      <c r="Y96" s="53" t="s">
        <v>99</v>
      </c>
      <c r="Z96" s="53">
        <f t="shared" si="1"/>
        <v>6461</v>
      </c>
      <c r="AA96" s="53"/>
    </row>
    <row r="97" spans="1:27" ht="31.5" hidden="1" customHeight="1">
      <c r="A97" s="483"/>
      <c r="B97" s="175" t="s">
        <v>432</v>
      </c>
      <c r="C97" s="176" t="s">
        <v>433</v>
      </c>
      <c r="D97" s="143">
        <v>12280</v>
      </c>
      <c r="E97" s="215">
        <v>550</v>
      </c>
      <c r="F97" s="143">
        <v>385</v>
      </c>
      <c r="G97" s="145"/>
      <c r="H97" s="144" t="s">
        <v>78</v>
      </c>
      <c r="I97" s="144"/>
      <c r="J97" s="144"/>
      <c r="K97" s="144">
        <v>700</v>
      </c>
      <c r="L97" s="144">
        <v>2000</v>
      </c>
      <c r="M97" s="144">
        <v>1000</v>
      </c>
      <c r="N97" s="144"/>
      <c r="O97" s="144" t="s">
        <v>434</v>
      </c>
      <c r="P97" s="162" t="s">
        <v>435</v>
      </c>
      <c r="Q97" s="64"/>
      <c r="R97" s="64"/>
      <c r="S97" s="162" t="s">
        <v>490</v>
      </c>
      <c r="T97" s="74"/>
      <c r="U97" s="75">
        <v>12280</v>
      </c>
      <c r="V97" s="74"/>
      <c r="W97" s="76" t="s">
        <v>78</v>
      </c>
      <c r="X97" s="74"/>
      <c r="Y97" s="53"/>
      <c r="Z97" s="53">
        <f t="shared" si="1"/>
        <v>0</v>
      </c>
      <c r="AA97" s="53"/>
    </row>
    <row r="98" spans="1:27" ht="49.5" hidden="1" customHeight="1">
      <c r="A98" s="483"/>
      <c r="B98" s="178" t="s">
        <v>436</v>
      </c>
      <c r="C98" s="145" t="s">
        <v>437</v>
      </c>
      <c r="D98" s="143">
        <v>20000</v>
      </c>
      <c r="E98" s="215">
        <v>750</v>
      </c>
      <c r="F98" s="143">
        <v>525</v>
      </c>
      <c r="G98" s="145"/>
      <c r="H98" s="144" t="s">
        <v>78</v>
      </c>
      <c r="I98" s="144"/>
      <c r="J98" s="144"/>
      <c r="K98" s="144">
        <v>180</v>
      </c>
      <c r="L98" s="144"/>
      <c r="M98" s="144">
        <v>500</v>
      </c>
      <c r="N98" s="144"/>
      <c r="O98" s="144" t="s">
        <v>427</v>
      </c>
      <c r="P98" s="162" t="s">
        <v>438</v>
      </c>
      <c r="Q98" s="64"/>
      <c r="R98" s="64"/>
      <c r="S98" s="162" t="s">
        <v>491</v>
      </c>
      <c r="T98" s="74"/>
      <c r="U98" s="75">
        <v>20000</v>
      </c>
      <c r="V98" s="74"/>
      <c r="W98" s="76" t="s">
        <v>78</v>
      </c>
      <c r="X98" s="74"/>
      <c r="Y98" s="53"/>
      <c r="Z98" s="53">
        <f t="shared" si="1"/>
        <v>0</v>
      </c>
      <c r="AA98" s="53"/>
    </row>
    <row r="99" spans="1:27" ht="165" hidden="1">
      <c r="A99" s="483"/>
      <c r="B99" s="178" t="s">
        <v>439</v>
      </c>
      <c r="C99" s="145" t="s">
        <v>440</v>
      </c>
      <c r="D99" s="143">
        <v>4000</v>
      </c>
      <c r="E99" s="215">
        <v>30</v>
      </c>
      <c r="F99" s="143">
        <v>21</v>
      </c>
      <c r="G99" s="145">
        <v>27</v>
      </c>
      <c r="H99" s="144" t="s">
        <v>75</v>
      </c>
      <c r="I99" s="144">
        <v>0</v>
      </c>
      <c r="J99" s="147">
        <v>0</v>
      </c>
      <c r="K99" s="144"/>
      <c r="L99" s="144"/>
      <c r="M99" s="144"/>
      <c r="N99" s="144"/>
      <c r="O99" s="144"/>
      <c r="P99" s="162"/>
      <c r="Q99" s="170">
        <v>0.79</v>
      </c>
      <c r="R99" s="64">
        <v>0</v>
      </c>
      <c r="S99" s="162" t="s">
        <v>492</v>
      </c>
      <c r="T99" s="74"/>
      <c r="U99" s="75">
        <v>4000</v>
      </c>
      <c r="V99" s="74"/>
      <c r="W99" s="76" t="s">
        <v>78</v>
      </c>
      <c r="X99" s="74"/>
      <c r="Y99" s="53"/>
      <c r="Z99" s="53">
        <f t="shared" si="1"/>
        <v>3160</v>
      </c>
      <c r="AA99" s="53"/>
    </row>
    <row r="100" spans="1:27" ht="33" hidden="1">
      <c r="A100" s="483"/>
      <c r="B100" s="178" t="s">
        <v>441</v>
      </c>
      <c r="C100" s="145" t="s">
        <v>442</v>
      </c>
      <c r="D100" s="143">
        <v>52749</v>
      </c>
      <c r="E100" s="215">
        <v>450</v>
      </c>
      <c r="F100" s="143">
        <v>315</v>
      </c>
      <c r="G100" s="145">
        <v>59.54</v>
      </c>
      <c r="H100" s="144" t="s">
        <v>75</v>
      </c>
      <c r="I100" s="143">
        <v>11273</v>
      </c>
      <c r="J100" s="147">
        <v>0.2137</v>
      </c>
      <c r="K100" s="144"/>
      <c r="L100" s="144"/>
      <c r="M100" s="144"/>
      <c r="N100" s="144"/>
      <c r="O100" s="144" t="s">
        <v>443</v>
      </c>
      <c r="P100" s="162"/>
      <c r="Q100" s="170">
        <v>0.7</v>
      </c>
      <c r="R100" s="64"/>
      <c r="S100" s="162" t="s">
        <v>444</v>
      </c>
      <c r="T100" s="74"/>
      <c r="U100" s="75">
        <v>49821</v>
      </c>
      <c r="V100" s="74"/>
      <c r="W100" s="76"/>
      <c r="X100" s="74"/>
      <c r="Y100" s="53"/>
      <c r="Z100" s="53">
        <f t="shared" si="1"/>
        <v>36924.299999999996</v>
      </c>
      <c r="AA100" s="53"/>
    </row>
    <row r="101" spans="1:27" ht="82.5" hidden="1">
      <c r="A101" s="484"/>
      <c r="B101" s="172" t="s">
        <v>445</v>
      </c>
      <c r="C101" s="173" t="s">
        <v>446</v>
      </c>
      <c r="D101" s="138">
        <v>4000</v>
      </c>
      <c r="E101" s="213">
        <v>35</v>
      </c>
      <c r="F101" s="138">
        <v>25</v>
      </c>
      <c r="G101" s="139"/>
      <c r="H101" s="140" t="s">
        <v>78</v>
      </c>
      <c r="I101" s="140"/>
      <c r="J101" s="140"/>
      <c r="K101" s="140"/>
      <c r="L101" s="140"/>
      <c r="M101" s="140"/>
      <c r="N101" s="140"/>
      <c r="O101" s="140"/>
      <c r="P101" s="139"/>
      <c r="Q101" s="140"/>
      <c r="R101" s="140"/>
      <c r="S101" s="139" t="s">
        <v>493</v>
      </c>
      <c r="T101" s="74"/>
      <c r="U101" s="75">
        <v>4000</v>
      </c>
      <c r="V101" s="74"/>
      <c r="W101" s="76"/>
      <c r="X101" s="74"/>
      <c r="Y101" s="53"/>
      <c r="Z101" s="53">
        <f t="shared" si="1"/>
        <v>0</v>
      </c>
      <c r="AA101" s="53"/>
    </row>
    <row r="102" spans="1:27" ht="99" hidden="1">
      <c r="A102" s="482" t="s">
        <v>33</v>
      </c>
      <c r="B102" s="172" t="s">
        <v>449</v>
      </c>
      <c r="C102" s="216" t="s">
        <v>450</v>
      </c>
      <c r="D102" s="163">
        <v>12760</v>
      </c>
      <c r="E102" s="64">
        <v>570</v>
      </c>
      <c r="F102" s="163">
        <v>399</v>
      </c>
      <c r="G102" s="162">
        <v>64</v>
      </c>
      <c r="H102" s="64" t="s">
        <v>75</v>
      </c>
      <c r="I102" s="64">
        <v>3674</v>
      </c>
      <c r="J102" s="180">
        <v>0.28789999999999999</v>
      </c>
      <c r="K102" s="64">
        <v>43</v>
      </c>
      <c r="L102" s="64">
        <v>110</v>
      </c>
      <c r="M102" s="64">
        <v>177</v>
      </c>
      <c r="N102" s="64"/>
      <c r="O102" s="64" t="s">
        <v>451</v>
      </c>
      <c r="P102" s="162" t="s">
        <v>452</v>
      </c>
      <c r="Q102" s="170">
        <v>0.74</v>
      </c>
      <c r="R102" s="64"/>
      <c r="S102" s="162"/>
      <c r="T102" s="74"/>
      <c r="U102" s="75">
        <v>15000</v>
      </c>
      <c r="V102" s="74"/>
      <c r="W102" s="76" t="s">
        <v>78</v>
      </c>
      <c r="X102" s="74">
        <v>0</v>
      </c>
      <c r="Y102" s="53"/>
      <c r="Z102" s="53">
        <f t="shared" si="1"/>
        <v>9442.4</v>
      </c>
      <c r="AA102" s="53"/>
    </row>
    <row r="103" spans="1:27" ht="66" hidden="1">
      <c r="A103" s="483"/>
      <c r="B103" s="172" t="s">
        <v>453</v>
      </c>
      <c r="C103" s="216" t="s">
        <v>454</v>
      </c>
      <c r="D103" s="163">
        <v>8982</v>
      </c>
      <c r="E103" s="64">
        <v>341</v>
      </c>
      <c r="F103" s="163">
        <v>239</v>
      </c>
      <c r="G103" s="64">
        <v>96</v>
      </c>
      <c r="H103" s="64" t="s">
        <v>75</v>
      </c>
      <c r="I103" s="64">
        <v>819</v>
      </c>
      <c r="J103" s="180">
        <v>9.1200000000000003E-2</v>
      </c>
      <c r="K103" s="64">
        <v>13</v>
      </c>
      <c r="L103" s="64">
        <v>296</v>
      </c>
      <c r="M103" s="64">
        <v>1759</v>
      </c>
      <c r="N103" s="64"/>
      <c r="O103" s="64" t="s">
        <v>455</v>
      </c>
      <c r="P103" s="162" t="s">
        <v>456</v>
      </c>
      <c r="Q103" s="170">
        <v>0.72</v>
      </c>
      <c r="R103" s="64"/>
      <c r="S103" s="162"/>
      <c r="T103" s="74"/>
      <c r="U103" s="75">
        <v>15000</v>
      </c>
      <c r="V103" s="74"/>
      <c r="W103" s="76" t="s">
        <v>78</v>
      </c>
      <c r="X103" s="74">
        <v>0</v>
      </c>
      <c r="Y103" s="53"/>
      <c r="Z103" s="53">
        <f t="shared" si="1"/>
        <v>6467.04</v>
      </c>
      <c r="AA103" s="53"/>
    </row>
    <row r="104" spans="1:27" ht="115.5" hidden="1">
      <c r="A104" s="483"/>
      <c r="B104" s="172" t="s">
        <v>457</v>
      </c>
      <c r="C104" s="216" t="s">
        <v>458</v>
      </c>
      <c r="D104" s="163">
        <v>45049</v>
      </c>
      <c r="E104" s="163">
        <v>1712</v>
      </c>
      <c r="F104" s="163">
        <v>1198</v>
      </c>
      <c r="G104" s="64">
        <v>121</v>
      </c>
      <c r="H104" s="64" t="s">
        <v>75</v>
      </c>
      <c r="I104" s="163">
        <v>4858</v>
      </c>
      <c r="J104" s="180">
        <v>0.10780000000000001</v>
      </c>
      <c r="K104" s="64">
        <v>50</v>
      </c>
      <c r="L104" s="64"/>
      <c r="M104" s="64">
        <v>100</v>
      </c>
      <c r="N104" s="64"/>
      <c r="O104" s="64" t="s">
        <v>459</v>
      </c>
      <c r="P104" s="162" t="s">
        <v>460</v>
      </c>
      <c r="Q104" s="170">
        <v>0.83</v>
      </c>
      <c r="R104" s="64"/>
      <c r="S104" s="162"/>
      <c r="T104" s="74"/>
      <c r="U104" s="75">
        <v>46049</v>
      </c>
      <c r="V104" s="74"/>
      <c r="W104" s="76" t="s">
        <v>78</v>
      </c>
      <c r="X104" s="74">
        <v>0</v>
      </c>
      <c r="Y104" s="53"/>
      <c r="Z104" s="53">
        <f t="shared" si="1"/>
        <v>37390.67</v>
      </c>
      <c r="AA104" s="53"/>
    </row>
    <row r="105" spans="1:27" ht="115.5" hidden="1">
      <c r="A105" s="484"/>
      <c r="B105" s="172" t="s">
        <v>461</v>
      </c>
      <c r="C105" s="216" t="s">
        <v>462</v>
      </c>
      <c r="D105" s="163">
        <v>46173</v>
      </c>
      <c r="E105" s="163">
        <v>1760</v>
      </c>
      <c r="F105" s="163">
        <v>1232</v>
      </c>
      <c r="G105" s="64">
        <v>258</v>
      </c>
      <c r="H105" s="64" t="s">
        <v>75</v>
      </c>
      <c r="I105" s="163">
        <v>3840</v>
      </c>
      <c r="J105" s="180">
        <v>8.3199999999999996E-2</v>
      </c>
      <c r="K105" s="64">
        <v>50</v>
      </c>
      <c r="L105" s="64"/>
      <c r="M105" s="64">
        <v>100</v>
      </c>
      <c r="N105" s="64"/>
      <c r="O105" s="64" t="s">
        <v>459</v>
      </c>
      <c r="P105" s="162" t="s">
        <v>463</v>
      </c>
      <c r="Q105" s="170">
        <v>0.81</v>
      </c>
      <c r="R105" s="64"/>
      <c r="S105" s="162"/>
      <c r="T105" s="74"/>
      <c r="U105" s="75">
        <v>46173</v>
      </c>
      <c r="V105" s="74"/>
      <c r="W105" s="76" t="s">
        <v>78</v>
      </c>
      <c r="X105" s="74">
        <v>0</v>
      </c>
      <c r="Y105" s="53"/>
      <c r="Z105" s="53">
        <f t="shared" si="1"/>
        <v>37400.130000000005</v>
      </c>
      <c r="AA105" s="53"/>
    </row>
    <row r="106" spans="1:27" ht="18.75">
      <c r="A106" s="53"/>
      <c r="B106" s="217"/>
      <c r="C106" s="218"/>
      <c r="D106" s="219"/>
      <c r="E106" s="219"/>
      <c r="F106" s="220"/>
      <c r="G106" s="219"/>
      <c r="H106" s="219"/>
      <c r="I106" s="219"/>
      <c r="J106" s="221"/>
      <c r="K106" s="219"/>
      <c r="L106" s="219"/>
      <c r="M106" s="219"/>
      <c r="N106" s="219"/>
      <c r="O106" s="219"/>
      <c r="P106" s="222"/>
      <c r="Q106" s="219"/>
      <c r="R106" s="219"/>
      <c r="S106" s="222"/>
      <c r="T106" s="53"/>
      <c r="U106" s="53"/>
      <c r="V106" s="53"/>
      <c r="W106" s="41"/>
      <c r="X106" s="53"/>
      <c r="Y106" s="53"/>
      <c r="Z106" s="53"/>
      <c r="AA106" s="53"/>
    </row>
    <row r="107" spans="1:27" ht="18.75">
      <c r="A107" s="53"/>
      <c r="B107" s="217"/>
      <c r="C107" s="218"/>
      <c r="D107" s="219"/>
      <c r="E107" s="219"/>
      <c r="F107" s="220"/>
      <c r="G107" s="219"/>
      <c r="H107" s="219"/>
      <c r="I107" s="219"/>
      <c r="J107" s="221"/>
      <c r="K107" s="219"/>
      <c r="L107" s="219"/>
      <c r="M107" s="219"/>
      <c r="N107" s="219"/>
      <c r="O107" s="219"/>
      <c r="P107" s="222"/>
      <c r="Q107" s="219"/>
      <c r="R107" s="219"/>
      <c r="S107" s="222"/>
      <c r="T107" s="53"/>
      <c r="U107" s="53"/>
      <c r="V107" s="53"/>
      <c r="W107" s="41"/>
      <c r="X107" s="53"/>
      <c r="Y107" s="53"/>
      <c r="Z107" s="53"/>
      <c r="AA107" s="53"/>
    </row>
    <row r="108" spans="1:27" ht="18.75">
      <c r="A108" s="53"/>
      <c r="B108" s="217"/>
      <c r="C108" s="218"/>
      <c r="D108" s="219"/>
      <c r="E108" s="219"/>
      <c r="F108" s="220"/>
      <c r="G108" s="219"/>
      <c r="H108" s="219"/>
      <c r="I108" s="219"/>
      <c r="J108" s="221"/>
      <c r="K108" s="219"/>
      <c r="L108" s="219"/>
      <c r="M108" s="219"/>
      <c r="N108" s="219"/>
      <c r="O108" s="219"/>
      <c r="P108" s="222"/>
      <c r="Q108" s="219"/>
      <c r="R108" s="219"/>
      <c r="S108" s="222"/>
      <c r="T108" s="53"/>
      <c r="U108" s="53"/>
      <c r="V108" s="53"/>
      <c r="W108" s="41"/>
      <c r="X108" s="53"/>
      <c r="Y108" s="53"/>
      <c r="Z108" s="53"/>
      <c r="AA108" s="53"/>
    </row>
    <row r="109" spans="1:27" ht="18.75">
      <c r="A109" s="53"/>
      <c r="B109" s="217"/>
      <c r="C109" s="218"/>
      <c r="D109" s="219"/>
      <c r="E109" s="219"/>
      <c r="F109" s="220"/>
      <c r="G109" s="219"/>
      <c r="H109" s="219"/>
      <c r="I109" s="219"/>
      <c r="J109" s="221"/>
      <c r="K109" s="219"/>
      <c r="L109" s="219"/>
      <c r="M109" s="219"/>
      <c r="N109" s="219"/>
      <c r="O109" s="219"/>
      <c r="P109" s="222"/>
      <c r="Q109" s="219"/>
      <c r="R109" s="219"/>
      <c r="S109" s="222"/>
      <c r="T109" s="53"/>
      <c r="U109" s="53"/>
      <c r="V109" s="53"/>
      <c r="W109" s="41"/>
      <c r="X109" s="53"/>
      <c r="Y109" s="53"/>
      <c r="Z109" s="53"/>
      <c r="AA109" s="53"/>
    </row>
    <row r="110" spans="1:27" ht="18.75">
      <c r="A110" s="53"/>
      <c r="B110" s="217"/>
      <c r="C110" s="218"/>
      <c r="D110" s="219"/>
      <c r="E110" s="219"/>
      <c r="F110" s="220">
        <v>1</v>
      </c>
      <c r="G110" s="154">
        <f>COUNTIFS($H$3:$H212,"是",$B$3:$B212,"=1-*")</f>
        <v>5</v>
      </c>
      <c r="H110" s="219">
        <v>5</v>
      </c>
      <c r="I110" s="219"/>
      <c r="J110" s="221"/>
      <c r="K110" s="219"/>
      <c r="L110" s="219"/>
      <c r="M110" s="219"/>
      <c r="N110" s="219"/>
      <c r="O110" s="219"/>
      <c r="P110" s="222"/>
      <c r="Q110" s="219"/>
      <c r="R110" s="219"/>
      <c r="S110" s="222"/>
      <c r="T110" s="53"/>
      <c r="U110" s="53"/>
      <c r="V110" s="53"/>
      <c r="W110" s="41"/>
      <c r="X110" s="53"/>
      <c r="Y110" s="53"/>
      <c r="Z110" s="53"/>
      <c r="AA110" s="53"/>
    </row>
    <row r="111" spans="1:27" ht="18.75">
      <c r="A111" s="53"/>
      <c r="B111" s="217"/>
      <c r="C111" s="218"/>
      <c r="D111" s="219"/>
      <c r="E111" s="219"/>
      <c r="F111" s="220">
        <v>2</v>
      </c>
      <c r="G111" s="154">
        <f>COUNTIFS($H$3:$H212,"是",$B$3:$B212,"=2-*")</f>
        <v>5</v>
      </c>
      <c r="H111" s="219">
        <v>5</v>
      </c>
      <c r="I111" s="219"/>
      <c r="J111" s="221"/>
      <c r="K111" s="219"/>
      <c r="L111" s="219"/>
      <c r="M111" s="219"/>
      <c r="N111" s="219"/>
      <c r="O111" s="219"/>
      <c r="P111" s="222"/>
      <c r="Q111" s="219"/>
      <c r="R111" s="219"/>
      <c r="S111" s="222"/>
      <c r="T111" s="53"/>
      <c r="U111" s="223">
        <v>5436</v>
      </c>
      <c r="V111" s="53"/>
      <c r="W111" s="41" t="s">
        <v>78</v>
      </c>
      <c r="X111" s="53">
        <v>0</v>
      </c>
      <c r="Y111" s="53" t="s">
        <v>99</v>
      </c>
      <c r="Z111" s="53"/>
      <c r="AA111" s="53"/>
    </row>
    <row r="112" spans="1:27" ht="18.75">
      <c r="A112" s="53"/>
      <c r="B112" s="217"/>
      <c r="C112" s="218"/>
      <c r="D112" s="219"/>
      <c r="E112" s="219"/>
      <c r="F112" s="220">
        <v>3</v>
      </c>
      <c r="G112" s="154">
        <f>COUNTIFS($H$3:$H212,"是",$B$3:$B212,"=3-*")</f>
        <v>9</v>
      </c>
      <c r="H112" s="219">
        <v>9</v>
      </c>
      <c r="I112" s="219"/>
      <c r="J112" s="221"/>
      <c r="K112" s="219"/>
      <c r="L112" s="219"/>
      <c r="M112" s="219"/>
      <c r="N112" s="219"/>
      <c r="O112" s="219"/>
      <c r="P112" s="222"/>
      <c r="Q112" s="219"/>
      <c r="R112" s="219"/>
      <c r="S112" s="222"/>
      <c r="T112" s="53"/>
      <c r="U112" s="223">
        <v>10000</v>
      </c>
      <c r="V112" s="53"/>
      <c r="W112" s="41" t="s">
        <v>78</v>
      </c>
      <c r="X112" s="53">
        <v>0</v>
      </c>
      <c r="Y112" s="53"/>
      <c r="Z112" s="53"/>
      <c r="AA112" s="53"/>
    </row>
    <row r="113" spans="1:27" ht="18.75">
      <c r="A113" s="53"/>
      <c r="B113" s="217"/>
      <c r="C113" s="218"/>
      <c r="D113" s="219"/>
      <c r="E113" s="219"/>
      <c r="F113" s="220">
        <v>4</v>
      </c>
      <c r="G113" s="154">
        <f>COUNTIFS($H$3:$H212,"是",$B$3:$B212,"=4-*")</f>
        <v>3</v>
      </c>
      <c r="H113" s="154">
        <v>3</v>
      </c>
      <c r="J113" s="221"/>
      <c r="K113" s="219"/>
      <c r="L113" s="219"/>
      <c r="M113" s="219"/>
      <c r="N113" s="219"/>
      <c r="O113" s="219"/>
      <c r="P113" s="222"/>
      <c r="Q113" s="219"/>
      <c r="R113" s="219"/>
      <c r="S113" s="222"/>
      <c r="T113" s="53"/>
      <c r="U113" s="223">
        <v>4000</v>
      </c>
      <c r="V113" s="53"/>
      <c r="W113" s="41" t="s">
        <v>78</v>
      </c>
      <c r="X113" s="53">
        <v>0</v>
      </c>
      <c r="Y113" s="53"/>
      <c r="Z113" s="53"/>
      <c r="AA113" s="53"/>
    </row>
    <row r="114" spans="1:27" ht="18.75">
      <c r="A114" s="53"/>
      <c r="B114" s="217"/>
      <c r="C114" s="218"/>
      <c r="D114" s="219"/>
      <c r="E114" s="219"/>
      <c r="F114" s="220">
        <v>5</v>
      </c>
      <c r="G114" s="154">
        <f>COUNTIFS($H$3:$H212,"是",$B$3:$B212,"=5-*")</f>
        <v>12</v>
      </c>
      <c r="H114" s="219">
        <v>12</v>
      </c>
      <c r="J114" s="221"/>
      <c r="K114" s="219"/>
      <c r="L114" s="219"/>
      <c r="M114" s="219"/>
      <c r="N114" s="219"/>
      <c r="O114" s="219"/>
      <c r="P114" s="222"/>
      <c r="Q114" s="219"/>
      <c r="R114" s="219"/>
      <c r="S114" s="222"/>
      <c r="T114" s="53"/>
      <c r="U114" s="223">
        <v>10000</v>
      </c>
      <c r="V114" s="53"/>
      <c r="W114" s="41" t="s">
        <v>78</v>
      </c>
      <c r="X114" s="53">
        <v>0</v>
      </c>
      <c r="Y114" s="53"/>
      <c r="Z114" s="53"/>
      <c r="AA114" s="53"/>
    </row>
    <row r="115" spans="1:27" ht="18.75">
      <c r="A115" s="53"/>
      <c r="B115" s="217"/>
      <c r="C115" s="218"/>
      <c r="D115" s="219"/>
      <c r="E115" s="219"/>
      <c r="F115" s="220">
        <v>6</v>
      </c>
      <c r="G115" s="154">
        <f>COUNTIFS($H$3:$H212,"是",$B$3:$B212,"=6-*")</f>
        <v>9</v>
      </c>
      <c r="H115" s="219">
        <v>9</v>
      </c>
      <c r="I115" s="219"/>
      <c r="J115" s="221"/>
      <c r="K115" s="219"/>
      <c r="L115" s="219"/>
      <c r="M115" s="219"/>
      <c r="N115" s="219"/>
      <c r="O115" s="219"/>
      <c r="P115" s="222"/>
      <c r="Q115" s="219"/>
      <c r="R115" s="219"/>
      <c r="S115" s="222"/>
      <c r="T115" s="53"/>
      <c r="U115" s="223">
        <v>4000</v>
      </c>
      <c r="V115" s="53"/>
      <c r="W115" s="41" t="s">
        <v>78</v>
      </c>
      <c r="X115" s="53">
        <v>0</v>
      </c>
      <c r="Y115" s="53"/>
      <c r="Z115" s="53"/>
      <c r="AA115" s="53"/>
    </row>
    <row r="116" spans="1:27" ht="18.75">
      <c r="A116" s="53"/>
      <c r="B116" s="217"/>
      <c r="C116" s="218"/>
      <c r="D116" s="219"/>
      <c r="E116" s="219"/>
      <c r="F116" s="220">
        <v>7</v>
      </c>
      <c r="G116" s="154">
        <f>COUNTIFS($H$3:$H212,"是",$B$3:$B212,"=7-*")</f>
        <v>14</v>
      </c>
      <c r="H116" s="219">
        <v>14</v>
      </c>
      <c r="I116" s="219"/>
      <c r="J116" s="221"/>
      <c r="K116" s="219"/>
      <c r="L116" s="219"/>
      <c r="M116" s="219"/>
      <c r="N116" s="219"/>
      <c r="O116" s="219"/>
      <c r="P116" s="222"/>
      <c r="Q116" s="219"/>
      <c r="R116" s="219"/>
      <c r="S116" s="222"/>
      <c r="T116" s="53"/>
      <c r="U116" s="223">
        <v>14000</v>
      </c>
      <c r="V116" s="53"/>
      <c r="W116" s="41" t="s">
        <v>78</v>
      </c>
      <c r="X116" s="53"/>
      <c r="Y116" s="53"/>
      <c r="Z116" s="53"/>
      <c r="AA116" s="53"/>
    </row>
    <row r="117" spans="1:27" ht="18.75">
      <c r="A117" s="53"/>
      <c r="B117" s="217"/>
      <c r="C117" s="218"/>
      <c r="D117" s="219"/>
      <c r="E117" s="219"/>
      <c r="F117" s="220">
        <v>8</v>
      </c>
      <c r="G117" s="154">
        <f>COUNTIFS($H$3:$H212,"是",$B$3:$B212,"=8-*")</f>
        <v>3</v>
      </c>
      <c r="H117" s="219">
        <v>3</v>
      </c>
      <c r="I117" s="219"/>
      <c r="J117" s="221"/>
      <c r="K117" s="219"/>
      <c r="L117" s="219"/>
      <c r="M117" s="219"/>
      <c r="N117" s="219"/>
      <c r="O117" s="219"/>
      <c r="P117" s="222"/>
      <c r="Q117" s="219"/>
      <c r="R117" s="219"/>
      <c r="S117" s="222"/>
      <c r="T117" s="53"/>
      <c r="U117" s="223">
        <v>50000</v>
      </c>
      <c r="V117" s="53"/>
      <c r="W117" s="41" t="s">
        <v>78</v>
      </c>
      <c r="X117" s="53">
        <v>0</v>
      </c>
      <c r="Y117" s="53"/>
      <c r="Z117" s="53"/>
      <c r="AA117" s="53"/>
    </row>
    <row r="118" spans="1:27" ht="18.75">
      <c r="A118" s="53"/>
      <c r="B118" s="217"/>
      <c r="C118" s="218"/>
      <c r="D118" s="219"/>
      <c r="E118" s="219"/>
      <c r="F118" s="220">
        <v>9</v>
      </c>
      <c r="G118" s="154">
        <f>COUNTIFS($H$3:$H212,"是",$B$3:$B212,"=9-*")</f>
        <v>5</v>
      </c>
      <c r="H118" s="219">
        <v>5</v>
      </c>
      <c r="I118" s="219"/>
      <c r="J118" s="221"/>
      <c r="K118" s="219"/>
      <c r="L118" s="219"/>
      <c r="M118" s="219"/>
      <c r="N118" s="219"/>
      <c r="O118" s="219"/>
      <c r="P118" s="222"/>
      <c r="Q118" s="219"/>
      <c r="R118" s="219"/>
      <c r="S118" s="222"/>
      <c r="T118" s="53"/>
      <c r="U118" s="223">
        <v>30000</v>
      </c>
      <c r="V118" s="53"/>
      <c r="W118" s="41" t="s">
        <v>78</v>
      </c>
      <c r="X118" s="53">
        <v>0</v>
      </c>
      <c r="Y118" s="53"/>
      <c r="Z118" s="53"/>
      <c r="AA118" s="53"/>
    </row>
    <row r="119" spans="1:27" ht="18.75">
      <c r="A119" s="53"/>
      <c r="B119" s="217"/>
      <c r="C119" s="218"/>
      <c r="D119" s="219"/>
      <c r="E119" s="219"/>
      <c r="F119" s="220">
        <v>10</v>
      </c>
      <c r="G119" s="224">
        <f>COUNTIFS($H$3:$H212,"是",$B$3:$B212,"=10-*")</f>
        <v>4</v>
      </c>
      <c r="H119" s="225">
        <v>4</v>
      </c>
      <c r="I119" s="219"/>
      <c r="J119" s="221"/>
      <c r="K119" s="219"/>
      <c r="L119" s="219"/>
      <c r="M119" s="219"/>
      <c r="N119" s="219"/>
      <c r="O119" s="219"/>
      <c r="P119" s="222"/>
      <c r="Q119" s="219"/>
      <c r="R119" s="219"/>
      <c r="S119" s="222"/>
      <c r="T119" s="53"/>
      <c r="U119" s="223">
        <v>25000</v>
      </c>
      <c r="V119" s="53"/>
      <c r="W119" s="41" t="s">
        <v>78</v>
      </c>
      <c r="X119" s="53">
        <v>0</v>
      </c>
      <c r="Y119" s="53"/>
      <c r="Z119" s="53"/>
      <c r="AA119" s="53"/>
    </row>
    <row r="120" spans="1:27" ht="18.75">
      <c r="A120" s="53"/>
      <c r="B120" s="217"/>
      <c r="C120" s="218"/>
      <c r="D120" s="219"/>
      <c r="E120" s="219"/>
      <c r="F120" s="220">
        <v>11</v>
      </c>
      <c r="G120" s="154">
        <f>COUNTIFS($H$3:$H212,"是",$B$3:$B212,"=11-*")</f>
        <v>5</v>
      </c>
      <c r="H120" s="219">
        <v>5</v>
      </c>
      <c r="I120" s="219"/>
      <c r="J120" s="221"/>
      <c r="K120" s="219"/>
      <c r="L120" s="219"/>
      <c r="M120" s="219"/>
      <c r="N120" s="219"/>
      <c r="O120" s="219"/>
      <c r="P120" s="222"/>
      <c r="Q120" s="219"/>
      <c r="R120" s="219"/>
      <c r="S120" s="222"/>
      <c r="T120" s="53"/>
      <c r="U120" s="223">
        <v>22800</v>
      </c>
      <c r="V120" s="53"/>
      <c r="W120" s="41" t="s">
        <v>78</v>
      </c>
      <c r="X120" s="53">
        <v>0</v>
      </c>
      <c r="Y120" s="53"/>
      <c r="Z120" s="53"/>
      <c r="AA120" s="53"/>
    </row>
    <row r="121" spans="1:27" ht="18.75">
      <c r="A121" s="53"/>
      <c r="B121" s="217"/>
      <c r="C121" s="218"/>
      <c r="D121" s="219"/>
      <c r="E121" s="219"/>
      <c r="F121" s="220">
        <v>12</v>
      </c>
      <c r="G121" s="154">
        <f>COUNTIFS($H$3:$H212,"是",$B$3:$B212,"=12-*")</f>
        <v>6</v>
      </c>
      <c r="H121" s="219">
        <v>6</v>
      </c>
      <c r="I121" s="219"/>
      <c r="J121" s="221"/>
      <c r="K121" s="219"/>
      <c r="L121" s="219"/>
      <c r="M121" s="219"/>
      <c r="N121" s="219"/>
      <c r="O121" s="219"/>
      <c r="P121" s="222"/>
      <c r="Q121" s="219"/>
      <c r="R121" s="219"/>
      <c r="S121" s="222"/>
      <c r="T121" s="53"/>
      <c r="U121" s="223">
        <v>63000</v>
      </c>
      <c r="V121" s="53"/>
      <c r="W121" s="41" t="s">
        <v>78</v>
      </c>
      <c r="X121" s="53">
        <v>0</v>
      </c>
      <c r="Y121" s="53"/>
      <c r="Z121" s="53"/>
      <c r="AA121" s="53"/>
    </row>
    <row r="122" spans="1:27" ht="18.75">
      <c r="A122" s="53"/>
      <c r="B122" s="217"/>
      <c r="C122" s="218"/>
      <c r="D122" s="219"/>
      <c r="E122" s="219"/>
      <c r="F122" s="220">
        <v>13</v>
      </c>
      <c r="G122" s="154">
        <f>COUNTIFS($H$3:$H212,"是",$B$3:$B212,"=13-*")</f>
        <v>4</v>
      </c>
      <c r="H122" s="219">
        <v>4</v>
      </c>
      <c r="I122" s="219"/>
      <c r="J122" s="221"/>
      <c r="K122" s="219"/>
      <c r="L122" s="219"/>
      <c r="M122" s="219"/>
      <c r="N122" s="219"/>
      <c r="O122" s="219"/>
      <c r="P122" s="222"/>
      <c r="Q122" s="219"/>
      <c r="R122" s="219"/>
      <c r="S122" s="222"/>
      <c r="T122" s="53"/>
      <c r="U122" s="223">
        <v>49500</v>
      </c>
      <c r="V122" s="53"/>
      <c r="W122" s="41" t="s">
        <v>75</v>
      </c>
      <c r="X122" s="53">
        <v>0</v>
      </c>
      <c r="Y122" s="53"/>
      <c r="Z122" s="53"/>
      <c r="AA122" s="53"/>
    </row>
    <row r="123" spans="1:27" ht="18.75">
      <c r="A123" s="53"/>
      <c r="B123" s="217"/>
      <c r="C123" s="218"/>
      <c r="D123" s="219"/>
      <c r="E123" s="219"/>
      <c r="F123" s="220">
        <v>14</v>
      </c>
      <c r="G123" s="154">
        <f>COUNTIFS($H$3:$H212,"是",$B$3:$B212,"=14-*")</f>
        <v>4</v>
      </c>
      <c r="H123" s="219">
        <v>4</v>
      </c>
      <c r="I123" s="219"/>
      <c r="J123" s="221"/>
      <c r="K123" s="219"/>
      <c r="L123" s="219"/>
      <c r="M123" s="219"/>
      <c r="N123" s="219"/>
      <c r="O123" s="219"/>
      <c r="P123" s="222"/>
      <c r="Q123" s="219"/>
      <c r="R123" s="219"/>
      <c r="S123" s="222"/>
      <c r="T123" s="53"/>
      <c r="U123" s="223">
        <v>95000</v>
      </c>
      <c r="V123" s="53"/>
      <c r="W123" s="41" t="s">
        <v>75</v>
      </c>
      <c r="X123" s="53">
        <v>0</v>
      </c>
      <c r="Y123" s="53"/>
      <c r="Z123" s="53"/>
      <c r="AA123" s="53"/>
    </row>
    <row r="124" spans="1:27" ht="18.75">
      <c r="A124" s="53"/>
      <c r="B124" s="217"/>
      <c r="C124" s="218"/>
      <c r="D124" s="219"/>
      <c r="E124" s="219"/>
      <c r="F124" s="220"/>
      <c r="H124" s="219"/>
      <c r="I124" s="219"/>
      <c r="J124" s="221"/>
      <c r="K124" s="219"/>
      <c r="L124" s="219"/>
      <c r="M124" s="219"/>
      <c r="N124" s="219"/>
      <c r="O124" s="219"/>
      <c r="P124" s="222"/>
      <c r="Q124" s="219"/>
      <c r="R124" s="219"/>
      <c r="S124" s="222"/>
      <c r="T124" s="53"/>
      <c r="U124" s="223">
        <v>80000</v>
      </c>
      <c r="V124" s="53"/>
      <c r="W124" s="41" t="s">
        <v>75</v>
      </c>
      <c r="X124" s="53">
        <v>0</v>
      </c>
      <c r="Y124" s="53"/>
      <c r="Z124" s="53"/>
      <c r="AA124" s="53"/>
    </row>
    <row r="125" spans="1:27" ht="18.75">
      <c r="A125" s="53"/>
      <c r="B125" s="217"/>
      <c r="C125" s="218"/>
      <c r="D125" s="219"/>
      <c r="E125" s="219"/>
      <c r="F125" s="220"/>
      <c r="G125" s="154">
        <f>SUM(G110:G123)</f>
        <v>88</v>
      </c>
      <c r="H125" s="219"/>
      <c r="I125" s="219"/>
      <c r="J125" s="221"/>
      <c r="K125" s="219"/>
      <c r="L125" s="219"/>
      <c r="M125" s="219"/>
      <c r="N125" s="219"/>
      <c r="O125" s="219"/>
      <c r="P125" s="222"/>
      <c r="Q125" s="219"/>
      <c r="R125" s="219"/>
      <c r="S125" s="222"/>
      <c r="T125" s="53"/>
      <c r="U125" s="223">
        <v>36000</v>
      </c>
      <c r="V125" s="53"/>
      <c r="W125" s="41" t="s">
        <v>75</v>
      </c>
      <c r="X125" s="53">
        <v>0</v>
      </c>
      <c r="Y125" s="53"/>
      <c r="Z125" s="53"/>
      <c r="AA125" s="53"/>
    </row>
    <row r="126" spans="1:27" ht="18.75">
      <c r="A126" s="53"/>
      <c r="B126" s="217"/>
      <c r="C126" s="218"/>
      <c r="D126" s="219"/>
      <c r="E126" s="219"/>
      <c r="F126" s="220"/>
      <c r="H126" s="219"/>
      <c r="I126" s="219"/>
      <c r="J126" s="221"/>
      <c r="K126" s="219"/>
      <c r="L126" s="219"/>
      <c r="M126" s="219"/>
      <c r="N126" s="219"/>
      <c r="O126" s="219"/>
      <c r="P126" s="222"/>
      <c r="Q126" s="219"/>
      <c r="R126" s="219"/>
      <c r="S126" s="222"/>
      <c r="T126" s="53"/>
      <c r="U126" s="223">
        <v>30000</v>
      </c>
      <c r="V126" s="53"/>
      <c r="W126" s="41" t="s">
        <v>78</v>
      </c>
      <c r="X126" s="53"/>
      <c r="Y126" s="53"/>
      <c r="Z126" s="53"/>
      <c r="AA126" s="53"/>
    </row>
    <row r="127" spans="1:27" ht="18.75">
      <c r="A127" s="53"/>
      <c r="B127" s="217"/>
      <c r="C127" s="218"/>
      <c r="D127" s="219"/>
      <c r="E127" s="219"/>
      <c r="F127" s="220"/>
      <c r="H127" s="219"/>
      <c r="I127" s="219"/>
      <c r="J127" s="221"/>
      <c r="K127" s="219"/>
      <c r="L127" s="219"/>
      <c r="M127" s="219"/>
      <c r="N127" s="219"/>
      <c r="O127" s="219"/>
      <c r="P127" s="222"/>
      <c r="Q127" s="219"/>
      <c r="R127" s="219"/>
      <c r="S127" s="222"/>
      <c r="T127" s="53"/>
      <c r="U127" s="223">
        <v>44000</v>
      </c>
      <c r="V127" s="53"/>
      <c r="W127" s="41" t="s">
        <v>78</v>
      </c>
      <c r="X127" s="53">
        <v>0</v>
      </c>
      <c r="Y127" s="53"/>
      <c r="Z127" s="53"/>
      <c r="AA127" s="53"/>
    </row>
    <row r="128" spans="1:27" ht="18.75">
      <c r="A128" s="53"/>
      <c r="B128" s="217"/>
      <c r="C128" s="218"/>
      <c r="D128" s="219"/>
      <c r="E128" s="219"/>
      <c r="F128" s="220"/>
      <c r="H128" s="219"/>
      <c r="I128" s="219"/>
      <c r="J128" s="221"/>
      <c r="K128" s="219"/>
      <c r="L128" s="219"/>
      <c r="M128" s="219"/>
      <c r="N128" s="219"/>
      <c r="O128" s="219"/>
      <c r="P128" s="222"/>
      <c r="Q128" s="219"/>
      <c r="R128" s="219"/>
      <c r="S128" s="222"/>
      <c r="T128" s="53"/>
      <c r="U128" s="223">
        <v>76000</v>
      </c>
      <c r="V128" s="53"/>
      <c r="W128" s="41" t="s">
        <v>78</v>
      </c>
      <c r="X128" s="53">
        <v>0</v>
      </c>
      <c r="Y128" s="53"/>
      <c r="Z128" s="53"/>
      <c r="AA128" s="53"/>
    </row>
    <row r="129" spans="1:27" ht="18.75">
      <c r="A129" s="53"/>
      <c r="B129" s="217"/>
      <c r="C129" s="218"/>
      <c r="D129" s="219"/>
      <c r="E129" s="219"/>
      <c r="F129" s="220"/>
      <c r="H129" s="219"/>
      <c r="I129" s="219"/>
      <c r="J129" s="221"/>
      <c r="K129" s="219"/>
      <c r="L129" s="219"/>
      <c r="M129" s="219"/>
      <c r="N129" s="219"/>
      <c r="O129" s="219"/>
      <c r="P129" s="222"/>
      <c r="Q129" s="219"/>
      <c r="R129" s="219"/>
      <c r="S129" s="222"/>
      <c r="T129" s="53"/>
      <c r="U129" s="223">
        <v>45000</v>
      </c>
      <c r="V129" s="53"/>
      <c r="W129" s="41" t="s">
        <v>78</v>
      </c>
      <c r="X129" s="53">
        <v>0</v>
      </c>
      <c r="Y129" s="53"/>
      <c r="Z129" s="53"/>
      <c r="AA129" s="53"/>
    </row>
    <row r="130" spans="1:27" ht="18.75">
      <c r="A130" s="53"/>
      <c r="B130" s="217"/>
      <c r="C130" s="218"/>
      <c r="D130" s="219"/>
      <c r="E130" s="219"/>
      <c r="F130" s="220"/>
      <c r="H130" s="219"/>
      <c r="I130" s="219"/>
      <c r="J130" s="221"/>
      <c r="K130" s="219"/>
      <c r="L130" s="219"/>
      <c r="M130" s="219"/>
      <c r="N130" s="219"/>
      <c r="O130" s="219"/>
      <c r="P130" s="222"/>
      <c r="Q130" s="219"/>
      <c r="R130" s="219"/>
      <c r="S130" s="222"/>
      <c r="T130" s="53"/>
      <c r="U130" s="223">
        <v>10000</v>
      </c>
      <c r="V130" s="53"/>
      <c r="W130" s="41" t="s">
        <v>78</v>
      </c>
      <c r="X130" s="53">
        <v>0</v>
      </c>
      <c r="Y130" s="53"/>
      <c r="Z130" s="53"/>
      <c r="AA130" s="53"/>
    </row>
    <row r="131" spans="1:27" ht="18.75">
      <c r="A131" s="53"/>
      <c r="B131" s="217"/>
      <c r="C131" s="218"/>
      <c r="D131" s="219"/>
      <c r="E131" s="219"/>
      <c r="F131" s="220"/>
      <c r="H131" s="219"/>
      <c r="I131" s="219"/>
      <c r="J131" s="221"/>
      <c r="K131" s="219"/>
      <c r="L131" s="219"/>
      <c r="M131" s="219"/>
      <c r="N131" s="219"/>
      <c r="O131" s="219"/>
      <c r="P131" s="222"/>
      <c r="Q131" s="219"/>
      <c r="R131" s="219"/>
      <c r="S131" s="222"/>
      <c r="T131" s="53"/>
      <c r="U131" s="223">
        <v>96380</v>
      </c>
      <c r="V131" s="53"/>
      <c r="W131" s="41" t="s">
        <v>78</v>
      </c>
      <c r="X131" s="53">
        <v>0</v>
      </c>
      <c r="Y131" s="53"/>
      <c r="Z131" s="53"/>
      <c r="AA131" s="53"/>
    </row>
    <row r="132" spans="1:27" ht="18.75">
      <c r="A132" s="53"/>
      <c r="B132" s="217"/>
      <c r="C132" s="218"/>
      <c r="D132" s="219"/>
      <c r="E132" s="219"/>
      <c r="F132" s="220"/>
      <c r="H132" s="219"/>
      <c r="I132" s="219"/>
      <c r="J132" s="221"/>
      <c r="K132" s="219"/>
      <c r="L132" s="219"/>
      <c r="M132" s="219"/>
      <c r="N132" s="219"/>
      <c r="O132" s="219"/>
      <c r="P132" s="222"/>
      <c r="Q132" s="219"/>
      <c r="R132" s="219"/>
      <c r="S132" s="222"/>
      <c r="T132" s="53"/>
      <c r="U132" s="223">
        <v>10000</v>
      </c>
      <c r="V132" s="53"/>
      <c r="W132" s="41" t="s">
        <v>78</v>
      </c>
      <c r="X132" s="53">
        <v>0</v>
      </c>
      <c r="Y132" s="53"/>
      <c r="Z132" s="53"/>
      <c r="AA132" s="53"/>
    </row>
    <row r="133" spans="1:27" ht="18.75">
      <c r="A133" s="53"/>
      <c r="B133" s="217"/>
      <c r="C133" s="218"/>
      <c r="D133" s="219"/>
      <c r="E133" s="219"/>
      <c r="F133" s="220"/>
      <c r="H133" s="219"/>
      <c r="I133" s="219"/>
      <c r="J133" s="221"/>
      <c r="K133" s="219"/>
      <c r="L133" s="219"/>
      <c r="M133" s="219"/>
      <c r="N133" s="219"/>
      <c r="O133" s="219"/>
      <c r="P133" s="222"/>
      <c r="Q133" s="219"/>
      <c r="R133" s="219"/>
      <c r="S133" s="222"/>
      <c r="T133" s="53"/>
      <c r="U133" s="223">
        <v>40000</v>
      </c>
      <c r="V133" s="53"/>
      <c r="W133" s="41" t="s">
        <v>78</v>
      </c>
      <c r="X133" s="53">
        <v>0</v>
      </c>
      <c r="Y133" s="53"/>
      <c r="Z133" s="53"/>
      <c r="AA133" s="53"/>
    </row>
    <row r="134" spans="1:27" ht="18.75">
      <c r="A134" s="53"/>
      <c r="B134" s="217"/>
      <c r="C134" s="218"/>
      <c r="D134" s="219"/>
      <c r="E134" s="219"/>
      <c r="F134" s="220"/>
      <c r="G134" s="219"/>
      <c r="H134" s="219"/>
      <c r="I134" s="219"/>
      <c r="J134" s="221"/>
      <c r="K134" s="219"/>
      <c r="L134" s="219"/>
      <c r="M134" s="219"/>
      <c r="N134" s="219"/>
      <c r="O134" s="219"/>
      <c r="P134" s="222"/>
      <c r="Q134" s="219"/>
      <c r="R134" s="219"/>
      <c r="S134" s="222"/>
      <c r="T134" s="53"/>
      <c r="U134" s="223">
        <v>75660</v>
      </c>
      <c r="V134" s="53"/>
      <c r="W134" s="41" t="s">
        <v>78</v>
      </c>
      <c r="X134" s="53">
        <v>0</v>
      </c>
      <c r="Y134" s="53"/>
      <c r="Z134" s="53"/>
      <c r="AA134" s="53"/>
    </row>
    <row r="135" spans="1:27" ht="18.75">
      <c r="A135" s="53"/>
      <c r="B135" s="217"/>
      <c r="C135" s="218"/>
      <c r="D135" s="219"/>
      <c r="E135" s="219"/>
      <c r="F135" s="220"/>
      <c r="G135" s="219"/>
      <c r="H135" s="219"/>
      <c r="I135" s="219"/>
      <c r="J135" s="221"/>
      <c r="K135" s="219"/>
      <c r="L135" s="219"/>
      <c r="M135" s="219"/>
      <c r="N135" s="219"/>
      <c r="O135" s="219"/>
      <c r="P135" s="222"/>
      <c r="Q135" s="219"/>
      <c r="R135" s="219"/>
      <c r="S135" s="222"/>
      <c r="T135" s="53"/>
      <c r="U135" s="223">
        <v>38800</v>
      </c>
      <c r="V135" s="53"/>
      <c r="W135" s="41" t="s">
        <v>78</v>
      </c>
      <c r="X135" s="53">
        <v>0</v>
      </c>
      <c r="Y135" s="53"/>
      <c r="Z135" s="53"/>
      <c r="AA135" s="53"/>
    </row>
    <row r="136" spans="1:27" ht="18.75">
      <c r="A136" s="53"/>
      <c r="B136" s="217"/>
      <c r="C136" s="218"/>
      <c r="D136" s="219"/>
      <c r="E136" s="219"/>
      <c r="F136" s="220"/>
      <c r="G136" s="219"/>
      <c r="H136" s="219"/>
      <c r="I136" s="219"/>
      <c r="J136" s="221"/>
      <c r="K136" s="219"/>
      <c r="L136" s="219"/>
      <c r="M136" s="219"/>
      <c r="N136" s="219"/>
      <c r="O136" s="219"/>
      <c r="P136" s="222"/>
      <c r="Q136" s="219"/>
      <c r="R136" s="219"/>
      <c r="S136" s="222"/>
      <c r="T136" s="53"/>
      <c r="U136" s="223">
        <v>50000</v>
      </c>
      <c r="V136" s="53"/>
      <c r="W136" s="41" t="s">
        <v>78</v>
      </c>
      <c r="X136" s="53">
        <v>0</v>
      </c>
      <c r="Y136" s="53"/>
      <c r="Z136" s="53"/>
      <c r="AA136" s="53"/>
    </row>
    <row r="137" spans="1:27" ht="18.75">
      <c r="A137" s="53"/>
      <c r="B137" s="217"/>
      <c r="C137" s="218"/>
      <c r="D137" s="219"/>
      <c r="E137" s="219"/>
      <c r="F137" s="220"/>
      <c r="G137" s="219"/>
      <c r="H137" s="219"/>
      <c r="I137" s="219"/>
      <c r="J137" s="221"/>
      <c r="K137" s="219"/>
      <c r="L137" s="219"/>
      <c r="M137" s="219"/>
      <c r="N137" s="219"/>
      <c r="O137" s="219"/>
      <c r="P137" s="222"/>
      <c r="Q137" s="219"/>
      <c r="R137" s="219"/>
      <c r="S137" s="222"/>
      <c r="T137" s="53"/>
      <c r="U137" s="223">
        <v>50000</v>
      </c>
      <c r="V137" s="53"/>
      <c r="W137" s="41" t="s">
        <v>78</v>
      </c>
      <c r="X137" s="53">
        <v>0</v>
      </c>
      <c r="Y137" s="53"/>
      <c r="Z137" s="53"/>
      <c r="AA137" s="53"/>
    </row>
    <row r="138" spans="1:27" ht="18.75">
      <c r="A138" s="53"/>
      <c r="B138" s="217"/>
      <c r="C138" s="218"/>
      <c r="D138" s="219"/>
      <c r="E138" s="219"/>
      <c r="F138" s="220"/>
      <c r="G138" s="219"/>
      <c r="H138" s="219"/>
      <c r="I138" s="219"/>
      <c r="J138" s="221"/>
      <c r="K138" s="219"/>
      <c r="L138" s="219"/>
      <c r="M138" s="219"/>
      <c r="N138" s="219"/>
      <c r="O138" s="219"/>
      <c r="P138" s="222"/>
      <c r="Q138" s="219"/>
      <c r="R138" s="219"/>
      <c r="S138" s="222"/>
      <c r="T138" s="53"/>
      <c r="U138" s="223">
        <v>80000</v>
      </c>
      <c r="V138" s="53"/>
      <c r="W138" s="41" t="s">
        <v>78</v>
      </c>
      <c r="X138" s="53">
        <v>0</v>
      </c>
      <c r="Y138" s="53"/>
      <c r="Z138" s="53"/>
      <c r="AA138" s="53"/>
    </row>
    <row r="139" spans="1:27" ht="18.75">
      <c r="A139" s="53"/>
      <c r="B139" s="217"/>
      <c r="C139" s="218"/>
      <c r="D139" s="219"/>
      <c r="E139" s="219"/>
      <c r="F139" s="220"/>
      <c r="G139" s="219"/>
      <c r="H139" s="219"/>
      <c r="I139" s="219"/>
      <c r="J139" s="221"/>
      <c r="K139" s="219"/>
      <c r="L139" s="219"/>
      <c r="M139" s="219"/>
      <c r="N139" s="219"/>
      <c r="O139" s="219"/>
      <c r="P139" s="222"/>
      <c r="Q139" s="219"/>
      <c r="R139" s="219"/>
      <c r="S139" s="222"/>
      <c r="T139" s="53"/>
      <c r="U139" s="223">
        <v>18000</v>
      </c>
      <c r="V139" s="53"/>
      <c r="W139" s="41" t="s">
        <v>78</v>
      </c>
      <c r="X139" s="53">
        <v>0</v>
      </c>
      <c r="Y139" s="53"/>
      <c r="Z139" s="53"/>
      <c r="AA139" s="53"/>
    </row>
    <row r="140" spans="1:27" ht="18.75">
      <c r="A140" s="53"/>
      <c r="B140" s="217"/>
      <c r="C140" s="218"/>
      <c r="D140" s="219"/>
      <c r="E140" s="219"/>
      <c r="F140" s="220"/>
      <c r="G140" s="219"/>
      <c r="H140" s="219"/>
      <c r="I140" s="219"/>
      <c r="J140" s="221"/>
      <c r="K140" s="219"/>
      <c r="L140" s="219"/>
      <c r="M140" s="219"/>
      <c r="N140" s="219"/>
      <c r="O140" s="219"/>
      <c r="P140" s="222"/>
      <c r="Q140" s="219"/>
      <c r="R140" s="219"/>
      <c r="S140" s="222"/>
      <c r="T140" s="53"/>
      <c r="U140" s="223">
        <v>18000</v>
      </c>
      <c r="V140" s="53"/>
      <c r="W140" s="41" t="s">
        <v>78</v>
      </c>
      <c r="X140" s="53">
        <v>0</v>
      </c>
      <c r="Y140" s="53"/>
      <c r="Z140" s="53"/>
      <c r="AA140" s="53"/>
    </row>
    <row r="141" spans="1:27" ht="18.75">
      <c r="A141" s="53"/>
      <c r="B141" s="217"/>
      <c r="C141" s="218"/>
      <c r="D141" s="219"/>
      <c r="E141" s="219"/>
      <c r="F141" s="220"/>
      <c r="G141" s="219"/>
      <c r="H141" s="219"/>
      <c r="I141" s="219"/>
      <c r="J141" s="221"/>
      <c r="K141" s="219"/>
      <c r="L141" s="219"/>
      <c r="M141" s="219"/>
      <c r="N141" s="219"/>
      <c r="O141" s="219"/>
      <c r="P141" s="222"/>
      <c r="Q141" s="219"/>
      <c r="R141" s="219"/>
      <c r="S141" s="222"/>
      <c r="T141" s="53"/>
      <c r="U141" s="223">
        <v>22000</v>
      </c>
      <c r="V141" s="53"/>
      <c r="W141" s="41" t="s">
        <v>78</v>
      </c>
      <c r="X141" s="53">
        <v>0</v>
      </c>
      <c r="Y141" s="53"/>
      <c r="Z141" s="53"/>
      <c r="AA141" s="53"/>
    </row>
    <row r="142" spans="1:27" ht="18.75">
      <c r="A142" s="53"/>
      <c r="B142" s="217"/>
      <c r="C142" s="218"/>
      <c r="D142" s="219"/>
      <c r="E142" s="219"/>
      <c r="F142" s="220"/>
      <c r="G142" s="219"/>
      <c r="H142" s="219"/>
      <c r="I142" s="219"/>
      <c r="J142" s="221"/>
      <c r="K142" s="219"/>
      <c r="L142" s="219"/>
      <c r="M142" s="219"/>
      <c r="N142" s="219"/>
      <c r="O142" s="219"/>
      <c r="P142" s="222"/>
      <c r="Q142" s="219"/>
      <c r="R142" s="219"/>
      <c r="S142" s="222"/>
      <c r="T142" s="53"/>
      <c r="U142" s="223">
        <v>25000</v>
      </c>
      <c r="V142" s="53"/>
      <c r="W142" s="41" t="s">
        <v>78</v>
      </c>
      <c r="X142" s="53">
        <v>0</v>
      </c>
      <c r="Y142" s="53"/>
      <c r="Z142" s="53"/>
      <c r="AA142" s="53"/>
    </row>
    <row r="143" spans="1:27" ht="18.75">
      <c r="A143" s="53"/>
      <c r="B143" s="217"/>
      <c r="C143" s="218"/>
      <c r="D143" s="219"/>
      <c r="E143" s="219"/>
      <c r="F143" s="220"/>
      <c r="G143" s="219"/>
      <c r="H143" s="219"/>
      <c r="I143" s="219"/>
      <c r="J143" s="221"/>
      <c r="K143" s="219"/>
      <c r="L143" s="219"/>
      <c r="M143" s="219"/>
      <c r="N143" s="219"/>
      <c r="O143" s="219"/>
      <c r="P143" s="222"/>
      <c r="Q143" s="219"/>
      <c r="R143" s="219"/>
      <c r="S143" s="222"/>
      <c r="T143" s="53"/>
      <c r="U143" s="223">
        <v>65000</v>
      </c>
      <c r="V143" s="53"/>
      <c r="W143" s="41" t="s">
        <v>78</v>
      </c>
      <c r="X143" s="53">
        <v>0</v>
      </c>
      <c r="Y143" s="53"/>
      <c r="Z143" s="53"/>
      <c r="AA143" s="53"/>
    </row>
    <row r="144" spans="1:27" ht="18.75">
      <c r="A144" s="53"/>
      <c r="B144" s="217"/>
      <c r="C144" s="218"/>
      <c r="D144" s="219"/>
      <c r="E144" s="219"/>
      <c r="F144" s="220"/>
      <c r="G144" s="219"/>
      <c r="H144" s="219"/>
      <c r="I144" s="219"/>
      <c r="J144" s="221"/>
      <c r="K144" s="219"/>
      <c r="L144" s="219"/>
      <c r="M144" s="219"/>
      <c r="N144" s="219"/>
      <c r="O144" s="219"/>
      <c r="P144" s="222"/>
      <c r="Q144" s="219"/>
      <c r="R144" s="219"/>
      <c r="S144" s="222"/>
      <c r="T144" s="53"/>
      <c r="U144" s="223">
        <v>80000</v>
      </c>
      <c r="V144" s="53"/>
      <c r="W144" s="41" t="s">
        <v>78</v>
      </c>
      <c r="X144" s="53">
        <v>0</v>
      </c>
      <c r="Y144" s="53"/>
      <c r="Z144" s="53"/>
      <c r="AA144" s="53"/>
    </row>
    <row r="145" spans="1:27" ht="18.75">
      <c r="A145" s="53"/>
      <c r="B145" s="217"/>
      <c r="C145" s="218"/>
      <c r="D145" s="219"/>
      <c r="E145" s="219"/>
      <c r="F145" s="220"/>
      <c r="G145" s="219"/>
      <c r="H145" s="219"/>
      <c r="I145" s="219"/>
      <c r="J145" s="221"/>
      <c r="K145" s="219"/>
      <c r="L145" s="219"/>
      <c r="M145" s="219"/>
      <c r="N145" s="219"/>
      <c r="O145" s="219"/>
      <c r="P145" s="222"/>
      <c r="Q145" s="219"/>
      <c r="R145" s="219"/>
      <c r="S145" s="222"/>
      <c r="T145" s="53"/>
      <c r="U145" s="223">
        <v>48000</v>
      </c>
      <c r="V145" s="53"/>
      <c r="W145" s="41" t="s">
        <v>78</v>
      </c>
      <c r="X145" s="53">
        <v>0</v>
      </c>
      <c r="Y145" s="53"/>
      <c r="Z145" s="53"/>
      <c r="AA145" s="53"/>
    </row>
    <row r="146" spans="1:27" ht="18.75">
      <c r="A146" s="53"/>
      <c r="B146" s="217"/>
      <c r="C146" s="218"/>
      <c r="D146" s="219"/>
      <c r="E146" s="219"/>
      <c r="F146" s="220"/>
      <c r="G146" s="219"/>
      <c r="H146" s="219"/>
      <c r="I146" s="219"/>
      <c r="J146" s="221"/>
      <c r="K146" s="219"/>
      <c r="L146" s="219"/>
      <c r="M146" s="219"/>
      <c r="N146" s="219"/>
      <c r="O146" s="219"/>
      <c r="P146" s="222"/>
      <c r="Q146" s="219"/>
      <c r="R146" s="219"/>
      <c r="S146" s="222"/>
      <c r="T146" s="53"/>
      <c r="U146" s="223">
        <v>65000</v>
      </c>
      <c r="V146" s="53"/>
      <c r="W146" s="41" t="s">
        <v>78</v>
      </c>
      <c r="X146" s="53">
        <v>0</v>
      </c>
      <c r="Y146" s="53"/>
      <c r="Z146" s="53"/>
      <c r="AA146" s="53"/>
    </row>
    <row r="147" spans="1:27" ht="18.75">
      <c r="A147" s="53"/>
      <c r="B147" s="217"/>
      <c r="C147" s="218"/>
      <c r="D147" s="219"/>
      <c r="E147" s="219"/>
      <c r="F147" s="220"/>
      <c r="G147" s="219"/>
      <c r="H147" s="219"/>
      <c r="I147" s="219"/>
      <c r="J147" s="221"/>
      <c r="K147" s="219"/>
      <c r="L147" s="219"/>
      <c r="M147" s="219"/>
      <c r="N147" s="219"/>
      <c r="O147" s="219"/>
      <c r="P147" s="222"/>
      <c r="Q147" s="219"/>
      <c r="R147" s="219"/>
      <c r="S147" s="222"/>
      <c r="T147" s="53"/>
      <c r="U147" s="223">
        <v>90000</v>
      </c>
      <c r="V147" s="53"/>
      <c r="W147" s="41" t="s">
        <v>78</v>
      </c>
      <c r="X147" s="53">
        <v>0</v>
      </c>
      <c r="Y147" s="53"/>
      <c r="Z147" s="53"/>
      <c r="AA147" s="53"/>
    </row>
    <row r="148" spans="1:27" ht="18.75">
      <c r="A148" s="53"/>
      <c r="B148" s="217"/>
      <c r="C148" s="218"/>
      <c r="D148" s="219"/>
      <c r="E148" s="219"/>
      <c r="F148" s="220"/>
      <c r="G148" s="219"/>
      <c r="H148" s="219"/>
      <c r="I148" s="219"/>
      <c r="J148" s="221"/>
      <c r="K148" s="219"/>
      <c r="L148" s="219"/>
      <c r="M148" s="219"/>
      <c r="N148" s="219"/>
      <c r="O148" s="219"/>
      <c r="P148" s="222"/>
      <c r="Q148" s="219"/>
      <c r="R148" s="219"/>
      <c r="S148" s="222"/>
      <c r="T148" s="53"/>
      <c r="U148" s="223">
        <v>87000</v>
      </c>
      <c r="V148" s="53"/>
      <c r="W148" s="41" t="s">
        <v>78</v>
      </c>
      <c r="X148" s="53">
        <v>0</v>
      </c>
      <c r="Y148" s="53"/>
      <c r="Z148" s="53"/>
      <c r="AA148" s="53"/>
    </row>
    <row r="149" spans="1:27" ht="18.75">
      <c r="A149" s="53"/>
      <c r="B149" s="217"/>
      <c r="C149" s="218"/>
      <c r="D149" s="219"/>
      <c r="E149" s="219"/>
      <c r="F149" s="220"/>
      <c r="G149" s="219"/>
      <c r="H149" s="219"/>
      <c r="I149" s="219"/>
      <c r="J149" s="221"/>
      <c r="K149" s="219"/>
      <c r="L149" s="219"/>
      <c r="M149" s="219"/>
      <c r="N149" s="219"/>
      <c r="O149" s="219"/>
      <c r="P149" s="222"/>
      <c r="Q149" s="219"/>
      <c r="R149" s="219"/>
      <c r="S149" s="222"/>
      <c r="T149" s="53"/>
      <c r="U149" s="223">
        <v>60000</v>
      </c>
      <c r="V149" s="53"/>
      <c r="W149" s="41" t="s">
        <v>78</v>
      </c>
      <c r="X149" s="53">
        <v>0</v>
      </c>
      <c r="Y149" s="53"/>
      <c r="Z149" s="53"/>
      <c r="AA149" s="53"/>
    </row>
    <row r="150" spans="1:27" ht="18.75">
      <c r="A150" s="53"/>
      <c r="B150" s="217"/>
      <c r="C150" s="218"/>
      <c r="D150" s="219"/>
      <c r="E150" s="219"/>
      <c r="F150" s="220"/>
      <c r="G150" s="219"/>
      <c r="H150" s="219"/>
      <c r="I150" s="219"/>
      <c r="J150" s="221"/>
      <c r="K150" s="219"/>
      <c r="L150" s="219"/>
      <c r="M150" s="219"/>
      <c r="N150" s="219"/>
      <c r="O150" s="219"/>
      <c r="P150" s="222"/>
      <c r="Q150" s="219"/>
      <c r="R150" s="219"/>
      <c r="S150" s="222"/>
      <c r="T150" s="53"/>
      <c r="U150" s="223">
        <v>30000</v>
      </c>
      <c r="V150" s="53"/>
      <c r="W150" s="41" t="s">
        <v>75</v>
      </c>
      <c r="X150" s="53">
        <v>0</v>
      </c>
      <c r="Y150" s="53"/>
      <c r="Z150" s="53"/>
      <c r="AA150" s="53"/>
    </row>
    <row r="151" spans="1:27" ht="18.75">
      <c r="A151" s="53"/>
      <c r="B151" s="217"/>
      <c r="C151" s="218"/>
      <c r="D151" s="219"/>
      <c r="E151" s="219"/>
      <c r="F151" s="220"/>
      <c r="G151" s="219"/>
      <c r="H151" s="219"/>
      <c r="I151" s="219"/>
      <c r="J151" s="221"/>
      <c r="K151" s="219"/>
      <c r="L151" s="219"/>
      <c r="M151" s="219"/>
      <c r="N151" s="219"/>
      <c r="O151" s="219"/>
      <c r="P151" s="222"/>
      <c r="Q151" s="219"/>
      <c r="R151" s="219"/>
      <c r="S151" s="222"/>
      <c r="T151" s="53"/>
      <c r="U151" s="223">
        <v>10000</v>
      </c>
      <c r="V151" s="53"/>
      <c r="W151" s="41" t="s">
        <v>75</v>
      </c>
      <c r="X151" s="53">
        <v>0</v>
      </c>
      <c r="Y151" s="53"/>
      <c r="Z151" s="53"/>
      <c r="AA151" s="53"/>
    </row>
    <row r="152" spans="1:27" ht="18.75">
      <c r="A152" s="53"/>
      <c r="B152" s="217"/>
      <c r="C152" s="218"/>
      <c r="D152" s="219"/>
      <c r="E152" s="219"/>
      <c r="F152" s="220"/>
      <c r="G152" s="219"/>
      <c r="H152" s="219"/>
      <c r="I152" s="219"/>
      <c r="J152" s="221"/>
      <c r="K152" s="219"/>
      <c r="L152" s="219"/>
      <c r="M152" s="219"/>
      <c r="N152" s="219"/>
      <c r="O152" s="219"/>
      <c r="P152" s="222"/>
      <c r="Q152" s="219"/>
      <c r="R152" s="219"/>
      <c r="S152" s="222"/>
      <c r="T152" s="53"/>
      <c r="U152" s="223">
        <v>10000</v>
      </c>
      <c r="V152" s="53"/>
      <c r="W152" s="41" t="s">
        <v>75</v>
      </c>
      <c r="X152" s="53">
        <v>0</v>
      </c>
      <c r="Y152" s="53"/>
      <c r="Z152" s="53"/>
      <c r="AA152" s="53"/>
    </row>
    <row r="153" spans="1:27" ht="18.75">
      <c r="A153" s="53"/>
      <c r="B153" s="217"/>
      <c r="C153" s="218"/>
      <c r="D153" s="219"/>
      <c r="E153" s="219"/>
      <c r="F153" s="220"/>
      <c r="G153" s="219"/>
      <c r="H153" s="219"/>
      <c r="I153" s="219"/>
      <c r="J153" s="221"/>
      <c r="K153" s="219"/>
      <c r="L153" s="219"/>
      <c r="M153" s="219"/>
      <c r="N153" s="219"/>
      <c r="O153" s="219"/>
      <c r="P153" s="222"/>
      <c r="Q153" s="219"/>
      <c r="R153" s="219"/>
      <c r="S153" s="222"/>
      <c r="T153" s="53"/>
      <c r="U153" s="223">
        <v>16000</v>
      </c>
      <c r="V153" s="53"/>
      <c r="W153" s="41" t="s">
        <v>78</v>
      </c>
      <c r="X153" s="53">
        <v>0</v>
      </c>
      <c r="Y153" s="53"/>
      <c r="Z153" s="53"/>
      <c r="AA153" s="53"/>
    </row>
    <row r="154" spans="1:27" ht="18.75">
      <c r="A154" s="53"/>
      <c r="B154" s="217"/>
      <c r="C154" s="218"/>
      <c r="D154" s="219"/>
      <c r="E154" s="219"/>
      <c r="F154" s="220"/>
      <c r="G154" s="219"/>
      <c r="H154" s="219"/>
      <c r="I154" s="219"/>
      <c r="J154" s="221"/>
      <c r="K154" s="219"/>
      <c r="L154" s="219"/>
      <c r="M154" s="219"/>
      <c r="N154" s="219"/>
      <c r="O154" s="219"/>
      <c r="P154" s="222"/>
      <c r="Q154" s="219"/>
      <c r="R154" s="219"/>
      <c r="S154" s="222"/>
      <c r="T154" s="53"/>
      <c r="U154" s="223">
        <v>32000</v>
      </c>
      <c r="V154" s="53"/>
      <c r="W154" s="41" t="s">
        <v>78</v>
      </c>
      <c r="X154" s="53">
        <v>0</v>
      </c>
      <c r="Y154" s="53"/>
      <c r="Z154" s="53"/>
      <c r="AA154" s="53"/>
    </row>
    <row r="155" spans="1:27" ht="18.75">
      <c r="A155" s="53"/>
      <c r="B155" s="217"/>
      <c r="C155" s="218"/>
      <c r="D155" s="219"/>
      <c r="E155" s="219"/>
      <c r="F155" s="220"/>
      <c r="G155" s="219"/>
      <c r="H155" s="219"/>
      <c r="I155" s="219"/>
      <c r="J155" s="221"/>
      <c r="K155" s="219"/>
      <c r="L155" s="219"/>
      <c r="M155" s="219"/>
      <c r="N155" s="219"/>
      <c r="O155" s="219"/>
      <c r="P155" s="222"/>
      <c r="Q155" s="219"/>
      <c r="R155" s="219"/>
      <c r="S155" s="222"/>
      <c r="T155" s="53"/>
      <c r="U155" s="223">
        <v>20000</v>
      </c>
      <c r="V155" s="53"/>
      <c r="W155" s="41" t="s">
        <v>78</v>
      </c>
      <c r="X155" s="53">
        <v>0</v>
      </c>
      <c r="Y155" s="53"/>
      <c r="Z155" s="53"/>
      <c r="AA155" s="53"/>
    </row>
    <row r="156" spans="1:27" ht="18.75">
      <c r="A156" s="53"/>
      <c r="B156" s="217"/>
      <c r="C156" s="218"/>
      <c r="D156" s="219"/>
      <c r="E156" s="219"/>
      <c r="F156" s="220"/>
      <c r="G156" s="219"/>
      <c r="H156" s="219"/>
      <c r="I156" s="219"/>
      <c r="J156" s="221"/>
      <c r="K156" s="219"/>
      <c r="L156" s="219"/>
      <c r="M156" s="219"/>
      <c r="N156" s="219"/>
      <c r="O156" s="219"/>
      <c r="P156" s="222"/>
      <c r="Q156" s="219"/>
      <c r="R156" s="219"/>
      <c r="S156" s="222"/>
      <c r="T156" s="53"/>
      <c r="U156" s="223">
        <v>20000</v>
      </c>
      <c r="V156" s="53"/>
      <c r="W156" s="41" t="s">
        <v>78</v>
      </c>
      <c r="X156" s="53">
        <v>0</v>
      </c>
      <c r="Y156" s="53"/>
      <c r="Z156" s="53"/>
      <c r="AA156" s="53"/>
    </row>
    <row r="157" spans="1:27" ht="18.75">
      <c r="A157" s="53"/>
      <c r="B157" s="217"/>
      <c r="C157" s="218"/>
      <c r="D157" s="219"/>
      <c r="E157" s="219"/>
      <c r="F157" s="220"/>
      <c r="G157" s="219"/>
      <c r="H157" s="219"/>
      <c r="I157" s="219"/>
      <c r="J157" s="221"/>
      <c r="K157" s="219"/>
      <c r="L157" s="219"/>
      <c r="M157" s="219"/>
      <c r="N157" s="219"/>
      <c r="O157" s="219"/>
      <c r="P157" s="222"/>
      <c r="Q157" s="219"/>
      <c r="R157" s="219"/>
      <c r="S157" s="222"/>
      <c r="T157" s="53"/>
      <c r="U157" s="223">
        <v>20000</v>
      </c>
      <c r="V157" s="53"/>
      <c r="W157" s="41" t="s">
        <v>78</v>
      </c>
      <c r="X157" s="53">
        <v>0</v>
      </c>
      <c r="Y157" s="53"/>
      <c r="Z157" s="53"/>
      <c r="AA157" s="53"/>
    </row>
    <row r="158" spans="1:27" ht="18.75">
      <c r="A158" s="53"/>
      <c r="B158" s="217"/>
      <c r="C158" s="218"/>
      <c r="D158" s="219"/>
      <c r="E158" s="219"/>
      <c r="F158" s="220"/>
      <c r="G158" s="219"/>
      <c r="H158" s="219"/>
      <c r="I158" s="219"/>
      <c r="J158" s="221"/>
      <c r="K158" s="219"/>
      <c r="L158" s="219"/>
      <c r="M158" s="219"/>
      <c r="N158" s="219"/>
      <c r="O158" s="219"/>
      <c r="P158" s="222"/>
      <c r="Q158" s="219"/>
      <c r="R158" s="219"/>
      <c r="S158" s="222"/>
      <c r="T158" s="53"/>
      <c r="U158" s="223">
        <v>14650</v>
      </c>
      <c r="V158" s="53"/>
      <c r="W158" s="41" t="s">
        <v>78</v>
      </c>
      <c r="X158" s="53">
        <v>0</v>
      </c>
      <c r="Y158" s="53"/>
      <c r="Z158" s="53"/>
      <c r="AA158" s="53"/>
    </row>
    <row r="159" spans="1:27" ht="18.75">
      <c r="A159" s="53"/>
      <c r="B159" s="217"/>
      <c r="C159" s="218"/>
      <c r="D159" s="219"/>
      <c r="E159" s="219"/>
      <c r="F159" s="220"/>
      <c r="G159" s="219"/>
      <c r="H159" s="219"/>
      <c r="I159" s="219"/>
      <c r="J159" s="221"/>
      <c r="K159" s="219"/>
      <c r="L159" s="219"/>
      <c r="M159" s="219"/>
      <c r="N159" s="219"/>
      <c r="O159" s="219"/>
      <c r="P159" s="222"/>
      <c r="Q159" s="219"/>
      <c r="R159" s="219"/>
      <c r="S159" s="222"/>
      <c r="T159" s="53"/>
      <c r="U159" s="223">
        <v>50000</v>
      </c>
      <c r="V159" s="53"/>
      <c r="W159" s="41" t="s">
        <v>78</v>
      </c>
      <c r="X159" s="53">
        <v>0</v>
      </c>
      <c r="Y159" s="53"/>
      <c r="Z159" s="53"/>
      <c r="AA159" s="53"/>
    </row>
    <row r="160" spans="1:27" ht="18.75">
      <c r="A160" s="53"/>
      <c r="B160" s="217"/>
      <c r="C160" s="218"/>
      <c r="D160" s="219"/>
      <c r="E160" s="219"/>
      <c r="F160" s="220"/>
      <c r="G160" s="219"/>
      <c r="H160" s="219"/>
      <c r="I160" s="219"/>
      <c r="J160" s="221"/>
      <c r="K160" s="219"/>
      <c r="L160" s="219"/>
      <c r="M160" s="219"/>
      <c r="N160" s="219"/>
      <c r="O160" s="219"/>
      <c r="P160" s="222"/>
      <c r="Q160" s="219"/>
      <c r="R160" s="219"/>
      <c r="S160" s="222"/>
      <c r="T160" s="53"/>
      <c r="U160" s="223">
        <v>35000</v>
      </c>
      <c r="V160" s="53"/>
      <c r="W160" s="41" t="s">
        <v>78</v>
      </c>
      <c r="X160" s="53">
        <v>0</v>
      </c>
      <c r="Y160" s="53"/>
      <c r="Z160" s="53"/>
      <c r="AA160" s="53"/>
    </row>
    <row r="161" spans="1:27" ht="18.75">
      <c r="A161" s="53"/>
      <c r="B161" s="217"/>
      <c r="C161" s="218"/>
      <c r="D161" s="219"/>
      <c r="E161" s="219"/>
      <c r="F161" s="220"/>
      <c r="G161" s="219"/>
      <c r="H161" s="219"/>
      <c r="I161" s="219"/>
      <c r="J161" s="221"/>
      <c r="K161" s="219"/>
      <c r="L161" s="219"/>
      <c r="M161" s="219"/>
      <c r="N161" s="219"/>
      <c r="O161" s="219"/>
      <c r="P161" s="222"/>
      <c r="Q161" s="219"/>
      <c r="R161" s="219"/>
      <c r="S161" s="222"/>
      <c r="T161" s="53"/>
      <c r="U161" s="223">
        <v>10000</v>
      </c>
      <c r="V161" s="53"/>
      <c r="W161" s="41" t="s">
        <v>78</v>
      </c>
      <c r="X161" s="53">
        <v>0</v>
      </c>
      <c r="Y161" s="53"/>
      <c r="Z161" s="53"/>
      <c r="AA161" s="53"/>
    </row>
    <row r="162" spans="1:27" ht="18.75">
      <c r="A162" s="53"/>
      <c r="B162" s="217"/>
      <c r="C162" s="218"/>
      <c r="D162" s="219"/>
      <c r="E162" s="219"/>
      <c r="F162" s="220"/>
      <c r="G162" s="219"/>
      <c r="H162" s="219"/>
      <c r="I162" s="219"/>
      <c r="J162" s="221"/>
      <c r="K162" s="219"/>
      <c r="L162" s="219"/>
      <c r="M162" s="219"/>
      <c r="N162" s="219"/>
      <c r="O162" s="219"/>
      <c r="P162" s="222"/>
      <c r="Q162" s="219"/>
      <c r="R162" s="219"/>
      <c r="S162" s="222"/>
      <c r="T162" s="53"/>
      <c r="U162" s="223">
        <v>20000</v>
      </c>
      <c r="V162" s="53"/>
      <c r="W162" s="41" t="s">
        <v>78</v>
      </c>
      <c r="X162" s="53">
        <v>0</v>
      </c>
      <c r="Y162" s="53"/>
      <c r="Z162" s="53"/>
      <c r="AA162" s="53"/>
    </row>
    <row r="163" spans="1:27" ht="18.75">
      <c r="A163" s="53"/>
      <c r="B163" s="217"/>
      <c r="C163" s="218"/>
      <c r="D163" s="219"/>
      <c r="E163" s="219"/>
      <c r="F163" s="220"/>
      <c r="G163" s="219"/>
      <c r="H163" s="219"/>
      <c r="I163" s="219"/>
      <c r="J163" s="221"/>
      <c r="K163" s="219"/>
      <c r="L163" s="219"/>
      <c r="M163" s="219"/>
      <c r="N163" s="219"/>
      <c r="O163" s="219"/>
      <c r="P163" s="222"/>
      <c r="Q163" s="219"/>
      <c r="R163" s="219"/>
      <c r="S163" s="222"/>
      <c r="T163" s="53"/>
      <c r="U163" s="223">
        <v>21800</v>
      </c>
      <c r="V163" s="53"/>
      <c r="W163" s="41" t="s">
        <v>78</v>
      </c>
      <c r="X163" s="53">
        <v>0</v>
      </c>
      <c r="Y163" s="53"/>
      <c r="Z163" s="53"/>
      <c r="AA163" s="53"/>
    </row>
    <row r="164" spans="1:27" ht="18.75">
      <c r="A164" s="53"/>
      <c r="B164" s="217"/>
      <c r="C164" s="218"/>
      <c r="D164" s="219"/>
      <c r="E164" s="219"/>
      <c r="F164" s="220"/>
      <c r="G164" s="219"/>
      <c r="H164" s="219"/>
      <c r="I164" s="219"/>
      <c r="J164" s="221"/>
      <c r="K164" s="219"/>
      <c r="L164" s="219"/>
      <c r="M164" s="219"/>
      <c r="N164" s="219"/>
      <c r="O164" s="219"/>
      <c r="P164" s="222"/>
      <c r="Q164" s="219"/>
      <c r="R164" s="219"/>
      <c r="S164" s="222"/>
      <c r="T164" s="53"/>
      <c r="U164" s="223">
        <v>26000</v>
      </c>
      <c r="V164" s="53"/>
      <c r="W164" s="41" t="s">
        <v>78</v>
      </c>
      <c r="X164" s="53">
        <v>0</v>
      </c>
      <c r="Y164" s="53"/>
      <c r="Z164" s="53"/>
      <c r="AA164" s="53"/>
    </row>
    <row r="165" spans="1:27" ht="18.75">
      <c r="A165" s="53"/>
      <c r="B165" s="217"/>
      <c r="C165" s="218"/>
      <c r="D165" s="219"/>
      <c r="E165" s="219"/>
      <c r="F165" s="220"/>
      <c r="G165" s="219"/>
      <c r="H165" s="219"/>
      <c r="I165" s="219"/>
      <c r="J165" s="221"/>
      <c r="K165" s="219"/>
      <c r="L165" s="219"/>
      <c r="M165" s="219"/>
      <c r="N165" s="219"/>
      <c r="O165" s="219"/>
      <c r="P165" s="222"/>
      <c r="Q165" s="219"/>
      <c r="R165" s="219"/>
      <c r="S165" s="222"/>
      <c r="T165" s="53"/>
      <c r="U165" s="223">
        <v>48000</v>
      </c>
      <c r="V165" s="53"/>
      <c r="W165" s="41" t="s">
        <v>78</v>
      </c>
      <c r="X165" s="53">
        <v>0</v>
      </c>
      <c r="Y165" s="53"/>
      <c r="Z165" s="53"/>
      <c r="AA165" s="53"/>
    </row>
    <row r="166" spans="1:27" ht="18.75">
      <c r="A166" s="53"/>
      <c r="B166" s="217"/>
      <c r="C166" s="218"/>
      <c r="D166" s="219"/>
      <c r="E166" s="219"/>
      <c r="F166" s="220"/>
      <c r="G166" s="219"/>
      <c r="H166" s="219"/>
      <c r="I166" s="219"/>
      <c r="J166" s="221"/>
      <c r="K166" s="219"/>
      <c r="L166" s="219"/>
      <c r="M166" s="219"/>
      <c r="N166" s="219"/>
      <c r="O166" s="219"/>
      <c r="P166" s="222"/>
      <c r="Q166" s="219"/>
      <c r="R166" s="219"/>
      <c r="S166" s="222"/>
      <c r="T166" s="53"/>
      <c r="U166" s="223">
        <v>30000</v>
      </c>
      <c r="V166" s="53"/>
      <c r="W166" s="41" t="s">
        <v>78</v>
      </c>
      <c r="X166" s="53">
        <v>0</v>
      </c>
      <c r="Y166" s="53"/>
      <c r="Z166" s="53"/>
      <c r="AA166" s="53"/>
    </row>
    <row r="167" spans="1:27" ht="18.75">
      <c r="A167" s="53"/>
      <c r="B167" s="217"/>
      <c r="C167" s="218"/>
      <c r="D167" s="219"/>
      <c r="E167" s="219"/>
      <c r="F167" s="220"/>
      <c r="G167" s="219"/>
      <c r="H167" s="219"/>
      <c r="I167" s="219"/>
      <c r="J167" s="221"/>
      <c r="K167" s="219"/>
      <c r="L167" s="219"/>
      <c r="M167" s="219"/>
      <c r="N167" s="219"/>
      <c r="O167" s="219"/>
      <c r="P167" s="222"/>
      <c r="Q167" s="219"/>
      <c r="R167" s="219"/>
      <c r="S167" s="222"/>
      <c r="T167" s="53"/>
      <c r="U167" s="223">
        <v>25000</v>
      </c>
      <c r="V167" s="53"/>
      <c r="W167" s="41" t="s">
        <v>78</v>
      </c>
      <c r="X167" s="53"/>
      <c r="Y167" s="53"/>
      <c r="Z167" s="53"/>
      <c r="AA167" s="53"/>
    </row>
    <row r="168" spans="1:27" ht="18.75">
      <c r="A168" s="53"/>
      <c r="B168" s="217"/>
      <c r="C168" s="218"/>
      <c r="D168" s="219"/>
      <c r="E168" s="219"/>
      <c r="F168" s="220"/>
      <c r="G168" s="219"/>
      <c r="H168" s="219"/>
      <c r="I168" s="219"/>
      <c r="J168" s="221"/>
      <c r="K168" s="219"/>
      <c r="L168" s="219"/>
      <c r="M168" s="219"/>
      <c r="N168" s="219"/>
      <c r="O168" s="219"/>
      <c r="P168" s="222"/>
      <c r="Q168" s="219"/>
      <c r="R168" s="219"/>
      <c r="S168" s="222"/>
      <c r="T168" s="53"/>
      <c r="U168" s="53">
        <v>25000</v>
      </c>
      <c r="V168" s="53"/>
      <c r="W168" s="41" t="s">
        <v>78</v>
      </c>
      <c r="X168" s="53">
        <v>0</v>
      </c>
      <c r="Y168" s="53" t="s">
        <v>99</v>
      </c>
      <c r="Z168" s="53"/>
      <c r="AA168" s="53"/>
    </row>
    <row r="169" spans="1:27" ht="18.75">
      <c r="A169" s="53"/>
      <c r="B169" s="217"/>
      <c r="C169" s="218"/>
      <c r="D169" s="219"/>
      <c r="E169" s="219"/>
      <c r="F169" s="220"/>
      <c r="G169" s="219"/>
      <c r="H169" s="219"/>
      <c r="I169" s="219"/>
      <c r="J169" s="221"/>
      <c r="K169" s="219"/>
      <c r="L169" s="219"/>
      <c r="M169" s="219"/>
      <c r="N169" s="219"/>
      <c r="O169" s="219"/>
      <c r="P169" s="222"/>
      <c r="Q169" s="219"/>
      <c r="R169" s="219"/>
      <c r="S169" s="222"/>
      <c r="T169" s="53"/>
      <c r="U169" s="53">
        <v>6500</v>
      </c>
      <c r="V169" s="53"/>
      <c r="W169" s="41" t="s">
        <v>78</v>
      </c>
      <c r="X169" s="53">
        <v>0</v>
      </c>
      <c r="Y169" s="53" t="s">
        <v>99</v>
      </c>
      <c r="Z169" s="53"/>
      <c r="AA169" s="53"/>
    </row>
    <row r="170" spans="1:27" ht="18.75">
      <c r="A170" s="53"/>
      <c r="B170" s="217"/>
      <c r="C170" s="218"/>
      <c r="D170" s="219"/>
      <c r="E170" s="219"/>
      <c r="F170" s="220"/>
      <c r="G170" s="219"/>
      <c r="H170" s="219"/>
      <c r="I170" s="219"/>
      <c r="J170" s="221"/>
      <c r="K170" s="219"/>
      <c r="L170" s="219"/>
      <c r="M170" s="219"/>
      <c r="N170" s="219"/>
      <c r="O170" s="219"/>
      <c r="P170" s="222"/>
      <c r="Q170" s="219"/>
      <c r="R170" s="219"/>
      <c r="S170" s="222"/>
      <c r="T170" s="53"/>
      <c r="U170" s="223">
        <v>41000</v>
      </c>
      <c r="V170" s="53"/>
      <c r="W170" s="41" t="s">
        <v>78</v>
      </c>
      <c r="X170" s="53">
        <v>0</v>
      </c>
      <c r="Y170" s="53"/>
      <c r="Z170" s="53"/>
      <c r="AA170" s="53"/>
    </row>
    <row r="171" spans="1:27" ht="18.75">
      <c r="A171" s="53"/>
      <c r="B171" s="217"/>
      <c r="C171" s="218"/>
      <c r="D171" s="219"/>
      <c r="E171" s="219"/>
      <c r="F171" s="220"/>
      <c r="G171" s="219"/>
      <c r="H171" s="219"/>
      <c r="I171" s="219"/>
      <c r="J171" s="221"/>
      <c r="K171" s="219"/>
      <c r="L171" s="219"/>
      <c r="M171" s="219"/>
      <c r="N171" s="219"/>
      <c r="O171" s="219"/>
      <c r="P171" s="222"/>
      <c r="Q171" s="219"/>
      <c r="R171" s="219"/>
      <c r="S171" s="222"/>
      <c r="T171" s="53"/>
      <c r="U171" s="223">
        <v>40000</v>
      </c>
      <c r="V171" s="53"/>
      <c r="W171" s="41" t="s">
        <v>78</v>
      </c>
      <c r="X171" s="53">
        <v>0</v>
      </c>
      <c r="Y171" s="53"/>
      <c r="Z171" s="53"/>
      <c r="AA171" s="53"/>
    </row>
    <row r="172" spans="1:27" ht="18.75">
      <c r="A172" s="53"/>
      <c r="B172" s="217"/>
      <c r="C172" s="218"/>
      <c r="D172" s="219"/>
      <c r="E172" s="219"/>
      <c r="F172" s="220"/>
      <c r="G172" s="219"/>
      <c r="H172" s="219"/>
      <c r="I172" s="219"/>
      <c r="J172" s="221"/>
      <c r="K172" s="219"/>
      <c r="L172" s="219"/>
      <c r="M172" s="219"/>
      <c r="N172" s="219"/>
      <c r="O172" s="219"/>
      <c r="P172" s="222"/>
      <c r="Q172" s="219"/>
      <c r="R172" s="219"/>
      <c r="S172" s="222"/>
      <c r="T172" s="53"/>
      <c r="U172" s="223">
        <v>16500</v>
      </c>
      <c r="V172" s="53"/>
      <c r="W172" s="41"/>
      <c r="X172" s="53"/>
      <c r="Y172" s="53"/>
      <c r="Z172" s="53"/>
      <c r="AA172" s="53"/>
    </row>
    <row r="173" spans="1:27" ht="18.75">
      <c r="A173" s="53"/>
      <c r="B173" s="217"/>
      <c r="C173" s="218"/>
      <c r="D173" s="219"/>
      <c r="E173" s="219"/>
      <c r="F173" s="220"/>
      <c r="G173" s="219"/>
      <c r="H173" s="219"/>
      <c r="I173" s="219"/>
      <c r="J173" s="221"/>
      <c r="K173" s="219"/>
      <c r="L173" s="219"/>
      <c r="M173" s="219"/>
      <c r="N173" s="219"/>
      <c r="O173" s="219"/>
      <c r="P173" s="222"/>
      <c r="Q173" s="219"/>
      <c r="R173" s="219"/>
      <c r="S173" s="222"/>
      <c r="T173" s="53"/>
      <c r="U173" s="223">
        <v>58500</v>
      </c>
      <c r="V173" s="53"/>
      <c r="W173" s="41" t="s">
        <v>78</v>
      </c>
      <c r="X173" s="53">
        <v>0</v>
      </c>
      <c r="Y173" s="53"/>
      <c r="Z173" s="53"/>
      <c r="AA173" s="53"/>
    </row>
    <row r="174" spans="1:27" ht="18.75">
      <c r="A174" s="53"/>
      <c r="B174" s="217"/>
      <c r="C174" s="218"/>
      <c r="D174" s="219"/>
      <c r="E174" s="219"/>
      <c r="F174" s="220"/>
      <c r="G174" s="219"/>
      <c r="H174" s="219"/>
      <c r="I174" s="219"/>
      <c r="J174" s="221"/>
      <c r="K174" s="219"/>
      <c r="L174" s="219"/>
      <c r="M174" s="219"/>
      <c r="N174" s="219"/>
      <c r="O174" s="219"/>
      <c r="P174" s="222"/>
      <c r="Q174" s="219"/>
      <c r="R174" s="219"/>
      <c r="S174" s="222"/>
      <c r="T174" s="53"/>
      <c r="U174" s="223">
        <v>13000</v>
      </c>
      <c r="V174" s="53"/>
      <c r="W174" s="41" t="s">
        <v>78</v>
      </c>
      <c r="X174" s="53">
        <v>0</v>
      </c>
      <c r="Y174" s="53"/>
      <c r="Z174" s="53"/>
      <c r="AA174" s="53"/>
    </row>
    <row r="175" spans="1:27" ht="18.75">
      <c r="A175" s="53"/>
      <c r="B175" s="217"/>
      <c r="C175" s="218"/>
      <c r="D175" s="219"/>
      <c r="E175" s="219"/>
      <c r="F175" s="220"/>
      <c r="G175" s="219"/>
      <c r="H175" s="219"/>
      <c r="I175" s="219"/>
      <c r="J175" s="221"/>
      <c r="K175" s="219"/>
      <c r="L175" s="219"/>
      <c r="M175" s="219"/>
      <c r="N175" s="219"/>
      <c r="O175" s="219"/>
      <c r="P175" s="222"/>
      <c r="Q175" s="219"/>
      <c r="R175" s="219"/>
      <c r="S175" s="222"/>
      <c r="T175" s="53"/>
      <c r="U175" s="223">
        <v>35000</v>
      </c>
      <c r="V175" s="53"/>
      <c r="W175" s="41" t="s">
        <v>78</v>
      </c>
      <c r="X175" s="53">
        <v>0</v>
      </c>
      <c r="Y175" s="53"/>
      <c r="Z175" s="53"/>
      <c r="AA175" s="53"/>
    </row>
    <row r="176" spans="1:27" ht="18.75">
      <c r="A176" s="53"/>
      <c r="B176" s="217"/>
      <c r="C176" s="218"/>
      <c r="D176" s="219"/>
      <c r="E176" s="219"/>
      <c r="F176" s="220"/>
      <c r="G176" s="219"/>
      <c r="H176" s="219"/>
      <c r="I176" s="219"/>
      <c r="J176" s="221"/>
      <c r="K176" s="219"/>
      <c r="L176" s="219"/>
      <c r="M176" s="219"/>
      <c r="N176" s="219"/>
      <c r="O176" s="219"/>
      <c r="P176" s="222"/>
      <c r="Q176" s="219"/>
      <c r="R176" s="219"/>
      <c r="S176" s="222"/>
      <c r="T176" s="53"/>
      <c r="U176" s="223">
        <v>120000</v>
      </c>
      <c r="V176" s="53"/>
      <c r="W176" s="41" t="s">
        <v>75</v>
      </c>
      <c r="X176" s="53">
        <v>0</v>
      </c>
      <c r="Y176" s="53"/>
      <c r="Z176" s="53"/>
      <c r="AA176" s="53"/>
    </row>
    <row r="177" spans="1:27" ht="18.75">
      <c r="A177" s="53"/>
      <c r="B177" s="217"/>
      <c r="C177" s="218"/>
      <c r="D177" s="219"/>
      <c r="E177" s="219"/>
      <c r="F177" s="220"/>
      <c r="G177" s="219"/>
      <c r="H177" s="219"/>
      <c r="I177" s="219"/>
      <c r="J177" s="221"/>
      <c r="K177" s="219"/>
      <c r="L177" s="219"/>
      <c r="M177" s="219"/>
      <c r="N177" s="219"/>
      <c r="O177" s="219"/>
      <c r="P177" s="222"/>
      <c r="Q177" s="219"/>
      <c r="R177" s="219"/>
      <c r="S177" s="222"/>
      <c r="T177" s="53"/>
      <c r="U177" s="223">
        <v>55090</v>
      </c>
      <c r="V177" s="53"/>
      <c r="W177" s="41" t="s">
        <v>75</v>
      </c>
      <c r="X177" s="53">
        <v>0</v>
      </c>
      <c r="Y177" s="53"/>
      <c r="Z177" s="53"/>
      <c r="AA177" s="53"/>
    </row>
    <row r="178" spans="1:27" ht="18.75">
      <c r="A178" s="53"/>
      <c r="B178" s="217"/>
      <c r="C178" s="218"/>
      <c r="D178" s="219"/>
      <c r="E178" s="219"/>
      <c r="F178" s="220"/>
      <c r="G178" s="219"/>
      <c r="H178" s="219"/>
      <c r="I178" s="219"/>
      <c r="J178" s="221"/>
      <c r="K178" s="219"/>
      <c r="L178" s="219"/>
      <c r="M178" s="219"/>
      <c r="N178" s="219"/>
      <c r="O178" s="219"/>
      <c r="P178" s="222"/>
      <c r="Q178" s="219"/>
      <c r="R178" s="219"/>
      <c r="S178" s="222"/>
      <c r="T178" s="226"/>
      <c r="U178" s="223"/>
      <c r="V178" s="53"/>
      <c r="W178" s="41"/>
      <c r="X178" s="53"/>
      <c r="Y178" s="53"/>
      <c r="Z178" s="53"/>
      <c r="AA178" s="53"/>
    </row>
    <row r="179" spans="1:27" ht="18.75">
      <c r="A179" s="53"/>
      <c r="B179" s="217"/>
      <c r="C179" s="218"/>
      <c r="D179" s="219"/>
      <c r="E179" s="219"/>
      <c r="F179" s="220"/>
      <c r="G179" s="219"/>
      <c r="H179" s="219"/>
      <c r="I179" s="219"/>
      <c r="J179" s="221"/>
      <c r="K179" s="219"/>
      <c r="L179" s="219"/>
      <c r="M179" s="219"/>
      <c r="N179" s="219"/>
      <c r="O179" s="219"/>
      <c r="P179" s="222"/>
      <c r="Q179" s="219"/>
      <c r="R179" s="219"/>
      <c r="S179" s="222"/>
      <c r="T179" s="226"/>
      <c r="U179" s="223">
        <v>32374</v>
      </c>
      <c r="V179" s="53"/>
      <c r="W179" s="41" t="s">
        <v>78</v>
      </c>
      <c r="X179" s="53">
        <v>0</v>
      </c>
      <c r="Y179" s="53"/>
      <c r="Z179" s="53"/>
      <c r="AA179" s="53"/>
    </row>
    <row r="180" spans="1:27" ht="18.75">
      <c r="A180" s="53"/>
      <c r="B180" s="217"/>
      <c r="C180" s="218"/>
      <c r="D180" s="219"/>
      <c r="E180" s="219"/>
      <c r="F180" s="220"/>
      <c r="G180" s="219"/>
      <c r="H180" s="219"/>
      <c r="I180" s="219"/>
      <c r="J180" s="221"/>
      <c r="K180" s="219"/>
      <c r="L180" s="219"/>
      <c r="M180" s="219"/>
      <c r="N180" s="219"/>
      <c r="O180" s="219"/>
      <c r="P180" s="222"/>
      <c r="Q180" s="219"/>
      <c r="R180" s="219"/>
      <c r="S180" s="222"/>
      <c r="T180" s="53"/>
      <c r="U180" s="223">
        <v>20000</v>
      </c>
      <c r="V180" s="53"/>
      <c r="W180" s="41" t="s">
        <v>78</v>
      </c>
      <c r="X180" s="53">
        <v>0</v>
      </c>
      <c r="Y180" s="53"/>
      <c r="Z180" s="53"/>
      <c r="AA180" s="53"/>
    </row>
    <row r="181" spans="1:27" ht="18.75">
      <c r="A181" s="53"/>
      <c r="B181" s="217"/>
      <c r="C181" s="218"/>
      <c r="D181" s="219"/>
      <c r="E181" s="219"/>
      <c r="F181" s="220"/>
      <c r="G181" s="219"/>
      <c r="H181" s="219"/>
      <c r="I181" s="219"/>
      <c r="J181" s="221"/>
      <c r="K181" s="219"/>
      <c r="L181" s="219"/>
      <c r="M181" s="219"/>
      <c r="N181" s="219"/>
      <c r="O181" s="219"/>
      <c r="P181" s="222"/>
      <c r="Q181" s="219"/>
      <c r="R181" s="219"/>
      <c r="S181" s="222"/>
      <c r="T181" s="53"/>
      <c r="U181" s="223">
        <v>22497</v>
      </c>
      <c r="V181" s="53"/>
      <c r="W181" s="41" t="s">
        <v>78</v>
      </c>
      <c r="X181" s="53">
        <v>0</v>
      </c>
      <c r="Y181" s="53"/>
      <c r="Z181" s="53"/>
      <c r="AA181" s="53"/>
    </row>
    <row r="182" spans="1:27" ht="18.75">
      <c r="A182" s="53"/>
      <c r="B182" s="217"/>
      <c r="C182" s="218"/>
      <c r="D182" s="219"/>
      <c r="E182" s="219"/>
      <c r="F182" s="220"/>
      <c r="G182" s="219"/>
      <c r="H182" s="219"/>
      <c r="I182" s="219"/>
      <c r="J182" s="221"/>
      <c r="K182" s="219"/>
      <c r="L182" s="219"/>
      <c r="M182" s="219"/>
      <c r="N182" s="219"/>
      <c r="O182" s="219"/>
      <c r="P182" s="222"/>
      <c r="Q182" s="219"/>
      <c r="R182" s="219"/>
      <c r="S182" s="222"/>
      <c r="T182" s="53"/>
      <c r="U182" s="223">
        <v>41067</v>
      </c>
      <c r="V182" s="53"/>
      <c r="W182" s="41" t="s">
        <v>78</v>
      </c>
      <c r="X182" s="53">
        <v>0</v>
      </c>
      <c r="Y182" s="53"/>
      <c r="Z182" s="53"/>
      <c r="AA182" s="53"/>
    </row>
    <row r="183" spans="1:27" ht="18.75">
      <c r="A183" s="53"/>
      <c r="B183" s="217"/>
      <c r="C183" s="218"/>
      <c r="D183" s="219"/>
      <c r="E183" s="219"/>
      <c r="F183" s="220"/>
      <c r="G183" s="219"/>
      <c r="H183" s="219"/>
      <c r="I183" s="219"/>
      <c r="J183" s="221"/>
      <c r="K183" s="219"/>
      <c r="L183" s="219"/>
      <c r="M183" s="219"/>
      <c r="N183" s="219"/>
      <c r="O183" s="219"/>
      <c r="P183" s="222"/>
      <c r="Q183" s="219"/>
      <c r="R183" s="219"/>
      <c r="S183" s="222"/>
      <c r="T183" s="53"/>
      <c r="U183" s="223">
        <v>42580</v>
      </c>
      <c r="V183" s="53"/>
      <c r="W183" s="41" t="s">
        <v>78</v>
      </c>
      <c r="X183" s="53">
        <v>0</v>
      </c>
      <c r="Y183" s="53"/>
      <c r="Z183" s="53"/>
      <c r="AA183" s="53"/>
    </row>
    <row r="184" spans="1:27" ht="18.75">
      <c r="A184" s="53"/>
      <c r="B184" s="217"/>
      <c r="C184" s="218"/>
      <c r="D184" s="219"/>
      <c r="E184" s="219"/>
      <c r="F184" s="220"/>
      <c r="G184" s="219"/>
      <c r="H184" s="219"/>
      <c r="I184" s="219"/>
      <c r="J184" s="221"/>
      <c r="K184" s="219"/>
      <c r="L184" s="219"/>
      <c r="M184" s="219"/>
      <c r="N184" s="219"/>
      <c r="O184" s="219"/>
      <c r="P184" s="222"/>
      <c r="Q184" s="219"/>
      <c r="R184" s="219"/>
      <c r="S184" s="222"/>
      <c r="T184" s="53"/>
      <c r="U184" s="223">
        <v>15000</v>
      </c>
      <c r="V184" s="53"/>
      <c r="W184" s="41" t="s">
        <v>78</v>
      </c>
      <c r="X184" s="53">
        <v>0</v>
      </c>
      <c r="Y184" s="53"/>
      <c r="Z184" s="53"/>
      <c r="AA184" s="53"/>
    </row>
    <row r="185" spans="1:27" ht="18.75">
      <c r="A185" s="53"/>
      <c r="B185" s="217"/>
      <c r="C185" s="218"/>
      <c r="D185" s="219"/>
      <c r="E185" s="219"/>
      <c r="F185" s="220"/>
      <c r="G185" s="219"/>
      <c r="H185" s="219"/>
      <c r="I185" s="219"/>
      <c r="J185" s="221"/>
      <c r="K185" s="219"/>
      <c r="L185" s="219"/>
      <c r="M185" s="219"/>
      <c r="N185" s="219"/>
      <c r="O185" s="219"/>
      <c r="P185" s="222"/>
      <c r="Q185" s="219"/>
      <c r="R185" s="219"/>
      <c r="S185" s="222"/>
      <c r="T185" s="53"/>
      <c r="U185" s="223">
        <v>4370</v>
      </c>
      <c r="V185" s="53"/>
      <c r="W185" s="41" t="s">
        <v>78</v>
      </c>
      <c r="X185" s="53">
        <v>0</v>
      </c>
      <c r="Y185" s="53"/>
      <c r="Z185" s="53"/>
      <c r="AA185" s="53"/>
    </row>
    <row r="186" spans="1:27" ht="18.75">
      <c r="A186" s="53"/>
      <c r="B186" s="217"/>
      <c r="C186" s="218"/>
      <c r="D186" s="219"/>
      <c r="E186" s="219"/>
      <c r="F186" s="220"/>
      <c r="G186" s="219"/>
      <c r="H186" s="219"/>
      <c r="I186" s="219"/>
      <c r="J186" s="221"/>
      <c r="K186" s="219"/>
      <c r="L186" s="219"/>
      <c r="M186" s="219"/>
      <c r="N186" s="219"/>
      <c r="O186" s="219"/>
      <c r="P186" s="222"/>
      <c r="Q186" s="219"/>
      <c r="R186" s="219"/>
      <c r="S186" s="222"/>
      <c r="T186" s="53"/>
      <c r="U186" s="223">
        <v>173350</v>
      </c>
      <c r="V186" s="53"/>
      <c r="W186" s="41" t="s">
        <v>78</v>
      </c>
      <c r="X186" s="53">
        <v>0</v>
      </c>
      <c r="Y186" s="53"/>
      <c r="Z186" s="53"/>
      <c r="AA186" s="53"/>
    </row>
    <row r="187" spans="1:27" ht="18.75">
      <c r="A187" s="53"/>
      <c r="B187" s="217"/>
      <c r="C187" s="218"/>
      <c r="D187" s="219"/>
      <c r="E187" s="219"/>
      <c r="F187" s="220"/>
      <c r="G187" s="219"/>
      <c r="H187" s="219"/>
      <c r="I187" s="219"/>
      <c r="J187" s="221"/>
      <c r="K187" s="219"/>
      <c r="L187" s="219"/>
      <c r="M187" s="219"/>
      <c r="N187" s="219"/>
      <c r="O187" s="219"/>
      <c r="P187" s="222"/>
      <c r="Q187" s="219"/>
      <c r="R187" s="219"/>
      <c r="S187" s="222"/>
      <c r="T187" s="53"/>
      <c r="U187" s="223">
        <v>4600</v>
      </c>
      <c r="V187" s="53"/>
      <c r="W187" s="41" t="s">
        <v>78</v>
      </c>
      <c r="X187" s="53">
        <v>0</v>
      </c>
      <c r="Y187" s="53"/>
      <c r="Z187" s="53"/>
      <c r="AA187" s="53"/>
    </row>
    <row r="188" spans="1:27" ht="18.75">
      <c r="A188" s="53"/>
      <c r="B188" s="217"/>
      <c r="C188" s="218"/>
      <c r="D188" s="219"/>
      <c r="E188" s="219"/>
      <c r="F188" s="220"/>
      <c r="G188" s="219"/>
      <c r="H188" s="219"/>
      <c r="I188" s="219"/>
      <c r="J188" s="221"/>
      <c r="K188" s="219"/>
      <c r="L188" s="219"/>
      <c r="M188" s="219"/>
      <c r="N188" s="219"/>
      <c r="O188" s="219"/>
      <c r="P188" s="222"/>
      <c r="Q188" s="219"/>
      <c r="R188" s="219"/>
      <c r="S188" s="222"/>
      <c r="T188" s="53"/>
      <c r="U188" s="223">
        <v>5550</v>
      </c>
      <c r="V188" s="53"/>
      <c r="W188" s="41" t="s">
        <v>78</v>
      </c>
      <c r="X188" s="53">
        <v>0</v>
      </c>
      <c r="Y188" s="53"/>
      <c r="Z188" s="53"/>
      <c r="AA188" s="53"/>
    </row>
    <row r="189" spans="1:27" ht="18.75">
      <c r="A189" s="53"/>
      <c r="B189" s="217"/>
      <c r="C189" s="218"/>
      <c r="D189" s="219"/>
      <c r="E189" s="219"/>
      <c r="F189" s="220"/>
      <c r="G189" s="219"/>
      <c r="H189" s="219"/>
      <c r="I189" s="219"/>
      <c r="J189" s="221"/>
      <c r="K189" s="219"/>
      <c r="L189" s="219"/>
      <c r="M189" s="219"/>
      <c r="N189" s="219"/>
      <c r="O189" s="219"/>
      <c r="P189" s="222"/>
      <c r="Q189" s="219"/>
      <c r="R189" s="219"/>
      <c r="S189" s="222"/>
      <c r="T189" s="53"/>
      <c r="U189" s="223">
        <v>9980</v>
      </c>
      <c r="V189" s="53"/>
      <c r="W189" s="41" t="s">
        <v>78</v>
      </c>
      <c r="X189" s="53">
        <v>0</v>
      </c>
      <c r="Y189" s="53"/>
      <c r="Z189" s="53"/>
      <c r="AA189" s="53"/>
    </row>
    <row r="190" spans="1:27" ht="18.75">
      <c r="A190" s="53"/>
      <c r="B190" s="217"/>
      <c r="C190" s="218"/>
      <c r="D190" s="219"/>
      <c r="E190" s="219"/>
      <c r="F190" s="220"/>
      <c r="G190" s="219"/>
      <c r="H190" s="219"/>
      <c r="I190" s="219"/>
      <c r="J190" s="221"/>
      <c r="K190" s="219"/>
      <c r="L190" s="219"/>
      <c r="M190" s="219"/>
      <c r="N190" s="219"/>
      <c r="O190" s="219"/>
      <c r="P190" s="222"/>
      <c r="Q190" s="219"/>
      <c r="R190" s="219"/>
      <c r="S190" s="222"/>
      <c r="T190" s="53"/>
      <c r="U190" s="223">
        <v>43000</v>
      </c>
      <c r="V190" s="53"/>
      <c r="W190" s="41" t="s">
        <v>78</v>
      </c>
      <c r="X190" s="53">
        <v>0</v>
      </c>
      <c r="Y190" s="53"/>
      <c r="Z190" s="53"/>
      <c r="AA190" s="53"/>
    </row>
    <row r="191" spans="1:27" ht="18.75">
      <c r="A191" s="53"/>
      <c r="B191" s="217"/>
      <c r="C191" s="218"/>
      <c r="D191" s="219"/>
      <c r="E191" s="219"/>
      <c r="F191" s="220"/>
      <c r="G191" s="219"/>
      <c r="H191" s="219"/>
      <c r="I191" s="219"/>
      <c r="J191" s="221"/>
      <c r="K191" s="219"/>
      <c r="L191" s="219"/>
      <c r="M191" s="219"/>
      <c r="N191" s="219"/>
      <c r="O191" s="219"/>
      <c r="P191" s="222"/>
      <c r="Q191" s="219"/>
      <c r="R191" s="219"/>
      <c r="S191" s="222"/>
      <c r="T191" s="53"/>
      <c r="U191" s="223">
        <v>15000</v>
      </c>
      <c r="V191" s="53"/>
      <c r="W191" s="41" t="s">
        <v>78</v>
      </c>
      <c r="X191" s="53">
        <v>0</v>
      </c>
      <c r="Y191" s="53"/>
      <c r="Z191" s="53"/>
      <c r="AA191" s="53"/>
    </row>
    <row r="192" spans="1:27" ht="18.75">
      <c r="A192" s="53"/>
      <c r="B192" s="217"/>
      <c r="C192" s="218"/>
      <c r="D192" s="219"/>
      <c r="E192" s="219"/>
      <c r="F192" s="220"/>
      <c r="G192" s="219"/>
      <c r="H192" s="219"/>
      <c r="I192" s="219"/>
      <c r="J192" s="221"/>
      <c r="K192" s="219"/>
      <c r="L192" s="219"/>
      <c r="M192" s="219"/>
      <c r="N192" s="219"/>
      <c r="O192" s="219"/>
      <c r="P192" s="222"/>
      <c r="Q192" s="219"/>
      <c r="R192" s="219"/>
      <c r="S192" s="222"/>
      <c r="T192" s="53"/>
      <c r="U192" s="223">
        <v>28500</v>
      </c>
      <c r="V192" s="53"/>
      <c r="W192" s="41" t="s">
        <v>78</v>
      </c>
      <c r="X192" s="53">
        <v>0</v>
      </c>
      <c r="Y192" s="53"/>
      <c r="Z192" s="53"/>
      <c r="AA192" s="53"/>
    </row>
    <row r="193" spans="1:27" ht="18.75">
      <c r="A193" s="53"/>
      <c r="B193" s="217"/>
      <c r="C193" s="218"/>
      <c r="D193" s="219"/>
      <c r="E193" s="219"/>
      <c r="F193" s="220"/>
      <c r="G193" s="219"/>
      <c r="H193" s="219"/>
      <c r="I193" s="219"/>
      <c r="J193" s="221"/>
      <c r="K193" s="219"/>
      <c r="L193" s="219"/>
      <c r="M193" s="219"/>
      <c r="N193" s="219"/>
      <c r="O193" s="219"/>
      <c r="P193" s="222"/>
      <c r="Q193" s="219"/>
      <c r="R193" s="219"/>
      <c r="S193" s="222"/>
      <c r="T193" s="53"/>
      <c r="U193" s="223">
        <v>48000</v>
      </c>
      <c r="V193" s="53"/>
      <c r="W193" s="41" t="s">
        <v>78</v>
      </c>
      <c r="X193" s="53">
        <v>0</v>
      </c>
      <c r="Y193" s="53"/>
      <c r="Z193" s="53"/>
      <c r="AA193" s="53"/>
    </row>
    <row r="194" spans="1:27" ht="18.75">
      <c r="A194" s="53"/>
      <c r="B194" s="217"/>
      <c r="C194" s="218"/>
      <c r="D194" s="219"/>
      <c r="E194" s="219"/>
      <c r="F194" s="220"/>
      <c r="G194" s="219"/>
      <c r="H194" s="219"/>
      <c r="I194" s="219"/>
      <c r="J194" s="221"/>
      <c r="K194" s="219"/>
      <c r="L194" s="219"/>
      <c r="M194" s="219"/>
      <c r="N194" s="219"/>
      <c r="O194" s="219"/>
      <c r="P194" s="222"/>
      <c r="Q194" s="219"/>
      <c r="R194" s="219"/>
      <c r="S194" s="222"/>
      <c r="T194" s="53"/>
      <c r="U194" s="223">
        <v>9200</v>
      </c>
      <c r="V194" s="53"/>
      <c r="W194" s="41" t="s">
        <v>78</v>
      </c>
      <c r="X194" s="53">
        <v>0</v>
      </c>
      <c r="Y194" s="53"/>
      <c r="Z194" s="53"/>
      <c r="AA194" s="53"/>
    </row>
    <row r="195" spans="1:27" ht="18.75">
      <c r="A195" s="53"/>
      <c r="B195" s="217"/>
      <c r="C195" s="218"/>
      <c r="D195" s="219"/>
      <c r="E195" s="219"/>
      <c r="F195" s="220"/>
      <c r="G195" s="219"/>
      <c r="H195" s="219"/>
      <c r="I195" s="219"/>
      <c r="J195" s="221"/>
      <c r="K195" s="219"/>
      <c r="L195" s="219"/>
      <c r="M195" s="219"/>
      <c r="N195" s="219"/>
      <c r="O195" s="219"/>
      <c r="P195" s="222"/>
      <c r="Q195" s="219"/>
      <c r="R195" s="219"/>
      <c r="S195" s="222"/>
      <c r="T195" s="53"/>
      <c r="U195" s="223">
        <v>23000</v>
      </c>
      <c r="V195" s="53"/>
      <c r="W195" s="41" t="s">
        <v>78</v>
      </c>
      <c r="X195" s="53">
        <v>0</v>
      </c>
      <c r="Y195" s="53"/>
      <c r="Z195" s="53"/>
      <c r="AA195" s="53"/>
    </row>
    <row r="196" spans="1:27" ht="18.75">
      <c r="A196" s="53"/>
      <c r="B196" s="217"/>
      <c r="C196" s="218"/>
      <c r="D196" s="219"/>
      <c r="E196" s="219"/>
      <c r="F196" s="220"/>
      <c r="G196" s="219"/>
      <c r="H196" s="219"/>
      <c r="I196" s="219"/>
      <c r="J196" s="221"/>
      <c r="K196" s="219"/>
      <c r="L196" s="219"/>
      <c r="M196" s="219"/>
      <c r="N196" s="219"/>
      <c r="O196" s="219"/>
      <c r="P196" s="222"/>
      <c r="Q196" s="219"/>
      <c r="R196" s="219"/>
      <c r="S196" s="222"/>
      <c r="T196" s="53"/>
      <c r="U196" s="223">
        <v>21000</v>
      </c>
      <c r="V196" s="53"/>
      <c r="W196" s="41" t="s">
        <v>78</v>
      </c>
      <c r="X196" s="53">
        <v>0</v>
      </c>
      <c r="Y196" s="53" t="s">
        <v>99</v>
      </c>
      <c r="Z196" s="53"/>
      <c r="AA196" s="53"/>
    </row>
    <row r="197" spans="1:27" ht="18.75">
      <c r="A197" s="53"/>
      <c r="B197" s="217"/>
      <c r="C197" s="218"/>
      <c r="D197" s="219"/>
      <c r="E197" s="219"/>
      <c r="F197" s="220"/>
      <c r="G197" s="219"/>
      <c r="H197" s="219"/>
      <c r="I197" s="219"/>
      <c r="J197" s="221"/>
      <c r="K197" s="219"/>
      <c r="L197" s="219"/>
      <c r="M197" s="219"/>
      <c r="N197" s="219"/>
      <c r="O197" s="219"/>
      <c r="P197" s="222"/>
      <c r="Q197" s="219"/>
      <c r="R197" s="219"/>
      <c r="S197" s="222"/>
      <c r="T197" s="53"/>
      <c r="U197" s="223">
        <v>9100</v>
      </c>
      <c r="V197" s="53"/>
      <c r="W197" s="41" t="s">
        <v>78</v>
      </c>
      <c r="X197" s="53">
        <v>0</v>
      </c>
      <c r="Y197" s="53" t="s">
        <v>99</v>
      </c>
      <c r="Z197" s="53"/>
      <c r="AA197" s="53"/>
    </row>
    <row r="198" spans="1:27" ht="18.75">
      <c r="A198" s="53"/>
      <c r="B198" s="217"/>
      <c r="C198" s="218"/>
      <c r="D198" s="219"/>
      <c r="E198" s="219"/>
      <c r="F198" s="220"/>
      <c r="G198" s="219"/>
      <c r="H198" s="219"/>
      <c r="I198" s="219"/>
      <c r="J198" s="221"/>
      <c r="K198" s="219"/>
      <c r="L198" s="219"/>
      <c r="M198" s="219"/>
      <c r="N198" s="219"/>
      <c r="O198" s="219"/>
      <c r="P198" s="222"/>
      <c r="Q198" s="219"/>
      <c r="R198" s="219"/>
      <c r="S198" s="222"/>
      <c r="T198" s="53"/>
      <c r="U198" s="223">
        <v>12280</v>
      </c>
      <c r="V198" s="53"/>
      <c r="W198" s="41" t="s">
        <v>78</v>
      </c>
      <c r="X198" s="53"/>
      <c r="Y198" s="53"/>
      <c r="Z198" s="53"/>
      <c r="AA198" s="53"/>
    </row>
    <row r="199" spans="1:27" ht="18.75">
      <c r="A199" s="53"/>
      <c r="B199" s="217"/>
      <c r="C199" s="218"/>
      <c r="D199" s="219"/>
      <c r="E199" s="219"/>
      <c r="F199" s="220"/>
      <c r="G199" s="219"/>
      <c r="H199" s="219"/>
      <c r="I199" s="219"/>
      <c r="J199" s="221"/>
      <c r="K199" s="219"/>
      <c r="L199" s="219"/>
      <c r="M199" s="219"/>
      <c r="N199" s="219"/>
      <c r="O199" s="219"/>
      <c r="P199" s="222"/>
      <c r="Q199" s="219"/>
      <c r="R199" s="219"/>
      <c r="S199" s="222"/>
      <c r="T199" s="53"/>
      <c r="U199" s="223">
        <v>45440</v>
      </c>
      <c r="V199" s="53"/>
      <c r="W199" s="41" t="s">
        <v>75</v>
      </c>
      <c r="X199" s="53"/>
      <c r="Y199" s="53"/>
      <c r="Z199" s="53"/>
      <c r="AA199" s="53"/>
    </row>
    <row r="200" spans="1:27" ht="18.75">
      <c r="A200" s="53"/>
      <c r="B200" s="217"/>
      <c r="C200" s="218"/>
      <c r="D200" s="219"/>
      <c r="E200" s="219"/>
      <c r="F200" s="220"/>
      <c r="G200" s="219"/>
      <c r="H200" s="219"/>
      <c r="I200" s="219"/>
      <c r="J200" s="221"/>
      <c r="K200" s="219"/>
      <c r="L200" s="219"/>
      <c r="M200" s="219"/>
      <c r="N200" s="219"/>
      <c r="O200" s="219"/>
      <c r="P200" s="222"/>
      <c r="Q200" s="219"/>
      <c r="R200" s="219"/>
      <c r="S200" s="222"/>
      <c r="T200" s="53"/>
      <c r="U200" s="223">
        <v>42900</v>
      </c>
      <c r="V200" s="53"/>
      <c r="W200" s="41" t="s">
        <v>75</v>
      </c>
      <c r="X200" s="53"/>
      <c r="Y200" s="53"/>
      <c r="Z200" s="53"/>
      <c r="AA200" s="53"/>
    </row>
    <row r="201" spans="1:27" ht="18.75">
      <c r="A201" s="53"/>
      <c r="B201" s="217"/>
      <c r="C201" s="218"/>
      <c r="D201" s="219"/>
      <c r="E201" s="219"/>
      <c r="F201" s="220"/>
      <c r="G201" s="219"/>
      <c r="H201" s="219"/>
      <c r="I201" s="219"/>
      <c r="J201" s="221"/>
      <c r="K201" s="219"/>
      <c r="L201" s="219"/>
      <c r="M201" s="219"/>
      <c r="N201" s="219"/>
      <c r="O201" s="219"/>
      <c r="P201" s="222"/>
      <c r="Q201" s="219"/>
      <c r="R201" s="219"/>
      <c r="S201" s="222"/>
      <c r="T201" s="53"/>
      <c r="U201" s="223">
        <v>20000</v>
      </c>
      <c r="V201" s="53"/>
      <c r="W201" s="41" t="s">
        <v>78</v>
      </c>
      <c r="X201" s="53"/>
      <c r="Y201" s="53"/>
      <c r="Z201" s="53"/>
      <c r="AA201" s="53"/>
    </row>
    <row r="202" spans="1:27" ht="18.75">
      <c r="A202" s="53"/>
      <c r="B202" s="217"/>
      <c r="C202" s="218"/>
      <c r="D202" s="219"/>
      <c r="E202" s="219"/>
      <c r="F202" s="220"/>
      <c r="G202" s="219"/>
      <c r="H202" s="219"/>
      <c r="I202" s="219"/>
      <c r="J202" s="221"/>
      <c r="K202" s="219"/>
      <c r="L202" s="219"/>
      <c r="M202" s="219"/>
      <c r="N202" s="219"/>
      <c r="O202" s="219"/>
      <c r="P202" s="222"/>
      <c r="Q202" s="219"/>
      <c r="R202" s="219"/>
      <c r="S202" s="222"/>
      <c r="T202" s="53"/>
      <c r="U202" s="223">
        <v>4000</v>
      </c>
      <c r="V202" s="53"/>
      <c r="W202" s="41" t="s">
        <v>78</v>
      </c>
      <c r="X202" s="53"/>
      <c r="Y202" s="53"/>
      <c r="Z202" s="53"/>
      <c r="AA202" s="53"/>
    </row>
    <row r="203" spans="1:27" ht="18.75">
      <c r="A203" s="53"/>
      <c r="B203" s="217"/>
      <c r="C203" s="218"/>
      <c r="D203" s="219"/>
      <c r="E203" s="219"/>
      <c r="F203" s="220"/>
      <c r="G203" s="219"/>
      <c r="H203" s="219"/>
      <c r="I203" s="219"/>
      <c r="J203" s="221"/>
      <c r="K203" s="219"/>
      <c r="L203" s="219"/>
      <c r="M203" s="219"/>
      <c r="N203" s="219"/>
      <c r="O203" s="219"/>
      <c r="P203" s="222"/>
      <c r="Q203" s="219"/>
      <c r="R203" s="219"/>
      <c r="S203" s="222"/>
      <c r="T203" s="53"/>
      <c r="U203" s="223">
        <v>49821</v>
      </c>
      <c r="V203" s="53"/>
      <c r="W203" s="41"/>
      <c r="X203" s="53"/>
      <c r="Y203" s="53"/>
      <c r="Z203" s="53"/>
      <c r="AA203" s="53"/>
    </row>
    <row r="204" spans="1:27" ht="18.75">
      <c r="A204" s="53"/>
      <c r="B204" s="217"/>
      <c r="C204" s="218"/>
      <c r="D204" s="219"/>
      <c r="E204" s="219"/>
      <c r="F204" s="220"/>
      <c r="G204" s="219"/>
      <c r="H204" s="219"/>
      <c r="I204" s="219"/>
      <c r="J204" s="221"/>
      <c r="K204" s="219"/>
      <c r="L204" s="219"/>
      <c r="M204" s="219"/>
      <c r="N204" s="219"/>
      <c r="O204" s="219"/>
      <c r="P204" s="222"/>
      <c r="Q204" s="219"/>
      <c r="R204" s="219"/>
      <c r="S204" s="222"/>
      <c r="T204" s="53"/>
      <c r="U204" s="223">
        <v>4000</v>
      </c>
      <c r="V204" s="53"/>
      <c r="W204" s="41"/>
      <c r="X204" s="53"/>
      <c r="Y204" s="53"/>
      <c r="Z204" s="53"/>
      <c r="AA204" s="53"/>
    </row>
    <row r="205" spans="1:27" ht="18.75">
      <c r="A205" s="53"/>
      <c r="B205" s="217"/>
      <c r="C205" s="218"/>
      <c r="D205" s="219"/>
      <c r="E205" s="219"/>
      <c r="F205" s="220"/>
      <c r="G205" s="219"/>
      <c r="H205" s="219"/>
      <c r="I205" s="219"/>
      <c r="J205" s="221"/>
      <c r="K205" s="219"/>
      <c r="L205" s="219"/>
      <c r="M205" s="219"/>
      <c r="N205" s="219"/>
      <c r="O205" s="219"/>
      <c r="P205" s="222"/>
      <c r="Q205" s="219"/>
      <c r="R205" s="219"/>
      <c r="S205" s="222"/>
      <c r="T205" s="53"/>
      <c r="U205" s="223">
        <v>15000</v>
      </c>
      <c r="V205" s="53"/>
      <c r="W205" s="41" t="s">
        <v>78</v>
      </c>
      <c r="X205" s="53">
        <v>0</v>
      </c>
      <c r="Y205" s="53"/>
      <c r="Z205" s="53"/>
      <c r="AA205" s="53"/>
    </row>
    <row r="206" spans="1:27" ht="18.75">
      <c r="A206" s="53"/>
      <c r="B206" s="217"/>
      <c r="C206" s="218"/>
      <c r="D206" s="219"/>
      <c r="E206" s="219"/>
      <c r="F206" s="220"/>
      <c r="G206" s="219"/>
      <c r="H206" s="219"/>
      <c r="I206" s="219"/>
      <c r="J206" s="221"/>
      <c r="K206" s="219"/>
      <c r="L206" s="219"/>
      <c r="M206" s="219"/>
      <c r="N206" s="219"/>
      <c r="O206" s="219"/>
      <c r="P206" s="222"/>
      <c r="Q206" s="219"/>
      <c r="R206" s="219"/>
      <c r="S206" s="222"/>
      <c r="T206" s="53"/>
      <c r="U206" s="223">
        <v>15000</v>
      </c>
      <c r="V206" s="53"/>
      <c r="W206" s="41" t="s">
        <v>78</v>
      </c>
      <c r="X206" s="53">
        <v>0</v>
      </c>
      <c r="Y206" s="53"/>
      <c r="Z206" s="53"/>
      <c r="AA206" s="53"/>
    </row>
    <row r="207" spans="1:27" ht="18.75">
      <c r="A207" s="53"/>
      <c r="B207" s="217"/>
      <c r="C207" s="218"/>
      <c r="D207" s="219"/>
      <c r="E207" s="219"/>
      <c r="F207" s="220"/>
      <c r="G207" s="219"/>
      <c r="H207" s="219"/>
      <c r="I207" s="219"/>
      <c r="J207" s="221"/>
      <c r="K207" s="219"/>
      <c r="L207" s="219"/>
      <c r="M207" s="219"/>
      <c r="N207" s="219"/>
      <c r="O207" s="219"/>
      <c r="P207" s="222"/>
      <c r="Q207" s="219"/>
      <c r="R207" s="219"/>
      <c r="S207" s="222"/>
      <c r="T207" s="53"/>
      <c r="U207" s="223">
        <v>46049</v>
      </c>
      <c r="V207" s="53"/>
      <c r="W207" s="41" t="s">
        <v>78</v>
      </c>
      <c r="X207" s="53">
        <v>0</v>
      </c>
      <c r="Y207" s="53"/>
      <c r="Z207" s="53"/>
      <c r="AA207" s="53"/>
    </row>
    <row r="208" spans="1:27" ht="18.75">
      <c r="A208" s="53"/>
      <c r="B208" s="217"/>
      <c r="C208" s="218"/>
      <c r="D208" s="219"/>
      <c r="E208" s="219"/>
      <c r="F208" s="220"/>
      <c r="G208" s="219"/>
      <c r="H208" s="219"/>
      <c r="I208" s="219"/>
      <c r="J208" s="221"/>
      <c r="K208" s="219"/>
      <c r="L208" s="219"/>
      <c r="M208" s="219"/>
      <c r="N208" s="219"/>
      <c r="O208" s="219"/>
      <c r="P208" s="222"/>
      <c r="Q208" s="219"/>
      <c r="R208" s="219"/>
      <c r="S208" s="222"/>
      <c r="T208" s="53"/>
      <c r="U208" s="223">
        <v>46173</v>
      </c>
      <c r="V208" s="53"/>
      <c r="W208" s="41" t="s">
        <v>78</v>
      </c>
      <c r="X208" s="53">
        <v>0</v>
      </c>
      <c r="Y208" s="53"/>
      <c r="Z208" s="53"/>
      <c r="AA208" s="53"/>
    </row>
    <row r="209" spans="1:27" ht="18.75">
      <c r="A209" s="53"/>
      <c r="B209" s="217"/>
      <c r="C209" s="218"/>
      <c r="D209" s="219"/>
      <c r="E209" s="219"/>
      <c r="F209" s="220"/>
      <c r="G209" s="219"/>
      <c r="H209" s="219"/>
      <c r="I209" s="219"/>
      <c r="J209" s="221"/>
      <c r="K209" s="219"/>
      <c r="L209" s="219"/>
      <c r="M209" s="219"/>
      <c r="N209" s="219"/>
      <c r="O209" s="219"/>
      <c r="P209" s="222"/>
      <c r="Q209" s="219"/>
      <c r="R209" s="219"/>
      <c r="S209" s="222"/>
      <c r="T209" s="53"/>
      <c r="U209" s="53"/>
      <c r="V209" s="53"/>
      <c r="W209" s="41"/>
      <c r="X209" s="53"/>
      <c r="Y209" s="53"/>
      <c r="Z209" s="53"/>
      <c r="AA209" s="53"/>
    </row>
    <row r="210" spans="1:27" ht="18.75">
      <c r="A210" s="53"/>
      <c r="B210" s="217"/>
      <c r="C210" s="218"/>
      <c r="D210" s="219"/>
      <c r="E210" s="219"/>
      <c r="F210" s="220"/>
      <c r="G210" s="219"/>
      <c r="H210" s="219"/>
      <c r="I210" s="219"/>
      <c r="J210" s="221"/>
      <c r="K210" s="219"/>
      <c r="L210" s="219"/>
      <c r="M210" s="219"/>
      <c r="N210" s="219"/>
      <c r="O210" s="219"/>
      <c r="P210" s="222"/>
      <c r="Q210" s="219"/>
      <c r="R210" s="219"/>
      <c r="S210" s="222"/>
      <c r="T210" s="53"/>
      <c r="U210" s="53"/>
      <c r="V210" s="53"/>
      <c r="W210" s="41"/>
      <c r="X210" s="53"/>
      <c r="Y210" s="53"/>
      <c r="Z210" s="53"/>
      <c r="AA210" s="53"/>
    </row>
    <row r="211" spans="1:27" ht="18.75">
      <c r="A211" s="53"/>
      <c r="B211" s="217"/>
      <c r="C211" s="218"/>
      <c r="D211" s="219"/>
      <c r="E211" s="219"/>
      <c r="F211" s="220"/>
      <c r="G211" s="219"/>
      <c r="H211" s="219"/>
      <c r="I211" s="219"/>
      <c r="J211" s="221"/>
      <c r="K211" s="219"/>
      <c r="L211" s="219"/>
      <c r="M211" s="219"/>
      <c r="N211" s="219"/>
      <c r="O211" s="219"/>
      <c r="P211" s="222"/>
      <c r="Q211" s="219"/>
      <c r="R211" s="219"/>
      <c r="S211" s="222"/>
      <c r="T211" s="53"/>
      <c r="U211" s="53"/>
      <c r="V211" s="53"/>
      <c r="W211" s="41"/>
      <c r="X211" s="53"/>
      <c r="Y211" s="53"/>
      <c r="Z211" s="53"/>
      <c r="AA211" s="53"/>
    </row>
    <row r="212" spans="1:27" ht="18.75">
      <c r="A212" s="53"/>
      <c r="B212" s="217"/>
      <c r="C212" s="218"/>
      <c r="D212" s="219"/>
      <c r="E212" s="219"/>
      <c r="F212" s="220"/>
      <c r="G212" s="219"/>
      <c r="H212" s="219"/>
      <c r="I212" s="219"/>
      <c r="J212" s="221"/>
      <c r="K212" s="219"/>
      <c r="L212" s="219"/>
      <c r="M212" s="219"/>
      <c r="N212" s="219"/>
      <c r="O212" s="219"/>
      <c r="P212" s="222"/>
      <c r="Q212" s="219"/>
      <c r="R212" s="219"/>
      <c r="S212" s="222"/>
      <c r="T212" s="53"/>
      <c r="U212" s="53"/>
      <c r="V212" s="53"/>
      <c r="W212" s="41"/>
      <c r="X212" s="53"/>
      <c r="Y212" s="53"/>
      <c r="Z212" s="53"/>
      <c r="AA212" s="53"/>
    </row>
  </sheetData>
  <autoFilter ref="B2:Y105" xr:uid="{00000000-0009-0000-0000-000005000000}">
    <filterColumn colId="0">
      <customFilters>
        <customFilter val="11-*"/>
      </customFilters>
    </filterColumn>
  </autoFilter>
  <mergeCells count="14">
    <mergeCell ref="A95:A101"/>
    <mergeCell ref="A102:A105"/>
    <mergeCell ref="A3:A7"/>
    <mergeCell ref="A8:A13"/>
    <mergeCell ref="A14:A22"/>
    <mergeCell ref="A23:A26"/>
    <mergeCell ref="A27:A39"/>
    <mergeCell ref="A40:A48"/>
    <mergeCell ref="A49:A62"/>
    <mergeCell ref="A63:A66"/>
    <mergeCell ref="A67:A71"/>
    <mergeCell ref="A72:A76"/>
    <mergeCell ref="A77:A87"/>
    <mergeCell ref="A88:A94"/>
  </mergeCells>
  <phoneticPr fontId="67" type="noConversion"/>
  <dataValidations count="1">
    <dataValidation type="list" allowBlank="1" showErrorMessage="1" sqref="A1" xr:uid="{00000000-0002-0000-0500-000000000000}">
      <formula1>"1-,2-,3-,4-,5-,6-,7-,8-,9-,10-,11-,12-,13-,14-"</formula1>
    </dataValidation>
  </dataValidations>
  <printOptions horizontalCentered="1"/>
  <pageMargins left="0.7" right="0.7" top="0.75" bottom="0.75" header="0" footer="0"/>
  <pageSetup paperSize="8" fitToHeight="0" pageOrder="overThenDown" orientation="landscape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D180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ColWidth="12.7109375" defaultRowHeight="15.75" customHeight="1"/>
  <cols>
    <col min="3" max="3" width="62.28515625" customWidth="1"/>
    <col min="18" max="18" width="40.42578125" customWidth="1"/>
  </cols>
  <sheetData>
    <row r="1" spans="1:30" ht="15.75" customHeight="1">
      <c r="A1" s="154"/>
      <c r="C1" s="227" t="s">
        <v>497</v>
      </c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27"/>
      <c r="O1" s="227"/>
      <c r="P1" s="227"/>
      <c r="Q1" s="227"/>
      <c r="R1" s="227"/>
      <c r="S1" s="227"/>
      <c r="T1" s="228"/>
      <c r="U1" s="228"/>
      <c r="V1" s="228"/>
      <c r="W1" s="228"/>
      <c r="X1" s="124"/>
      <c r="Y1" s="124"/>
      <c r="Z1" s="124"/>
      <c r="AA1" s="124"/>
      <c r="AB1" s="124"/>
      <c r="AC1" s="124"/>
      <c r="AD1" s="124"/>
    </row>
    <row r="2" spans="1:30" ht="15.75" customHeight="1">
      <c r="A2" s="229" t="s">
        <v>4</v>
      </c>
      <c r="B2" s="230" t="s">
        <v>3</v>
      </c>
      <c r="C2" s="229" t="s">
        <v>49</v>
      </c>
      <c r="D2" s="229" t="s">
        <v>67</v>
      </c>
      <c r="E2" s="229" t="s">
        <v>51</v>
      </c>
      <c r="F2" s="229" t="s">
        <v>52</v>
      </c>
      <c r="G2" s="229" t="s">
        <v>498</v>
      </c>
      <c r="H2" s="229" t="s">
        <v>499</v>
      </c>
      <c r="I2" s="229" t="s">
        <v>500</v>
      </c>
      <c r="J2" s="229" t="s">
        <v>501</v>
      </c>
      <c r="K2" s="229" t="s">
        <v>57</v>
      </c>
      <c r="L2" s="231" t="s">
        <v>502</v>
      </c>
      <c r="M2" s="229" t="s">
        <v>58</v>
      </c>
      <c r="N2" s="231" t="s">
        <v>503</v>
      </c>
      <c r="O2" s="229" t="s">
        <v>59</v>
      </c>
      <c r="P2" s="229" t="s">
        <v>60</v>
      </c>
      <c r="Q2" s="229" t="s">
        <v>61</v>
      </c>
      <c r="R2" s="229" t="s">
        <v>62</v>
      </c>
      <c r="S2" s="229" t="s">
        <v>504</v>
      </c>
      <c r="T2" s="232" t="s">
        <v>505</v>
      </c>
      <c r="U2" s="232" t="s">
        <v>64</v>
      </c>
      <c r="V2" s="232" t="s">
        <v>506</v>
      </c>
      <c r="W2" s="232" t="s">
        <v>507</v>
      </c>
      <c r="X2" s="232" t="s">
        <v>65</v>
      </c>
      <c r="Y2" s="52" t="s">
        <v>508</v>
      </c>
      <c r="Z2" s="52" t="s">
        <v>509</v>
      </c>
      <c r="AA2" s="52" t="s">
        <v>68</v>
      </c>
      <c r="AB2" s="52" t="s">
        <v>510</v>
      </c>
      <c r="AC2" s="53" t="s">
        <v>70</v>
      </c>
      <c r="AD2" s="53"/>
    </row>
    <row r="3" spans="1:30" ht="15.75" customHeight="1">
      <c r="A3" s="486" t="s">
        <v>20</v>
      </c>
      <c r="B3" s="233">
        <v>44927</v>
      </c>
      <c r="C3" s="234" t="s">
        <v>511</v>
      </c>
      <c r="D3" s="235">
        <v>20580</v>
      </c>
      <c r="E3" s="236">
        <v>850</v>
      </c>
      <c r="F3" s="236">
        <v>680</v>
      </c>
      <c r="G3" s="236">
        <v>562</v>
      </c>
      <c r="H3" s="237" t="s">
        <v>75</v>
      </c>
      <c r="I3" s="235">
        <v>2127</v>
      </c>
      <c r="J3" s="238">
        <v>0.10299999999999999</v>
      </c>
      <c r="K3" s="236">
        <v>0</v>
      </c>
      <c r="L3" s="239"/>
      <c r="M3" s="236">
        <v>0</v>
      </c>
      <c r="N3" s="239"/>
      <c r="O3" s="236">
        <v>0</v>
      </c>
      <c r="P3" s="236">
        <v>0</v>
      </c>
      <c r="Q3" s="236"/>
      <c r="R3" s="236" t="s">
        <v>512</v>
      </c>
      <c r="S3" s="240">
        <v>0.71</v>
      </c>
      <c r="T3" s="236" t="s">
        <v>75</v>
      </c>
      <c r="U3" s="236">
        <v>-20222.349999999999</v>
      </c>
      <c r="V3" s="241" t="s">
        <v>513</v>
      </c>
      <c r="W3" s="236" t="s">
        <v>75</v>
      </c>
      <c r="X3" s="236" t="s">
        <v>514</v>
      </c>
      <c r="Y3" s="52">
        <v>113</v>
      </c>
      <c r="Z3" s="242">
        <v>112849</v>
      </c>
      <c r="AA3" s="124"/>
      <c r="AB3" s="52" t="s">
        <v>75</v>
      </c>
      <c r="AC3" s="243">
        <v>-20222.349999999999</v>
      </c>
      <c r="AD3" s="124"/>
    </row>
    <row r="4" spans="1:30" ht="15.75" customHeight="1">
      <c r="A4" s="483"/>
      <c r="B4" s="244">
        <v>44928</v>
      </c>
      <c r="C4" s="245" t="s">
        <v>515</v>
      </c>
      <c r="D4" s="235">
        <v>40000</v>
      </c>
      <c r="E4" s="235">
        <v>2500</v>
      </c>
      <c r="F4" s="235">
        <v>2000</v>
      </c>
      <c r="G4" s="235">
        <v>1232</v>
      </c>
      <c r="H4" s="237" t="s">
        <v>75</v>
      </c>
      <c r="I4" s="235">
        <v>4064</v>
      </c>
      <c r="J4" s="238">
        <v>0.108</v>
      </c>
      <c r="K4" s="236" t="s">
        <v>516</v>
      </c>
      <c r="L4" s="239">
        <v>40</v>
      </c>
      <c r="M4" s="236">
        <v>0</v>
      </c>
      <c r="N4" s="239"/>
      <c r="O4" s="235">
        <v>15000</v>
      </c>
      <c r="P4" s="236">
        <v>800</v>
      </c>
      <c r="Q4" s="236"/>
      <c r="R4" s="245" t="s">
        <v>517</v>
      </c>
      <c r="S4" s="246">
        <v>0.65</v>
      </c>
      <c r="T4" s="236" t="s">
        <v>518</v>
      </c>
      <c r="U4" s="236"/>
      <c r="V4" s="236" t="s">
        <v>519</v>
      </c>
      <c r="W4" s="236" t="s">
        <v>520</v>
      </c>
      <c r="X4" s="236" t="s">
        <v>521</v>
      </c>
      <c r="Y4" s="52">
        <v>113</v>
      </c>
      <c r="Z4" s="242">
        <v>112849</v>
      </c>
      <c r="AA4" s="124"/>
      <c r="AB4" s="124"/>
      <c r="AC4" s="243">
        <v>0</v>
      </c>
      <c r="AD4" s="124"/>
    </row>
    <row r="5" spans="1:30" ht="15.75" customHeight="1">
      <c r="A5" s="483"/>
      <c r="B5" s="247">
        <v>44929</v>
      </c>
      <c r="C5" s="245" t="s">
        <v>522</v>
      </c>
      <c r="D5" s="235">
        <v>40000</v>
      </c>
      <c r="E5" s="235">
        <v>2500</v>
      </c>
      <c r="F5" s="235">
        <v>2000</v>
      </c>
      <c r="G5" s="235">
        <v>1232</v>
      </c>
      <c r="H5" s="237" t="s">
        <v>75</v>
      </c>
      <c r="I5" s="235">
        <v>4064</v>
      </c>
      <c r="J5" s="238">
        <v>0.108</v>
      </c>
      <c r="K5" s="236" t="s">
        <v>516</v>
      </c>
      <c r="L5" s="239">
        <v>40</v>
      </c>
      <c r="M5" s="236">
        <v>0</v>
      </c>
      <c r="N5" s="239"/>
      <c r="O5" s="235">
        <v>15000</v>
      </c>
      <c r="P5" s="236">
        <v>800</v>
      </c>
      <c r="Q5" s="236"/>
      <c r="R5" s="245" t="s">
        <v>517</v>
      </c>
      <c r="S5" s="246">
        <v>0.65</v>
      </c>
      <c r="T5" s="236" t="s">
        <v>523</v>
      </c>
      <c r="U5" s="236"/>
      <c r="V5" s="236" t="s">
        <v>519</v>
      </c>
      <c r="W5" s="236" t="s">
        <v>520</v>
      </c>
      <c r="X5" s="236" t="s">
        <v>524</v>
      </c>
      <c r="Y5" s="52">
        <v>113</v>
      </c>
      <c r="Z5" s="242">
        <v>112849</v>
      </c>
      <c r="AA5" s="124"/>
      <c r="AB5" s="124"/>
      <c r="AC5" s="243">
        <v>0</v>
      </c>
      <c r="AD5" s="124"/>
    </row>
    <row r="6" spans="1:30" ht="15.75" customHeight="1">
      <c r="A6" s="483"/>
      <c r="B6" s="247">
        <v>44930</v>
      </c>
      <c r="C6" s="245" t="s">
        <v>525</v>
      </c>
      <c r="D6" s="235">
        <v>4000</v>
      </c>
      <c r="E6" s="236">
        <v>150</v>
      </c>
      <c r="F6" s="236">
        <v>120</v>
      </c>
      <c r="G6" s="236">
        <v>77</v>
      </c>
      <c r="H6" s="237" t="s">
        <v>75</v>
      </c>
      <c r="I6" s="236">
        <v>937</v>
      </c>
      <c r="J6" s="238">
        <v>0.28199999999999997</v>
      </c>
      <c r="K6" s="236">
        <v>0</v>
      </c>
      <c r="L6" s="239"/>
      <c r="M6" s="236">
        <v>0</v>
      </c>
      <c r="N6" s="239"/>
      <c r="O6" s="236">
        <v>0</v>
      </c>
      <c r="P6" s="236">
        <v>0</v>
      </c>
      <c r="Q6" s="236"/>
      <c r="R6" s="236" t="s">
        <v>526</v>
      </c>
      <c r="S6" s="248">
        <v>0.77</v>
      </c>
      <c r="T6" s="236" t="s">
        <v>75</v>
      </c>
      <c r="U6" s="236">
        <v>0</v>
      </c>
      <c r="V6" s="241" t="s">
        <v>527</v>
      </c>
      <c r="W6" s="236" t="s">
        <v>75</v>
      </c>
      <c r="X6" s="236"/>
      <c r="Y6" s="52">
        <v>113</v>
      </c>
      <c r="Z6" s="242">
        <v>112849</v>
      </c>
      <c r="AA6" s="124"/>
      <c r="AB6" s="124"/>
      <c r="AC6" s="243">
        <v>0</v>
      </c>
      <c r="AD6" s="52"/>
    </row>
    <row r="7" spans="1:30" ht="15.75" customHeight="1">
      <c r="A7" s="483"/>
      <c r="B7" s="247">
        <v>44931</v>
      </c>
      <c r="C7" s="245" t="s">
        <v>528</v>
      </c>
      <c r="D7" s="235">
        <v>15000</v>
      </c>
      <c r="E7" s="236">
        <v>830</v>
      </c>
      <c r="F7" s="236">
        <v>664</v>
      </c>
      <c r="G7" s="236">
        <v>503</v>
      </c>
      <c r="H7" s="237" t="s">
        <v>75</v>
      </c>
      <c r="I7" s="236">
        <v>737</v>
      </c>
      <c r="J7" s="238">
        <v>5.0999999999999997E-2</v>
      </c>
      <c r="K7" s="236" t="s">
        <v>529</v>
      </c>
      <c r="L7" s="239">
        <v>42</v>
      </c>
      <c r="M7" s="236" t="s">
        <v>530</v>
      </c>
      <c r="N7" s="239">
        <v>126</v>
      </c>
      <c r="O7" s="235">
        <v>6000</v>
      </c>
      <c r="P7" s="236">
        <v>400</v>
      </c>
      <c r="Q7" s="236"/>
      <c r="R7" s="245" t="s">
        <v>531</v>
      </c>
      <c r="S7" s="246">
        <v>0.73</v>
      </c>
      <c r="T7" s="236" t="s">
        <v>75</v>
      </c>
      <c r="U7" s="236">
        <v>-7519.33</v>
      </c>
      <c r="V7" s="236" t="s">
        <v>532</v>
      </c>
      <c r="W7" s="236" t="s">
        <v>520</v>
      </c>
      <c r="X7" s="236"/>
      <c r="Y7" s="52">
        <v>113</v>
      </c>
      <c r="Z7" s="242">
        <v>112849</v>
      </c>
      <c r="AA7" s="124"/>
      <c r="AB7" s="124"/>
      <c r="AC7" s="243">
        <v>-7519.33</v>
      </c>
      <c r="AD7" s="124"/>
    </row>
    <row r="8" spans="1:30" ht="15.75" customHeight="1">
      <c r="A8" s="487"/>
      <c r="B8" s="249">
        <v>44932</v>
      </c>
      <c r="C8" s="250" t="s">
        <v>533</v>
      </c>
      <c r="D8" s="251">
        <v>8000</v>
      </c>
      <c r="E8" s="252">
        <v>600</v>
      </c>
      <c r="F8" s="252">
        <v>480</v>
      </c>
      <c r="G8" s="252">
        <v>86.5</v>
      </c>
      <c r="H8" s="253" t="s">
        <v>75</v>
      </c>
      <c r="I8" s="251">
        <v>5029</v>
      </c>
      <c r="J8" s="254">
        <v>0.66700000000000004</v>
      </c>
      <c r="K8" s="252">
        <v>0</v>
      </c>
      <c r="L8" s="231"/>
      <c r="M8" s="252">
        <v>0</v>
      </c>
      <c r="N8" s="231"/>
      <c r="O8" s="252">
        <v>0</v>
      </c>
      <c r="P8" s="252">
        <v>0</v>
      </c>
      <c r="Q8" s="252"/>
      <c r="R8" s="252" t="s">
        <v>534</v>
      </c>
      <c r="S8" s="255">
        <v>0.78</v>
      </c>
      <c r="T8" s="252" t="s">
        <v>535</v>
      </c>
      <c r="U8" s="252"/>
      <c r="V8" s="252" t="s">
        <v>536</v>
      </c>
      <c r="W8" s="252" t="s">
        <v>520</v>
      </c>
      <c r="X8" s="252" t="s">
        <v>537</v>
      </c>
      <c r="Y8" s="52">
        <v>113</v>
      </c>
      <c r="Z8" s="242">
        <v>112849</v>
      </c>
      <c r="AA8" s="124"/>
      <c r="AB8" s="124"/>
      <c r="AC8" s="243">
        <v>0</v>
      </c>
      <c r="AD8" s="124"/>
    </row>
    <row r="9" spans="1:30" ht="15.75" customHeight="1">
      <c r="A9" s="485" t="s">
        <v>21</v>
      </c>
      <c r="B9" s="256">
        <v>44958</v>
      </c>
      <c r="C9" s="171" t="s">
        <v>538</v>
      </c>
      <c r="D9" s="257">
        <v>21826</v>
      </c>
      <c r="E9" s="258">
        <v>729</v>
      </c>
      <c r="F9" s="258">
        <v>583</v>
      </c>
      <c r="G9" s="258">
        <v>636</v>
      </c>
      <c r="H9" s="259" t="s">
        <v>75</v>
      </c>
      <c r="I9" s="257">
        <v>1444</v>
      </c>
      <c r="J9" s="260">
        <v>6.6000000000000003E-2</v>
      </c>
      <c r="K9" s="258" t="s">
        <v>539</v>
      </c>
      <c r="L9" s="261">
        <v>18</v>
      </c>
      <c r="M9" s="258" t="s">
        <v>540</v>
      </c>
      <c r="N9" s="261">
        <v>350</v>
      </c>
      <c r="O9" s="258">
        <v>400</v>
      </c>
      <c r="P9" s="258">
        <v>100</v>
      </c>
      <c r="Q9" s="258" t="s">
        <v>541</v>
      </c>
      <c r="R9" s="258" t="s">
        <v>542</v>
      </c>
      <c r="S9" s="262">
        <v>0.75</v>
      </c>
      <c r="T9" s="258" t="s">
        <v>543</v>
      </c>
      <c r="U9" s="258">
        <v>-4060</v>
      </c>
      <c r="V9" s="263" t="s">
        <v>544</v>
      </c>
      <c r="W9" s="264" t="s">
        <v>75</v>
      </c>
      <c r="X9" s="258"/>
      <c r="Y9" s="52">
        <v>659</v>
      </c>
      <c r="Z9" s="242">
        <v>659259</v>
      </c>
      <c r="AA9" s="124"/>
      <c r="AB9" s="124"/>
      <c r="AC9" s="243">
        <v>-4060</v>
      </c>
      <c r="AD9" s="124"/>
    </row>
    <row r="10" spans="1:30" ht="15.75" customHeight="1">
      <c r="A10" s="483"/>
      <c r="B10" s="244">
        <v>44959</v>
      </c>
      <c r="C10" s="245" t="s">
        <v>545</v>
      </c>
      <c r="D10" s="235">
        <v>5204</v>
      </c>
      <c r="E10" s="236">
        <v>174</v>
      </c>
      <c r="F10" s="236">
        <v>139</v>
      </c>
      <c r="G10" s="236">
        <v>52</v>
      </c>
      <c r="H10" s="237" t="s">
        <v>75</v>
      </c>
      <c r="I10" s="236">
        <v>757</v>
      </c>
      <c r="J10" s="238">
        <v>0.14499999999999999</v>
      </c>
      <c r="K10" s="236" t="s">
        <v>546</v>
      </c>
      <c r="L10" s="239">
        <v>56</v>
      </c>
      <c r="M10" s="236" t="s">
        <v>547</v>
      </c>
      <c r="N10" s="239">
        <v>2880</v>
      </c>
      <c r="O10" s="235">
        <v>1200</v>
      </c>
      <c r="P10" s="236">
        <v>300</v>
      </c>
      <c r="Q10" s="236" t="s">
        <v>548</v>
      </c>
      <c r="R10" s="236" t="s">
        <v>549</v>
      </c>
      <c r="S10" s="265">
        <v>0.65</v>
      </c>
      <c r="T10" s="236" t="s">
        <v>543</v>
      </c>
      <c r="U10" s="236">
        <v>-868</v>
      </c>
      <c r="V10" s="266" t="s">
        <v>550</v>
      </c>
      <c r="W10" s="236" t="s">
        <v>75</v>
      </c>
      <c r="X10" s="236"/>
      <c r="Y10" s="52">
        <v>122</v>
      </c>
      <c r="Z10" s="242">
        <v>122222</v>
      </c>
      <c r="AA10" s="124"/>
      <c r="AB10" s="124"/>
      <c r="AC10" s="243">
        <v>-868</v>
      </c>
      <c r="AD10" s="124"/>
    </row>
    <row r="11" spans="1:30" ht="15.75" customHeight="1">
      <c r="A11" s="483"/>
      <c r="B11" s="244">
        <v>44960</v>
      </c>
      <c r="C11" s="245" t="s">
        <v>551</v>
      </c>
      <c r="D11" s="235">
        <v>4084</v>
      </c>
      <c r="E11" s="236">
        <v>136</v>
      </c>
      <c r="F11" s="236">
        <v>109</v>
      </c>
      <c r="G11" s="236">
        <v>6</v>
      </c>
      <c r="H11" s="237" t="s">
        <v>75</v>
      </c>
      <c r="I11" s="236">
        <v>0</v>
      </c>
      <c r="J11" s="238">
        <v>0</v>
      </c>
      <c r="K11" s="236">
        <v>0</v>
      </c>
      <c r="L11" s="239"/>
      <c r="M11" s="236">
        <v>0</v>
      </c>
      <c r="N11" s="239"/>
      <c r="O11" s="236">
        <v>0</v>
      </c>
      <c r="P11" s="236">
        <v>0</v>
      </c>
      <c r="Q11" s="236" t="s">
        <v>92</v>
      </c>
      <c r="R11" s="236" t="s">
        <v>552</v>
      </c>
      <c r="S11" s="265">
        <v>0.71</v>
      </c>
      <c r="T11" s="236" t="s">
        <v>543</v>
      </c>
      <c r="U11" s="236">
        <v>-6000</v>
      </c>
      <c r="V11" s="266" t="s">
        <v>550</v>
      </c>
      <c r="W11" s="236" t="s">
        <v>75</v>
      </c>
      <c r="X11" s="236"/>
      <c r="Y11" s="52">
        <v>0</v>
      </c>
      <c r="Z11" s="52">
        <v>208</v>
      </c>
      <c r="AA11" s="124"/>
      <c r="AB11" s="124"/>
      <c r="AC11" s="243">
        <v>-6000</v>
      </c>
      <c r="AD11" s="124"/>
    </row>
    <row r="12" spans="1:30" ht="15.75" customHeight="1">
      <c r="A12" s="483"/>
      <c r="B12" s="244">
        <v>44961</v>
      </c>
      <c r="C12" s="245" t="s">
        <v>553</v>
      </c>
      <c r="D12" s="235">
        <v>8501</v>
      </c>
      <c r="E12" s="235">
        <v>2491</v>
      </c>
      <c r="F12" s="235">
        <v>1993</v>
      </c>
      <c r="G12" s="235">
        <v>1998</v>
      </c>
      <c r="H12" s="237" t="s">
        <v>75</v>
      </c>
      <c r="I12" s="235">
        <v>5556</v>
      </c>
      <c r="J12" s="238">
        <v>0.65400000000000003</v>
      </c>
      <c r="K12" s="236">
        <v>0</v>
      </c>
      <c r="L12" s="239"/>
      <c r="M12" s="236">
        <v>0</v>
      </c>
      <c r="N12" s="239"/>
      <c r="O12" s="236">
        <v>0</v>
      </c>
      <c r="P12" s="236">
        <v>0</v>
      </c>
      <c r="Q12" s="236" t="s">
        <v>554</v>
      </c>
      <c r="R12" s="236" t="s">
        <v>555</v>
      </c>
      <c r="S12" s="265">
        <v>0.9</v>
      </c>
      <c r="T12" s="236" t="s">
        <v>556</v>
      </c>
      <c r="U12" s="236">
        <v>-1307</v>
      </c>
      <c r="V12" s="266" t="s">
        <v>557</v>
      </c>
      <c r="W12" s="267" t="s">
        <v>558</v>
      </c>
      <c r="X12" s="236"/>
      <c r="Y12" s="52">
        <v>1998</v>
      </c>
      <c r="Z12" s="242">
        <v>1997641</v>
      </c>
      <c r="AA12" s="124"/>
      <c r="AB12" s="124"/>
      <c r="AC12" s="243">
        <v>-1307</v>
      </c>
      <c r="AD12" s="124"/>
    </row>
    <row r="13" spans="1:30" ht="15.75" customHeight="1">
      <c r="A13" s="483"/>
      <c r="B13" s="233">
        <v>44962</v>
      </c>
      <c r="C13" s="234" t="s">
        <v>559</v>
      </c>
      <c r="D13" s="235">
        <v>30620</v>
      </c>
      <c r="E13" s="235">
        <v>1375</v>
      </c>
      <c r="F13" s="235">
        <v>1100</v>
      </c>
      <c r="G13" s="235">
        <v>1123</v>
      </c>
      <c r="H13" s="237" t="s">
        <v>75</v>
      </c>
      <c r="I13" s="235">
        <v>1110</v>
      </c>
      <c r="J13" s="238">
        <v>3.5999999999999997E-2</v>
      </c>
      <c r="K13" s="236">
        <v>0</v>
      </c>
      <c r="L13" s="239"/>
      <c r="M13" s="236">
        <v>0</v>
      </c>
      <c r="N13" s="239"/>
      <c r="O13" s="236">
        <v>0</v>
      </c>
      <c r="P13" s="236">
        <v>0</v>
      </c>
      <c r="Q13" s="236" t="s">
        <v>560</v>
      </c>
      <c r="R13" s="236" t="s">
        <v>561</v>
      </c>
      <c r="S13" s="265">
        <v>0.78</v>
      </c>
      <c r="T13" s="236" t="s">
        <v>556</v>
      </c>
      <c r="U13" s="236">
        <v>-76250</v>
      </c>
      <c r="V13" s="266" t="s">
        <v>562</v>
      </c>
      <c r="W13" s="267" t="s">
        <v>75</v>
      </c>
      <c r="X13" s="236" t="s">
        <v>514</v>
      </c>
      <c r="Y13" s="52">
        <v>1120</v>
      </c>
      <c r="Z13" s="242">
        <v>1120484</v>
      </c>
      <c r="AA13" s="124"/>
      <c r="AB13" s="52" t="s">
        <v>75</v>
      </c>
      <c r="AC13" s="243">
        <v>-76250</v>
      </c>
      <c r="AD13" s="124"/>
    </row>
    <row r="14" spans="1:30" ht="15.75" customHeight="1">
      <c r="A14" s="483"/>
      <c r="B14" s="268">
        <v>44963</v>
      </c>
      <c r="C14" s="269" t="s">
        <v>96</v>
      </c>
      <c r="D14" s="270">
        <v>6000</v>
      </c>
      <c r="E14" s="270">
        <v>1518</v>
      </c>
      <c r="F14" s="270">
        <v>1214</v>
      </c>
      <c r="G14" s="271"/>
      <c r="H14" s="272" t="s">
        <v>78</v>
      </c>
      <c r="I14" s="271"/>
      <c r="J14" s="271"/>
      <c r="K14" s="271"/>
      <c r="L14" s="271"/>
      <c r="M14" s="271"/>
      <c r="N14" s="271"/>
      <c r="O14" s="271"/>
      <c r="P14" s="271"/>
      <c r="Q14" s="271"/>
      <c r="R14" s="271"/>
      <c r="S14" s="271"/>
      <c r="T14" s="271"/>
      <c r="U14" s="271"/>
      <c r="V14" s="271"/>
      <c r="W14" s="271"/>
      <c r="X14" s="271" t="s">
        <v>563</v>
      </c>
      <c r="Y14" s="52">
        <v>1120</v>
      </c>
      <c r="Z14" s="242">
        <v>1120484</v>
      </c>
      <c r="AA14" s="124"/>
      <c r="AB14" s="124"/>
      <c r="AC14" s="243">
        <v>0</v>
      </c>
      <c r="AD14" s="124"/>
    </row>
    <row r="15" spans="1:30" ht="15.75" customHeight="1">
      <c r="A15" s="487"/>
      <c r="B15" s="233">
        <v>44964</v>
      </c>
      <c r="C15" s="273" t="s">
        <v>564</v>
      </c>
      <c r="D15" s="251">
        <v>29900</v>
      </c>
      <c r="E15" s="251">
        <v>1169</v>
      </c>
      <c r="F15" s="252">
        <v>935</v>
      </c>
      <c r="G15" s="251">
        <v>1109</v>
      </c>
      <c r="H15" s="253" t="s">
        <v>75</v>
      </c>
      <c r="I15" s="251">
        <v>3760</v>
      </c>
      <c r="J15" s="254">
        <v>0.126</v>
      </c>
      <c r="K15" s="252">
        <v>0</v>
      </c>
      <c r="L15" s="231"/>
      <c r="M15" s="252">
        <v>0</v>
      </c>
      <c r="N15" s="231"/>
      <c r="O15" s="252">
        <v>0</v>
      </c>
      <c r="P15" s="252">
        <v>0</v>
      </c>
      <c r="Q15" s="252" t="s">
        <v>565</v>
      </c>
      <c r="R15" s="252" t="s">
        <v>566</v>
      </c>
      <c r="S15" s="274">
        <v>0.79</v>
      </c>
      <c r="T15" s="252" t="s">
        <v>75</v>
      </c>
      <c r="U15" s="252">
        <v>-88450</v>
      </c>
      <c r="V15" s="275" t="s">
        <v>567</v>
      </c>
      <c r="W15" s="276" t="s">
        <v>75</v>
      </c>
      <c r="X15" s="252" t="s">
        <v>514</v>
      </c>
      <c r="Y15" s="124"/>
      <c r="Z15" s="124"/>
      <c r="AA15" s="124"/>
      <c r="AB15" s="52" t="s">
        <v>75</v>
      </c>
      <c r="AC15" s="243">
        <v>-88450</v>
      </c>
      <c r="AD15" s="124"/>
    </row>
    <row r="16" spans="1:30" ht="15.75" customHeight="1">
      <c r="A16" s="486" t="s">
        <v>22</v>
      </c>
      <c r="B16" s="277">
        <v>44986</v>
      </c>
      <c r="C16" s="245" t="s">
        <v>568</v>
      </c>
      <c r="D16" s="235">
        <v>2500</v>
      </c>
      <c r="E16" s="236">
        <v>84</v>
      </c>
      <c r="F16" s="236">
        <v>78</v>
      </c>
      <c r="G16" s="236">
        <v>37</v>
      </c>
      <c r="H16" s="237" t="s">
        <v>75</v>
      </c>
      <c r="I16" s="235">
        <v>1875</v>
      </c>
      <c r="J16" s="238">
        <v>0.75</v>
      </c>
      <c r="K16" s="236">
        <v>0</v>
      </c>
      <c r="L16" s="239"/>
      <c r="M16" s="236">
        <v>0</v>
      </c>
      <c r="N16" s="239"/>
      <c r="O16" s="236">
        <v>0</v>
      </c>
      <c r="P16" s="236">
        <v>0</v>
      </c>
      <c r="Q16" s="236" t="s">
        <v>138</v>
      </c>
      <c r="R16" s="236" t="s">
        <v>569</v>
      </c>
      <c r="S16" s="265">
        <v>0.79</v>
      </c>
      <c r="T16" s="236" t="s">
        <v>570</v>
      </c>
      <c r="U16" s="236">
        <v>0</v>
      </c>
      <c r="V16" s="266" t="s">
        <v>571</v>
      </c>
      <c r="W16" s="236" t="s">
        <v>75</v>
      </c>
      <c r="X16" s="236" t="s">
        <v>572</v>
      </c>
      <c r="Y16" s="52">
        <v>24</v>
      </c>
      <c r="Z16" s="242">
        <v>24319</v>
      </c>
      <c r="AA16" s="124"/>
      <c r="AB16" s="124"/>
      <c r="AC16" s="243">
        <v>0</v>
      </c>
      <c r="AD16" s="124"/>
    </row>
    <row r="17" spans="1:30" ht="15.75" customHeight="1">
      <c r="A17" s="483"/>
      <c r="B17" s="244">
        <v>44987</v>
      </c>
      <c r="C17" s="245" t="s">
        <v>573</v>
      </c>
      <c r="D17" s="235">
        <v>25000</v>
      </c>
      <c r="E17" s="235">
        <v>1768</v>
      </c>
      <c r="F17" s="235">
        <v>1000</v>
      </c>
      <c r="G17" s="236">
        <v>952</v>
      </c>
      <c r="H17" s="237" t="s">
        <v>75</v>
      </c>
      <c r="I17" s="235">
        <v>4358</v>
      </c>
      <c r="J17" s="238">
        <v>0.17399999999999999</v>
      </c>
      <c r="K17" s="236">
        <v>0</v>
      </c>
      <c r="L17" s="239"/>
      <c r="M17" s="236">
        <v>0</v>
      </c>
      <c r="N17" s="239"/>
      <c r="O17" s="236">
        <v>0</v>
      </c>
      <c r="P17" s="236">
        <v>0</v>
      </c>
      <c r="Q17" s="236" t="s">
        <v>554</v>
      </c>
      <c r="R17" s="236" t="s">
        <v>574</v>
      </c>
      <c r="S17" s="265">
        <v>0.92</v>
      </c>
      <c r="T17" s="236" t="s">
        <v>575</v>
      </c>
      <c r="U17" s="236">
        <v>0</v>
      </c>
      <c r="V17" s="266" t="s">
        <v>576</v>
      </c>
      <c r="W17" s="236" t="s">
        <v>75</v>
      </c>
      <c r="X17" s="236" t="s">
        <v>577</v>
      </c>
      <c r="Y17" s="52">
        <v>2917</v>
      </c>
      <c r="Z17" s="242">
        <v>2916947</v>
      </c>
      <c r="AA17" s="124"/>
      <c r="AB17" s="124"/>
      <c r="AC17" s="243">
        <v>0</v>
      </c>
      <c r="AD17" s="124"/>
    </row>
    <row r="18" spans="1:30" ht="15.75" customHeight="1">
      <c r="A18" s="483"/>
      <c r="B18" s="244">
        <v>44988</v>
      </c>
      <c r="C18" s="245" t="s">
        <v>578</v>
      </c>
      <c r="D18" s="235">
        <v>53550</v>
      </c>
      <c r="E18" s="236">
        <v>790</v>
      </c>
      <c r="F18" s="236">
        <v>632</v>
      </c>
      <c r="G18" s="236">
        <v>-168</v>
      </c>
      <c r="H18" s="237" t="s">
        <v>75</v>
      </c>
      <c r="I18" s="235">
        <v>3096</v>
      </c>
      <c r="J18" s="238">
        <v>5.8000000000000003E-2</v>
      </c>
      <c r="K18" s="245" t="s">
        <v>579</v>
      </c>
      <c r="L18" s="278">
        <v>55</v>
      </c>
      <c r="M18" s="245" t="s">
        <v>580</v>
      </c>
      <c r="N18" s="278">
        <v>15048</v>
      </c>
      <c r="O18" s="235">
        <v>1034</v>
      </c>
      <c r="P18" s="236">
        <v>337</v>
      </c>
      <c r="Q18" s="236" t="s">
        <v>581</v>
      </c>
      <c r="R18" s="236" t="s">
        <v>582</v>
      </c>
      <c r="S18" s="265">
        <v>0.77</v>
      </c>
      <c r="T18" s="236" t="s">
        <v>583</v>
      </c>
      <c r="U18" s="236">
        <v>-922.32</v>
      </c>
      <c r="V18" s="236" t="s">
        <v>584</v>
      </c>
      <c r="W18" s="267" t="s">
        <v>75</v>
      </c>
      <c r="X18" s="245" t="s">
        <v>585</v>
      </c>
      <c r="Y18" s="52"/>
      <c r="Z18" s="52"/>
      <c r="AA18" s="124"/>
      <c r="AB18" s="124"/>
      <c r="AC18" s="243">
        <v>-922.32</v>
      </c>
      <c r="AD18" s="124"/>
    </row>
    <row r="19" spans="1:30" ht="15.75" customHeight="1">
      <c r="A19" s="483"/>
      <c r="B19" s="244">
        <v>44989</v>
      </c>
      <c r="C19" s="245" t="s">
        <v>586</v>
      </c>
      <c r="D19" s="235">
        <v>79000</v>
      </c>
      <c r="E19" s="236">
        <v>500</v>
      </c>
      <c r="F19" s="236">
        <v>400</v>
      </c>
      <c r="G19" s="236">
        <v>250</v>
      </c>
      <c r="H19" s="237" t="s">
        <v>75</v>
      </c>
      <c r="I19" s="235">
        <v>10389</v>
      </c>
      <c r="J19" s="238">
        <v>0.13200000000000001</v>
      </c>
      <c r="K19" s="279" t="s">
        <v>587</v>
      </c>
      <c r="L19" s="280">
        <v>220</v>
      </c>
      <c r="M19" s="279" t="s">
        <v>588</v>
      </c>
      <c r="N19" s="281">
        <v>25278</v>
      </c>
      <c r="O19" s="235">
        <v>2725</v>
      </c>
      <c r="P19" s="235">
        <v>1635</v>
      </c>
      <c r="Q19" s="236" t="s">
        <v>589</v>
      </c>
      <c r="R19" s="236" t="s">
        <v>590</v>
      </c>
      <c r="S19" s="265">
        <v>0.62</v>
      </c>
      <c r="T19" s="236" t="s">
        <v>583</v>
      </c>
      <c r="U19" s="236">
        <v>0</v>
      </c>
      <c r="V19" s="236" t="s">
        <v>584</v>
      </c>
      <c r="W19" s="236" t="s">
        <v>75</v>
      </c>
      <c r="X19" s="245" t="s">
        <v>585</v>
      </c>
      <c r="Y19" s="52"/>
      <c r="Z19" s="52"/>
      <c r="AA19" s="124"/>
      <c r="AB19" s="124"/>
      <c r="AC19" s="243">
        <v>0</v>
      </c>
      <c r="AD19" s="124"/>
    </row>
    <row r="20" spans="1:30" ht="15.75" customHeight="1">
      <c r="A20" s="483"/>
      <c r="B20" s="244">
        <v>44990</v>
      </c>
      <c r="C20" s="245" t="s">
        <v>591</v>
      </c>
      <c r="D20" s="235">
        <v>38000</v>
      </c>
      <c r="E20" s="235">
        <v>1525</v>
      </c>
      <c r="F20" s="235">
        <v>1220</v>
      </c>
      <c r="G20" s="236">
        <v>643</v>
      </c>
      <c r="H20" s="237" t="s">
        <v>75</v>
      </c>
      <c r="I20" s="235">
        <v>16460</v>
      </c>
      <c r="J20" s="238">
        <v>0.433</v>
      </c>
      <c r="K20" s="236" t="s">
        <v>592</v>
      </c>
      <c r="L20" s="239">
        <v>25</v>
      </c>
      <c r="M20" s="236" t="s">
        <v>593</v>
      </c>
      <c r="N20" s="239">
        <v>336</v>
      </c>
      <c r="O20" s="235">
        <v>1005</v>
      </c>
      <c r="P20" s="236">
        <v>670</v>
      </c>
      <c r="Q20" s="236" t="s">
        <v>594</v>
      </c>
      <c r="R20" s="236" t="s">
        <v>595</v>
      </c>
      <c r="S20" s="265">
        <v>0.61</v>
      </c>
      <c r="T20" s="236" t="s">
        <v>583</v>
      </c>
      <c r="U20" s="282">
        <v>-58091.78</v>
      </c>
      <c r="V20" s="236" t="s">
        <v>584</v>
      </c>
      <c r="W20" s="236" t="s">
        <v>75</v>
      </c>
      <c r="X20" s="245" t="s">
        <v>596</v>
      </c>
      <c r="Y20" s="52"/>
      <c r="Z20" s="52"/>
      <c r="AA20" s="124"/>
      <c r="AB20" s="124"/>
      <c r="AC20" s="243">
        <v>-58091.78</v>
      </c>
      <c r="AD20" s="124"/>
    </row>
    <row r="21" spans="1:30" ht="15.75" customHeight="1">
      <c r="A21" s="483"/>
      <c r="B21" s="244">
        <v>44991</v>
      </c>
      <c r="C21" s="245" t="s">
        <v>597</v>
      </c>
      <c r="D21" s="235">
        <v>46000</v>
      </c>
      <c r="E21" s="235">
        <v>1540</v>
      </c>
      <c r="F21" s="235">
        <v>1232</v>
      </c>
      <c r="G21" s="235">
        <v>1077</v>
      </c>
      <c r="H21" s="237" t="s">
        <v>75</v>
      </c>
      <c r="I21" s="235">
        <v>8218</v>
      </c>
      <c r="J21" s="238">
        <v>0.17899999999999999</v>
      </c>
      <c r="K21" s="245" t="s">
        <v>598</v>
      </c>
      <c r="L21" s="278">
        <v>110</v>
      </c>
      <c r="M21" s="236">
        <v>0</v>
      </c>
      <c r="N21" s="239"/>
      <c r="O21" s="236">
        <v>480</v>
      </c>
      <c r="P21" s="236">
        <v>480</v>
      </c>
      <c r="Q21" s="236" t="s">
        <v>599</v>
      </c>
      <c r="R21" s="236" t="s">
        <v>600</v>
      </c>
      <c r="S21" s="265">
        <v>0.64</v>
      </c>
      <c r="T21" s="236" t="s">
        <v>583</v>
      </c>
      <c r="U21" s="282">
        <v>-33070.82</v>
      </c>
      <c r="V21" s="283" t="s">
        <v>601</v>
      </c>
      <c r="W21" s="236" t="s">
        <v>75</v>
      </c>
      <c r="X21" s="284" t="s">
        <v>602</v>
      </c>
      <c r="Y21" s="52"/>
      <c r="Z21" s="52"/>
      <c r="AA21" s="124"/>
      <c r="AB21" s="124"/>
      <c r="AC21" s="243">
        <v>-33070.82</v>
      </c>
      <c r="AD21" s="124"/>
    </row>
    <row r="22" spans="1:30" ht="15.75" customHeight="1">
      <c r="A22" s="483"/>
      <c r="B22" s="244">
        <v>44992</v>
      </c>
      <c r="C22" s="245" t="s">
        <v>603</v>
      </c>
      <c r="D22" s="235">
        <v>30000</v>
      </c>
      <c r="E22" s="235">
        <v>1010</v>
      </c>
      <c r="F22" s="236">
        <v>808</v>
      </c>
      <c r="G22" s="236">
        <v>436</v>
      </c>
      <c r="H22" s="237" t="s">
        <v>75</v>
      </c>
      <c r="I22" s="235">
        <v>2869</v>
      </c>
      <c r="J22" s="238">
        <v>9.6000000000000002E-2</v>
      </c>
      <c r="K22" s="245" t="s">
        <v>604</v>
      </c>
      <c r="L22" s="278">
        <v>105</v>
      </c>
      <c r="M22" s="285" t="s">
        <v>605</v>
      </c>
      <c r="N22" s="286">
        <v>2033</v>
      </c>
      <c r="O22" s="235">
        <v>1500</v>
      </c>
      <c r="P22" s="236">
        <v>828</v>
      </c>
      <c r="Q22" s="287" t="s">
        <v>138</v>
      </c>
      <c r="R22" s="287" t="s">
        <v>606</v>
      </c>
      <c r="S22" s="265">
        <v>0.62</v>
      </c>
      <c r="T22" s="236" t="s">
        <v>583</v>
      </c>
      <c r="U22" s="282">
        <v>-14077.46</v>
      </c>
      <c r="V22" s="236" t="s">
        <v>607</v>
      </c>
      <c r="W22" s="236"/>
      <c r="X22" s="245" t="s">
        <v>608</v>
      </c>
      <c r="Y22" s="52"/>
      <c r="Z22" s="52"/>
      <c r="AA22" s="124"/>
      <c r="AB22" s="124"/>
      <c r="AC22" s="243">
        <v>-14077.46</v>
      </c>
      <c r="AD22" s="124"/>
    </row>
    <row r="23" spans="1:30" ht="15.75" customHeight="1">
      <c r="A23" s="483"/>
      <c r="B23" s="244">
        <v>44993</v>
      </c>
      <c r="C23" s="245" t="s">
        <v>609</v>
      </c>
      <c r="D23" s="235">
        <v>15000</v>
      </c>
      <c r="E23" s="236">
        <v>750</v>
      </c>
      <c r="F23" s="236">
        <v>600</v>
      </c>
      <c r="G23" s="236">
        <v>285</v>
      </c>
      <c r="H23" s="237" t="s">
        <v>75</v>
      </c>
      <c r="I23" s="235">
        <v>4899</v>
      </c>
      <c r="J23" s="238">
        <v>0.32700000000000001</v>
      </c>
      <c r="K23" s="236">
        <v>0</v>
      </c>
      <c r="L23" s="239"/>
      <c r="M23" s="236" t="s">
        <v>610</v>
      </c>
      <c r="N23" s="239">
        <v>400</v>
      </c>
      <c r="O23" s="235">
        <v>1574</v>
      </c>
      <c r="P23" s="236">
        <v>266</v>
      </c>
      <c r="Q23" s="236" t="s">
        <v>611</v>
      </c>
      <c r="R23" s="245" t="s">
        <v>612</v>
      </c>
      <c r="S23" s="265">
        <v>0.83</v>
      </c>
      <c r="T23" s="236" t="s">
        <v>583</v>
      </c>
      <c r="U23" s="236">
        <v>-12.96</v>
      </c>
      <c r="V23" s="236" t="s">
        <v>584</v>
      </c>
      <c r="W23" s="236"/>
      <c r="X23" s="245" t="s">
        <v>613</v>
      </c>
      <c r="Y23" s="52"/>
      <c r="Z23" s="52"/>
      <c r="AA23" s="124"/>
      <c r="AB23" s="124"/>
      <c r="AC23" s="243">
        <v>-12.96</v>
      </c>
      <c r="AD23" s="124"/>
    </row>
    <row r="24" spans="1:30" ht="15.75" customHeight="1">
      <c r="A24" s="487"/>
      <c r="B24" s="249">
        <v>44994</v>
      </c>
      <c r="C24" s="250" t="s">
        <v>614</v>
      </c>
      <c r="D24" s="251">
        <v>9000</v>
      </c>
      <c r="E24" s="252">
        <v>365</v>
      </c>
      <c r="F24" s="252">
        <v>292</v>
      </c>
      <c r="G24" s="252">
        <v>194</v>
      </c>
      <c r="H24" s="237" t="s">
        <v>75</v>
      </c>
      <c r="I24" s="251">
        <v>1397</v>
      </c>
      <c r="J24" s="254">
        <v>0.155</v>
      </c>
      <c r="K24" s="252" t="s">
        <v>615</v>
      </c>
      <c r="L24" s="231">
        <v>249</v>
      </c>
      <c r="M24" s="252">
        <v>0</v>
      </c>
      <c r="N24" s="231"/>
      <c r="O24" s="251">
        <v>2000</v>
      </c>
      <c r="P24" s="251">
        <v>1000</v>
      </c>
      <c r="Q24" s="252"/>
      <c r="R24" s="250" t="s">
        <v>616</v>
      </c>
      <c r="S24" s="274">
        <v>0.66</v>
      </c>
      <c r="T24" s="236" t="s">
        <v>583</v>
      </c>
      <c r="U24" s="236">
        <v>-203.83</v>
      </c>
      <c r="V24" s="288" t="s">
        <v>617</v>
      </c>
      <c r="W24" s="236" t="s">
        <v>75</v>
      </c>
      <c r="X24" s="245" t="s">
        <v>618</v>
      </c>
      <c r="Y24" s="52"/>
      <c r="Z24" s="52"/>
      <c r="AA24" s="124"/>
      <c r="AB24" s="124"/>
      <c r="AC24" s="243">
        <v>-203.83</v>
      </c>
      <c r="AD24" s="124"/>
    </row>
    <row r="25" spans="1:30" ht="15.75" customHeight="1">
      <c r="A25" s="486" t="s">
        <v>23</v>
      </c>
      <c r="B25" s="244">
        <v>45017</v>
      </c>
      <c r="C25" s="245" t="s">
        <v>619</v>
      </c>
      <c r="D25" s="235">
        <v>22400</v>
      </c>
      <c r="E25" s="257">
        <v>1584</v>
      </c>
      <c r="F25" s="235">
        <v>1200</v>
      </c>
      <c r="G25" s="235">
        <v>1645</v>
      </c>
      <c r="H25" s="289" t="s">
        <v>75</v>
      </c>
      <c r="I25" s="236">
        <v>605</v>
      </c>
      <c r="J25" s="238">
        <v>2.7E-2</v>
      </c>
      <c r="K25" s="236"/>
      <c r="L25" s="239"/>
      <c r="M25" s="236"/>
      <c r="N25" s="239"/>
      <c r="O25" s="236"/>
      <c r="P25" s="236"/>
      <c r="Q25" s="236" t="s">
        <v>554</v>
      </c>
      <c r="R25" s="245" t="s">
        <v>620</v>
      </c>
      <c r="S25" s="265">
        <v>0.84</v>
      </c>
      <c r="T25" s="287" t="s">
        <v>75</v>
      </c>
      <c r="U25" s="287">
        <v>-1875.4970000000001</v>
      </c>
      <c r="V25" s="287" t="s">
        <v>621</v>
      </c>
      <c r="W25" s="287" t="s">
        <v>75</v>
      </c>
      <c r="X25" s="290" t="s">
        <v>622</v>
      </c>
      <c r="Y25" s="52">
        <v>1067</v>
      </c>
      <c r="Z25" s="242">
        <v>1066689</v>
      </c>
      <c r="AA25" s="124"/>
      <c r="AB25" s="124"/>
      <c r="AC25" s="243">
        <v>-1875.5</v>
      </c>
      <c r="AD25" s="124"/>
    </row>
    <row r="26" spans="1:30" ht="15.75" customHeight="1">
      <c r="A26" s="483"/>
      <c r="B26" s="244">
        <v>45018</v>
      </c>
      <c r="C26" s="245" t="s">
        <v>623</v>
      </c>
      <c r="D26" s="235">
        <v>48000</v>
      </c>
      <c r="E26" s="235">
        <v>2800</v>
      </c>
      <c r="F26" s="235">
        <v>2240</v>
      </c>
      <c r="G26" s="235">
        <v>1578</v>
      </c>
      <c r="H26" s="237" t="s">
        <v>75</v>
      </c>
      <c r="I26" s="235">
        <v>4389</v>
      </c>
      <c r="J26" s="238">
        <v>9.0999999999999998E-2</v>
      </c>
      <c r="K26" s="236" t="s">
        <v>624</v>
      </c>
      <c r="L26" s="239">
        <v>52</v>
      </c>
      <c r="M26" s="236" t="s">
        <v>625</v>
      </c>
      <c r="N26" s="239"/>
      <c r="O26" s="236">
        <v>625</v>
      </c>
      <c r="P26" s="236">
        <v>125</v>
      </c>
      <c r="Q26" s="245" t="s">
        <v>178</v>
      </c>
      <c r="R26" s="245" t="s">
        <v>626</v>
      </c>
      <c r="S26" s="265">
        <v>0.81</v>
      </c>
      <c r="T26" s="236" t="s">
        <v>75</v>
      </c>
      <c r="U26" s="236">
        <v>-13469.7</v>
      </c>
      <c r="V26" s="236" t="s">
        <v>627</v>
      </c>
      <c r="W26" s="236" t="s">
        <v>75</v>
      </c>
      <c r="X26" s="245" t="s">
        <v>628</v>
      </c>
      <c r="Y26" s="52"/>
      <c r="Z26" s="52"/>
      <c r="AA26" s="124"/>
      <c r="AB26" s="124"/>
      <c r="AC26" s="243">
        <v>-13469.7</v>
      </c>
      <c r="AD26" s="124"/>
    </row>
    <row r="27" spans="1:30" ht="18.75">
      <c r="A27" s="483"/>
      <c r="B27" s="244">
        <v>45019</v>
      </c>
      <c r="C27" s="245" t="s">
        <v>629</v>
      </c>
      <c r="D27" s="235">
        <v>42000</v>
      </c>
      <c r="E27" s="235">
        <v>2600</v>
      </c>
      <c r="F27" s="235">
        <v>2080</v>
      </c>
      <c r="G27" s="235">
        <v>1947</v>
      </c>
      <c r="H27" s="237" t="s">
        <v>75</v>
      </c>
      <c r="I27" s="235">
        <v>4971</v>
      </c>
      <c r="J27" s="238">
        <v>0.11799999999999999</v>
      </c>
      <c r="K27" s="236" t="s">
        <v>630</v>
      </c>
      <c r="L27" s="239">
        <v>94</v>
      </c>
      <c r="M27" s="236"/>
      <c r="N27" s="239"/>
      <c r="O27" s="235">
        <v>5300</v>
      </c>
      <c r="P27" s="291">
        <v>1003</v>
      </c>
      <c r="Q27" s="285" t="s">
        <v>631</v>
      </c>
      <c r="R27" s="245" t="s">
        <v>632</v>
      </c>
      <c r="S27" s="265">
        <v>0.61</v>
      </c>
      <c r="T27" s="236" t="s">
        <v>75</v>
      </c>
      <c r="U27" s="236">
        <v>-253.73699999999999</v>
      </c>
      <c r="V27" s="236" t="s">
        <v>633</v>
      </c>
      <c r="W27" s="236" t="s">
        <v>75</v>
      </c>
      <c r="X27" s="285" t="s">
        <v>634</v>
      </c>
      <c r="Y27" s="52">
        <v>1590</v>
      </c>
      <c r="Z27" s="242">
        <v>1589670</v>
      </c>
      <c r="AA27" s="124"/>
      <c r="AB27" s="124"/>
      <c r="AC27" s="243">
        <v>-253.74</v>
      </c>
      <c r="AD27" s="124"/>
    </row>
    <row r="28" spans="1:30" ht="18.75">
      <c r="A28" s="483"/>
      <c r="B28" s="244">
        <v>45020</v>
      </c>
      <c r="C28" s="245" t="s">
        <v>635</v>
      </c>
      <c r="D28" s="235">
        <v>14200</v>
      </c>
      <c r="E28" s="236">
        <v>850</v>
      </c>
      <c r="F28" s="236">
        <v>680</v>
      </c>
      <c r="G28" s="236">
        <v>589</v>
      </c>
      <c r="H28" s="237" t="s">
        <v>75</v>
      </c>
      <c r="I28" s="235">
        <v>1480</v>
      </c>
      <c r="J28" s="238">
        <v>0.104</v>
      </c>
      <c r="K28" s="236"/>
      <c r="L28" s="239"/>
      <c r="M28" s="236"/>
      <c r="N28" s="239"/>
      <c r="O28" s="236"/>
      <c r="P28" s="292"/>
      <c r="Q28" s="285" t="s">
        <v>178</v>
      </c>
      <c r="R28" s="245" t="s">
        <v>636</v>
      </c>
      <c r="S28" s="265">
        <v>0.79</v>
      </c>
      <c r="T28" s="236" t="s">
        <v>75</v>
      </c>
      <c r="U28" s="236">
        <v>-2543.0030000000002</v>
      </c>
      <c r="V28" s="236" t="s">
        <v>637</v>
      </c>
      <c r="W28" s="236" t="s">
        <v>75</v>
      </c>
      <c r="X28" s="245" t="s">
        <v>638</v>
      </c>
      <c r="Y28" s="52">
        <v>589</v>
      </c>
      <c r="Z28" s="242">
        <v>589179</v>
      </c>
      <c r="AA28" s="124"/>
      <c r="AB28" s="124"/>
      <c r="AC28" s="243">
        <v>-2543</v>
      </c>
      <c r="AD28" s="124"/>
    </row>
    <row r="29" spans="1:30" ht="18.75">
      <c r="A29" s="483"/>
      <c r="B29" s="244">
        <v>45021</v>
      </c>
      <c r="C29" s="245" t="s">
        <v>639</v>
      </c>
      <c r="D29" s="235">
        <v>12000</v>
      </c>
      <c r="E29" s="236">
        <v>550</v>
      </c>
      <c r="F29" s="236">
        <v>440</v>
      </c>
      <c r="G29" s="293">
        <v>225</v>
      </c>
      <c r="H29" s="237" t="s">
        <v>75</v>
      </c>
      <c r="I29" s="235">
        <v>1981</v>
      </c>
      <c r="J29" s="238">
        <v>0.16500000000000001</v>
      </c>
      <c r="K29" s="293"/>
      <c r="L29" s="294"/>
      <c r="M29" s="293"/>
      <c r="N29" s="294"/>
      <c r="O29" s="236"/>
      <c r="P29" s="292"/>
      <c r="Q29" s="285" t="s">
        <v>640</v>
      </c>
      <c r="R29" s="245" t="s">
        <v>641</v>
      </c>
      <c r="S29" s="265">
        <v>0.78</v>
      </c>
      <c r="T29" s="236" t="s">
        <v>75</v>
      </c>
      <c r="U29" s="236">
        <v>-1.84</v>
      </c>
      <c r="V29" s="236" t="s">
        <v>642</v>
      </c>
      <c r="W29" s="236" t="s">
        <v>75</v>
      </c>
      <c r="X29" s="245" t="s">
        <v>643</v>
      </c>
      <c r="Y29" s="52">
        <v>225</v>
      </c>
      <c r="Z29" s="242">
        <v>224740</v>
      </c>
      <c r="AA29" s="124"/>
      <c r="AB29" s="124"/>
      <c r="AC29" s="243">
        <v>-1.84</v>
      </c>
      <c r="AD29" s="124"/>
    </row>
    <row r="30" spans="1:30" ht="18.75">
      <c r="A30" s="483"/>
      <c r="B30" s="233">
        <v>45022</v>
      </c>
      <c r="C30" s="234" t="s">
        <v>644</v>
      </c>
      <c r="D30" s="235">
        <v>49500</v>
      </c>
      <c r="E30" s="235">
        <v>3800</v>
      </c>
      <c r="F30" s="235">
        <v>3040</v>
      </c>
      <c r="G30" s="295">
        <v>1879</v>
      </c>
      <c r="H30" s="267" t="s">
        <v>75</v>
      </c>
      <c r="I30" s="296">
        <v>7260</v>
      </c>
      <c r="J30" s="297">
        <v>0.14699999999999999</v>
      </c>
      <c r="K30" s="258"/>
      <c r="L30" s="261"/>
      <c r="M30" s="258"/>
      <c r="N30" s="261"/>
      <c r="O30" s="236"/>
      <c r="P30" s="298"/>
      <c r="Q30" s="245" t="s">
        <v>645</v>
      </c>
      <c r="R30" s="245" t="s">
        <v>646</v>
      </c>
      <c r="S30" s="299">
        <v>0.71</v>
      </c>
      <c r="T30" s="267" t="s">
        <v>647</v>
      </c>
      <c r="U30" s="300"/>
      <c r="V30" s="301" t="s">
        <v>648</v>
      </c>
      <c r="W30" s="267" t="s">
        <v>75</v>
      </c>
      <c r="X30" s="267" t="s">
        <v>649</v>
      </c>
      <c r="Y30" s="52"/>
      <c r="Z30" s="52"/>
      <c r="AA30" s="124"/>
      <c r="AB30" s="52" t="s">
        <v>75</v>
      </c>
      <c r="AC30" s="243">
        <v>0</v>
      </c>
      <c r="AD30" s="124"/>
    </row>
    <row r="31" spans="1:30" ht="18.75">
      <c r="A31" s="483"/>
      <c r="B31" s="233">
        <v>45023</v>
      </c>
      <c r="C31" s="234" t="s">
        <v>650</v>
      </c>
      <c r="D31" s="235">
        <v>49500</v>
      </c>
      <c r="E31" s="235">
        <v>4875</v>
      </c>
      <c r="F31" s="235">
        <v>3900</v>
      </c>
      <c r="G31" s="302">
        <v>1053</v>
      </c>
      <c r="H31" s="237" t="s">
        <v>75</v>
      </c>
      <c r="I31" s="235">
        <v>7825</v>
      </c>
      <c r="J31" s="238">
        <v>0.158</v>
      </c>
      <c r="K31" s="236" t="s">
        <v>625</v>
      </c>
      <c r="L31" s="239"/>
      <c r="M31" s="236" t="s">
        <v>625</v>
      </c>
      <c r="N31" s="239"/>
      <c r="O31" s="236" t="s">
        <v>625</v>
      </c>
      <c r="P31" s="236" t="s">
        <v>625</v>
      </c>
      <c r="Q31" s="245" t="s">
        <v>645</v>
      </c>
      <c r="R31" s="245" t="s">
        <v>651</v>
      </c>
      <c r="S31" s="303">
        <v>0.8</v>
      </c>
      <c r="T31" s="236" t="s">
        <v>647</v>
      </c>
      <c r="U31" s="300"/>
      <c r="V31" s="300" t="s">
        <v>652</v>
      </c>
      <c r="W31" s="236" t="s">
        <v>75</v>
      </c>
      <c r="X31" s="236" t="s">
        <v>653</v>
      </c>
      <c r="Y31" s="52"/>
      <c r="Z31" s="52"/>
      <c r="AA31" s="124"/>
      <c r="AB31" s="52" t="s">
        <v>75</v>
      </c>
      <c r="AC31" s="243">
        <v>0</v>
      </c>
      <c r="AD31" s="124"/>
    </row>
    <row r="32" spans="1:30" ht="18.75">
      <c r="A32" s="483"/>
      <c r="B32" s="233">
        <v>45024</v>
      </c>
      <c r="C32" s="234" t="s">
        <v>654</v>
      </c>
      <c r="D32" s="235">
        <v>49500</v>
      </c>
      <c r="E32" s="235">
        <v>4875</v>
      </c>
      <c r="F32" s="235">
        <v>3900</v>
      </c>
      <c r="G32" s="304">
        <v>874</v>
      </c>
      <c r="H32" s="267" t="s">
        <v>75</v>
      </c>
      <c r="I32" s="296">
        <v>3900</v>
      </c>
      <c r="J32" s="297">
        <v>7.9000000000000001E-2</v>
      </c>
      <c r="K32" s="300"/>
      <c r="L32" s="305"/>
      <c r="M32" s="300"/>
      <c r="N32" s="305"/>
      <c r="O32" s="300"/>
      <c r="P32" s="306"/>
      <c r="Q32" s="245" t="s">
        <v>655</v>
      </c>
      <c r="R32" s="245" t="s">
        <v>656</v>
      </c>
      <c r="S32" s="299">
        <v>0.7</v>
      </c>
      <c r="T32" s="267" t="s">
        <v>647</v>
      </c>
      <c r="U32" s="300"/>
      <c r="V32" s="301" t="s">
        <v>648</v>
      </c>
      <c r="W32" s="267" t="s">
        <v>75</v>
      </c>
      <c r="X32" s="267" t="s">
        <v>649</v>
      </c>
      <c r="Y32" s="52"/>
      <c r="Z32" s="52"/>
      <c r="AA32" s="124"/>
      <c r="AB32" s="52" t="s">
        <v>75</v>
      </c>
      <c r="AC32" s="243">
        <v>0</v>
      </c>
      <c r="AD32" s="124"/>
    </row>
    <row r="33" spans="1:30" ht="18.75">
      <c r="A33" s="483"/>
      <c r="B33" s="233">
        <v>45025</v>
      </c>
      <c r="C33" s="234" t="s">
        <v>657</v>
      </c>
      <c r="D33" s="235">
        <v>25000</v>
      </c>
      <c r="E33" s="236">
        <v>950</v>
      </c>
      <c r="F33" s="236">
        <v>760</v>
      </c>
      <c r="G33" s="258">
        <v>633</v>
      </c>
      <c r="H33" s="237" t="s">
        <v>75</v>
      </c>
      <c r="I33" s="235">
        <v>2536</v>
      </c>
      <c r="J33" s="238">
        <v>0.10100000000000001</v>
      </c>
      <c r="K33" s="236"/>
      <c r="L33" s="239"/>
      <c r="M33" s="236"/>
      <c r="N33" s="239"/>
      <c r="O33" s="236"/>
      <c r="P33" s="258"/>
      <c r="Q33" s="245" t="s">
        <v>645</v>
      </c>
      <c r="R33" s="285" t="s">
        <v>658</v>
      </c>
      <c r="S33" s="265">
        <v>0.88</v>
      </c>
      <c r="T33" s="236" t="s">
        <v>75</v>
      </c>
      <c r="U33" s="236">
        <v>-78712</v>
      </c>
      <c r="V33" s="236" t="s">
        <v>659</v>
      </c>
      <c r="W33" s="236" t="s">
        <v>75</v>
      </c>
      <c r="X33" s="236" t="s">
        <v>660</v>
      </c>
      <c r="Y33" s="52"/>
      <c r="Z33" s="52"/>
      <c r="AA33" s="124"/>
      <c r="AB33" s="52" t="s">
        <v>75</v>
      </c>
      <c r="AC33" s="243">
        <v>-78712</v>
      </c>
      <c r="AD33" s="124"/>
    </row>
    <row r="34" spans="1:30" ht="18.75">
      <c r="A34" s="483"/>
      <c r="B34" s="233">
        <v>45026</v>
      </c>
      <c r="C34" s="234" t="s">
        <v>661</v>
      </c>
      <c r="D34" s="235">
        <v>25000</v>
      </c>
      <c r="E34" s="236">
        <v>425</v>
      </c>
      <c r="F34" s="236">
        <v>340</v>
      </c>
      <c r="G34" s="236">
        <v>480</v>
      </c>
      <c r="H34" s="237" t="s">
        <v>75</v>
      </c>
      <c r="I34" s="235">
        <v>16500</v>
      </c>
      <c r="J34" s="238">
        <v>0.66</v>
      </c>
      <c r="K34" s="236"/>
      <c r="L34" s="239"/>
      <c r="M34" s="236"/>
      <c r="N34" s="239"/>
      <c r="O34" s="236"/>
      <c r="P34" s="236"/>
      <c r="Q34" s="245" t="s">
        <v>662</v>
      </c>
      <c r="R34" s="245" t="s">
        <v>663</v>
      </c>
      <c r="S34" s="265">
        <v>0.89</v>
      </c>
      <c r="T34" s="236" t="s">
        <v>664</v>
      </c>
      <c r="U34" s="236"/>
      <c r="V34" s="236" t="s">
        <v>665</v>
      </c>
      <c r="W34" s="236" t="s">
        <v>75</v>
      </c>
      <c r="X34" s="245" t="s">
        <v>666</v>
      </c>
      <c r="Y34" s="52"/>
      <c r="Z34" s="52"/>
      <c r="AA34" s="124"/>
      <c r="AB34" s="52" t="s">
        <v>75</v>
      </c>
      <c r="AC34" s="243">
        <v>0</v>
      </c>
      <c r="AD34" s="124"/>
    </row>
    <row r="35" spans="1:30" ht="18.75">
      <c r="A35" s="483"/>
      <c r="B35" s="233">
        <v>45027</v>
      </c>
      <c r="C35" s="234" t="s">
        <v>667</v>
      </c>
      <c r="D35" s="235">
        <v>35000</v>
      </c>
      <c r="E35" s="235">
        <v>1463</v>
      </c>
      <c r="F35" s="235">
        <v>1170</v>
      </c>
      <c r="G35" s="236">
        <v>876</v>
      </c>
      <c r="H35" s="237" t="s">
        <v>75</v>
      </c>
      <c r="I35" s="235">
        <v>14740</v>
      </c>
      <c r="J35" s="238">
        <v>0.42099999999999999</v>
      </c>
      <c r="K35" s="236" t="s">
        <v>625</v>
      </c>
      <c r="L35" s="239"/>
      <c r="M35" s="236" t="s">
        <v>625</v>
      </c>
      <c r="N35" s="239"/>
      <c r="O35" s="236" t="s">
        <v>625</v>
      </c>
      <c r="P35" s="236" t="s">
        <v>625</v>
      </c>
      <c r="Q35" s="245" t="s">
        <v>645</v>
      </c>
      <c r="R35" s="285" t="s">
        <v>668</v>
      </c>
      <c r="S35" s="303">
        <v>0.81</v>
      </c>
      <c r="T35" s="236" t="s">
        <v>647</v>
      </c>
      <c r="U35" s="300"/>
      <c r="V35" s="300" t="s">
        <v>652</v>
      </c>
      <c r="W35" s="236" t="s">
        <v>75</v>
      </c>
      <c r="X35" s="236" t="s">
        <v>653</v>
      </c>
      <c r="Y35" s="52"/>
      <c r="Z35" s="52"/>
      <c r="AA35" s="124"/>
      <c r="AB35" s="52" t="s">
        <v>75</v>
      </c>
      <c r="AC35" s="243">
        <v>0</v>
      </c>
      <c r="AD35" s="124"/>
    </row>
    <row r="36" spans="1:30" ht="18.75">
      <c r="A36" s="483"/>
      <c r="B36" s="244">
        <v>45028</v>
      </c>
      <c r="C36" s="245" t="s">
        <v>669</v>
      </c>
      <c r="D36" s="235">
        <v>6000</v>
      </c>
      <c r="E36" s="236">
        <v>250</v>
      </c>
      <c r="F36" s="236">
        <v>200</v>
      </c>
      <c r="G36" s="236">
        <v>85</v>
      </c>
      <c r="H36" s="237" t="s">
        <v>75</v>
      </c>
      <c r="I36" s="235">
        <v>1994</v>
      </c>
      <c r="J36" s="238">
        <v>0.33200000000000002</v>
      </c>
      <c r="K36" s="236" t="s">
        <v>625</v>
      </c>
      <c r="L36" s="239"/>
      <c r="M36" s="236" t="s">
        <v>670</v>
      </c>
      <c r="N36" s="239">
        <v>80</v>
      </c>
      <c r="O36" s="236">
        <v>50</v>
      </c>
      <c r="P36" s="236">
        <v>100</v>
      </c>
      <c r="Q36" s="245" t="s">
        <v>640</v>
      </c>
      <c r="R36" s="285" t="s">
        <v>671</v>
      </c>
      <c r="S36" s="265">
        <v>0.62</v>
      </c>
      <c r="T36" s="267" t="s">
        <v>672</v>
      </c>
      <c r="U36" s="236"/>
      <c r="V36" s="267" t="s">
        <v>673</v>
      </c>
      <c r="W36" s="236" t="s">
        <v>75</v>
      </c>
      <c r="X36" s="236" t="s">
        <v>674</v>
      </c>
      <c r="Y36" s="52"/>
      <c r="Z36" s="52"/>
      <c r="AA36" s="124"/>
      <c r="AB36" s="124"/>
      <c r="AC36" s="243">
        <v>0</v>
      </c>
      <c r="AD36" s="124"/>
    </row>
    <row r="37" spans="1:30" ht="18.75">
      <c r="A37" s="483"/>
      <c r="B37" s="244">
        <v>45029</v>
      </c>
      <c r="C37" s="245" t="s">
        <v>675</v>
      </c>
      <c r="D37" s="235">
        <v>10000</v>
      </c>
      <c r="E37" s="236">
        <v>450</v>
      </c>
      <c r="F37" s="236">
        <v>360</v>
      </c>
      <c r="G37" s="236">
        <v>288</v>
      </c>
      <c r="H37" s="237" t="s">
        <v>75</v>
      </c>
      <c r="I37" s="235">
        <v>4624</v>
      </c>
      <c r="J37" s="238">
        <v>0.46200000000000002</v>
      </c>
      <c r="K37" s="236" t="s">
        <v>625</v>
      </c>
      <c r="L37" s="239"/>
      <c r="M37" s="236" t="s">
        <v>625</v>
      </c>
      <c r="N37" s="239"/>
      <c r="O37" s="236" t="s">
        <v>625</v>
      </c>
      <c r="P37" s="236" t="s">
        <v>625</v>
      </c>
      <c r="Q37" s="245" t="s">
        <v>640</v>
      </c>
      <c r="R37" s="285" t="s">
        <v>676</v>
      </c>
      <c r="S37" s="265">
        <v>0.79</v>
      </c>
      <c r="T37" s="267" t="s">
        <v>672</v>
      </c>
      <c r="U37" s="236"/>
      <c r="V37" s="236" t="s">
        <v>677</v>
      </c>
      <c r="W37" s="236" t="s">
        <v>75</v>
      </c>
      <c r="X37" s="236" t="s">
        <v>674</v>
      </c>
      <c r="Y37" s="52"/>
      <c r="Z37" s="52"/>
      <c r="AA37" s="124"/>
      <c r="AB37" s="124"/>
      <c r="AC37" s="243">
        <v>0</v>
      </c>
      <c r="AD37" s="124"/>
    </row>
    <row r="38" spans="1:30" ht="18.75">
      <c r="A38" s="483"/>
      <c r="B38" s="244">
        <v>45030</v>
      </c>
      <c r="C38" s="245" t="s">
        <v>678</v>
      </c>
      <c r="D38" s="235">
        <v>12000</v>
      </c>
      <c r="E38" s="236">
        <v>501</v>
      </c>
      <c r="F38" s="236">
        <v>400</v>
      </c>
      <c r="G38" s="236">
        <v>366</v>
      </c>
      <c r="H38" s="237" t="s">
        <v>75</v>
      </c>
      <c r="I38" s="235">
        <v>4592</v>
      </c>
      <c r="J38" s="238">
        <v>0.38300000000000001</v>
      </c>
      <c r="K38" s="236"/>
      <c r="L38" s="239"/>
      <c r="M38" s="236" t="s">
        <v>679</v>
      </c>
      <c r="N38" s="239">
        <v>1100</v>
      </c>
      <c r="O38" s="236">
        <v>550</v>
      </c>
      <c r="P38" s="236">
        <v>550</v>
      </c>
      <c r="Q38" s="245" t="s">
        <v>680</v>
      </c>
      <c r="R38" s="285" t="s">
        <v>681</v>
      </c>
      <c r="S38" s="265">
        <v>0.69</v>
      </c>
      <c r="T38" s="267" t="s">
        <v>672</v>
      </c>
      <c r="U38" s="236"/>
      <c r="V38" s="236" t="s">
        <v>682</v>
      </c>
      <c r="W38" s="236" t="s">
        <v>75</v>
      </c>
      <c r="X38" s="236" t="s">
        <v>683</v>
      </c>
      <c r="Y38" s="52"/>
      <c r="Z38" s="52"/>
      <c r="AA38" s="124"/>
      <c r="AB38" s="124"/>
      <c r="AC38" s="243">
        <v>0</v>
      </c>
      <c r="AD38" s="124"/>
    </row>
    <row r="39" spans="1:30" ht="18.75">
      <c r="A39" s="487"/>
      <c r="B39" s="249">
        <v>45031</v>
      </c>
      <c r="C39" s="250" t="s">
        <v>684</v>
      </c>
      <c r="D39" s="251">
        <v>20000</v>
      </c>
      <c r="E39" s="252">
        <v>760</v>
      </c>
      <c r="F39" s="252">
        <v>608</v>
      </c>
      <c r="G39" s="252">
        <v>283</v>
      </c>
      <c r="H39" s="253" t="s">
        <v>75</v>
      </c>
      <c r="I39" s="251">
        <v>3930</v>
      </c>
      <c r="J39" s="254">
        <v>0.19700000000000001</v>
      </c>
      <c r="K39" s="252"/>
      <c r="L39" s="231"/>
      <c r="M39" s="252" t="s">
        <v>685</v>
      </c>
      <c r="N39" s="231">
        <v>480</v>
      </c>
      <c r="O39" s="252">
        <v>120</v>
      </c>
      <c r="P39" s="252">
        <v>240</v>
      </c>
      <c r="Q39" s="245" t="s">
        <v>686</v>
      </c>
      <c r="R39" s="285" t="s">
        <v>687</v>
      </c>
      <c r="S39" s="274">
        <v>0.6</v>
      </c>
      <c r="T39" s="276" t="s">
        <v>672</v>
      </c>
      <c r="U39" s="252"/>
      <c r="V39" s="252" t="s">
        <v>682</v>
      </c>
      <c r="W39" s="252" t="s">
        <v>75</v>
      </c>
      <c r="X39" s="252" t="s">
        <v>683</v>
      </c>
      <c r="Y39" s="52"/>
      <c r="Z39" s="52"/>
      <c r="AA39" s="124"/>
      <c r="AB39" s="124"/>
      <c r="AC39" s="243">
        <v>0</v>
      </c>
      <c r="AD39" s="124"/>
    </row>
    <row r="40" spans="1:30" ht="18.75">
      <c r="A40" s="486" t="s">
        <v>24</v>
      </c>
      <c r="B40" s="244">
        <v>45047</v>
      </c>
      <c r="C40" s="245" t="s">
        <v>688</v>
      </c>
      <c r="D40" s="235">
        <v>99850</v>
      </c>
      <c r="E40" s="235">
        <v>3335</v>
      </c>
      <c r="F40" s="235">
        <v>2668</v>
      </c>
      <c r="G40" s="235">
        <v>1179</v>
      </c>
      <c r="H40" s="259" t="s">
        <v>75</v>
      </c>
      <c r="I40" s="235">
        <v>30227</v>
      </c>
      <c r="J40" s="238">
        <v>0.30299999999999999</v>
      </c>
      <c r="K40" s="258" t="s">
        <v>689</v>
      </c>
      <c r="L40" s="261">
        <v>413</v>
      </c>
      <c r="M40" s="258" t="s">
        <v>690</v>
      </c>
      <c r="N40" s="261">
        <v>11126</v>
      </c>
      <c r="O40" s="257">
        <v>6500</v>
      </c>
      <c r="P40" s="236">
        <v>600</v>
      </c>
      <c r="Q40" s="236" t="s">
        <v>691</v>
      </c>
      <c r="R40" s="236" t="s">
        <v>692</v>
      </c>
      <c r="S40" s="265">
        <v>0.78</v>
      </c>
      <c r="T40" s="236" t="s">
        <v>75</v>
      </c>
      <c r="U40" s="236">
        <v>-17404</v>
      </c>
      <c r="V40" s="258" t="s">
        <v>693</v>
      </c>
      <c r="W40" s="258" t="s">
        <v>694</v>
      </c>
      <c r="X40" s="258" t="s">
        <v>695</v>
      </c>
      <c r="Y40" s="488" t="s">
        <v>696</v>
      </c>
      <c r="Z40" s="52"/>
      <c r="AA40" s="124"/>
      <c r="AB40" s="124"/>
      <c r="AC40" s="243">
        <v>-17404</v>
      </c>
      <c r="AD40" s="124"/>
    </row>
    <row r="41" spans="1:30" ht="18.75">
      <c r="A41" s="483"/>
      <c r="B41" s="244">
        <v>45048</v>
      </c>
      <c r="C41" s="245" t="s">
        <v>697</v>
      </c>
      <c r="D41" s="235">
        <v>99500</v>
      </c>
      <c r="E41" s="235">
        <v>3323</v>
      </c>
      <c r="F41" s="235">
        <v>2659</v>
      </c>
      <c r="G41" s="235">
        <v>1985</v>
      </c>
      <c r="H41" s="237" t="s">
        <v>75</v>
      </c>
      <c r="I41" s="235">
        <v>23033</v>
      </c>
      <c r="J41" s="238">
        <v>0.23100000000000001</v>
      </c>
      <c r="K41" s="236" t="s">
        <v>698</v>
      </c>
      <c r="L41" s="239">
        <v>310</v>
      </c>
      <c r="M41" s="236" t="s">
        <v>699</v>
      </c>
      <c r="N41" s="239">
        <v>7081</v>
      </c>
      <c r="O41" s="235">
        <v>7000</v>
      </c>
      <c r="P41" s="236">
        <v>700</v>
      </c>
      <c r="Q41" s="236" t="s">
        <v>691</v>
      </c>
      <c r="R41" s="236" t="s">
        <v>700</v>
      </c>
      <c r="S41" s="265">
        <v>0.76</v>
      </c>
      <c r="T41" s="236" t="s">
        <v>75</v>
      </c>
      <c r="U41" s="236">
        <v>-24984</v>
      </c>
      <c r="V41" s="236" t="s">
        <v>693</v>
      </c>
      <c r="W41" s="236" t="s">
        <v>694</v>
      </c>
      <c r="X41" s="236" t="s">
        <v>695</v>
      </c>
      <c r="Y41" s="477"/>
      <c r="Z41" s="52"/>
      <c r="AA41" s="124"/>
      <c r="AB41" s="124"/>
      <c r="AC41" s="243">
        <v>-24984</v>
      </c>
      <c r="AD41" s="124"/>
    </row>
    <row r="42" spans="1:30" ht="18.75">
      <c r="A42" s="483"/>
      <c r="B42" s="244">
        <v>45049</v>
      </c>
      <c r="C42" s="245" t="s">
        <v>701</v>
      </c>
      <c r="D42" s="235">
        <v>86050</v>
      </c>
      <c r="E42" s="235">
        <v>2874</v>
      </c>
      <c r="F42" s="235">
        <v>2299</v>
      </c>
      <c r="G42" s="235">
        <v>1179</v>
      </c>
      <c r="H42" s="237" t="s">
        <v>75</v>
      </c>
      <c r="I42" s="235">
        <v>6351</v>
      </c>
      <c r="J42" s="238">
        <v>7.3999999999999996E-2</v>
      </c>
      <c r="K42" s="236" t="s">
        <v>702</v>
      </c>
      <c r="L42" s="239">
        <v>164</v>
      </c>
      <c r="M42" s="236" t="s">
        <v>703</v>
      </c>
      <c r="N42" s="239">
        <v>6624</v>
      </c>
      <c r="O42" s="235">
        <v>3600</v>
      </c>
      <c r="P42" s="236">
        <v>600</v>
      </c>
      <c r="Q42" s="236" t="s">
        <v>704</v>
      </c>
      <c r="R42" s="236" t="s">
        <v>705</v>
      </c>
      <c r="S42" s="265">
        <v>0.71</v>
      </c>
      <c r="T42" s="236" t="s">
        <v>75</v>
      </c>
      <c r="U42" s="236">
        <v>-3872</v>
      </c>
      <c r="V42" s="236" t="s">
        <v>706</v>
      </c>
      <c r="W42" s="236" t="s">
        <v>694</v>
      </c>
      <c r="X42" s="236" t="s">
        <v>707</v>
      </c>
      <c r="Y42" s="477"/>
      <c r="Z42" s="52"/>
      <c r="AA42" s="124"/>
      <c r="AB42" s="124"/>
      <c r="AC42" s="243">
        <v>-3872</v>
      </c>
      <c r="AD42" s="124"/>
    </row>
    <row r="43" spans="1:30" ht="18.75">
      <c r="A43" s="483"/>
      <c r="B43" s="244">
        <v>45050</v>
      </c>
      <c r="C43" s="245" t="s">
        <v>708</v>
      </c>
      <c r="D43" s="235">
        <v>49000</v>
      </c>
      <c r="E43" s="235">
        <v>1637</v>
      </c>
      <c r="F43" s="235">
        <v>1309</v>
      </c>
      <c r="G43" s="235">
        <v>1674</v>
      </c>
      <c r="H43" s="237" t="s">
        <v>75</v>
      </c>
      <c r="I43" s="235">
        <v>10239</v>
      </c>
      <c r="J43" s="238">
        <v>0.20899999999999999</v>
      </c>
      <c r="K43" s="236" t="s">
        <v>709</v>
      </c>
      <c r="L43" s="239">
        <v>303</v>
      </c>
      <c r="M43" s="236" t="s">
        <v>710</v>
      </c>
      <c r="N43" s="239">
        <v>8663</v>
      </c>
      <c r="O43" s="235">
        <v>6000</v>
      </c>
      <c r="P43" s="236">
        <v>500</v>
      </c>
      <c r="Q43" s="236" t="s">
        <v>704</v>
      </c>
      <c r="R43" s="236" t="s">
        <v>711</v>
      </c>
      <c r="S43" s="265">
        <v>0.75</v>
      </c>
      <c r="T43" s="236" t="s">
        <v>75</v>
      </c>
      <c r="U43" s="236">
        <v>-23530</v>
      </c>
      <c r="V43" s="236" t="s">
        <v>706</v>
      </c>
      <c r="W43" s="236" t="s">
        <v>694</v>
      </c>
      <c r="X43" s="236" t="s">
        <v>707</v>
      </c>
      <c r="Y43" s="52"/>
      <c r="Z43" s="52"/>
      <c r="AA43" s="124"/>
      <c r="AB43" s="124"/>
      <c r="AC43" s="243">
        <v>-23530</v>
      </c>
      <c r="AD43" s="124"/>
    </row>
    <row r="44" spans="1:30" ht="18.75">
      <c r="A44" s="483"/>
      <c r="B44" s="244">
        <v>45051</v>
      </c>
      <c r="C44" s="245" t="s">
        <v>712</v>
      </c>
      <c r="D44" s="235">
        <v>82160</v>
      </c>
      <c r="E44" s="235">
        <v>2744</v>
      </c>
      <c r="F44" s="235">
        <v>2195</v>
      </c>
      <c r="G44" s="235">
        <v>1528</v>
      </c>
      <c r="H44" s="237" t="s">
        <v>75</v>
      </c>
      <c r="I44" s="235">
        <v>15869</v>
      </c>
      <c r="J44" s="238">
        <v>0.193</v>
      </c>
      <c r="K44" s="236" t="s">
        <v>713</v>
      </c>
      <c r="L44" s="239">
        <v>785</v>
      </c>
      <c r="M44" s="236" t="s">
        <v>714</v>
      </c>
      <c r="N44" s="239">
        <v>13468</v>
      </c>
      <c r="O44" s="235">
        <v>8500</v>
      </c>
      <c r="P44" s="235">
        <v>1300</v>
      </c>
      <c r="Q44" s="236" t="s">
        <v>715</v>
      </c>
      <c r="R44" s="236" t="s">
        <v>716</v>
      </c>
      <c r="S44" s="265">
        <v>0.73</v>
      </c>
      <c r="T44" s="236" t="s">
        <v>75</v>
      </c>
      <c r="U44" s="236">
        <v>-6945</v>
      </c>
      <c r="V44" s="236" t="s">
        <v>706</v>
      </c>
      <c r="W44" s="236" t="s">
        <v>694</v>
      </c>
      <c r="X44" s="236" t="s">
        <v>707</v>
      </c>
      <c r="Y44" s="52" t="s">
        <v>717</v>
      </c>
      <c r="Z44" s="52"/>
      <c r="AA44" s="124"/>
      <c r="AB44" s="124"/>
      <c r="AC44" s="243">
        <v>-6945</v>
      </c>
      <c r="AD44" s="124"/>
    </row>
    <row r="45" spans="1:30" ht="18.75">
      <c r="A45" s="483"/>
      <c r="B45" s="244">
        <v>45052</v>
      </c>
      <c r="C45" s="245" t="s">
        <v>718</v>
      </c>
      <c r="D45" s="235">
        <v>65000</v>
      </c>
      <c r="E45" s="235">
        <v>2171</v>
      </c>
      <c r="F45" s="235">
        <v>1737</v>
      </c>
      <c r="G45" s="235">
        <v>2470</v>
      </c>
      <c r="H45" s="237" t="s">
        <v>75</v>
      </c>
      <c r="I45" s="235">
        <v>5290</v>
      </c>
      <c r="J45" s="238">
        <v>8.1000000000000003E-2</v>
      </c>
      <c r="K45" s="236" t="s">
        <v>719</v>
      </c>
      <c r="L45" s="239">
        <v>933</v>
      </c>
      <c r="M45" s="236"/>
      <c r="N45" s="239"/>
      <c r="O45" s="235">
        <v>2000</v>
      </c>
      <c r="P45" s="236">
        <v>400</v>
      </c>
      <c r="Q45" s="236" t="s">
        <v>720</v>
      </c>
      <c r="R45" s="236" t="s">
        <v>721</v>
      </c>
      <c r="S45" s="265">
        <v>0.83</v>
      </c>
      <c r="T45" s="267" t="s">
        <v>75</v>
      </c>
      <c r="U45" s="267">
        <v>-48293</v>
      </c>
      <c r="V45" s="236" t="s">
        <v>722</v>
      </c>
      <c r="W45" s="236" t="s">
        <v>694</v>
      </c>
      <c r="X45" s="236" t="s">
        <v>723</v>
      </c>
      <c r="Y45" s="52"/>
      <c r="Z45" s="52"/>
      <c r="AA45" s="124"/>
      <c r="AB45" s="124"/>
      <c r="AC45" s="243">
        <v>-48293</v>
      </c>
      <c r="AD45" s="124"/>
    </row>
    <row r="46" spans="1:30" ht="18.75">
      <c r="A46" s="483"/>
      <c r="B46" s="244">
        <v>45053</v>
      </c>
      <c r="C46" s="245" t="s">
        <v>724</v>
      </c>
      <c r="D46" s="235">
        <v>46800</v>
      </c>
      <c r="E46" s="235">
        <v>1563</v>
      </c>
      <c r="F46" s="235">
        <v>1250</v>
      </c>
      <c r="G46" s="235">
        <v>1480</v>
      </c>
      <c r="H46" s="237" t="s">
        <v>75</v>
      </c>
      <c r="I46" s="235">
        <v>1178</v>
      </c>
      <c r="J46" s="238">
        <v>2.5000000000000001E-2</v>
      </c>
      <c r="K46" s="236" t="s">
        <v>725</v>
      </c>
      <c r="L46" s="239">
        <v>935</v>
      </c>
      <c r="M46" s="236" t="s">
        <v>165</v>
      </c>
      <c r="N46" s="239"/>
      <c r="O46" s="235">
        <v>3500</v>
      </c>
      <c r="P46" s="235">
        <v>1100</v>
      </c>
      <c r="Q46" s="236" t="s">
        <v>720</v>
      </c>
      <c r="R46" s="236" t="s">
        <v>726</v>
      </c>
      <c r="S46" s="265">
        <v>0.81</v>
      </c>
      <c r="T46" s="236" t="s">
        <v>75</v>
      </c>
      <c r="U46" s="236">
        <v>-32068</v>
      </c>
      <c r="V46" s="236" t="s">
        <v>727</v>
      </c>
      <c r="W46" s="236" t="s">
        <v>694</v>
      </c>
      <c r="X46" s="236" t="s">
        <v>728</v>
      </c>
      <c r="Y46" s="52"/>
      <c r="Z46" s="52"/>
      <c r="AA46" s="124"/>
      <c r="AB46" s="124"/>
      <c r="AC46" s="243">
        <v>-32068</v>
      </c>
      <c r="AD46" s="124"/>
    </row>
    <row r="47" spans="1:30" ht="18.75">
      <c r="A47" s="483"/>
      <c r="B47" s="244">
        <v>45054</v>
      </c>
      <c r="C47" s="245" t="s">
        <v>729</v>
      </c>
      <c r="D47" s="235">
        <v>59520</v>
      </c>
      <c r="E47" s="235">
        <v>1988</v>
      </c>
      <c r="F47" s="235">
        <v>1590</v>
      </c>
      <c r="G47" s="236">
        <v>502</v>
      </c>
      <c r="H47" s="237" t="s">
        <v>75</v>
      </c>
      <c r="I47" s="235">
        <v>8500</v>
      </c>
      <c r="J47" s="238">
        <v>0.14299999999999999</v>
      </c>
      <c r="K47" s="236"/>
      <c r="L47" s="239"/>
      <c r="M47" s="236" t="s">
        <v>730</v>
      </c>
      <c r="N47" s="239">
        <v>7000</v>
      </c>
      <c r="O47" s="235">
        <v>21400</v>
      </c>
      <c r="P47" s="235">
        <v>2000</v>
      </c>
      <c r="Q47" s="236" t="s">
        <v>720</v>
      </c>
      <c r="R47" s="236" t="s">
        <v>731</v>
      </c>
      <c r="S47" s="265">
        <v>0.76</v>
      </c>
      <c r="T47" s="236" t="s">
        <v>75</v>
      </c>
      <c r="U47" s="236">
        <v>-62090</v>
      </c>
      <c r="V47" s="236" t="s">
        <v>732</v>
      </c>
      <c r="W47" s="236" t="s">
        <v>694</v>
      </c>
      <c r="X47" s="236" t="s">
        <v>733</v>
      </c>
      <c r="Y47" s="52">
        <v>1801</v>
      </c>
      <c r="Z47" s="242">
        <v>1801026</v>
      </c>
      <c r="AA47" s="124"/>
      <c r="AB47" s="124"/>
      <c r="AC47" s="243">
        <v>-62090</v>
      </c>
      <c r="AD47" s="124"/>
    </row>
    <row r="48" spans="1:30" ht="18.75">
      <c r="A48" s="483"/>
      <c r="B48" s="244">
        <v>45055</v>
      </c>
      <c r="C48" s="245" t="s">
        <v>734</v>
      </c>
      <c r="D48" s="235">
        <v>50000</v>
      </c>
      <c r="E48" s="235">
        <v>1670</v>
      </c>
      <c r="F48" s="235">
        <v>1336</v>
      </c>
      <c r="G48" s="236">
        <v>86</v>
      </c>
      <c r="H48" s="237" t="s">
        <v>75</v>
      </c>
      <c r="I48" s="235">
        <v>36000</v>
      </c>
      <c r="J48" s="238">
        <v>0.72</v>
      </c>
      <c r="K48" s="236"/>
      <c r="L48" s="239"/>
      <c r="M48" s="236"/>
      <c r="N48" s="239"/>
      <c r="O48" s="236"/>
      <c r="P48" s="236"/>
      <c r="Q48" s="236" t="s">
        <v>735</v>
      </c>
      <c r="R48" s="236" t="s">
        <v>736</v>
      </c>
      <c r="S48" s="265">
        <v>0.85</v>
      </c>
      <c r="T48" s="236" t="s">
        <v>75</v>
      </c>
      <c r="U48" s="236">
        <v>-16220</v>
      </c>
      <c r="V48" s="236" t="s">
        <v>732</v>
      </c>
      <c r="W48" s="236" t="s">
        <v>694</v>
      </c>
      <c r="X48" s="236" t="s">
        <v>733</v>
      </c>
      <c r="Y48" s="52">
        <v>86</v>
      </c>
      <c r="Z48" s="242">
        <v>85981</v>
      </c>
      <c r="AA48" s="124"/>
      <c r="AB48" s="124"/>
      <c r="AC48" s="243">
        <v>-16220</v>
      </c>
      <c r="AD48" s="124"/>
    </row>
    <row r="49" spans="1:30" ht="18.75">
      <c r="A49" s="483"/>
      <c r="B49" s="244">
        <v>45056</v>
      </c>
      <c r="C49" s="245" t="s">
        <v>737</v>
      </c>
      <c r="D49" s="235">
        <v>8000</v>
      </c>
      <c r="E49" s="236">
        <v>267</v>
      </c>
      <c r="F49" s="236">
        <v>214</v>
      </c>
      <c r="G49" s="236">
        <v>7</v>
      </c>
      <c r="H49" s="237" t="s">
        <v>75</v>
      </c>
      <c r="I49" s="236"/>
      <c r="J49" s="236"/>
      <c r="K49" s="236"/>
      <c r="L49" s="239"/>
      <c r="M49" s="236"/>
      <c r="N49" s="239"/>
      <c r="O49" s="236"/>
      <c r="P49" s="236"/>
      <c r="Q49" s="236" t="s">
        <v>738</v>
      </c>
      <c r="R49" s="236" t="s">
        <v>739</v>
      </c>
      <c r="S49" s="265">
        <v>0.8</v>
      </c>
      <c r="T49" s="236" t="s">
        <v>75</v>
      </c>
      <c r="U49" s="236">
        <v>-9</v>
      </c>
      <c r="V49" s="236" t="s">
        <v>740</v>
      </c>
      <c r="W49" s="236" t="s">
        <v>694</v>
      </c>
      <c r="X49" s="236" t="s">
        <v>741</v>
      </c>
      <c r="Y49" s="52"/>
      <c r="Z49" s="52"/>
      <c r="AA49" s="124"/>
      <c r="AB49" s="124"/>
      <c r="AC49" s="243">
        <v>-9</v>
      </c>
      <c r="AD49" s="124"/>
    </row>
    <row r="50" spans="1:30" ht="18.75">
      <c r="A50" s="483"/>
      <c r="B50" s="244">
        <v>45057</v>
      </c>
      <c r="C50" s="245" t="s">
        <v>742</v>
      </c>
      <c r="D50" s="235">
        <v>11000</v>
      </c>
      <c r="E50" s="236">
        <v>367</v>
      </c>
      <c r="F50" s="236">
        <v>294</v>
      </c>
      <c r="G50" s="236">
        <v>216</v>
      </c>
      <c r="H50" s="237" t="s">
        <v>75</v>
      </c>
      <c r="I50" s="236">
        <v>116</v>
      </c>
      <c r="J50" s="238">
        <v>1.0999999999999999E-2</v>
      </c>
      <c r="K50" s="236"/>
      <c r="L50" s="239"/>
      <c r="M50" s="236"/>
      <c r="N50" s="239"/>
      <c r="O50" s="236"/>
      <c r="P50" s="236"/>
      <c r="Q50" s="236" t="s">
        <v>720</v>
      </c>
      <c r="R50" s="236" t="s">
        <v>743</v>
      </c>
      <c r="S50" s="265">
        <v>0.77</v>
      </c>
      <c r="T50" s="236" t="s">
        <v>75</v>
      </c>
      <c r="U50" s="236">
        <v>-2048</v>
      </c>
      <c r="V50" s="236" t="s">
        <v>744</v>
      </c>
      <c r="W50" s="236" t="s">
        <v>694</v>
      </c>
      <c r="X50" s="236" t="s">
        <v>745</v>
      </c>
      <c r="Y50" s="52">
        <v>683</v>
      </c>
      <c r="Z50" s="242">
        <v>683340</v>
      </c>
      <c r="AA50" s="124"/>
      <c r="AB50" s="124"/>
      <c r="AC50" s="243">
        <v>-2048</v>
      </c>
      <c r="AD50" s="124"/>
    </row>
    <row r="51" spans="1:30" ht="18.75">
      <c r="A51" s="483"/>
      <c r="B51" s="244">
        <v>45058</v>
      </c>
      <c r="C51" s="245" t="s">
        <v>746</v>
      </c>
      <c r="D51" s="235">
        <v>18000</v>
      </c>
      <c r="E51" s="236">
        <v>601</v>
      </c>
      <c r="F51" s="236">
        <v>481</v>
      </c>
      <c r="G51" s="236">
        <v>408</v>
      </c>
      <c r="H51" s="237" t="s">
        <v>75</v>
      </c>
      <c r="I51" s="236">
        <v>388</v>
      </c>
      <c r="J51" s="238">
        <v>2.1999999999999999E-2</v>
      </c>
      <c r="K51" s="236" t="s">
        <v>747</v>
      </c>
      <c r="L51" s="239">
        <v>100</v>
      </c>
      <c r="M51" s="236"/>
      <c r="N51" s="239"/>
      <c r="O51" s="235">
        <v>3000</v>
      </c>
      <c r="P51" s="236">
        <v>500</v>
      </c>
      <c r="Q51" s="236" t="s">
        <v>720</v>
      </c>
      <c r="R51" s="236" t="s">
        <v>748</v>
      </c>
      <c r="S51" s="265">
        <v>0.7</v>
      </c>
      <c r="T51" s="236" t="s">
        <v>75</v>
      </c>
      <c r="U51" s="236">
        <v>-6177</v>
      </c>
      <c r="V51" s="236" t="s">
        <v>749</v>
      </c>
      <c r="W51" s="236" t="s">
        <v>694</v>
      </c>
      <c r="X51" s="236" t="s">
        <v>750</v>
      </c>
      <c r="Y51" s="52">
        <v>408</v>
      </c>
      <c r="Z51" s="242">
        <v>407629</v>
      </c>
      <c r="AA51" s="124"/>
      <c r="AB51" s="124"/>
      <c r="AC51" s="243">
        <v>-6177</v>
      </c>
      <c r="AD51" s="124"/>
    </row>
    <row r="52" spans="1:30" ht="18.75">
      <c r="A52" s="483"/>
      <c r="B52" s="244">
        <v>45059</v>
      </c>
      <c r="C52" s="245" t="s">
        <v>751</v>
      </c>
      <c r="D52" s="235">
        <v>9000</v>
      </c>
      <c r="E52" s="236">
        <v>301</v>
      </c>
      <c r="F52" s="236">
        <v>240</v>
      </c>
      <c r="G52" s="236">
        <v>0</v>
      </c>
      <c r="H52" s="237" t="s">
        <v>75</v>
      </c>
      <c r="I52" s="235">
        <v>1560</v>
      </c>
      <c r="J52" s="238">
        <v>0.17299999999999999</v>
      </c>
      <c r="K52" s="236" t="s">
        <v>752</v>
      </c>
      <c r="L52" s="239">
        <v>400</v>
      </c>
      <c r="M52" s="236"/>
      <c r="N52" s="239"/>
      <c r="O52" s="235">
        <v>3000</v>
      </c>
      <c r="P52" s="307">
        <v>2000</v>
      </c>
      <c r="Q52" s="236" t="s">
        <v>753</v>
      </c>
      <c r="R52" s="236" t="s">
        <v>754</v>
      </c>
      <c r="S52" s="265">
        <v>0.74</v>
      </c>
      <c r="T52" s="236" t="s">
        <v>75</v>
      </c>
      <c r="U52" s="236">
        <v>-185</v>
      </c>
      <c r="V52" s="236" t="s">
        <v>637</v>
      </c>
      <c r="W52" s="236" t="s">
        <v>694</v>
      </c>
      <c r="X52" s="236" t="s">
        <v>755</v>
      </c>
      <c r="Y52" s="52"/>
      <c r="Z52" s="52"/>
      <c r="AA52" s="124"/>
      <c r="AB52" s="124"/>
      <c r="AC52" s="243">
        <v>-185</v>
      </c>
      <c r="AD52" s="124"/>
    </row>
    <row r="53" spans="1:30" ht="18.75">
      <c r="A53" s="483"/>
      <c r="B53" s="244">
        <v>45060</v>
      </c>
      <c r="C53" s="245" t="s">
        <v>756</v>
      </c>
      <c r="D53" s="235">
        <v>35000</v>
      </c>
      <c r="E53" s="235">
        <v>1169</v>
      </c>
      <c r="F53" s="236">
        <v>935</v>
      </c>
      <c r="G53" s="235">
        <v>1108</v>
      </c>
      <c r="H53" s="237" t="s">
        <v>75</v>
      </c>
      <c r="I53" s="236">
        <v>850</v>
      </c>
      <c r="J53" s="238">
        <v>2.4E-2</v>
      </c>
      <c r="K53" s="236"/>
      <c r="L53" s="239"/>
      <c r="M53" s="236"/>
      <c r="N53" s="239"/>
      <c r="O53" s="236"/>
      <c r="P53" s="308"/>
      <c r="Q53" s="236" t="s">
        <v>757</v>
      </c>
      <c r="R53" s="236" t="s">
        <v>758</v>
      </c>
      <c r="S53" s="265">
        <v>0.84</v>
      </c>
      <c r="T53" s="236" t="s">
        <v>75</v>
      </c>
      <c r="U53" s="236">
        <v>-809</v>
      </c>
      <c r="V53" s="236" t="s">
        <v>759</v>
      </c>
      <c r="W53" s="236" t="s">
        <v>694</v>
      </c>
      <c r="X53" s="236" t="s">
        <v>760</v>
      </c>
      <c r="Y53" s="52">
        <v>2933</v>
      </c>
      <c r="Z53" s="242">
        <v>2933436</v>
      </c>
      <c r="AA53" s="124"/>
      <c r="AB53" s="124"/>
      <c r="AC53" s="243">
        <v>-809</v>
      </c>
      <c r="AD53" s="124"/>
    </row>
    <row r="54" spans="1:30" ht="18.75">
      <c r="A54" s="483"/>
      <c r="B54" s="244">
        <v>45061</v>
      </c>
      <c r="C54" s="245" t="s">
        <v>761</v>
      </c>
      <c r="D54" s="235">
        <v>18000</v>
      </c>
      <c r="E54" s="236">
        <v>601</v>
      </c>
      <c r="F54" s="236">
        <v>481</v>
      </c>
      <c r="G54" s="236">
        <v>377</v>
      </c>
      <c r="H54" s="237" t="s">
        <v>75</v>
      </c>
      <c r="I54" s="236">
        <v>245</v>
      </c>
      <c r="J54" s="238">
        <v>1.4E-2</v>
      </c>
      <c r="K54" s="236" t="s">
        <v>762</v>
      </c>
      <c r="L54" s="239">
        <v>100</v>
      </c>
      <c r="M54" s="236"/>
      <c r="N54" s="239"/>
      <c r="O54" s="236">
        <v>600</v>
      </c>
      <c r="P54" s="236">
        <v>500</v>
      </c>
      <c r="Q54" s="236" t="s">
        <v>753</v>
      </c>
      <c r="R54" s="236" t="s">
        <v>763</v>
      </c>
      <c r="S54" s="265">
        <v>0.8</v>
      </c>
      <c r="T54" s="236" t="s">
        <v>75</v>
      </c>
      <c r="U54" s="236">
        <v>-510</v>
      </c>
      <c r="V54" s="236" t="s">
        <v>744</v>
      </c>
      <c r="W54" s="236" t="s">
        <v>694</v>
      </c>
      <c r="X54" s="236" t="s">
        <v>745</v>
      </c>
      <c r="Y54" s="52">
        <v>366</v>
      </c>
      <c r="Z54" s="242">
        <v>365849</v>
      </c>
      <c r="AA54" s="124"/>
      <c r="AB54" s="124"/>
      <c r="AC54" s="243">
        <v>-510</v>
      </c>
      <c r="AD54" s="124"/>
    </row>
    <row r="55" spans="1:30" ht="18.75">
      <c r="A55" s="483"/>
      <c r="B55" s="244">
        <v>45062</v>
      </c>
      <c r="C55" s="245" t="s">
        <v>764</v>
      </c>
      <c r="D55" s="235">
        <v>30000</v>
      </c>
      <c r="E55" s="235">
        <v>1002</v>
      </c>
      <c r="F55" s="236">
        <v>802</v>
      </c>
      <c r="G55" s="236">
        <v>967</v>
      </c>
      <c r="H55" s="237" t="s">
        <v>75</v>
      </c>
      <c r="I55" s="235">
        <v>2127</v>
      </c>
      <c r="J55" s="238">
        <v>7.0000000000000007E-2</v>
      </c>
      <c r="K55" s="236" t="s">
        <v>765</v>
      </c>
      <c r="L55" s="239">
        <v>245</v>
      </c>
      <c r="M55" s="236" t="s">
        <v>766</v>
      </c>
      <c r="N55" s="239">
        <v>340</v>
      </c>
      <c r="O55" s="235">
        <v>2700</v>
      </c>
      <c r="P55" s="236">
        <v>600</v>
      </c>
      <c r="Q55" s="236" t="s">
        <v>720</v>
      </c>
      <c r="R55" s="236" t="s">
        <v>767</v>
      </c>
      <c r="S55" s="265">
        <v>0.8</v>
      </c>
      <c r="T55" s="236" t="s">
        <v>75</v>
      </c>
      <c r="U55" s="236">
        <v>-6089</v>
      </c>
      <c r="V55" s="236" t="s">
        <v>768</v>
      </c>
      <c r="W55" s="236" t="s">
        <v>694</v>
      </c>
      <c r="X55" s="236" t="s">
        <v>769</v>
      </c>
      <c r="Y55" s="52"/>
      <c r="Z55" s="52"/>
      <c r="AA55" s="124"/>
      <c r="AB55" s="124"/>
      <c r="AC55" s="243">
        <v>-6089</v>
      </c>
      <c r="AD55" s="124"/>
    </row>
    <row r="56" spans="1:30" ht="18.75">
      <c r="A56" s="483"/>
      <c r="B56" s="244">
        <v>45063</v>
      </c>
      <c r="C56" s="245" t="s">
        <v>770</v>
      </c>
      <c r="D56" s="235">
        <v>38000</v>
      </c>
      <c r="E56" s="235">
        <v>1269</v>
      </c>
      <c r="F56" s="235">
        <v>1015</v>
      </c>
      <c r="G56" s="235">
        <v>2019</v>
      </c>
      <c r="H56" s="237" t="s">
        <v>75</v>
      </c>
      <c r="I56" s="236">
        <v>72</v>
      </c>
      <c r="J56" s="238">
        <v>2E-3</v>
      </c>
      <c r="K56" s="236"/>
      <c r="L56" s="239"/>
      <c r="M56" s="236"/>
      <c r="N56" s="239"/>
      <c r="O56" s="236"/>
      <c r="P56" s="236"/>
      <c r="Q56" s="236" t="s">
        <v>720</v>
      </c>
      <c r="R56" s="236" t="s">
        <v>771</v>
      </c>
      <c r="S56" s="265">
        <v>0.83</v>
      </c>
      <c r="T56" s="236" t="s">
        <v>75</v>
      </c>
      <c r="U56" s="236">
        <v>-4950</v>
      </c>
      <c r="V56" s="236" t="s">
        <v>772</v>
      </c>
      <c r="W56" s="236" t="s">
        <v>694</v>
      </c>
      <c r="X56" s="236" t="s">
        <v>773</v>
      </c>
      <c r="Y56" s="52">
        <v>2019</v>
      </c>
      <c r="Z56" s="242">
        <v>2019272</v>
      </c>
      <c r="AA56" s="124"/>
      <c r="AB56" s="124"/>
      <c r="AC56" s="243">
        <v>-4950</v>
      </c>
      <c r="AD56" s="124"/>
    </row>
    <row r="57" spans="1:30" ht="18.75">
      <c r="A57" s="483"/>
      <c r="B57" s="244">
        <v>45064</v>
      </c>
      <c r="C57" s="245" t="s">
        <v>774</v>
      </c>
      <c r="D57" s="235">
        <v>10000</v>
      </c>
      <c r="E57" s="236">
        <v>334</v>
      </c>
      <c r="F57" s="236">
        <v>267</v>
      </c>
      <c r="G57" s="236">
        <v>514</v>
      </c>
      <c r="H57" s="237" t="s">
        <v>75</v>
      </c>
      <c r="I57" s="236">
        <v>53.2</v>
      </c>
      <c r="J57" s="238">
        <v>5.0000000000000001E-3</v>
      </c>
      <c r="K57" s="236"/>
      <c r="L57" s="239"/>
      <c r="M57" s="236"/>
      <c r="N57" s="239"/>
      <c r="O57" s="236"/>
      <c r="P57" s="308"/>
      <c r="Q57" s="236" t="s">
        <v>720</v>
      </c>
      <c r="R57" s="236" t="s">
        <v>775</v>
      </c>
      <c r="S57" s="265">
        <v>0.78</v>
      </c>
      <c r="T57" s="236" t="s">
        <v>75</v>
      </c>
      <c r="U57" s="236">
        <v>-2187</v>
      </c>
      <c r="V57" s="236" t="s">
        <v>759</v>
      </c>
      <c r="W57" s="236" t="s">
        <v>694</v>
      </c>
      <c r="X57" s="236" t="s">
        <v>760</v>
      </c>
      <c r="Y57" s="52">
        <v>512</v>
      </c>
      <c r="Z57" s="242">
        <v>512112</v>
      </c>
      <c r="AA57" s="124"/>
      <c r="AB57" s="124"/>
      <c r="AC57" s="243">
        <v>-2187</v>
      </c>
      <c r="AD57" s="124"/>
    </row>
    <row r="58" spans="1:30" ht="18.75">
      <c r="A58" s="483"/>
      <c r="B58" s="244">
        <v>45065</v>
      </c>
      <c r="C58" s="245" t="s">
        <v>776</v>
      </c>
      <c r="D58" s="235">
        <v>30000</v>
      </c>
      <c r="E58" s="235">
        <v>4242</v>
      </c>
      <c r="F58" s="235">
        <v>3394</v>
      </c>
      <c r="G58" s="235">
        <v>1474</v>
      </c>
      <c r="H58" s="237" t="s">
        <v>75</v>
      </c>
      <c r="I58" s="235">
        <v>3036</v>
      </c>
      <c r="J58" s="238">
        <v>0.10100000000000001</v>
      </c>
      <c r="K58" s="236">
        <v>0</v>
      </c>
      <c r="L58" s="239"/>
      <c r="M58" s="236">
        <v>0</v>
      </c>
      <c r="N58" s="239"/>
      <c r="O58" s="236">
        <v>0</v>
      </c>
      <c r="P58" s="309">
        <v>0</v>
      </c>
      <c r="Q58" s="236" t="s">
        <v>777</v>
      </c>
      <c r="R58" s="236" t="s">
        <v>778</v>
      </c>
      <c r="S58" s="265">
        <v>0.73</v>
      </c>
      <c r="T58" s="236" t="s">
        <v>75</v>
      </c>
      <c r="U58" s="236">
        <v>-4155</v>
      </c>
      <c r="V58" s="236" t="s">
        <v>779</v>
      </c>
      <c r="W58" s="236" t="s">
        <v>694</v>
      </c>
      <c r="X58" s="236" t="s">
        <v>780</v>
      </c>
      <c r="Y58" s="52">
        <v>6258</v>
      </c>
      <c r="Z58" s="242">
        <v>6257892</v>
      </c>
      <c r="AA58" s="124"/>
      <c r="AB58" s="124"/>
      <c r="AC58" s="243">
        <v>-4155</v>
      </c>
      <c r="AD58" s="124"/>
    </row>
    <row r="59" spans="1:30" ht="18.75">
      <c r="A59" s="483"/>
      <c r="B59" s="244">
        <v>45066</v>
      </c>
      <c r="C59" s="234" t="s">
        <v>781</v>
      </c>
      <c r="D59" s="235">
        <v>27800</v>
      </c>
      <c r="E59" s="235">
        <v>1125</v>
      </c>
      <c r="F59" s="236">
        <v>900</v>
      </c>
      <c r="G59" s="236">
        <v>302</v>
      </c>
      <c r="H59" s="237" t="s">
        <v>75</v>
      </c>
      <c r="I59" s="235">
        <v>2530</v>
      </c>
      <c r="J59" s="238">
        <v>9.0999999999999998E-2</v>
      </c>
      <c r="K59" s="236" t="s">
        <v>782</v>
      </c>
      <c r="L59" s="239">
        <v>100</v>
      </c>
      <c r="M59" s="236">
        <v>0</v>
      </c>
      <c r="N59" s="239"/>
      <c r="O59" s="236">
        <v>1200</v>
      </c>
      <c r="P59" s="236">
        <v>150</v>
      </c>
      <c r="Q59" s="236" t="s">
        <v>720</v>
      </c>
      <c r="R59" s="236" t="s">
        <v>783</v>
      </c>
      <c r="S59" s="265">
        <v>0.6</v>
      </c>
      <c r="T59" s="236" t="s">
        <v>75</v>
      </c>
      <c r="U59" s="236">
        <v>-68150</v>
      </c>
      <c r="V59" s="236" t="s">
        <v>784</v>
      </c>
      <c r="W59" s="236" t="s">
        <v>694</v>
      </c>
      <c r="X59" s="236" t="s">
        <v>785</v>
      </c>
      <c r="Y59" s="52">
        <v>25</v>
      </c>
      <c r="Z59" s="242">
        <v>25463</v>
      </c>
      <c r="AA59" s="124"/>
      <c r="AB59" s="52" t="s">
        <v>75</v>
      </c>
      <c r="AC59" s="243">
        <v>-68150</v>
      </c>
      <c r="AD59" s="124"/>
    </row>
    <row r="60" spans="1:30" ht="18.75">
      <c r="A60" s="483"/>
      <c r="B60" s="244">
        <v>45067</v>
      </c>
      <c r="C60" s="234" t="s">
        <v>786</v>
      </c>
      <c r="D60" s="235">
        <v>27000</v>
      </c>
      <c r="E60" s="236">
        <v>938</v>
      </c>
      <c r="F60" s="236">
        <v>750</v>
      </c>
      <c r="G60" s="236">
        <v>291</v>
      </c>
      <c r="H60" s="237" t="s">
        <v>75</v>
      </c>
      <c r="I60" s="236">
        <v>620</v>
      </c>
      <c r="J60" s="238">
        <v>2.3E-2</v>
      </c>
      <c r="K60" s="236" t="s">
        <v>782</v>
      </c>
      <c r="L60" s="239">
        <v>100</v>
      </c>
      <c r="M60" s="236">
        <v>0</v>
      </c>
      <c r="N60" s="239"/>
      <c r="O60" s="236">
        <v>1200</v>
      </c>
      <c r="P60" s="236" t="s">
        <v>787</v>
      </c>
      <c r="Q60" s="236" t="s">
        <v>720</v>
      </c>
      <c r="R60" s="236" t="s">
        <v>788</v>
      </c>
      <c r="S60" s="265">
        <v>0.74</v>
      </c>
      <c r="T60" s="236" t="s">
        <v>75</v>
      </c>
      <c r="U60" s="236">
        <v>-77339</v>
      </c>
      <c r="V60" s="236" t="s">
        <v>789</v>
      </c>
      <c r="W60" s="236" t="s">
        <v>694</v>
      </c>
      <c r="X60" s="236" t="s">
        <v>789</v>
      </c>
      <c r="Y60" s="52"/>
      <c r="Z60" s="52"/>
      <c r="AA60" s="124"/>
      <c r="AB60" s="52" t="s">
        <v>75</v>
      </c>
      <c r="AC60" s="243">
        <v>-77339</v>
      </c>
      <c r="AD60" s="124"/>
    </row>
    <row r="61" spans="1:30" ht="18.75">
      <c r="A61" s="483"/>
      <c r="B61" s="244">
        <v>45068</v>
      </c>
      <c r="C61" s="245" t="s">
        <v>790</v>
      </c>
      <c r="D61" s="235">
        <v>60000</v>
      </c>
      <c r="E61" s="235">
        <v>2004</v>
      </c>
      <c r="F61" s="235">
        <v>1603</v>
      </c>
      <c r="G61" s="235">
        <v>1603</v>
      </c>
      <c r="H61" s="237" t="s">
        <v>75</v>
      </c>
      <c r="I61" s="235">
        <v>8031</v>
      </c>
      <c r="J61" s="238">
        <v>0.13400000000000001</v>
      </c>
      <c r="K61" s="236" t="s">
        <v>791</v>
      </c>
      <c r="L61" s="239">
        <v>210</v>
      </c>
      <c r="M61" s="236" t="s">
        <v>792</v>
      </c>
      <c r="N61" s="239">
        <v>4500</v>
      </c>
      <c r="O61" s="235">
        <v>7400</v>
      </c>
      <c r="P61" s="236">
        <v>500</v>
      </c>
      <c r="Q61" s="236" t="s">
        <v>720</v>
      </c>
      <c r="R61" s="236" t="s">
        <v>793</v>
      </c>
      <c r="S61" s="265">
        <v>0.73</v>
      </c>
      <c r="T61" s="236" t="s">
        <v>75</v>
      </c>
      <c r="U61" s="236">
        <v>-31382</v>
      </c>
      <c r="V61" s="236" t="s">
        <v>794</v>
      </c>
      <c r="W61" s="236" t="s">
        <v>694</v>
      </c>
      <c r="X61" s="236" t="s">
        <v>794</v>
      </c>
      <c r="Y61" s="52"/>
      <c r="Z61" s="52"/>
      <c r="AA61" s="124"/>
      <c r="AB61" s="124"/>
      <c r="AC61" s="243">
        <v>-31382</v>
      </c>
      <c r="AD61" s="124"/>
    </row>
    <row r="62" spans="1:30" ht="18.75">
      <c r="A62" s="487"/>
      <c r="B62" s="249">
        <v>45069</v>
      </c>
      <c r="C62" s="250" t="s">
        <v>795</v>
      </c>
      <c r="D62" s="251">
        <v>12000</v>
      </c>
      <c r="E62" s="252">
        <v>401</v>
      </c>
      <c r="F62" s="252">
        <v>321</v>
      </c>
      <c r="G62" s="252">
        <v>174</v>
      </c>
      <c r="H62" s="253" t="s">
        <v>75</v>
      </c>
      <c r="I62" s="251">
        <v>7753</v>
      </c>
      <c r="J62" s="254">
        <v>0.64600000000000002</v>
      </c>
      <c r="K62" s="252"/>
      <c r="L62" s="231"/>
      <c r="M62" s="252"/>
      <c r="N62" s="231"/>
      <c r="O62" s="252"/>
      <c r="P62" s="252"/>
      <c r="Q62" s="252" t="s">
        <v>796</v>
      </c>
      <c r="R62" s="252" t="s">
        <v>797</v>
      </c>
      <c r="S62" s="274">
        <v>0.76</v>
      </c>
      <c r="T62" s="236" t="s">
        <v>75</v>
      </c>
      <c r="U62" s="293">
        <v>0</v>
      </c>
      <c r="V62" s="293" t="s">
        <v>798</v>
      </c>
      <c r="W62" s="293" t="s">
        <v>694</v>
      </c>
      <c r="X62" s="252" t="s">
        <v>799</v>
      </c>
      <c r="Y62" s="52"/>
      <c r="Z62" s="52"/>
      <c r="AA62" s="124"/>
      <c r="AB62" s="124"/>
      <c r="AC62" s="243">
        <v>0</v>
      </c>
      <c r="AD62" s="124"/>
    </row>
    <row r="63" spans="1:30" ht="18.75">
      <c r="A63" s="486" t="s">
        <v>25</v>
      </c>
      <c r="B63" s="247">
        <v>45078</v>
      </c>
      <c r="C63" s="245" t="s">
        <v>800</v>
      </c>
      <c r="D63" s="235">
        <v>80000</v>
      </c>
      <c r="E63" s="235">
        <v>4527</v>
      </c>
      <c r="F63" s="235">
        <v>4036</v>
      </c>
      <c r="G63" s="235">
        <v>1877</v>
      </c>
      <c r="H63" s="237" t="s">
        <v>75</v>
      </c>
      <c r="I63" s="235">
        <v>25158</v>
      </c>
      <c r="J63" s="238">
        <v>0.314</v>
      </c>
      <c r="K63" s="236" t="s">
        <v>801</v>
      </c>
      <c r="L63" s="239">
        <v>100</v>
      </c>
      <c r="M63" s="236"/>
      <c r="N63" s="239"/>
      <c r="O63" s="236">
        <v>500</v>
      </c>
      <c r="P63" s="308"/>
      <c r="Q63" s="285" t="s">
        <v>802</v>
      </c>
      <c r="R63" s="285" t="s">
        <v>803</v>
      </c>
      <c r="S63" s="265">
        <v>0.8</v>
      </c>
      <c r="T63" s="287" t="s">
        <v>75</v>
      </c>
      <c r="U63" s="287">
        <v>0</v>
      </c>
      <c r="V63" s="310">
        <v>45157</v>
      </c>
      <c r="W63" s="287" t="s">
        <v>78</v>
      </c>
      <c r="X63" s="236"/>
      <c r="Y63" s="52"/>
      <c r="Z63" s="52"/>
      <c r="AA63" s="124"/>
      <c r="AB63" s="124"/>
      <c r="AC63" s="243">
        <v>0</v>
      </c>
      <c r="AD63" s="124"/>
    </row>
    <row r="64" spans="1:30" ht="18.75">
      <c r="A64" s="483"/>
      <c r="B64" s="311">
        <v>45079</v>
      </c>
      <c r="C64" s="245" t="s">
        <v>804</v>
      </c>
      <c r="D64" s="235">
        <v>47000</v>
      </c>
      <c r="E64" s="235">
        <v>1570</v>
      </c>
      <c r="F64" s="235">
        <v>1297</v>
      </c>
      <c r="G64" s="236">
        <v>407</v>
      </c>
      <c r="H64" s="237" t="s">
        <v>75</v>
      </c>
      <c r="I64" s="235">
        <v>24960</v>
      </c>
      <c r="J64" s="238">
        <v>0.53100000000000003</v>
      </c>
      <c r="K64" s="300"/>
      <c r="L64" s="305"/>
      <c r="M64" s="300"/>
      <c r="N64" s="305"/>
      <c r="O64" s="300"/>
      <c r="P64" s="308"/>
      <c r="Q64" s="285" t="s">
        <v>802</v>
      </c>
      <c r="R64" s="245" t="s">
        <v>805</v>
      </c>
      <c r="S64" s="265">
        <v>0.82</v>
      </c>
      <c r="T64" s="236" t="s">
        <v>75</v>
      </c>
      <c r="U64" s="236">
        <v>-95</v>
      </c>
      <c r="V64" s="312">
        <v>45132</v>
      </c>
      <c r="W64" s="236" t="s">
        <v>78</v>
      </c>
      <c r="X64" s="236"/>
      <c r="Y64" s="52"/>
      <c r="Z64" s="52"/>
      <c r="AA64" s="124"/>
      <c r="AB64" s="124"/>
      <c r="AC64" s="243">
        <v>-95</v>
      </c>
      <c r="AD64" s="124"/>
    </row>
    <row r="65" spans="1:30" ht="18.75">
      <c r="A65" s="483"/>
      <c r="B65" s="311">
        <v>45080</v>
      </c>
      <c r="C65" s="245" t="s">
        <v>806</v>
      </c>
      <c r="D65" s="235">
        <v>45000</v>
      </c>
      <c r="E65" s="235">
        <v>3612</v>
      </c>
      <c r="F65" s="235">
        <v>3054</v>
      </c>
      <c r="G65" s="235">
        <v>1956</v>
      </c>
      <c r="H65" s="237" t="s">
        <v>75</v>
      </c>
      <c r="I65" s="235">
        <v>1878</v>
      </c>
      <c r="J65" s="238">
        <v>4.2000000000000003E-2</v>
      </c>
      <c r="K65" s="236" t="s">
        <v>801</v>
      </c>
      <c r="L65" s="239">
        <v>100</v>
      </c>
      <c r="M65" s="236" t="s">
        <v>807</v>
      </c>
      <c r="N65" s="239">
        <v>240</v>
      </c>
      <c r="O65" s="300">
        <v>500</v>
      </c>
      <c r="P65" s="308"/>
      <c r="Q65" s="285" t="s">
        <v>808</v>
      </c>
      <c r="R65" s="245" t="s">
        <v>809</v>
      </c>
      <c r="S65" s="265">
        <v>0.8</v>
      </c>
      <c r="T65" s="236" t="s">
        <v>75</v>
      </c>
      <c r="U65" s="236">
        <v>-2182</v>
      </c>
      <c r="V65" s="312">
        <v>45158</v>
      </c>
      <c r="W65" s="236" t="s">
        <v>78</v>
      </c>
      <c r="X65" s="236"/>
      <c r="Y65" s="52"/>
      <c r="Z65" s="52"/>
      <c r="AA65" s="124"/>
      <c r="AB65" s="124"/>
      <c r="AC65" s="243">
        <v>-2182</v>
      </c>
      <c r="AD65" s="124"/>
    </row>
    <row r="66" spans="1:30" ht="18.75">
      <c r="A66" s="483"/>
      <c r="B66" s="247">
        <v>45081</v>
      </c>
      <c r="C66" s="245" t="s">
        <v>810</v>
      </c>
      <c r="D66" s="235">
        <v>40000</v>
      </c>
      <c r="E66" s="235">
        <v>1336</v>
      </c>
      <c r="F66" s="235">
        <v>1069</v>
      </c>
      <c r="G66" s="236">
        <v>254</v>
      </c>
      <c r="H66" s="237" t="s">
        <v>75</v>
      </c>
      <c r="I66" s="235">
        <v>28820</v>
      </c>
      <c r="J66" s="238">
        <v>0.72099999999999997</v>
      </c>
      <c r="K66" s="236"/>
      <c r="L66" s="239"/>
      <c r="M66" s="236"/>
      <c r="N66" s="239"/>
      <c r="O66" s="236"/>
      <c r="P66" s="236"/>
      <c r="Q66" s="236" t="s">
        <v>802</v>
      </c>
      <c r="R66" s="245" t="s">
        <v>811</v>
      </c>
      <c r="S66" s="265">
        <v>0.8</v>
      </c>
      <c r="T66" s="236" t="s">
        <v>75</v>
      </c>
      <c r="U66" s="236">
        <v>-11146</v>
      </c>
      <c r="V66" s="312">
        <v>45121</v>
      </c>
      <c r="W66" s="236" t="s">
        <v>78</v>
      </c>
      <c r="X66" s="236"/>
      <c r="Y66" s="52">
        <v>254</v>
      </c>
      <c r="Z66" s="242">
        <v>253818</v>
      </c>
      <c r="AA66" s="124"/>
      <c r="AB66" s="124"/>
      <c r="AC66" s="243">
        <v>-11146</v>
      </c>
      <c r="AD66" s="124"/>
    </row>
    <row r="67" spans="1:30" ht="18.75">
      <c r="A67" s="483"/>
      <c r="B67" s="247">
        <v>45082</v>
      </c>
      <c r="C67" s="245" t="s">
        <v>812</v>
      </c>
      <c r="D67" s="235">
        <v>95000</v>
      </c>
      <c r="E67" s="235">
        <v>3676</v>
      </c>
      <c r="F67" s="235">
        <v>2874</v>
      </c>
      <c r="G67" s="235">
        <v>1781</v>
      </c>
      <c r="H67" s="237" t="s">
        <v>75</v>
      </c>
      <c r="I67" s="235">
        <v>18466</v>
      </c>
      <c r="J67" s="238">
        <v>0.19400000000000001</v>
      </c>
      <c r="K67" s="236"/>
      <c r="L67" s="239"/>
      <c r="M67" s="236" t="s">
        <v>813</v>
      </c>
      <c r="N67" s="239">
        <v>2400</v>
      </c>
      <c r="O67" s="236">
        <v>300</v>
      </c>
      <c r="P67" s="236"/>
      <c r="Q67" s="236" t="s">
        <v>814</v>
      </c>
      <c r="R67" s="245" t="s">
        <v>815</v>
      </c>
      <c r="S67" s="265">
        <v>0.8</v>
      </c>
      <c r="T67" s="236" t="s">
        <v>75</v>
      </c>
      <c r="U67" s="236">
        <v>-989</v>
      </c>
      <c r="V67" s="312">
        <v>45147</v>
      </c>
      <c r="W67" s="236" t="s">
        <v>78</v>
      </c>
      <c r="X67" s="236"/>
      <c r="Y67" s="52"/>
      <c r="Z67" s="52"/>
      <c r="AA67" s="124"/>
      <c r="AB67" s="124"/>
      <c r="AC67" s="243">
        <v>-989</v>
      </c>
      <c r="AD67" s="124"/>
    </row>
    <row r="68" spans="1:30" ht="18.75">
      <c r="A68" s="483"/>
      <c r="B68" s="247">
        <v>45083</v>
      </c>
      <c r="C68" s="245" t="s">
        <v>816</v>
      </c>
      <c r="D68" s="235">
        <v>50000</v>
      </c>
      <c r="E68" s="235">
        <v>2505</v>
      </c>
      <c r="F68" s="235">
        <v>2000</v>
      </c>
      <c r="G68" s="235">
        <v>2096</v>
      </c>
      <c r="H68" s="237" t="s">
        <v>75</v>
      </c>
      <c r="I68" s="235">
        <v>4717</v>
      </c>
      <c r="J68" s="238">
        <v>9.4E-2</v>
      </c>
      <c r="K68" s="236" t="s">
        <v>817</v>
      </c>
      <c r="L68" s="239">
        <v>83</v>
      </c>
      <c r="M68" s="236"/>
      <c r="N68" s="239"/>
      <c r="O68" s="236"/>
      <c r="P68" s="236"/>
      <c r="Q68" s="236" t="s">
        <v>818</v>
      </c>
      <c r="R68" s="245" t="s">
        <v>819</v>
      </c>
      <c r="S68" s="265">
        <v>0.8</v>
      </c>
      <c r="T68" s="236" t="s">
        <v>75</v>
      </c>
      <c r="U68" s="236">
        <v>41</v>
      </c>
      <c r="V68" s="312">
        <v>45200</v>
      </c>
      <c r="W68" s="236" t="s">
        <v>78</v>
      </c>
      <c r="X68" s="236"/>
      <c r="Y68" s="52"/>
      <c r="Z68" s="52"/>
      <c r="AA68" s="124"/>
      <c r="AB68" s="124"/>
      <c r="AC68" s="243">
        <v>41</v>
      </c>
      <c r="AD68" s="124"/>
    </row>
    <row r="69" spans="1:30" ht="18.75">
      <c r="A69" s="483"/>
      <c r="B69" s="247">
        <v>45084</v>
      </c>
      <c r="C69" s="245" t="s">
        <v>820</v>
      </c>
      <c r="D69" s="235">
        <v>52000</v>
      </c>
      <c r="E69" s="235">
        <v>1737</v>
      </c>
      <c r="F69" s="235">
        <v>1389</v>
      </c>
      <c r="G69" s="236">
        <v>529</v>
      </c>
      <c r="H69" s="237" t="s">
        <v>75</v>
      </c>
      <c r="I69" s="235">
        <v>5667</v>
      </c>
      <c r="J69" s="238">
        <v>0.109</v>
      </c>
      <c r="K69" s="236" t="s">
        <v>821</v>
      </c>
      <c r="L69" s="239">
        <v>1330</v>
      </c>
      <c r="M69" s="236" t="s">
        <v>822</v>
      </c>
      <c r="N69" s="239">
        <v>10520</v>
      </c>
      <c r="O69" s="235">
        <v>20000</v>
      </c>
      <c r="P69" s="236">
        <v>600</v>
      </c>
      <c r="Q69" s="236" t="s">
        <v>823</v>
      </c>
      <c r="R69" s="245" t="s">
        <v>824</v>
      </c>
      <c r="S69" s="265">
        <v>0.62</v>
      </c>
      <c r="T69" s="236" t="s">
        <v>75</v>
      </c>
      <c r="U69" s="236">
        <v>0</v>
      </c>
      <c r="V69" s="312">
        <v>45111</v>
      </c>
      <c r="W69" s="236" t="s">
        <v>78</v>
      </c>
      <c r="X69" s="236"/>
      <c r="Y69" s="52">
        <v>47</v>
      </c>
      <c r="Z69" s="242">
        <v>47272</v>
      </c>
      <c r="AA69" s="124"/>
      <c r="AB69" s="124"/>
      <c r="AC69" s="243">
        <v>0</v>
      </c>
      <c r="AD69" s="124"/>
    </row>
    <row r="70" spans="1:30" ht="18.75">
      <c r="A70" s="483"/>
      <c r="B70" s="247">
        <v>45085</v>
      </c>
      <c r="C70" s="245" t="s">
        <v>825</v>
      </c>
      <c r="D70" s="235">
        <v>8000</v>
      </c>
      <c r="E70" s="236">
        <v>267</v>
      </c>
      <c r="F70" s="236">
        <v>214</v>
      </c>
      <c r="G70" s="236">
        <v>119</v>
      </c>
      <c r="H70" s="237" t="s">
        <v>75</v>
      </c>
      <c r="I70" s="236">
        <v>510</v>
      </c>
      <c r="J70" s="238">
        <v>6.4000000000000001E-2</v>
      </c>
      <c r="K70" s="236"/>
      <c r="L70" s="239"/>
      <c r="M70" s="236"/>
      <c r="N70" s="239"/>
      <c r="O70" s="236"/>
      <c r="P70" s="236"/>
      <c r="Q70" s="236" t="s">
        <v>826</v>
      </c>
      <c r="R70" s="245" t="s">
        <v>827</v>
      </c>
      <c r="S70" s="265">
        <v>0.79</v>
      </c>
      <c r="T70" s="236" t="s">
        <v>75</v>
      </c>
      <c r="U70" s="236">
        <v>0</v>
      </c>
      <c r="V70" s="312">
        <v>45097</v>
      </c>
      <c r="W70" s="236" t="s">
        <v>78</v>
      </c>
      <c r="X70" s="236"/>
      <c r="Y70" s="52"/>
      <c r="Z70" s="52"/>
      <c r="AA70" s="124"/>
      <c r="AB70" s="124"/>
      <c r="AC70" s="243">
        <v>0</v>
      </c>
      <c r="AD70" s="124"/>
    </row>
    <row r="71" spans="1:30" ht="18.75">
      <c r="A71" s="483"/>
      <c r="B71" s="247">
        <v>45086</v>
      </c>
      <c r="C71" s="245" t="s">
        <v>828</v>
      </c>
      <c r="D71" s="235">
        <v>60000</v>
      </c>
      <c r="E71" s="235">
        <v>2004</v>
      </c>
      <c r="F71" s="235">
        <v>1198</v>
      </c>
      <c r="G71" s="236">
        <v>563</v>
      </c>
      <c r="H71" s="237" t="s">
        <v>75</v>
      </c>
      <c r="I71" s="236">
        <v>298</v>
      </c>
      <c r="J71" s="238">
        <v>5.0000000000000001E-3</v>
      </c>
      <c r="K71" s="236"/>
      <c r="L71" s="239"/>
      <c r="M71" s="236"/>
      <c r="N71" s="239"/>
      <c r="O71" s="236"/>
      <c r="P71" s="236"/>
      <c r="Q71" s="236" t="s">
        <v>829</v>
      </c>
      <c r="R71" s="245" t="s">
        <v>830</v>
      </c>
      <c r="S71" s="265">
        <v>0.65</v>
      </c>
      <c r="T71" s="236" t="s">
        <v>75</v>
      </c>
      <c r="U71" s="236">
        <v>-958</v>
      </c>
      <c r="V71" s="312">
        <v>45170</v>
      </c>
      <c r="W71" s="236" t="s">
        <v>78</v>
      </c>
      <c r="X71" s="236"/>
      <c r="Y71" s="52">
        <v>560</v>
      </c>
      <c r="Z71" s="242">
        <v>559767</v>
      </c>
      <c r="AA71" s="124"/>
      <c r="AB71" s="124"/>
      <c r="AC71" s="243">
        <v>-958</v>
      </c>
      <c r="AD71" s="124"/>
    </row>
    <row r="72" spans="1:30" ht="18.75">
      <c r="A72" s="483"/>
      <c r="B72" s="247">
        <v>45087</v>
      </c>
      <c r="C72" s="245" t="s">
        <v>831</v>
      </c>
      <c r="D72" s="235">
        <v>47000</v>
      </c>
      <c r="E72" s="235">
        <v>3323</v>
      </c>
      <c r="F72" s="235">
        <v>2500</v>
      </c>
      <c r="G72" s="235">
        <v>2187</v>
      </c>
      <c r="H72" s="237" t="s">
        <v>75</v>
      </c>
      <c r="I72" s="235">
        <v>5248</v>
      </c>
      <c r="J72" s="238">
        <v>0.112</v>
      </c>
      <c r="K72" s="236"/>
      <c r="L72" s="239"/>
      <c r="M72" s="236"/>
      <c r="N72" s="239"/>
      <c r="O72" s="236"/>
      <c r="P72" s="236"/>
      <c r="Q72" s="236" t="s">
        <v>832</v>
      </c>
      <c r="R72" s="245" t="s">
        <v>833</v>
      </c>
      <c r="S72" s="265">
        <v>0.84</v>
      </c>
      <c r="T72" s="236" t="s">
        <v>75</v>
      </c>
      <c r="U72" s="236">
        <v>227</v>
      </c>
      <c r="V72" s="312">
        <v>45044</v>
      </c>
      <c r="W72" s="236" t="s">
        <v>78</v>
      </c>
      <c r="X72" s="236"/>
      <c r="Y72" s="52">
        <v>3</v>
      </c>
      <c r="Z72" s="242">
        <v>3313</v>
      </c>
      <c r="AA72" s="124"/>
      <c r="AB72" s="124"/>
      <c r="AC72" s="243">
        <v>227</v>
      </c>
      <c r="AD72" s="124"/>
    </row>
    <row r="73" spans="1:30" ht="18.75">
      <c r="A73" s="483"/>
      <c r="B73" s="313">
        <v>45088</v>
      </c>
      <c r="C73" s="234" t="s">
        <v>834</v>
      </c>
      <c r="D73" s="235">
        <v>9000</v>
      </c>
      <c r="E73" s="236">
        <v>283</v>
      </c>
      <c r="F73" s="236">
        <v>226</v>
      </c>
      <c r="G73" s="236">
        <v>182</v>
      </c>
      <c r="H73" s="237" t="s">
        <v>75</v>
      </c>
      <c r="I73" s="236">
        <v>250</v>
      </c>
      <c r="J73" s="238">
        <v>2.8000000000000001E-2</v>
      </c>
      <c r="K73" s="236"/>
      <c r="L73" s="239"/>
      <c r="M73" s="236"/>
      <c r="N73" s="239"/>
      <c r="O73" s="236"/>
      <c r="P73" s="236"/>
      <c r="Q73" s="236" t="s">
        <v>254</v>
      </c>
      <c r="R73" s="245" t="s">
        <v>835</v>
      </c>
      <c r="S73" s="265">
        <v>0.81</v>
      </c>
      <c r="T73" s="236" t="s">
        <v>75</v>
      </c>
      <c r="U73" s="236">
        <v>-384</v>
      </c>
      <c r="V73" s="312">
        <v>44961</v>
      </c>
      <c r="W73" s="236" t="s">
        <v>78</v>
      </c>
      <c r="X73" s="236"/>
      <c r="Y73" s="52"/>
      <c r="Z73" s="52"/>
      <c r="AA73" s="124"/>
      <c r="AB73" s="52" t="s">
        <v>75</v>
      </c>
      <c r="AC73" s="243">
        <v>-384</v>
      </c>
      <c r="AD73" s="124"/>
    </row>
    <row r="74" spans="1:30" ht="18.75">
      <c r="A74" s="483"/>
      <c r="B74" s="247">
        <v>45089</v>
      </c>
      <c r="C74" s="245" t="s">
        <v>836</v>
      </c>
      <c r="D74" s="235">
        <v>60000</v>
      </c>
      <c r="E74" s="235">
        <v>1800</v>
      </c>
      <c r="F74" s="235">
        <v>1440</v>
      </c>
      <c r="G74" s="236">
        <v>793</v>
      </c>
      <c r="H74" s="237" t="s">
        <v>75</v>
      </c>
      <c r="I74" s="235">
        <v>17496</v>
      </c>
      <c r="J74" s="238">
        <v>0.29199999999999998</v>
      </c>
      <c r="K74" s="236"/>
      <c r="L74" s="239"/>
      <c r="M74" s="236"/>
      <c r="N74" s="239"/>
      <c r="O74" s="236"/>
      <c r="P74" s="236"/>
      <c r="Q74" s="236" t="s">
        <v>802</v>
      </c>
      <c r="R74" s="245" t="s">
        <v>837</v>
      </c>
      <c r="S74" s="265">
        <v>0.82</v>
      </c>
      <c r="T74" s="236" t="s">
        <v>78</v>
      </c>
      <c r="U74" s="236"/>
      <c r="V74" s="241" t="s">
        <v>838</v>
      </c>
      <c r="W74" s="236" t="s">
        <v>78</v>
      </c>
      <c r="X74" s="236" t="s">
        <v>839</v>
      </c>
      <c r="Y74" s="52"/>
      <c r="Z74" s="52"/>
      <c r="AA74" s="124"/>
      <c r="AB74" s="124"/>
      <c r="AC74" s="243">
        <v>0</v>
      </c>
      <c r="AD74" s="124"/>
    </row>
    <row r="75" spans="1:30" ht="18.75">
      <c r="A75" s="483"/>
      <c r="B75" s="311">
        <v>45090</v>
      </c>
      <c r="C75" s="245" t="s">
        <v>840</v>
      </c>
      <c r="D75" s="235">
        <v>69000</v>
      </c>
      <c r="E75" s="235">
        <v>2500</v>
      </c>
      <c r="F75" s="235">
        <v>2000</v>
      </c>
      <c r="G75" s="235">
        <v>1451</v>
      </c>
      <c r="H75" s="237" t="s">
        <v>75</v>
      </c>
      <c r="I75" s="235">
        <v>3768</v>
      </c>
      <c r="J75" s="238">
        <v>5.5E-2</v>
      </c>
      <c r="K75" s="236"/>
      <c r="L75" s="239"/>
      <c r="M75" s="236"/>
      <c r="N75" s="239"/>
      <c r="O75" s="236"/>
      <c r="P75" s="236"/>
      <c r="Q75" s="236" t="s">
        <v>814</v>
      </c>
      <c r="R75" s="245" t="s">
        <v>841</v>
      </c>
      <c r="S75" s="265">
        <v>0.6</v>
      </c>
      <c r="T75" s="236" t="s">
        <v>78</v>
      </c>
      <c r="U75" s="236"/>
      <c r="V75" s="241" t="s">
        <v>842</v>
      </c>
      <c r="W75" s="236" t="s">
        <v>78</v>
      </c>
      <c r="X75" s="236" t="s">
        <v>843</v>
      </c>
      <c r="Y75" s="52"/>
      <c r="Z75" s="52"/>
      <c r="AA75" s="124"/>
      <c r="AB75" s="124"/>
      <c r="AC75" s="243">
        <v>0</v>
      </c>
      <c r="AD75" s="124"/>
    </row>
    <row r="76" spans="1:30" ht="18.75">
      <c r="A76" s="483"/>
      <c r="B76" s="247">
        <v>45091</v>
      </c>
      <c r="C76" s="245" t="s">
        <v>844</v>
      </c>
      <c r="D76" s="235">
        <v>70000</v>
      </c>
      <c r="E76" s="235">
        <v>3000</v>
      </c>
      <c r="F76" s="235">
        <v>2400</v>
      </c>
      <c r="G76" s="236">
        <v>902</v>
      </c>
      <c r="H76" s="237" t="s">
        <v>75</v>
      </c>
      <c r="I76" s="235">
        <v>11246</v>
      </c>
      <c r="J76" s="238">
        <v>0.161</v>
      </c>
      <c r="K76" s="236"/>
      <c r="L76" s="239"/>
      <c r="M76" s="236"/>
      <c r="N76" s="239"/>
      <c r="O76" s="236"/>
      <c r="P76" s="236"/>
      <c r="Q76" s="236" t="s">
        <v>814</v>
      </c>
      <c r="R76" s="245" t="s">
        <v>845</v>
      </c>
      <c r="S76" s="265">
        <v>0.76</v>
      </c>
      <c r="T76" s="236" t="s">
        <v>78</v>
      </c>
      <c r="U76" s="236"/>
      <c r="V76" s="241" t="s">
        <v>846</v>
      </c>
      <c r="W76" s="236" t="s">
        <v>78</v>
      </c>
      <c r="X76" s="236" t="s">
        <v>839</v>
      </c>
      <c r="Y76" s="52"/>
      <c r="Z76" s="52"/>
      <c r="AA76" s="124"/>
      <c r="AB76" s="124"/>
      <c r="AC76" s="243">
        <v>0</v>
      </c>
      <c r="AD76" s="124"/>
    </row>
    <row r="77" spans="1:30" ht="18.75">
      <c r="A77" s="487"/>
      <c r="B77" s="249">
        <v>45092</v>
      </c>
      <c r="C77" s="250" t="s">
        <v>847</v>
      </c>
      <c r="D77" s="251">
        <v>10000</v>
      </c>
      <c r="E77" s="252">
        <v>620</v>
      </c>
      <c r="F77" s="252">
        <v>496</v>
      </c>
      <c r="G77" s="236">
        <v>241</v>
      </c>
      <c r="H77" s="237" t="s">
        <v>75</v>
      </c>
      <c r="I77" s="236">
        <v>600</v>
      </c>
      <c r="J77" s="238">
        <v>0.06</v>
      </c>
      <c r="K77" s="236"/>
      <c r="L77" s="239"/>
      <c r="M77" s="236"/>
      <c r="N77" s="239"/>
      <c r="O77" s="236"/>
      <c r="P77" s="236"/>
      <c r="Q77" s="236" t="s">
        <v>848</v>
      </c>
      <c r="R77" s="245" t="s">
        <v>849</v>
      </c>
      <c r="S77" s="265">
        <v>0.73</v>
      </c>
      <c r="T77" s="236" t="s">
        <v>75</v>
      </c>
      <c r="U77" s="236">
        <v>0</v>
      </c>
      <c r="V77" s="312">
        <v>45223</v>
      </c>
      <c r="W77" s="236" t="s">
        <v>78</v>
      </c>
      <c r="X77" s="252" t="s">
        <v>839</v>
      </c>
      <c r="Y77" s="52"/>
      <c r="Z77" s="52"/>
      <c r="AA77" s="124"/>
      <c r="AB77" s="124"/>
      <c r="AC77" s="243">
        <v>0</v>
      </c>
      <c r="AD77" s="124"/>
    </row>
    <row r="78" spans="1:30" ht="18.75">
      <c r="A78" s="486" t="s">
        <v>26</v>
      </c>
      <c r="B78" s="244">
        <v>45108</v>
      </c>
      <c r="C78" s="245" t="s">
        <v>850</v>
      </c>
      <c r="D78" s="235">
        <v>45000</v>
      </c>
      <c r="E78" s="235">
        <v>1503</v>
      </c>
      <c r="F78" s="235">
        <v>1202</v>
      </c>
      <c r="G78" s="314">
        <v>2104</v>
      </c>
      <c r="H78" s="289" t="s">
        <v>75</v>
      </c>
      <c r="I78" s="287">
        <v>127</v>
      </c>
      <c r="J78" s="315">
        <v>3.0000000000000001E-3</v>
      </c>
      <c r="K78" s="287"/>
      <c r="L78" s="316"/>
      <c r="M78" s="287"/>
      <c r="N78" s="316"/>
      <c r="O78" s="287"/>
      <c r="P78" s="287"/>
      <c r="Q78" s="287"/>
      <c r="R78" s="317" t="s">
        <v>851</v>
      </c>
      <c r="S78" s="318">
        <v>0.78</v>
      </c>
      <c r="T78" s="317" t="s">
        <v>75</v>
      </c>
      <c r="U78" s="319">
        <v>-195101</v>
      </c>
      <c r="V78" s="320" t="s">
        <v>852</v>
      </c>
      <c r="W78" s="319" t="s">
        <v>853</v>
      </c>
      <c r="X78" s="236"/>
      <c r="Y78" s="52">
        <v>1705</v>
      </c>
      <c r="Z78" s="242">
        <v>1704840</v>
      </c>
      <c r="AA78" s="124"/>
      <c r="AB78" s="124"/>
      <c r="AC78" s="243">
        <v>-195101</v>
      </c>
      <c r="AD78" s="124"/>
    </row>
    <row r="79" spans="1:30" ht="18.75">
      <c r="A79" s="483"/>
      <c r="B79" s="244">
        <v>45109</v>
      </c>
      <c r="C79" s="245" t="s">
        <v>854</v>
      </c>
      <c r="D79" s="235">
        <v>40000</v>
      </c>
      <c r="E79" s="235">
        <v>1336</v>
      </c>
      <c r="F79" s="235">
        <v>1069</v>
      </c>
      <c r="G79" s="235">
        <v>1055</v>
      </c>
      <c r="H79" s="237" t="s">
        <v>75</v>
      </c>
      <c r="I79" s="235">
        <v>2595</v>
      </c>
      <c r="J79" s="238">
        <v>6.5000000000000002E-2</v>
      </c>
      <c r="K79" s="236" t="s">
        <v>855</v>
      </c>
      <c r="L79" s="239">
        <v>106</v>
      </c>
      <c r="M79" s="236"/>
      <c r="N79" s="239"/>
      <c r="O79" s="235">
        <v>5508</v>
      </c>
      <c r="P79" s="236">
        <v>530</v>
      </c>
      <c r="Q79" s="236" t="s">
        <v>856</v>
      </c>
      <c r="R79" s="319" t="s">
        <v>857</v>
      </c>
      <c r="S79" s="265">
        <v>0.76</v>
      </c>
      <c r="T79" s="319" t="s">
        <v>75</v>
      </c>
      <c r="U79" s="319">
        <v>1934.337</v>
      </c>
      <c r="V79" s="320" t="s">
        <v>852</v>
      </c>
      <c r="W79" s="319" t="s">
        <v>853</v>
      </c>
      <c r="X79" s="236"/>
      <c r="Y79" s="52">
        <v>895</v>
      </c>
      <c r="Z79" s="242">
        <v>894610</v>
      </c>
      <c r="AA79" s="124"/>
      <c r="AB79" s="124"/>
      <c r="AC79" s="243">
        <v>1934.34</v>
      </c>
      <c r="AD79" s="124"/>
    </row>
    <row r="80" spans="1:30" ht="18.75">
      <c r="A80" s="483"/>
      <c r="B80" s="244">
        <v>45110</v>
      </c>
      <c r="C80" s="245" t="s">
        <v>858</v>
      </c>
      <c r="D80" s="235">
        <v>45000</v>
      </c>
      <c r="E80" s="235">
        <v>1503</v>
      </c>
      <c r="F80" s="235">
        <v>1202</v>
      </c>
      <c r="G80" s="236">
        <v>983</v>
      </c>
      <c r="H80" s="237" t="s">
        <v>75</v>
      </c>
      <c r="I80" s="235">
        <v>9097</v>
      </c>
      <c r="J80" s="238">
        <v>0.20200000000000001</v>
      </c>
      <c r="K80" s="236" t="s">
        <v>859</v>
      </c>
      <c r="L80" s="239">
        <v>432</v>
      </c>
      <c r="M80" s="236"/>
      <c r="N80" s="239"/>
      <c r="O80" s="235">
        <v>7258</v>
      </c>
      <c r="P80" s="235">
        <v>2160</v>
      </c>
      <c r="Q80" s="236"/>
      <c r="R80" s="319" t="s">
        <v>860</v>
      </c>
      <c r="S80" s="265">
        <v>0.74</v>
      </c>
      <c r="T80" s="319" t="s">
        <v>75</v>
      </c>
      <c r="U80" s="319">
        <v>-3805.8</v>
      </c>
      <c r="V80" s="320" t="s">
        <v>861</v>
      </c>
      <c r="W80" s="321" t="s">
        <v>75</v>
      </c>
      <c r="X80" s="236"/>
      <c r="Y80" s="52">
        <v>758</v>
      </c>
      <c r="Z80" s="242">
        <v>757592</v>
      </c>
      <c r="AA80" s="124"/>
      <c r="AB80" s="124"/>
      <c r="AC80" s="243">
        <v>-3805.8</v>
      </c>
      <c r="AD80" s="124"/>
    </row>
    <row r="81" spans="1:30" ht="18.75">
      <c r="A81" s="483"/>
      <c r="B81" s="244">
        <v>45111</v>
      </c>
      <c r="C81" s="245" t="s">
        <v>862</v>
      </c>
      <c r="D81" s="235">
        <v>65000</v>
      </c>
      <c r="E81" s="235">
        <v>2171</v>
      </c>
      <c r="F81" s="235">
        <v>1737</v>
      </c>
      <c r="G81" s="235">
        <v>1504</v>
      </c>
      <c r="H81" s="237" t="s">
        <v>75</v>
      </c>
      <c r="I81" s="235">
        <v>3218</v>
      </c>
      <c r="J81" s="238">
        <v>0.05</v>
      </c>
      <c r="K81" s="236" t="s">
        <v>863</v>
      </c>
      <c r="L81" s="239">
        <v>200</v>
      </c>
      <c r="M81" s="236"/>
      <c r="N81" s="239"/>
      <c r="O81" s="235">
        <v>3200</v>
      </c>
      <c r="P81" s="235">
        <v>1000</v>
      </c>
      <c r="Q81" s="236" t="s">
        <v>864</v>
      </c>
      <c r="R81" s="319" t="s">
        <v>865</v>
      </c>
      <c r="S81" s="265">
        <v>0.91</v>
      </c>
      <c r="T81" s="319" t="s">
        <v>75</v>
      </c>
      <c r="U81" s="319">
        <v>-12586.9</v>
      </c>
      <c r="V81" s="320" t="s">
        <v>866</v>
      </c>
      <c r="W81" s="321" t="s">
        <v>75</v>
      </c>
      <c r="X81" s="236"/>
      <c r="Y81" s="52">
        <v>233</v>
      </c>
      <c r="Z81" s="242">
        <v>232700</v>
      </c>
      <c r="AA81" s="124"/>
      <c r="AB81" s="124"/>
      <c r="AC81" s="243">
        <v>-12586.9</v>
      </c>
      <c r="AD81" s="124"/>
    </row>
    <row r="82" spans="1:30" ht="18.75">
      <c r="A82" s="483"/>
      <c r="B82" s="244">
        <v>45112</v>
      </c>
      <c r="C82" s="245" t="s">
        <v>867</v>
      </c>
      <c r="D82" s="235">
        <v>20000</v>
      </c>
      <c r="E82" s="236">
        <v>668</v>
      </c>
      <c r="F82" s="236">
        <v>620</v>
      </c>
      <c r="G82" s="235">
        <v>1175</v>
      </c>
      <c r="H82" s="237" t="s">
        <v>75</v>
      </c>
      <c r="I82" s="236">
        <v>272</v>
      </c>
      <c r="J82" s="238">
        <v>1.4E-2</v>
      </c>
      <c r="K82" s="236" t="s">
        <v>868</v>
      </c>
      <c r="L82" s="239">
        <v>50</v>
      </c>
      <c r="M82" s="236"/>
      <c r="N82" s="239"/>
      <c r="O82" s="236">
        <v>800</v>
      </c>
      <c r="P82" s="236">
        <v>250</v>
      </c>
      <c r="Q82" s="236"/>
      <c r="R82" s="319" t="s">
        <v>869</v>
      </c>
      <c r="S82" s="265">
        <v>0.69</v>
      </c>
      <c r="T82" s="319" t="s">
        <v>75</v>
      </c>
      <c r="U82" s="319">
        <v>-91527.27</v>
      </c>
      <c r="V82" s="320" t="s">
        <v>852</v>
      </c>
      <c r="W82" s="321" t="s">
        <v>75</v>
      </c>
      <c r="X82" s="236"/>
      <c r="Y82" s="52">
        <v>1042</v>
      </c>
      <c r="Z82" s="242">
        <v>1042274</v>
      </c>
      <c r="AA82" s="124"/>
      <c r="AB82" s="124"/>
      <c r="AC82" s="243">
        <v>-91527.27</v>
      </c>
      <c r="AD82" s="124"/>
    </row>
    <row r="83" spans="1:30" ht="18.75">
      <c r="A83" s="483"/>
      <c r="B83" s="244">
        <v>45113</v>
      </c>
      <c r="C83" s="245" t="s">
        <v>870</v>
      </c>
      <c r="D83" s="235">
        <v>10000</v>
      </c>
      <c r="E83" s="236">
        <v>334</v>
      </c>
      <c r="F83" s="236">
        <v>310</v>
      </c>
      <c r="G83" s="236">
        <v>477</v>
      </c>
      <c r="H83" s="237" t="s">
        <v>75</v>
      </c>
      <c r="I83" s="236">
        <v>135</v>
      </c>
      <c r="J83" s="238">
        <v>1.4E-2</v>
      </c>
      <c r="K83" s="319" t="s">
        <v>871</v>
      </c>
      <c r="L83" s="322">
        <v>30</v>
      </c>
      <c r="M83" s="236"/>
      <c r="N83" s="239"/>
      <c r="O83" s="236">
        <v>480</v>
      </c>
      <c r="P83" s="236">
        <v>150</v>
      </c>
      <c r="Q83" s="236"/>
      <c r="R83" s="319" t="s">
        <v>872</v>
      </c>
      <c r="S83" s="265">
        <v>0.75</v>
      </c>
      <c r="T83" s="319" t="s">
        <v>75</v>
      </c>
      <c r="U83" s="319">
        <v>-11836.77</v>
      </c>
      <c r="V83" s="320" t="s">
        <v>852</v>
      </c>
      <c r="W83" s="319" t="s">
        <v>853</v>
      </c>
      <c r="X83" s="236"/>
      <c r="Y83" s="52">
        <v>750</v>
      </c>
      <c r="Z83" s="242">
        <v>749656</v>
      </c>
      <c r="AA83" s="124"/>
      <c r="AB83" s="124"/>
      <c r="AC83" s="243">
        <v>-11836.77</v>
      </c>
      <c r="AD83" s="124"/>
    </row>
    <row r="84" spans="1:30" ht="18.75">
      <c r="A84" s="483"/>
      <c r="B84" s="244">
        <v>45114</v>
      </c>
      <c r="C84" s="245" t="s">
        <v>873</v>
      </c>
      <c r="D84" s="235">
        <v>40000</v>
      </c>
      <c r="E84" s="235">
        <v>1336</v>
      </c>
      <c r="F84" s="235">
        <v>1336</v>
      </c>
      <c r="G84" s="235">
        <v>1827</v>
      </c>
      <c r="H84" s="237" t="s">
        <v>75</v>
      </c>
      <c r="I84" s="235">
        <v>3637</v>
      </c>
      <c r="J84" s="238">
        <v>9.0999999999999998E-2</v>
      </c>
      <c r="K84" s="236"/>
      <c r="L84" s="239"/>
      <c r="M84" s="236"/>
      <c r="N84" s="239"/>
      <c r="O84" s="236"/>
      <c r="P84" s="236"/>
      <c r="Q84" s="236"/>
      <c r="R84" s="319" t="s">
        <v>874</v>
      </c>
      <c r="S84" s="265">
        <v>0.82</v>
      </c>
      <c r="T84" s="319" t="s">
        <v>75</v>
      </c>
      <c r="U84" s="319">
        <v>-2665.4479999999999</v>
      </c>
      <c r="V84" s="320" t="s">
        <v>875</v>
      </c>
      <c r="W84" s="321" t="s">
        <v>75</v>
      </c>
      <c r="X84" s="236"/>
      <c r="Y84" s="52">
        <v>1775</v>
      </c>
      <c r="Z84" s="242">
        <v>1775102</v>
      </c>
      <c r="AA84" s="124"/>
      <c r="AB84" s="124"/>
      <c r="AC84" s="243">
        <v>-2665.45</v>
      </c>
      <c r="AD84" s="124"/>
    </row>
    <row r="85" spans="1:30" ht="18.75">
      <c r="A85" s="483"/>
      <c r="B85" s="244">
        <v>45115</v>
      </c>
      <c r="C85" s="245" t="s">
        <v>876</v>
      </c>
      <c r="D85" s="235">
        <v>5200</v>
      </c>
      <c r="E85" s="236">
        <v>174</v>
      </c>
      <c r="F85" s="236">
        <v>139</v>
      </c>
      <c r="G85" s="236">
        <v>133</v>
      </c>
      <c r="H85" s="237" t="s">
        <v>75</v>
      </c>
      <c r="I85" s="236">
        <v>463</v>
      </c>
      <c r="J85" s="238">
        <v>8.8999999999999996E-2</v>
      </c>
      <c r="K85" s="236"/>
      <c r="L85" s="239"/>
      <c r="M85" s="236"/>
      <c r="N85" s="239"/>
      <c r="O85" s="236"/>
      <c r="P85" s="236"/>
      <c r="Q85" s="236" t="s">
        <v>877</v>
      </c>
      <c r="R85" s="319" t="s">
        <v>878</v>
      </c>
      <c r="S85" s="265">
        <v>0.75</v>
      </c>
      <c r="T85" s="319" t="s">
        <v>75</v>
      </c>
      <c r="U85" s="319">
        <v>-3508.2779999999998</v>
      </c>
      <c r="V85" s="320" t="s">
        <v>875</v>
      </c>
      <c r="W85" s="319" t="s">
        <v>853</v>
      </c>
      <c r="X85" s="236"/>
      <c r="Y85" s="52">
        <v>127</v>
      </c>
      <c r="Z85" s="242">
        <v>126819</v>
      </c>
      <c r="AA85" s="124"/>
      <c r="AB85" s="124"/>
      <c r="AC85" s="243">
        <v>-3508.28</v>
      </c>
      <c r="AD85" s="124"/>
    </row>
    <row r="86" spans="1:30" ht="18.75">
      <c r="A86" s="483"/>
      <c r="B86" s="244">
        <v>45116</v>
      </c>
      <c r="C86" s="245" t="s">
        <v>879</v>
      </c>
      <c r="D86" s="235">
        <v>26000</v>
      </c>
      <c r="E86" s="236">
        <v>868</v>
      </c>
      <c r="F86" s="236">
        <v>695</v>
      </c>
      <c r="G86" s="236">
        <v>594</v>
      </c>
      <c r="H86" s="237" t="s">
        <v>75</v>
      </c>
      <c r="I86" s="236">
        <v>702</v>
      </c>
      <c r="J86" s="238">
        <v>2.7E-2</v>
      </c>
      <c r="K86" s="236"/>
      <c r="L86" s="239"/>
      <c r="M86" s="236"/>
      <c r="N86" s="239"/>
      <c r="O86" s="236"/>
      <c r="P86" s="236"/>
      <c r="Q86" s="236" t="s">
        <v>880</v>
      </c>
      <c r="R86" s="319" t="s">
        <v>881</v>
      </c>
      <c r="S86" s="265">
        <v>0.91</v>
      </c>
      <c r="T86" s="319" t="s">
        <v>75</v>
      </c>
      <c r="U86" s="319">
        <v>-3640.8910000000001</v>
      </c>
      <c r="V86" s="320" t="s">
        <v>882</v>
      </c>
      <c r="W86" s="321" t="s">
        <v>75</v>
      </c>
      <c r="X86" s="236"/>
      <c r="Y86" s="52">
        <v>107</v>
      </c>
      <c r="Z86" s="242">
        <v>106637</v>
      </c>
      <c r="AA86" s="124"/>
      <c r="AB86" s="124"/>
      <c r="AC86" s="243">
        <v>-3640.89</v>
      </c>
      <c r="AD86" s="124"/>
    </row>
    <row r="87" spans="1:30" ht="18.75">
      <c r="A87" s="483"/>
      <c r="B87" s="244">
        <v>45117</v>
      </c>
      <c r="C87" s="245" t="s">
        <v>883</v>
      </c>
      <c r="D87" s="235">
        <v>28000</v>
      </c>
      <c r="E87" s="236">
        <v>935</v>
      </c>
      <c r="F87" s="236">
        <v>748</v>
      </c>
      <c r="G87" s="236">
        <v>124</v>
      </c>
      <c r="H87" s="237" t="s">
        <v>75</v>
      </c>
      <c r="I87" s="235">
        <v>1430</v>
      </c>
      <c r="J87" s="238">
        <v>5.0999999999999997E-2</v>
      </c>
      <c r="K87" s="236" t="s">
        <v>884</v>
      </c>
      <c r="L87" s="239">
        <v>79</v>
      </c>
      <c r="M87" s="236" t="s">
        <v>885</v>
      </c>
      <c r="N87" s="239">
        <v>1612</v>
      </c>
      <c r="O87" s="235">
        <v>6666</v>
      </c>
      <c r="P87" s="236">
        <v>395</v>
      </c>
      <c r="Q87" s="236"/>
      <c r="R87" s="319" t="s">
        <v>886</v>
      </c>
      <c r="S87" s="265">
        <v>0.7</v>
      </c>
      <c r="T87" s="319" t="s">
        <v>75</v>
      </c>
      <c r="U87" s="319">
        <v>-12586.9</v>
      </c>
      <c r="V87" s="320" t="s">
        <v>887</v>
      </c>
      <c r="W87" s="319" t="s">
        <v>853</v>
      </c>
      <c r="X87" s="236"/>
      <c r="Y87" s="52">
        <v>580</v>
      </c>
      <c r="Z87" s="242">
        <v>579799</v>
      </c>
      <c r="AA87" s="124"/>
      <c r="AB87" s="124"/>
      <c r="AC87" s="243">
        <v>-12586.9</v>
      </c>
      <c r="AD87" s="124"/>
    </row>
    <row r="88" spans="1:30" ht="18.75">
      <c r="A88" s="483"/>
      <c r="B88" s="244">
        <v>45118</v>
      </c>
      <c r="C88" s="245" t="s">
        <v>888</v>
      </c>
      <c r="D88" s="235">
        <v>89000</v>
      </c>
      <c r="E88" s="235">
        <v>2973</v>
      </c>
      <c r="F88" s="235">
        <v>2378</v>
      </c>
      <c r="G88" s="235">
        <v>1023</v>
      </c>
      <c r="H88" s="237" t="s">
        <v>75</v>
      </c>
      <c r="I88" s="235">
        <v>1078</v>
      </c>
      <c r="J88" s="238">
        <v>1.2E-2</v>
      </c>
      <c r="K88" s="236"/>
      <c r="L88" s="239"/>
      <c r="M88" s="236"/>
      <c r="N88" s="239"/>
      <c r="O88" s="236"/>
      <c r="P88" s="236"/>
      <c r="Q88" s="236" t="s">
        <v>889</v>
      </c>
      <c r="R88" s="319" t="s">
        <v>890</v>
      </c>
      <c r="S88" s="265">
        <v>0.55000000000000004</v>
      </c>
      <c r="T88" s="319" t="s">
        <v>75</v>
      </c>
      <c r="U88" s="319">
        <v>-3584.2</v>
      </c>
      <c r="V88" s="320" t="s">
        <v>891</v>
      </c>
      <c r="W88" s="319" t="s">
        <v>853</v>
      </c>
      <c r="X88" s="236" t="s">
        <v>892</v>
      </c>
      <c r="Y88" s="52">
        <v>990</v>
      </c>
      <c r="Z88" s="242">
        <v>990476</v>
      </c>
      <c r="AA88" s="124"/>
      <c r="AB88" s="124"/>
      <c r="AC88" s="243">
        <v>-3584.2</v>
      </c>
      <c r="AD88" s="124"/>
    </row>
    <row r="89" spans="1:30" ht="18.75">
      <c r="A89" s="483"/>
      <c r="B89" s="244">
        <v>45119</v>
      </c>
      <c r="C89" s="245" t="s">
        <v>893</v>
      </c>
      <c r="D89" s="235">
        <v>25000</v>
      </c>
      <c r="E89" s="236">
        <v>835</v>
      </c>
      <c r="F89" s="236">
        <v>668</v>
      </c>
      <c r="G89" s="236">
        <v>914</v>
      </c>
      <c r="H89" s="237" t="s">
        <v>75</v>
      </c>
      <c r="I89" s="235">
        <v>1531</v>
      </c>
      <c r="J89" s="238">
        <v>6.0999999999999999E-2</v>
      </c>
      <c r="K89" s="236" t="s">
        <v>894</v>
      </c>
      <c r="L89" s="239">
        <v>175</v>
      </c>
      <c r="M89" s="236"/>
      <c r="N89" s="239"/>
      <c r="O89" s="235">
        <v>2800</v>
      </c>
      <c r="P89" s="236">
        <v>700</v>
      </c>
      <c r="Q89" s="236"/>
      <c r="R89" s="319" t="s">
        <v>895</v>
      </c>
      <c r="S89" s="265">
        <v>0.67</v>
      </c>
      <c r="T89" s="319" t="s">
        <v>75</v>
      </c>
      <c r="U89" s="319">
        <v>-8335.2690000000002</v>
      </c>
      <c r="V89" s="320" t="s">
        <v>882</v>
      </c>
      <c r="W89" s="319" t="s">
        <v>853</v>
      </c>
      <c r="X89" s="236"/>
      <c r="Y89" s="52">
        <v>753</v>
      </c>
      <c r="Z89" s="242">
        <v>753256</v>
      </c>
      <c r="AA89" s="124"/>
      <c r="AB89" s="124"/>
      <c r="AC89" s="243">
        <v>-8335.27</v>
      </c>
      <c r="AD89" s="124"/>
    </row>
    <row r="90" spans="1:30" ht="18.75">
      <c r="A90" s="483"/>
      <c r="B90" s="244">
        <v>45120</v>
      </c>
      <c r="C90" s="245" t="s">
        <v>896</v>
      </c>
      <c r="D90" s="235">
        <v>24000</v>
      </c>
      <c r="E90" s="236">
        <v>816</v>
      </c>
      <c r="F90" s="236">
        <v>653</v>
      </c>
      <c r="G90" s="236">
        <v>177</v>
      </c>
      <c r="H90" s="237" t="s">
        <v>75</v>
      </c>
      <c r="I90" s="235">
        <v>2013</v>
      </c>
      <c r="J90" s="238">
        <v>8.4000000000000005E-2</v>
      </c>
      <c r="K90" s="236" t="s">
        <v>897</v>
      </c>
      <c r="L90" s="239">
        <v>230</v>
      </c>
      <c r="M90" s="236"/>
      <c r="N90" s="239"/>
      <c r="O90" s="235">
        <v>3680</v>
      </c>
      <c r="P90" s="236">
        <v>920</v>
      </c>
      <c r="Q90" s="236"/>
      <c r="R90" s="319" t="s">
        <v>898</v>
      </c>
      <c r="S90" s="265">
        <v>0.67</v>
      </c>
      <c r="T90" s="319" t="s">
        <v>75</v>
      </c>
      <c r="U90" s="319">
        <v>-0.84860000000000002</v>
      </c>
      <c r="V90" s="320" t="s">
        <v>882</v>
      </c>
      <c r="W90" s="321" t="s">
        <v>75</v>
      </c>
      <c r="X90" s="236"/>
      <c r="Y90" s="52">
        <v>137</v>
      </c>
      <c r="Z90" s="242">
        <v>137027</v>
      </c>
      <c r="AA90" s="124"/>
      <c r="AB90" s="124"/>
      <c r="AC90" s="243">
        <v>-0.85</v>
      </c>
      <c r="AD90" s="124"/>
    </row>
    <row r="91" spans="1:30" ht="18.75">
      <c r="A91" s="483"/>
      <c r="B91" s="244">
        <v>45121</v>
      </c>
      <c r="C91" s="245" t="s">
        <v>899</v>
      </c>
      <c r="D91" s="235">
        <v>10000</v>
      </c>
      <c r="E91" s="236">
        <v>334</v>
      </c>
      <c r="F91" s="236">
        <v>267</v>
      </c>
      <c r="G91" s="236">
        <v>204</v>
      </c>
      <c r="H91" s="237" t="s">
        <v>75</v>
      </c>
      <c r="I91" s="236">
        <v>0</v>
      </c>
      <c r="J91" s="238">
        <v>0</v>
      </c>
      <c r="K91" s="236"/>
      <c r="L91" s="239"/>
      <c r="M91" s="236"/>
      <c r="N91" s="239"/>
      <c r="O91" s="236"/>
      <c r="P91" s="236"/>
      <c r="Q91" s="236"/>
      <c r="R91" s="323" t="s">
        <v>900</v>
      </c>
      <c r="S91" s="265">
        <v>0.6</v>
      </c>
      <c r="T91" s="319" t="s">
        <v>75</v>
      </c>
      <c r="U91" s="319">
        <v>0</v>
      </c>
      <c r="V91" s="320" t="s">
        <v>901</v>
      </c>
      <c r="W91" s="319" t="s">
        <v>78</v>
      </c>
      <c r="X91" s="236"/>
      <c r="Y91" s="52"/>
      <c r="Z91" s="52"/>
      <c r="AA91" s="124"/>
      <c r="AB91" s="124"/>
      <c r="AC91" s="243">
        <v>0</v>
      </c>
      <c r="AD91" s="124"/>
    </row>
    <row r="92" spans="1:30" ht="18.75">
      <c r="A92" s="483"/>
      <c r="B92" s="244">
        <v>45122</v>
      </c>
      <c r="C92" s="245" t="s">
        <v>902</v>
      </c>
      <c r="D92" s="235">
        <v>15000</v>
      </c>
      <c r="E92" s="236">
        <v>501</v>
      </c>
      <c r="F92" s="236">
        <v>401</v>
      </c>
      <c r="G92" s="236">
        <v>623</v>
      </c>
      <c r="H92" s="237" t="s">
        <v>75</v>
      </c>
      <c r="I92" s="236">
        <v>996</v>
      </c>
      <c r="J92" s="238">
        <v>6.6000000000000003E-2</v>
      </c>
      <c r="K92" s="236"/>
      <c r="L92" s="239"/>
      <c r="M92" s="236"/>
      <c r="N92" s="239"/>
      <c r="O92" s="236"/>
      <c r="P92" s="236"/>
      <c r="Q92" s="236"/>
      <c r="R92" s="323" t="s">
        <v>903</v>
      </c>
      <c r="S92" s="265">
        <v>0.84</v>
      </c>
      <c r="T92" s="319" t="s">
        <v>75</v>
      </c>
      <c r="U92" s="319">
        <v>-220215</v>
      </c>
      <c r="V92" s="320" t="s">
        <v>904</v>
      </c>
      <c r="W92" s="319" t="s">
        <v>853</v>
      </c>
      <c r="X92" s="236" t="s">
        <v>905</v>
      </c>
      <c r="Y92" s="52">
        <v>623</v>
      </c>
      <c r="Z92" s="242">
        <v>623371</v>
      </c>
      <c r="AA92" s="243">
        <v>501</v>
      </c>
      <c r="AB92" s="124"/>
      <c r="AC92" s="243">
        <v>-220215</v>
      </c>
      <c r="AD92" s="124"/>
    </row>
    <row r="93" spans="1:30" ht="18.75">
      <c r="A93" s="483"/>
      <c r="B93" s="244">
        <v>45123</v>
      </c>
      <c r="C93" s="245" t="s">
        <v>906</v>
      </c>
      <c r="D93" s="235">
        <v>15000</v>
      </c>
      <c r="E93" s="236">
        <v>501</v>
      </c>
      <c r="F93" s="236">
        <v>401</v>
      </c>
      <c r="G93" s="236">
        <v>608</v>
      </c>
      <c r="H93" s="237" t="s">
        <v>75</v>
      </c>
      <c r="I93" s="236">
        <v>975</v>
      </c>
      <c r="J93" s="238">
        <v>6.5000000000000002E-2</v>
      </c>
      <c r="K93" s="236"/>
      <c r="L93" s="239"/>
      <c r="M93" s="236"/>
      <c r="N93" s="239"/>
      <c r="O93" s="236"/>
      <c r="P93" s="236"/>
      <c r="Q93" s="236"/>
      <c r="R93" s="323" t="s">
        <v>903</v>
      </c>
      <c r="S93" s="265">
        <v>0.84</v>
      </c>
      <c r="T93" s="319" t="s">
        <v>75</v>
      </c>
      <c r="U93" s="319">
        <v>-214330</v>
      </c>
      <c r="V93" s="320" t="s">
        <v>907</v>
      </c>
      <c r="W93" s="319" t="s">
        <v>853</v>
      </c>
      <c r="X93" s="236" t="s">
        <v>905</v>
      </c>
      <c r="Y93" s="52">
        <v>608</v>
      </c>
      <c r="Z93" s="242">
        <v>608132</v>
      </c>
      <c r="AA93" s="243">
        <v>501</v>
      </c>
      <c r="AB93" s="124"/>
      <c r="AC93" s="243">
        <v>-214330</v>
      </c>
      <c r="AD93" s="124"/>
    </row>
    <row r="94" spans="1:30" ht="18.75">
      <c r="A94" s="483"/>
      <c r="B94" s="244">
        <v>45124</v>
      </c>
      <c r="C94" s="245" t="s">
        <v>908</v>
      </c>
      <c r="D94" s="235">
        <v>15000</v>
      </c>
      <c r="E94" s="236">
        <v>501</v>
      </c>
      <c r="F94" s="236">
        <v>401</v>
      </c>
      <c r="G94" s="236">
        <v>634</v>
      </c>
      <c r="H94" s="237" t="s">
        <v>75</v>
      </c>
      <c r="I94" s="319">
        <v>422</v>
      </c>
      <c r="J94" s="324">
        <v>2.8000000000000001E-2</v>
      </c>
      <c r="K94" s="236"/>
      <c r="L94" s="239"/>
      <c r="M94" s="236"/>
      <c r="N94" s="239"/>
      <c r="O94" s="236"/>
      <c r="P94" s="236"/>
      <c r="Q94" s="236"/>
      <c r="R94" s="323" t="s">
        <v>903</v>
      </c>
      <c r="S94" s="265">
        <v>0.84</v>
      </c>
      <c r="T94" s="319" t="s">
        <v>75</v>
      </c>
      <c r="U94" s="319">
        <v>-318535</v>
      </c>
      <c r="V94" s="320" t="s">
        <v>909</v>
      </c>
      <c r="W94" s="319" t="s">
        <v>853</v>
      </c>
      <c r="X94" s="236"/>
      <c r="Y94" s="52">
        <v>634</v>
      </c>
      <c r="Z94" s="242">
        <v>634247</v>
      </c>
      <c r="AA94" s="243">
        <v>501</v>
      </c>
      <c r="AB94" s="124"/>
      <c r="AC94" s="243">
        <v>-318535</v>
      </c>
      <c r="AD94" s="124"/>
    </row>
    <row r="95" spans="1:30" ht="18.75">
      <c r="A95" s="483"/>
      <c r="B95" s="244">
        <v>45125</v>
      </c>
      <c r="C95" s="245" t="s">
        <v>910</v>
      </c>
      <c r="D95" s="235">
        <v>15000</v>
      </c>
      <c r="E95" s="236">
        <v>501</v>
      </c>
      <c r="F95" s="236">
        <v>401</v>
      </c>
      <c r="G95" s="236">
        <v>586</v>
      </c>
      <c r="H95" s="237" t="s">
        <v>75</v>
      </c>
      <c r="I95" s="319">
        <v>452</v>
      </c>
      <c r="J95" s="324">
        <v>0.03</v>
      </c>
      <c r="K95" s="236"/>
      <c r="L95" s="239"/>
      <c r="M95" s="236"/>
      <c r="N95" s="239"/>
      <c r="O95" s="236"/>
      <c r="P95" s="236"/>
      <c r="Q95" s="236"/>
      <c r="R95" s="323" t="s">
        <v>903</v>
      </c>
      <c r="S95" s="265">
        <v>0.81</v>
      </c>
      <c r="T95" s="319" t="s">
        <v>75</v>
      </c>
      <c r="U95" s="319">
        <v>-422201</v>
      </c>
      <c r="V95" s="320" t="s">
        <v>904</v>
      </c>
      <c r="W95" s="319" t="s">
        <v>853</v>
      </c>
      <c r="X95" s="236"/>
      <c r="Y95" s="52">
        <v>586</v>
      </c>
      <c r="Z95" s="242">
        <v>586333</v>
      </c>
      <c r="AA95" s="243">
        <v>501</v>
      </c>
      <c r="AB95" s="124"/>
      <c r="AC95" s="243">
        <v>-422201</v>
      </c>
      <c r="AD95" s="124"/>
    </row>
    <row r="96" spans="1:30" ht="18.75">
      <c r="A96" s="483"/>
      <c r="B96" s="244">
        <v>45126</v>
      </c>
      <c r="C96" s="245" t="s">
        <v>911</v>
      </c>
      <c r="D96" s="235">
        <v>15000</v>
      </c>
      <c r="E96" s="236">
        <v>501</v>
      </c>
      <c r="F96" s="236">
        <v>401</v>
      </c>
      <c r="G96" s="236">
        <v>564</v>
      </c>
      <c r="H96" s="237" t="s">
        <v>75</v>
      </c>
      <c r="I96" s="319">
        <v>435</v>
      </c>
      <c r="J96" s="324">
        <v>2.9000000000000001E-2</v>
      </c>
      <c r="K96" s="236"/>
      <c r="L96" s="239"/>
      <c r="M96" s="236"/>
      <c r="N96" s="239"/>
      <c r="O96" s="236"/>
      <c r="P96" s="236"/>
      <c r="Q96" s="236"/>
      <c r="R96" s="323" t="s">
        <v>903</v>
      </c>
      <c r="S96" s="265">
        <v>0.8</v>
      </c>
      <c r="T96" s="319" t="s">
        <v>75</v>
      </c>
      <c r="U96" s="319">
        <v>-261135</v>
      </c>
      <c r="V96" s="320" t="s">
        <v>904</v>
      </c>
      <c r="W96" s="319" t="s">
        <v>853</v>
      </c>
      <c r="X96" s="236"/>
      <c r="Y96" s="52">
        <v>564</v>
      </c>
      <c r="Z96" s="242">
        <v>564172</v>
      </c>
      <c r="AA96" s="243">
        <v>501</v>
      </c>
      <c r="AB96" s="124"/>
      <c r="AC96" s="243">
        <v>-261135</v>
      </c>
      <c r="AD96" s="124"/>
    </row>
    <row r="97" spans="1:30" ht="18.75">
      <c r="A97" s="483"/>
      <c r="B97" s="244">
        <v>45127</v>
      </c>
      <c r="C97" s="245" t="s">
        <v>912</v>
      </c>
      <c r="D97" s="235">
        <v>50000</v>
      </c>
      <c r="E97" s="235">
        <v>1670</v>
      </c>
      <c r="F97" s="235">
        <v>1336</v>
      </c>
      <c r="G97" s="235">
        <v>3083</v>
      </c>
      <c r="H97" s="237" t="s">
        <v>75</v>
      </c>
      <c r="I97" s="235">
        <v>2055</v>
      </c>
      <c r="J97" s="238">
        <v>4.1000000000000002E-2</v>
      </c>
      <c r="K97" s="236"/>
      <c r="L97" s="239"/>
      <c r="M97" s="236"/>
      <c r="N97" s="239"/>
      <c r="O97" s="236"/>
      <c r="P97" s="236"/>
      <c r="Q97" s="236" t="s">
        <v>913</v>
      </c>
      <c r="R97" s="319" t="s">
        <v>914</v>
      </c>
      <c r="S97" s="265">
        <v>0.72</v>
      </c>
      <c r="T97" s="319" t="s">
        <v>75</v>
      </c>
      <c r="U97" s="319">
        <v>0</v>
      </c>
      <c r="V97" s="320" t="s">
        <v>915</v>
      </c>
      <c r="W97" s="321" t="s">
        <v>75</v>
      </c>
      <c r="X97" s="236"/>
      <c r="Y97" s="52">
        <v>1208</v>
      </c>
      <c r="Z97" s="242">
        <v>1208124</v>
      </c>
      <c r="AA97" s="124"/>
      <c r="AB97" s="124"/>
      <c r="AC97" s="243">
        <v>0</v>
      </c>
      <c r="AD97" s="124"/>
    </row>
    <row r="98" spans="1:30" ht="18.75">
      <c r="A98" s="483"/>
      <c r="B98" s="233">
        <v>45128</v>
      </c>
      <c r="C98" s="234" t="s">
        <v>916</v>
      </c>
      <c r="D98" s="235">
        <v>35000</v>
      </c>
      <c r="E98" s="235">
        <v>4935</v>
      </c>
      <c r="F98" s="235">
        <v>2468</v>
      </c>
      <c r="G98" s="235">
        <v>1222</v>
      </c>
      <c r="H98" s="237" t="s">
        <v>75</v>
      </c>
      <c r="I98" s="235">
        <v>1264</v>
      </c>
      <c r="J98" s="238">
        <v>3.5999999999999997E-2</v>
      </c>
      <c r="K98" s="236"/>
      <c r="L98" s="239"/>
      <c r="M98" s="236"/>
      <c r="N98" s="239"/>
      <c r="O98" s="236"/>
      <c r="P98" s="236"/>
      <c r="Q98" s="236"/>
      <c r="R98" s="319" t="s">
        <v>917</v>
      </c>
      <c r="S98" s="265">
        <v>0.89</v>
      </c>
      <c r="T98" s="319" t="s">
        <v>75</v>
      </c>
      <c r="U98" s="319">
        <v>-427000</v>
      </c>
      <c r="V98" s="320" t="s">
        <v>918</v>
      </c>
      <c r="W98" s="319" t="s">
        <v>853</v>
      </c>
      <c r="X98" s="236" t="s">
        <v>919</v>
      </c>
      <c r="Y98" s="52">
        <v>159</v>
      </c>
      <c r="Z98" s="242">
        <v>159331</v>
      </c>
      <c r="AA98" s="243">
        <v>2467.5</v>
      </c>
      <c r="AB98" s="52" t="s">
        <v>75</v>
      </c>
      <c r="AC98" s="243">
        <v>-427000</v>
      </c>
      <c r="AD98" s="124"/>
    </row>
    <row r="99" spans="1:30" ht="18.75">
      <c r="A99" s="483"/>
      <c r="B99" s="233">
        <v>45129</v>
      </c>
      <c r="C99" s="234" t="s">
        <v>920</v>
      </c>
      <c r="D99" s="235">
        <v>35000</v>
      </c>
      <c r="E99" s="235">
        <v>4625</v>
      </c>
      <c r="F99" s="235">
        <v>2313</v>
      </c>
      <c r="G99" s="235">
        <v>1497</v>
      </c>
      <c r="H99" s="237" t="s">
        <v>75</v>
      </c>
      <c r="I99" s="235">
        <v>1655</v>
      </c>
      <c r="J99" s="238">
        <v>4.7E-2</v>
      </c>
      <c r="K99" s="236"/>
      <c r="L99" s="239"/>
      <c r="M99" s="236"/>
      <c r="N99" s="239"/>
      <c r="O99" s="236"/>
      <c r="P99" s="236"/>
      <c r="Q99" s="236"/>
      <c r="R99" s="319" t="s">
        <v>917</v>
      </c>
      <c r="S99" s="265">
        <v>0.82</v>
      </c>
      <c r="T99" s="319" t="s">
        <v>75</v>
      </c>
      <c r="U99" s="319">
        <v>-427275</v>
      </c>
      <c r="V99" s="320" t="s">
        <v>921</v>
      </c>
      <c r="W99" s="321" t="s">
        <v>75</v>
      </c>
      <c r="X99" s="236" t="s">
        <v>919</v>
      </c>
      <c r="Y99" s="52">
        <v>67</v>
      </c>
      <c r="Z99" s="242">
        <v>66791</v>
      </c>
      <c r="AA99" s="243">
        <v>2312.5</v>
      </c>
      <c r="AB99" s="52" t="s">
        <v>75</v>
      </c>
      <c r="AC99" s="243">
        <v>-427275</v>
      </c>
      <c r="AD99" s="124"/>
    </row>
    <row r="100" spans="1:30" ht="18.75">
      <c r="A100" s="483"/>
      <c r="B100" s="233">
        <v>45130</v>
      </c>
      <c r="C100" s="234" t="s">
        <v>922</v>
      </c>
      <c r="D100" s="235">
        <v>85000</v>
      </c>
      <c r="E100" s="235">
        <v>11938</v>
      </c>
      <c r="F100" s="235">
        <v>5969</v>
      </c>
      <c r="G100" s="235">
        <v>2506</v>
      </c>
      <c r="H100" s="237" t="s">
        <v>75</v>
      </c>
      <c r="I100" s="235">
        <v>7523</v>
      </c>
      <c r="J100" s="238">
        <v>8.8999999999999996E-2</v>
      </c>
      <c r="K100" s="236"/>
      <c r="L100" s="239"/>
      <c r="M100" s="236"/>
      <c r="N100" s="239"/>
      <c r="O100" s="236"/>
      <c r="P100" s="236"/>
      <c r="Q100" s="236"/>
      <c r="R100" s="319" t="s">
        <v>923</v>
      </c>
      <c r="S100" s="265">
        <v>0.96</v>
      </c>
      <c r="T100" s="319" t="s">
        <v>75</v>
      </c>
      <c r="U100" s="319">
        <v>-762527</v>
      </c>
      <c r="V100" s="320" t="s">
        <v>924</v>
      </c>
      <c r="W100" s="321" t="s">
        <v>75</v>
      </c>
      <c r="X100" s="236" t="s">
        <v>919</v>
      </c>
      <c r="Y100" s="52">
        <v>148</v>
      </c>
      <c r="Z100" s="242">
        <v>148366</v>
      </c>
      <c r="AA100" s="243">
        <v>5969</v>
      </c>
      <c r="AB100" s="52" t="s">
        <v>75</v>
      </c>
      <c r="AC100" s="243">
        <v>-762527</v>
      </c>
      <c r="AD100" s="124"/>
    </row>
    <row r="101" spans="1:30" ht="18.75">
      <c r="A101" s="483"/>
      <c r="B101" s="233">
        <v>45131</v>
      </c>
      <c r="C101" s="234" t="s">
        <v>925</v>
      </c>
      <c r="D101" s="235">
        <v>85000</v>
      </c>
      <c r="E101" s="235">
        <v>8750</v>
      </c>
      <c r="F101" s="235">
        <v>4375</v>
      </c>
      <c r="G101" s="235">
        <v>1949</v>
      </c>
      <c r="H101" s="237" t="s">
        <v>75</v>
      </c>
      <c r="I101" s="235">
        <v>6062</v>
      </c>
      <c r="J101" s="238">
        <v>7.0999999999999994E-2</v>
      </c>
      <c r="K101" s="236"/>
      <c r="L101" s="239"/>
      <c r="M101" s="236"/>
      <c r="N101" s="239"/>
      <c r="O101" s="236"/>
      <c r="P101" s="236"/>
      <c r="Q101" s="236"/>
      <c r="R101" s="319" t="s">
        <v>926</v>
      </c>
      <c r="S101" s="265">
        <v>0.94</v>
      </c>
      <c r="T101" s="319" t="s">
        <v>75</v>
      </c>
      <c r="U101" s="319">
        <v>-762541</v>
      </c>
      <c r="V101" s="320" t="s">
        <v>927</v>
      </c>
      <c r="W101" s="321" t="s">
        <v>75</v>
      </c>
      <c r="X101" s="236" t="s">
        <v>919</v>
      </c>
      <c r="Y101" s="52">
        <v>1949</v>
      </c>
      <c r="Z101" s="242">
        <v>1948824</v>
      </c>
      <c r="AA101" s="243">
        <v>4375</v>
      </c>
      <c r="AB101" s="52" t="s">
        <v>75</v>
      </c>
      <c r="AC101" s="243">
        <v>-762541</v>
      </c>
      <c r="AD101" s="124"/>
    </row>
    <row r="102" spans="1:30" ht="18.75">
      <c r="A102" s="483"/>
      <c r="B102" s="325">
        <v>45132</v>
      </c>
      <c r="C102" s="326" t="s">
        <v>928</v>
      </c>
      <c r="D102" s="327">
        <v>60000</v>
      </c>
      <c r="E102" s="327">
        <v>2004</v>
      </c>
      <c r="F102" s="327">
        <v>1603</v>
      </c>
      <c r="G102" s="319">
        <v>910</v>
      </c>
      <c r="H102" s="237" t="s">
        <v>75</v>
      </c>
      <c r="I102" s="327">
        <v>8383</v>
      </c>
      <c r="J102" s="324">
        <v>0.14000000000000001</v>
      </c>
      <c r="K102" s="319" t="s">
        <v>929</v>
      </c>
      <c r="L102" s="322">
        <v>438</v>
      </c>
      <c r="M102" s="319" t="s">
        <v>930</v>
      </c>
      <c r="N102" s="322">
        <v>48350</v>
      </c>
      <c r="O102" s="319">
        <v>438</v>
      </c>
      <c r="P102" s="319"/>
      <c r="Q102" s="319" t="s">
        <v>931</v>
      </c>
      <c r="R102" s="319" t="s">
        <v>932</v>
      </c>
      <c r="S102" s="328">
        <v>0.67</v>
      </c>
      <c r="T102" s="321" t="s">
        <v>75</v>
      </c>
      <c r="U102" s="321">
        <v>-50395</v>
      </c>
      <c r="V102" s="329" t="s">
        <v>838</v>
      </c>
      <c r="W102" s="319" t="s">
        <v>853</v>
      </c>
      <c r="X102" s="319" t="s">
        <v>933</v>
      </c>
      <c r="Y102" s="52"/>
      <c r="Z102" s="52"/>
      <c r="AA102" s="124"/>
      <c r="AB102" s="124"/>
      <c r="AC102" s="243">
        <v>-50395</v>
      </c>
      <c r="AD102" s="124"/>
    </row>
    <row r="103" spans="1:30" ht="18.75">
      <c r="A103" s="483"/>
      <c r="B103" s="325">
        <v>45133</v>
      </c>
      <c r="C103" s="326" t="s">
        <v>934</v>
      </c>
      <c r="D103" s="327">
        <v>15000</v>
      </c>
      <c r="E103" s="319">
        <v>501</v>
      </c>
      <c r="F103" s="319">
        <v>401</v>
      </c>
      <c r="G103" s="319">
        <v>237</v>
      </c>
      <c r="H103" s="237" t="s">
        <v>75</v>
      </c>
      <c r="I103" s="327">
        <v>6402</v>
      </c>
      <c r="J103" s="324">
        <v>0.42699999999999999</v>
      </c>
      <c r="K103" s="319" t="s">
        <v>935</v>
      </c>
      <c r="L103" s="322">
        <v>335</v>
      </c>
      <c r="M103" s="319"/>
      <c r="N103" s="322"/>
      <c r="O103" s="235">
        <v>8375</v>
      </c>
      <c r="P103" s="319">
        <v>1675</v>
      </c>
      <c r="Q103" s="319" t="s">
        <v>936</v>
      </c>
      <c r="R103" s="319" t="s">
        <v>937</v>
      </c>
      <c r="S103" s="328">
        <v>0.79</v>
      </c>
      <c r="T103" s="319" t="s">
        <v>75</v>
      </c>
      <c r="U103" s="319">
        <v>-82.997799999999998</v>
      </c>
      <c r="V103" s="320" t="s">
        <v>938</v>
      </c>
      <c r="W103" s="321" t="s">
        <v>75</v>
      </c>
      <c r="X103" s="319" t="s">
        <v>939</v>
      </c>
      <c r="Y103" s="52"/>
      <c r="Z103" s="52"/>
      <c r="AA103" s="124"/>
      <c r="AB103" s="124"/>
      <c r="AC103" s="243">
        <v>-83</v>
      </c>
      <c r="AD103" s="124"/>
    </row>
    <row r="104" spans="1:30" ht="18.75">
      <c r="A104" s="483"/>
      <c r="B104" s="325">
        <v>45134</v>
      </c>
      <c r="C104" s="326" t="s">
        <v>940</v>
      </c>
      <c r="D104" s="327">
        <v>25000</v>
      </c>
      <c r="E104" s="319">
        <v>835</v>
      </c>
      <c r="F104" s="319">
        <v>668</v>
      </c>
      <c r="G104" s="319">
        <v>362</v>
      </c>
      <c r="H104" s="330" t="s">
        <v>75</v>
      </c>
      <c r="I104" s="327">
        <v>4490</v>
      </c>
      <c r="J104" s="324">
        <v>0.17699999999999999</v>
      </c>
      <c r="K104" s="319" t="s">
        <v>941</v>
      </c>
      <c r="L104" s="322">
        <v>300</v>
      </c>
      <c r="M104" s="319" t="s">
        <v>942</v>
      </c>
      <c r="N104" s="322">
        <v>300</v>
      </c>
      <c r="O104" s="319">
        <v>7575</v>
      </c>
      <c r="P104" s="319">
        <v>1500</v>
      </c>
      <c r="Q104" s="319" t="s">
        <v>943</v>
      </c>
      <c r="R104" s="319" t="s">
        <v>944</v>
      </c>
      <c r="S104" s="328">
        <v>0.7</v>
      </c>
      <c r="T104" s="319" t="s">
        <v>75</v>
      </c>
      <c r="U104" s="319">
        <v>-10802</v>
      </c>
      <c r="V104" s="320" t="s">
        <v>945</v>
      </c>
      <c r="W104" s="321" t="s">
        <v>75</v>
      </c>
      <c r="X104" s="319" t="s">
        <v>939</v>
      </c>
      <c r="Y104" s="52"/>
      <c r="Z104" s="52"/>
      <c r="AA104" s="124"/>
      <c r="AB104" s="124"/>
      <c r="AC104" s="243">
        <v>-10802</v>
      </c>
      <c r="AD104" s="124"/>
    </row>
    <row r="105" spans="1:30" ht="18.75">
      <c r="A105" s="483"/>
      <c r="B105" s="325">
        <v>45135</v>
      </c>
      <c r="C105" s="326" t="s">
        <v>946</v>
      </c>
      <c r="D105" s="327">
        <v>6000</v>
      </c>
      <c r="E105" s="319">
        <v>200</v>
      </c>
      <c r="F105" s="319">
        <v>160</v>
      </c>
      <c r="G105" s="319">
        <v>140</v>
      </c>
      <c r="H105" s="330" t="s">
        <v>75</v>
      </c>
      <c r="I105" s="319">
        <v>819</v>
      </c>
      <c r="J105" s="324">
        <v>0.13700000000000001</v>
      </c>
      <c r="K105" s="319" t="s">
        <v>947</v>
      </c>
      <c r="L105" s="322">
        <v>33</v>
      </c>
      <c r="M105" s="319" t="s">
        <v>948</v>
      </c>
      <c r="N105" s="322">
        <v>204</v>
      </c>
      <c r="O105" s="319">
        <v>876</v>
      </c>
      <c r="P105" s="319">
        <v>165</v>
      </c>
      <c r="Q105" s="319" t="s">
        <v>949</v>
      </c>
      <c r="R105" s="319" t="s">
        <v>950</v>
      </c>
      <c r="S105" s="265">
        <v>0.81</v>
      </c>
      <c r="T105" s="319" t="s">
        <v>75</v>
      </c>
      <c r="U105" s="319">
        <v>-1311</v>
      </c>
      <c r="V105" s="320" t="s">
        <v>951</v>
      </c>
      <c r="W105" s="319" t="s">
        <v>853</v>
      </c>
      <c r="X105" s="319" t="s">
        <v>939</v>
      </c>
      <c r="Y105" s="52"/>
      <c r="Z105" s="52"/>
      <c r="AA105" s="124"/>
      <c r="AB105" s="124"/>
      <c r="AC105" s="243">
        <v>-1311</v>
      </c>
      <c r="AD105" s="124"/>
    </row>
    <row r="106" spans="1:30" ht="18.75">
      <c r="A106" s="483"/>
      <c r="B106" s="325">
        <v>45136</v>
      </c>
      <c r="C106" s="326" t="s">
        <v>952</v>
      </c>
      <c r="D106" s="327">
        <v>30000</v>
      </c>
      <c r="E106" s="327">
        <v>1002</v>
      </c>
      <c r="F106" s="319">
        <v>802</v>
      </c>
      <c r="G106" s="319">
        <v>638</v>
      </c>
      <c r="H106" s="330" t="s">
        <v>75</v>
      </c>
      <c r="I106" s="327">
        <v>1568</v>
      </c>
      <c r="J106" s="324">
        <v>5.1999999999999998E-2</v>
      </c>
      <c r="K106" s="319"/>
      <c r="L106" s="322"/>
      <c r="M106" s="319"/>
      <c r="N106" s="322"/>
      <c r="O106" s="319"/>
      <c r="P106" s="319"/>
      <c r="Q106" s="319" t="s">
        <v>953</v>
      </c>
      <c r="R106" s="319" t="s">
        <v>954</v>
      </c>
      <c r="S106" s="328">
        <v>0.87</v>
      </c>
      <c r="T106" s="319" t="s">
        <v>75</v>
      </c>
      <c r="U106" s="319">
        <v>-76004</v>
      </c>
      <c r="V106" s="320" t="s">
        <v>945</v>
      </c>
      <c r="W106" s="321" t="s">
        <v>75</v>
      </c>
      <c r="X106" s="319" t="s">
        <v>939</v>
      </c>
      <c r="Y106" s="52"/>
      <c r="Z106" s="52"/>
      <c r="AA106" s="124"/>
      <c r="AB106" s="124"/>
      <c r="AC106" s="243">
        <v>-76004</v>
      </c>
      <c r="AD106" s="124"/>
    </row>
    <row r="107" spans="1:30" ht="18.75">
      <c r="A107" s="483"/>
      <c r="B107" s="325">
        <v>45137</v>
      </c>
      <c r="C107" s="326" t="s">
        <v>955</v>
      </c>
      <c r="D107" s="327">
        <v>10000</v>
      </c>
      <c r="E107" s="319">
        <v>334</v>
      </c>
      <c r="F107" s="319">
        <v>267</v>
      </c>
      <c r="G107" s="319">
        <v>130</v>
      </c>
      <c r="H107" s="330" t="s">
        <v>75</v>
      </c>
      <c r="I107" s="319">
        <v>517</v>
      </c>
      <c r="J107" s="324">
        <v>5.1999999999999998E-2</v>
      </c>
      <c r="K107" s="319" t="s">
        <v>956</v>
      </c>
      <c r="L107" s="322">
        <v>100</v>
      </c>
      <c r="M107" s="319"/>
      <c r="N107" s="322"/>
      <c r="O107" s="319">
        <v>2500</v>
      </c>
      <c r="P107" s="319">
        <v>500</v>
      </c>
      <c r="Q107" s="319"/>
      <c r="R107" s="319" t="s">
        <v>957</v>
      </c>
      <c r="S107" s="328">
        <v>0.83</v>
      </c>
      <c r="T107" s="319" t="s">
        <v>75</v>
      </c>
      <c r="U107" s="319">
        <v>-515</v>
      </c>
      <c r="V107" s="320" t="s">
        <v>958</v>
      </c>
      <c r="W107" s="319" t="s">
        <v>853</v>
      </c>
      <c r="X107" s="319" t="s">
        <v>939</v>
      </c>
      <c r="Y107" s="52"/>
      <c r="Z107" s="52"/>
      <c r="AA107" s="124"/>
      <c r="AB107" s="124"/>
      <c r="AC107" s="243">
        <v>-515</v>
      </c>
      <c r="AD107" s="124"/>
    </row>
    <row r="108" spans="1:30" ht="18.75">
      <c r="A108" s="483"/>
      <c r="B108" s="325">
        <v>45138</v>
      </c>
      <c r="C108" s="326" t="s">
        <v>959</v>
      </c>
      <c r="D108" s="327">
        <v>35000</v>
      </c>
      <c r="E108" s="327">
        <v>1169</v>
      </c>
      <c r="F108" s="319">
        <v>935</v>
      </c>
      <c r="G108" s="319">
        <v>823</v>
      </c>
      <c r="H108" s="237" t="s">
        <v>75</v>
      </c>
      <c r="I108" s="327">
        <v>2228</v>
      </c>
      <c r="J108" s="324">
        <v>6.4000000000000001E-2</v>
      </c>
      <c r="K108" s="319" t="s">
        <v>960</v>
      </c>
      <c r="L108" s="322">
        <v>300</v>
      </c>
      <c r="M108" s="319"/>
      <c r="N108" s="322"/>
      <c r="O108" s="319">
        <v>7500</v>
      </c>
      <c r="P108" s="319">
        <v>1500</v>
      </c>
      <c r="Q108" s="319" t="s">
        <v>961</v>
      </c>
      <c r="R108" s="319" t="s">
        <v>962</v>
      </c>
      <c r="S108" s="328">
        <v>0.72</v>
      </c>
      <c r="T108" s="321" t="s">
        <v>75</v>
      </c>
      <c r="U108" s="321">
        <v>-2585.64</v>
      </c>
      <c r="V108" s="320" t="s">
        <v>963</v>
      </c>
      <c r="W108" s="319" t="s">
        <v>853</v>
      </c>
      <c r="X108" s="319" t="s">
        <v>964</v>
      </c>
      <c r="Y108" s="52"/>
      <c r="Z108" s="52"/>
      <c r="AA108" s="124"/>
      <c r="AB108" s="124"/>
      <c r="AC108" s="243">
        <v>-2585.64</v>
      </c>
      <c r="AD108" s="124"/>
    </row>
    <row r="109" spans="1:30" ht="18.75">
      <c r="A109" s="483"/>
      <c r="B109" s="331" t="s">
        <v>965</v>
      </c>
      <c r="C109" s="332" t="s">
        <v>966</v>
      </c>
      <c r="D109" s="333">
        <v>15000</v>
      </c>
      <c r="E109" s="334">
        <v>501</v>
      </c>
      <c r="F109" s="334">
        <v>401</v>
      </c>
      <c r="G109" s="334">
        <v>39</v>
      </c>
      <c r="H109" s="335" t="s">
        <v>75</v>
      </c>
      <c r="I109" s="334">
        <v>149</v>
      </c>
      <c r="J109" s="336">
        <v>0.01</v>
      </c>
      <c r="K109" s="334"/>
      <c r="L109" s="337"/>
      <c r="M109" s="334"/>
      <c r="N109" s="337"/>
      <c r="O109" s="334"/>
      <c r="P109" s="334"/>
      <c r="Q109" s="334"/>
      <c r="R109" s="334"/>
      <c r="S109" s="338">
        <v>0.55000000000000004</v>
      </c>
      <c r="T109" s="334" t="s">
        <v>78</v>
      </c>
      <c r="U109" s="334"/>
      <c r="V109" s="339" t="s">
        <v>846</v>
      </c>
      <c r="W109" s="334" t="s">
        <v>853</v>
      </c>
      <c r="X109" s="334" t="s">
        <v>967</v>
      </c>
      <c r="Y109" s="52"/>
      <c r="Z109" s="52"/>
      <c r="AA109" s="124"/>
      <c r="AB109" s="124"/>
      <c r="AC109" s="243">
        <v>0</v>
      </c>
      <c r="AD109" s="124"/>
    </row>
    <row r="110" spans="1:30" ht="18.75">
      <c r="A110" s="483"/>
      <c r="B110" s="331" t="s">
        <v>968</v>
      </c>
      <c r="C110" s="340" t="s">
        <v>969</v>
      </c>
      <c r="D110" s="341">
        <v>7000</v>
      </c>
      <c r="E110" s="342">
        <v>234</v>
      </c>
      <c r="F110" s="342">
        <v>187</v>
      </c>
      <c r="G110" s="342">
        <v>4</v>
      </c>
      <c r="H110" s="343" t="s">
        <v>75</v>
      </c>
      <c r="I110" s="342">
        <v>30</v>
      </c>
      <c r="J110" s="344">
        <v>4.0000000000000001E-3</v>
      </c>
      <c r="K110" s="342"/>
      <c r="L110" s="345"/>
      <c r="M110" s="342"/>
      <c r="N110" s="345"/>
      <c r="O110" s="342"/>
      <c r="P110" s="342"/>
      <c r="Q110" s="342"/>
      <c r="R110" s="342"/>
      <c r="S110" s="346">
        <v>0.59</v>
      </c>
      <c r="T110" s="342" t="s">
        <v>78</v>
      </c>
      <c r="U110" s="342"/>
      <c r="V110" s="347" t="s">
        <v>970</v>
      </c>
      <c r="W110" s="342" t="s">
        <v>853</v>
      </c>
      <c r="X110" s="342" t="s">
        <v>971</v>
      </c>
      <c r="Y110" s="52"/>
      <c r="Z110" s="52"/>
      <c r="AA110" s="124"/>
      <c r="AB110" s="124"/>
      <c r="AC110" s="124"/>
      <c r="AD110" s="124"/>
    </row>
    <row r="111" spans="1:30" ht="18.75">
      <c r="A111" s="483"/>
      <c r="B111" s="348" t="s">
        <v>972</v>
      </c>
      <c r="C111" s="349" t="s">
        <v>973</v>
      </c>
      <c r="D111" s="350">
        <v>100000</v>
      </c>
      <c r="E111" s="350">
        <v>5969</v>
      </c>
      <c r="F111" s="350">
        <v>4775</v>
      </c>
      <c r="G111" s="296">
        <v>4153</v>
      </c>
      <c r="H111" s="267" t="s">
        <v>75</v>
      </c>
      <c r="I111" s="296">
        <v>6012</v>
      </c>
      <c r="J111" s="267">
        <v>15.03</v>
      </c>
      <c r="K111" s="267">
        <v>0</v>
      </c>
      <c r="L111" s="351"/>
      <c r="M111" s="267">
        <v>0</v>
      </c>
      <c r="N111" s="351"/>
      <c r="O111" s="267">
        <v>0</v>
      </c>
      <c r="P111" s="267">
        <v>0</v>
      </c>
      <c r="Q111" s="267" t="s">
        <v>92</v>
      </c>
      <c r="R111" s="321" t="s">
        <v>974</v>
      </c>
      <c r="S111" s="352">
        <v>0.65</v>
      </c>
      <c r="T111" s="321" t="s">
        <v>75</v>
      </c>
      <c r="U111" s="321">
        <v>-335750</v>
      </c>
      <c r="V111" s="321" t="s">
        <v>975</v>
      </c>
      <c r="W111" s="321" t="s">
        <v>78</v>
      </c>
      <c r="X111" s="321"/>
      <c r="Y111" s="52"/>
      <c r="Z111" s="52"/>
      <c r="AA111" s="124"/>
      <c r="AB111" s="52" t="s">
        <v>75</v>
      </c>
      <c r="AC111" s="124"/>
      <c r="AD111" s="124"/>
    </row>
    <row r="112" spans="1:30" ht="18.75">
      <c r="A112" s="483"/>
      <c r="B112" s="348" t="s">
        <v>976</v>
      </c>
      <c r="C112" s="349" t="s">
        <v>977</v>
      </c>
      <c r="D112" s="350">
        <v>100000</v>
      </c>
      <c r="E112" s="350">
        <v>5969</v>
      </c>
      <c r="F112" s="350">
        <v>4775</v>
      </c>
      <c r="G112" s="296">
        <v>3249</v>
      </c>
      <c r="H112" s="267" t="s">
        <v>75</v>
      </c>
      <c r="I112" s="296">
        <v>3246</v>
      </c>
      <c r="J112" s="267">
        <v>8.1199999999999992</v>
      </c>
      <c r="K112" s="267">
        <v>0</v>
      </c>
      <c r="L112" s="351"/>
      <c r="M112" s="267">
        <v>0</v>
      </c>
      <c r="N112" s="351"/>
      <c r="O112" s="267">
        <v>0</v>
      </c>
      <c r="P112" s="267">
        <v>0</v>
      </c>
      <c r="Q112" s="267" t="s">
        <v>92</v>
      </c>
      <c r="R112" s="321" t="s">
        <v>978</v>
      </c>
      <c r="S112" s="353">
        <v>0.7</v>
      </c>
      <c r="T112" s="321" t="s">
        <v>75</v>
      </c>
      <c r="U112" s="321">
        <v>-381250</v>
      </c>
      <c r="V112" s="321" t="s">
        <v>979</v>
      </c>
      <c r="W112" s="321" t="s">
        <v>78</v>
      </c>
      <c r="X112" s="321"/>
      <c r="Y112" s="52"/>
      <c r="Z112" s="52"/>
      <c r="AA112" s="124"/>
      <c r="AB112" s="52" t="s">
        <v>75</v>
      </c>
      <c r="AC112" s="124"/>
      <c r="AD112" s="124"/>
    </row>
    <row r="113" spans="1:30" ht="18.75">
      <c r="A113" s="483"/>
      <c r="B113" s="348" t="s">
        <v>980</v>
      </c>
      <c r="C113" s="349" t="s">
        <v>981</v>
      </c>
      <c r="D113" s="350">
        <v>50000</v>
      </c>
      <c r="E113" s="350">
        <v>3084</v>
      </c>
      <c r="F113" s="350">
        <v>2467</v>
      </c>
      <c r="G113" s="296">
        <v>1103</v>
      </c>
      <c r="H113" s="267" t="s">
        <v>75</v>
      </c>
      <c r="I113" s="296">
        <v>3719</v>
      </c>
      <c r="J113" s="267">
        <v>9.3000000000000007</v>
      </c>
      <c r="K113" s="267">
        <v>0</v>
      </c>
      <c r="L113" s="351"/>
      <c r="M113" s="267">
        <v>0</v>
      </c>
      <c r="N113" s="351"/>
      <c r="O113" s="267">
        <v>0</v>
      </c>
      <c r="P113" s="267">
        <v>0</v>
      </c>
      <c r="Q113" s="267" t="s">
        <v>92</v>
      </c>
      <c r="R113" s="321" t="s">
        <v>982</v>
      </c>
      <c r="S113" s="353">
        <v>0.72</v>
      </c>
      <c r="T113" s="321" t="s">
        <v>75</v>
      </c>
      <c r="U113" s="321">
        <v>-190625</v>
      </c>
      <c r="V113" s="329" t="s">
        <v>983</v>
      </c>
      <c r="W113" s="321" t="s">
        <v>78</v>
      </c>
      <c r="X113" s="321"/>
      <c r="Y113" s="52"/>
      <c r="Z113" s="52"/>
      <c r="AA113" s="124"/>
      <c r="AB113" s="52" t="s">
        <v>75</v>
      </c>
      <c r="AC113" s="124"/>
      <c r="AD113" s="124"/>
    </row>
    <row r="114" spans="1:30" ht="18.75">
      <c r="A114" s="487"/>
      <c r="B114" s="348" t="s">
        <v>984</v>
      </c>
      <c r="C114" s="354" t="s">
        <v>985</v>
      </c>
      <c r="D114" s="355">
        <v>50000</v>
      </c>
      <c r="E114" s="355">
        <v>2891</v>
      </c>
      <c r="F114" s="355">
        <v>2312</v>
      </c>
      <c r="G114" s="356">
        <v>1197</v>
      </c>
      <c r="H114" s="276" t="s">
        <v>75</v>
      </c>
      <c r="I114" s="356">
        <v>3743</v>
      </c>
      <c r="J114" s="276">
        <v>11</v>
      </c>
      <c r="K114" s="276">
        <v>0</v>
      </c>
      <c r="L114" s="357"/>
      <c r="M114" s="276">
        <v>0</v>
      </c>
      <c r="N114" s="357"/>
      <c r="O114" s="276">
        <v>0</v>
      </c>
      <c r="P114" s="276">
        <v>0</v>
      </c>
      <c r="Q114" s="276" t="s">
        <v>92</v>
      </c>
      <c r="R114" s="358" t="s">
        <v>986</v>
      </c>
      <c r="S114" s="359">
        <v>0.6</v>
      </c>
      <c r="T114" s="358" t="s">
        <v>75</v>
      </c>
      <c r="U114" s="358">
        <v>-108928</v>
      </c>
      <c r="V114" s="358" t="s">
        <v>987</v>
      </c>
      <c r="W114" s="358" t="s">
        <v>78</v>
      </c>
      <c r="X114" s="358" t="s">
        <v>971</v>
      </c>
      <c r="Y114" s="52"/>
      <c r="Z114" s="52"/>
      <c r="AA114" s="124"/>
      <c r="AB114" s="52" t="s">
        <v>75</v>
      </c>
      <c r="AC114" s="243">
        <v>-108928</v>
      </c>
      <c r="AD114" s="124"/>
    </row>
    <row r="115" spans="1:30" ht="18.75">
      <c r="A115" s="486" t="s">
        <v>27</v>
      </c>
      <c r="B115" s="277">
        <v>45139</v>
      </c>
      <c r="C115" s="245" t="s">
        <v>988</v>
      </c>
      <c r="D115" s="235">
        <v>25000</v>
      </c>
      <c r="E115" s="236">
        <v>835</v>
      </c>
      <c r="F115" s="236">
        <v>668</v>
      </c>
      <c r="G115" s="236">
        <v>714</v>
      </c>
      <c r="H115" s="237" t="s">
        <v>75</v>
      </c>
      <c r="I115" s="235">
        <v>7223</v>
      </c>
      <c r="J115" s="238">
        <v>0.28899999999999998</v>
      </c>
      <c r="K115" s="236"/>
      <c r="L115" s="239"/>
      <c r="M115" s="236" t="s">
        <v>989</v>
      </c>
      <c r="N115" s="239">
        <v>2057</v>
      </c>
      <c r="O115" s="236">
        <v>964</v>
      </c>
      <c r="P115" s="236">
        <v>482</v>
      </c>
      <c r="Q115" s="236" t="s">
        <v>990</v>
      </c>
      <c r="R115" s="236" t="s">
        <v>991</v>
      </c>
      <c r="S115" s="265">
        <v>0.79</v>
      </c>
      <c r="T115" s="236" t="s">
        <v>992</v>
      </c>
      <c r="U115" s="235">
        <v>-14882</v>
      </c>
      <c r="V115" s="241" t="s">
        <v>993</v>
      </c>
      <c r="W115" s="236" t="s">
        <v>75</v>
      </c>
      <c r="X115" s="319" t="s">
        <v>994</v>
      </c>
      <c r="Y115" s="52"/>
      <c r="Z115" s="52"/>
      <c r="AA115" s="124"/>
      <c r="AB115" s="124"/>
      <c r="AC115" s="243">
        <v>-14881.67</v>
      </c>
      <c r="AD115" s="124"/>
    </row>
    <row r="116" spans="1:30" ht="18.75">
      <c r="A116" s="483"/>
      <c r="B116" s="244">
        <v>45140</v>
      </c>
      <c r="C116" s="245" t="s">
        <v>995</v>
      </c>
      <c r="D116" s="235">
        <v>30000</v>
      </c>
      <c r="E116" s="235">
        <v>1002</v>
      </c>
      <c r="F116" s="236">
        <v>802</v>
      </c>
      <c r="G116" s="236">
        <v>780</v>
      </c>
      <c r="H116" s="237" t="s">
        <v>75</v>
      </c>
      <c r="I116" s="235">
        <v>10193</v>
      </c>
      <c r="J116" s="238">
        <v>0.34</v>
      </c>
      <c r="K116" s="236" t="s">
        <v>996</v>
      </c>
      <c r="L116" s="239">
        <v>2400</v>
      </c>
      <c r="M116" s="236" t="s">
        <v>997</v>
      </c>
      <c r="N116" s="239">
        <v>1200</v>
      </c>
      <c r="O116" s="236">
        <v>3600</v>
      </c>
      <c r="P116" s="236">
        <v>3600</v>
      </c>
      <c r="Q116" s="236" t="s">
        <v>998</v>
      </c>
      <c r="R116" s="236" t="s">
        <v>999</v>
      </c>
      <c r="S116" s="265">
        <v>0.74</v>
      </c>
      <c r="T116" s="236" t="s">
        <v>992</v>
      </c>
      <c r="U116" s="235">
        <v>-57565</v>
      </c>
      <c r="V116" s="241" t="s">
        <v>1000</v>
      </c>
      <c r="W116" s="236" t="s">
        <v>75</v>
      </c>
      <c r="X116" s="236" t="s">
        <v>1001</v>
      </c>
      <c r="Y116" s="52"/>
      <c r="Z116" s="52"/>
      <c r="AA116" s="124"/>
      <c r="AB116" s="124"/>
      <c r="AC116" s="243">
        <v>-57564.55</v>
      </c>
      <c r="AD116" s="124"/>
    </row>
    <row r="117" spans="1:30" ht="18.75">
      <c r="A117" s="483"/>
      <c r="B117" s="244">
        <v>45141</v>
      </c>
      <c r="C117" s="245" t="s">
        <v>1002</v>
      </c>
      <c r="D117" s="235">
        <v>45000</v>
      </c>
      <c r="E117" s="235">
        <v>3182</v>
      </c>
      <c r="F117" s="235">
        <v>2545</v>
      </c>
      <c r="G117" s="235">
        <v>1651</v>
      </c>
      <c r="H117" s="237" t="s">
        <v>75</v>
      </c>
      <c r="I117" s="235">
        <v>2311</v>
      </c>
      <c r="J117" s="238">
        <v>5.0999999999999997E-2</v>
      </c>
      <c r="K117" s="236" t="s">
        <v>1003</v>
      </c>
      <c r="L117" s="239">
        <v>124</v>
      </c>
      <c r="M117" s="236" t="s">
        <v>1004</v>
      </c>
      <c r="N117" s="239">
        <v>2937</v>
      </c>
      <c r="O117" s="236">
        <v>2109</v>
      </c>
      <c r="P117" s="236">
        <v>1496</v>
      </c>
      <c r="Q117" s="236" t="s">
        <v>1005</v>
      </c>
      <c r="R117" s="236" t="s">
        <v>1006</v>
      </c>
      <c r="S117" s="265">
        <v>0.74</v>
      </c>
      <c r="T117" s="236" t="s">
        <v>992</v>
      </c>
      <c r="U117" s="236">
        <v>-235</v>
      </c>
      <c r="V117" s="241" t="s">
        <v>852</v>
      </c>
      <c r="W117" s="236" t="s">
        <v>75</v>
      </c>
      <c r="X117" s="236" t="s">
        <v>1007</v>
      </c>
      <c r="Y117" s="52"/>
      <c r="Z117" s="52"/>
      <c r="AA117" s="124"/>
      <c r="AB117" s="124"/>
      <c r="AC117" s="243">
        <v>-235.42</v>
      </c>
      <c r="AD117" s="124"/>
    </row>
    <row r="118" spans="1:30" ht="18.75">
      <c r="A118" s="483"/>
      <c r="B118" s="244">
        <v>45142</v>
      </c>
      <c r="C118" s="245" t="s">
        <v>1008</v>
      </c>
      <c r="D118" s="235">
        <v>35000</v>
      </c>
      <c r="E118" s="235">
        <v>2475</v>
      </c>
      <c r="F118" s="235">
        <v>1980</v>
      </c>
      <c r="G118" s="236">
        <v>768</v>
      </c>
      <c r="H118" s="237" t="s">
        <v>75</v>
      </c>
      <c r="I118" s="235">
        <v>5455</v>
      </c>
      <c r="J118" s="238">
        <v>0.156</v>
      </c>
      <c r="K118" s="236" t="s">
        <v>1009</v>
      </c>
      <c r="L118" s="239">
        <v>55</v>
      </c>
      <c r="M118" s="236" t="s">
        <v>1010</v>
      </c>
      <c r="N118" s="239">
        <v>594</v>
      </c>
      <c r="O118" s="236">
        <v>863</v>
      </c>
      <c r="P118" s="236">
        <v>448</v>
      </c>
      <c r="Q118" s="236" t="s">
        <v>1011</v>
      </c>
      <c r="R118" s="236" t="s">
        <v>1012</v>
      </c>
      <c r="S118" s="265">
        <v>0.73</v>
      </c>
      <c r="T118" s="236" t="s">
        <v>992</v>
      </c>
      <c r="U118" s="235">
        <v>-5418</v>
      </c>
      <c r="V118" s="241" t="s">
        <v>1013</v>
      </c>
      <c r="W118" s="236" t="s">
        <v>75</v>
      </c>
      <c r="X118" s="236" t="s">
        <v>1014</v>
      </c>
      <c r="Y118" s="52"/>
      <c r="Z118" s="52"/>
      <c r="AA118" s="124"/>
      <c r="AB118" s="124"/>
      <c r="AC118" s="243">
        <v>-5418.4</v>
      </c>
      <c r="AD118" s="124"/>
    </row>
    <row r="119" spans="1:30" ht="18.75">
      <c r="A119" s="483"/>
      <c r="B119" s="233">
        <v>45143</v>
      </c>
      <c r="C119" s="234" t="s">
        <v>1015</v>
      </c>
      <c r="D119" s="235">
        <v>14000</v>
      </c>
      <c r="E119" s="235">
        <v>1250</v>
      </c>
      <c r="F119" s="235">
        <v>1000</v>
      </c>
      <c r="G119" s="236">
        <v>257</v>
      </c>
      <c r="H119" s="237" t="s">
        <v>75</v>
      </c>
      <c r="I119" s="235">
        <v>3142</v>
      </c>
      <c r="J119" s="238">
        <v>0.224</v>
      </c>
      <c r="K119" s="236"/>
      <c r="L119" s="239"/>
      <c r="M119" s="236"/>
      <c r="N119" s="239"/>
      <c r="O119" s="236"/>
      <c r="P119" s="236"/>
      <c r="Q119" s="236" t="s">
        <v>1016</v>
      </c>
      <c r="R119" s="236" t="s">
        <v>254</v>
      </c>
      <c r="S119" s="265">
        <v>0.79</v>
      </c>
      <c r="T119" s="236" t="s">
        <v>1017</v>
      </c>
      <c r="U119" s="236">
        <v>-415</v>
      </c>
      <c r="V119" s="241" t="s">
        <v>1018</v>
      </c>
      <c r="W119" s="236" t="s">
        <v>75</v>
      </c>
      <c r="X119" s="236" t="s">
        <v>1019</v>
      </c>
      <c r="Y119" s="52"/>
      <c r="Z119" s="52"/>
      <c r="AA119" s="124"/>
      <c r="AB119" s="52" t="s">
        <v>75</v>
      </c>
      <c r="AC119" s="243">
        <v>-415</v>
      </c>
      <c r="AD119" s="124"/>
    </row>
    <row r="120" spans="1:30" ht="18.75">
      <c r="A120" s="483"/>
      <c r="B120" s="244">
        <v>45144</v>
      </c>
      <c r="C120" s="245" t="s">
        <v>1020</v>
      </c>
      <c r="D120" s="235">
        <v>49000</v>
      </c>
      <c r="E120" s="235">
        <v>2123</v>
      </c>
      <c r="F120" s="235">
        <v>1699</v>
      </c>
      <c r="G120" s="235">
        <v>1272</v>
      </c>
      <c r="H120" s="237" t="s">
        <v>75</v>
      </c>
      <c r="I120" s="235">
        <v>2323</v>
      </c>
      <c r="J120" s="238">
        <v>0.05</v>
      </c>
      <c r="K120" s="236" t="s">
        <v>1021</v>
      </c>
      <c r="L120" s="239">
        <v>553</v>
      </c>
      <c r="M120" s="236"/>
      <c r="N120" s="239"/>
      <c r="O120" s="236">
        <v>13825</v>
      </c>
      <c r="P120" s="236">
        <v>2765</v>
      </c>
      <c r="Q120" s="236" t="s">
        <v>1022</v>
      </c>
      <c r="R120" s="236" t="s">
        <v>999</v>
      </c>
      <c r="S120" s="265">
        <v>0.92</v>
      </c>
      <c r="T120" s="236"/>
      <c r="U120" s="236"/>
      <c r="V120" s="241" t="s">
        <v>1023</v>
      </c>
      <c r="W120" s="236"/>
      <c r="X120" s="236" t="s">
        <v>1024</v>
      </c>
      <c r="Y120" s="52"/>
      <c r="Z120" s="52"/>
      <c r="AA120" s="124"/>
      <c r="AB120" s="124"/>
      <c r="AC120" s="243">
        <v>0</v>
      </c>
      <c r="AD120" s="124"/>
    </row>
    <row r="121" spans="1:30" ht="18.75">
      <c r="A121" s="483"/>
      <c r="B121" s="244">
        <v>45145</v>
      </c>
      <c r="C121" s="245" t="s">
        <v>1025</v>
      </c>
      <c r="D121" s="235">
        <v>35000</v>
      </c>
      <c r="E121" s="235">
        <v>1920</v>
      </c>
      <c r="F121" s="235">
        <v>1536</v>
      </c>
      <c r="G121" s="235">
        <v>1028</v>
      </c>
      <c r="H121" s="237" t="s">
        <v>75</v>
      </c>
      <c r="I121" s="235">
        <v>4763</v>
      </c>
      <c r="J121" s="238">
        <v>0.14299999999999999</v>
      </c>
      <c r="K121" s="236"/>
      <c r="L121" s="239"/>
      <c r="M121" s="236" t="s">
        <v>1026</v>
      </c>
      <c r="N121" s="239">
        <v>110</v>
      </c>
      <c r="O121" s="236">
        <v>110</v>
      </c>
      <c r="P121" s="236">
        <v>110</v>
      </c>
      <c r="Q121" s="236" t="s">
        <v>1027</v>
      </c>
      <c r="R121" s="236" t="s">
        <v>999</v>
      </c>
      <c r="S121" s="265">
        <v>0.93</v>
      </c>
      <c r="T121" s="236"/>
      <c r="U121" s="236"/>
      <c r="V121" s="241" t="s">
        <v>1028</v>
      </c>
      <c r="W121" s="236"/>
      <c r="X121" s="236" t="s">
        <v>1029</v>
      </c>
      <c r="Y121" s="52"/>
      <c r="Z121" s="52"/>
      <c r="AA121" s="124"/>
      <c r="AB121" s="124"/>
      <c r="AC121" s="243">
        <v>0</v>
      </c>
      <c r="AD121" s="124"/>
    </row>
    <row r="122" spans="1:30" ht="18.75">
      <c r="A122" s="483"/>
      <c r="B122" s="360">
        <v>45146</v>
      </c>
      <c r="C122" s="361" t="s">
        <v>1030</v>
      </c>
      <c r="D122" s="362">
        <v>5000</v>
      </c>
      <c r="E122" s="293">
        <v>217</v>
      </c>
      <c r="F122" s="293">
        <v>174</v>
      </c>
      <c r="G122" s="293">
        <v>262</v>
      </c>
      <c r="H122" s="335" t="s">
        <v>75</v>
      </c>
      <c r="I122" s="362">
        <v>1066</v>
      </c>
      <c r="J122" s="363">
        <v>0.22</v>
      </c>
      <c r="K122" s="293">
        <v>0</v>
      </c>
      <c r="L122" s="294"/>
      <c r="M122" s="293">
        <v>0</v>
      </c>
      <c r="N122" s="294"/>
      <c r="O122" s="293">
        <v>0</v>
      </c>
      <c r="P122" s="293">
        <v>0</v>
      </c>
      <c r="Q122" s="293" t="s">
        <v>1031</v>
      </c>
      <c r="R122" s="293" t="s">
        <v>1032</v>
      </c>
      <c r="S122" s="364">
        <v>0.67</v>
      </c>
      <c r="T122" s="293" t="s">
        <v>1033</v>
      </c>
      <c r="U122" s="362">
        <v>-2316</v>
      </c>
      <c r="V122" s="365" t="s">
        <v>1034</v>
      </c>
      <c r="W122" s="293"/>
      <c r="X122" s="293" t="s">
        <v>1035</v>
      </c>
      <c r="Y122" s="52"/>
      <c r="Z122" s="52"/>
      <c r="AA122" s="124"/>
      <c r="AB122" s="124"/>
      <c r="AC122" s="243">
        <v>-2316</v>
      </c>
      <c r="AD122" s="124"/>
    </row>
    <row r="123" spans="1:30" ht="18.75">
      <c r="A123" s="487"/>
      <c r="B123" s="366">
        <v>45147</v>
      </c>
      <c r="C123" s="367" t="s">
        <v>1036</v>
      </c>
      <c r="D123" s="368">
        <v>18500</v>
      </c>
      <c r="E123" s="369">
        <v>625</v>
      </c>
      <c r="F123" s="369">
        <v>500</v>
      </c>
      <c r="G123" s="369">
        <v>237</v>
      </c>
      <c r="H123" s="369" t="s">
        <v>75</v>
      </c>
      <c r="I123" s="368">
        <v>2365</v>
      </c>
      <c r="J123" s="370">
        <v>0.13</v>
      </c>
      <c r="K123" s="371"/>
      <c r="L123" s="372"/>
      <c r="M123" s="371"/>
      <c r="N123" s="372"/>
      <c r="O123" s="371"/>
      <c r="P123" s="371"/>
      <c r="Q123" s="369" t="s">
        <v>1016</v>
      </c>
      <c r="R123" s="369" t="s">
        <v>254</v>
      </c>
      <c r="S123" s="373">
        <v>0.83</v>
      </c>
      <c r="T123" s="369"/>
      <c r="U123" s="369"/>
      <c r="V123" s="371"/>
      <c r="W123" s="371"/>
      <c r="X123" s="369" t="s">
        <v>1037</v>
      </c>
      <c r="Y123" s="52"/>
      <c r="Z123" s="52"/>
      <c r="AA123" s="124"/>
      <c r="AB123" s="52" t="s">
        <v>75</v>
      </c>
      <c r="AC123" s="124"/>
      <c r="AD123" s="124"/>
    </row>
    <row r="124" spans="1:30" ht="18.75">
      <c r="A124" s="486" t="s">
        <v>28</v>
      </c>
      <c r="B124" s="244">
        <v>45170</v>
      </c>
      <c r="C124" s="245" t="s">
        <v>1038</v>
      </c>
      <c r="D124" s="235">
        <v>38000</v>
      </c>
      <c r="E124" s="235">
        <v>1269</v>
      </c>
      <c r="F124" s="235">
        <v>1015</v>
      </c>
      <c r="G124" s="236">
        <v>309</v>
      </c>
      <c r="H124" s="237" t="s">
        <v>75</v>
      </c>
      <c r="I124" s="235">
        <v>3343</v>
      </c>
      <c r="J124" s="238">
        <v>8.7999999999999995E-2</v>
      </c>
      <c r="K124" s="236" t="s">
        <v>1039</v>
      </c>
      <c r="L124" s="239">
        <v>2684</v>
      </c>
      <c r="M124" s="236" t="s">
        <v>1040</v>
      </c>
      <c r="N124" s="239">
        <v>860</v>
      </c>
      <c r="O124" s="235">
        <v>48000</v>
      </c>
      <c r="P124" s="235">
        <v>1600</v>
      </c>
      <c r="Q124" s="236" t="s">
        <v>325</v>
      </c>
      <c r="R124" s="245" t="s">
        <v>1041</v>
      </c>
      <c r="S124" s="265">
        <v>0.77</v>
      </c>
      <c r="T124" s="236" t="s">
        <v>1042</v>
      </c>
      <c r="U124" s="236">
        <v>-1.073</v>
      </c>
      <c r="V124" s="236" t="s">
        <v>1043</v>
      </c>
      <c r="W124" s="236" t="s">
        <v>75</v>
      </c>
      <c r="X124" s="236"/>
      <c r="Y124" s="52"/>
      <c r="Z124" s="52"/>
      <c r="AA124" s="124"/>
      <c r="AB124" s="124"/>
      <c r="AC124" s="243">
        <v>-1.07</v>
      </c>
      <c r="AD124" s="124"/>
    </row>
    <row r="125" spans="1:30" ht="18.75">
      <c r="A125" s="483"/>
      <c r="B125" s="244">
        <v>45171</v>
      </c>
      <c r="C125" s="245" t="s">
        <v>1044</v>
      </c>
      <c r="D125" s="235">
        <v>33000</v>
      </c>
      <c r="E125" s="235">
        <v>1438</v>
      </c>
      <c r="F125" s="235">
        <v>1102</v>
      </c>
      <c r="G125" s="235">
        <v>1312</v>
      </c>
      <c r="H125" s="237" t="s">
        <v>75</v>
      </c>
      <c r="I125" s="236">
        <v>469</v>
      </c>
      <c r="J125" s="238">
        <v>1.4E-2</v>
      </c>
      <c r="K125" s="236">
        <v>0</v>
      </c>
      <c r="L125" s="239"/>
      <c r="M125" s="236">
        <v>0</v>
      </c>
      <c r="N125" s="239"/>
      <c r="O125" s="236">
        <v>0</v>
      </c>
      <c r="P125" s="236">
        <v>0</v>
      </c>
      <c r="Q125" s="236" t="s">
        <v>455</v>
      </c>
      <c r="R125" s="245" t="s">
        <v>1045</v>
      </c>
      <c r="S125" s="265">
        <v>0.68</v>
      </c>
      <c r="T125" s="236" t="s">
        <v>1042</v>
      </c>
      <c r="U125" s="236">
        <v>-5748</v>
      </c>
      <c r="V125" s="236" t="s">
        <v>1046</v>
      </c>
      <c r="W125" s="236" t="s">
        <v>75</v>
      </c>
      <c r="X125" s="236"/>
      <c r="Y125" s="52"/>
      <c r="Z125" s="52"/>
      <c r="AA125" s="124"/>
      <c r="AB125" s="124"/>
      <c r="AC125" s="243">
        <v>-5748</v>
      </c>
      <c r="AD125" s="124"/>
    </row>
    <row r="126" spans="1:30" ht="18.75">
      <c r="A126" s="483"/>
      <c r="B126" s="244">
        <v>45172</v>
      </c>
      <c r="C126" s="245" t="s">
        <v>1047</v>
      </c>
      <c r="D126" s="235">
        <v>11000</v>
      </c>
      <c r="E126" s="235">
        <v>1555</v>
      </c>
      <c r="F126" s="235">
        <v>1244</v>
      </c>
      <c r="G126" s="236">
        <v>775</v>
      </c>
      <c r="H126" s="237" t="s">
        <v>75</v>
      </c>
      <c r="I126" s="236">
        <v>432</v>
      </c>
      <c r="J126" s="238">
        <v>3.9E-2</v>
      </c>
      <c r="K126" s="236" t="s">
        <v>1048</v>
      </c>
      <c r="L126" s="239">
        <v>120</v>
      </c>
      <c r="M126" s="236">
        <v>0</v>
      </c>
      <c r="N126" s="239"/>
      <c r="O126" s="235">
        <v>3000</v>
      </c>
      <c r="P126" s="236">
        <v>153</v>
      </c>
      <c r="Q126" s="236"/>
      <c r="R126" s="245" t="s">
        <v>1049</v>
      </c>
      <c r="S126" s="265">
        <v>0.73</v>
      </c>
      <c r="T126" s="236" t="s">
        <v>1042</v>
      </c>
      <c r="U126" s="236">
        <v>0</v>
      </c>
      <c r="V126" s="236" t="s">
        <v>1050</v>
      </c>
      <c r="W126" s="236" t="s">
        <v>75</v>
      </c>
      <c r="X126" s="236" t="s">
        <v>1051</v>
      </c>
      <c r="Y126" s="52"/>
      <c r="Z126" s="52"/>
      <c r="AA126" s="124"/>
      <c r="AB126" s="124"/>
      <c r="AC126" s="243">
        <v>0</v>
      </c>
      <c r="AD126" s="124"/>
    </row>
    <row r="127" spans="1:30" ht="18.75">
      <c r="A127" s="483"/>
      <c r="B127" s="268">
        <v>45173</v>
      </c>
      <c r="C127" s="269" t="s">
        <v>322</v>
      </c>
      <c r="D127" s="271">
        <v>25000</v>
      </c>
      <c r="E127" s="271">
        <v>835</v>
      </c>
      <c r="F127" s="271">
        <v>668</v>
      </c>
      <c r="G127" s="271"/>
      <c r="H127" s="272" t="s">
        <v>78</v>
      </c>
      <c r="I127" s="271"/>
      <c r="J127" s="271"/>
      <c r="K127" s="271"/>
      <c r="L127" s="271"/>
      <c r="M127" s="271"/>
      <c r="N127" s="271"/>
      <c r="O127" s="271"/>
      <c r="P127" s="271"/>
      <c r="Q127" s="271" t="s">
        <v>325</v>
      </c>
      <c r="R127" s="269" t="s">
        <v>1052</v>
      </c>
      <c r="S127" s="271"/>
      <c r="T127" s="271"/>
      <c r="U127" s="271" t="s">
        <v>1053</v>
      </c>
      <c r="V127" s="374" t="s">
        <v>1054</v>
      </c>
      <c r="W127" s="271" t="s">
        <v>78</v>
      </c>
      <c r="X127" s="374" t="s">
        <v>1055</v>
      </c>
      <c r="Y127" s="52"/>
      <c r="Z127" s="52"/>
      <c r="AA127" s="124"/>
      <c r="AB127" s="124"/>
      <c r="AC127" s="124"/>
      <c r="AD127" s="124"/>
    </row>
    <row r="128" spans="1:30" ht="18.75">
      <c r="A128" s="483"/>
      <c r="B128" s="244">
        <v>45174</v>
      </c>
      <c r="C128" s="245" t="s">
        <v>1056</v>
      </c>
      <c r="D128" s="236">
        <v>49000</v>
      </c>
      <c r="E128" s="236">
        <v>1637</v>
      </c>
      <c r="F128" s="236">
        <v>1309.28</v>
      </c>
      <c r="G128" s="236">
        <v>1187.73</v>
      </c>
      <c r="H128" s="237" t="s">
        <v>75</v>
      </c>
      <c r="I128" s="236">
        <v>11371</v>
      </c>
      <c r="J128" s="238">
        <v>0.23200000000000001</v>
      </c>
      <c r="K128" s="236">
        <v>0</v>
      </c>
      <c r="L128" s="239"/>
      <c r="M128" s="236">
        <v>0</v>
      </c>
      <c r="N128" s="239"/>
      <c r="O128" s="236">
        <v>0</v>
      </c>
      <c r="P128" s="236">
        <v>0</v>
      </c>
      <c r="Q128" s="236" t="s">
        <v>455</v>
      </c>
      <c r="R128" s="236" t="s">
        <v>1057</v>
      </c>
      <c r="S128" s="265">
        <v>0.7</v>
      </c>
      <c r="T128" s="236"/>
      <c r="U128" s="236" t="s">
        <v>1053</v>
      </c>
      <c r="V128" s="236" t="s">
        <v>1058</v>
      </c>
      <c r="W128" s="236" t="s">
        <v>78</v>
      </c>
      <c r="X128" s="236" t="s">
        <v>1059</v>
      </c>
      <c r="Y128" s="52"/>
      <c r="Z128" s="52"/>
      <c r="AA128" s="124"/>
      <c r="AB128" s="124"/>
      <c r="AC128" s="124"/>
      <c r="AD128" s="124"/>
    </row>
    <row r="129" spans="1:30" ht="18.75">
      <c r="A129" s="483"/>
      <c r="B129" s="268">
        <v>45175</v>
      </c>
      <c r="C129" s="269" t="s">
        <v>324</v>
      </c>
      <c r="D129" s="271">
        <v>6500</v>
      </c>
      <c r="E129" s="271">
        <v>217</v>
      </c>
      <c r="F129" s="271">
        <v>173.68</v>
      </c>
      <c r="G129" s="271"/>
      <c r="H129" s="272" t="s">
        <v>78</v>
      </c>
      <c r="I129" s="271"/>
      <c r="J129" s="271"/>
      <c r="K129" s="271"/>
      <c r="L129" s="271"/>
      <c r="M129" s="271"/>
      <c r="N129" s="271"/>
      <c r="O129" s="271"/>
      <c r="P129" s="271"/>
      <c r="Q129" s="271" t="s">
        <v>1060</v>
      </c>
      <c r="R129" s="271" t="s">
        <v>1061</v>
      </c>
      <c r="S129" s="271"/>
      <c r="T129" s="271"/>
      <c r="U129" s="271" t="s">
        <v>1053</v>
      </c>
      <c r="V129" s="374" t="s">
        <v>1062</v>
      </c>
      <c r="W129" s="271" t="s">
        <v>78</v>
      </c>
      <c r="X129" s="374" t="s">
        <v>1063</v>
      </c>
      <c r="Y129" s="52"/>
      <c r="Z129" s="52"/>
      <c r="AA129" s="124"/>
      <c r="AB129" s="124"/>
      <c r="AC129" s="124"/>
      <c r="AD129" s="124"/>
    </row>
    <row r="130" spans="1:30" ht="18.75">
      <c r="A130" s="483"/>
      <c r="B130" s="244">
        <v>45176</v>
      </c>
      <c r="C130" s="245" t="s">
        <v>1064</v>
      </c>
      <c r="D130" s="236">
        <v>29000</v>
      </c>
      <c r="E130" s="236">
        <v>969</v>
      </c>
      <c r="F130" s="236">
        <v>774.88</v>
      </c>
      <c r="G130" s="236">
        <v>749</v>
      </c>
      <c r="H130" s="237" t="s">
        <v>75</v>
      </c>
      <c r="I130" s="236">
        <v>1587</v>
      </c>
      <c r="J130" s="238">
        <v>5.5E-2</v>
      </c>
      <c r="K130" s="236">
        <v>0</v>
      </c>
      <c r="L130" s="239"/>
      <c r="M130" s="236">
        <v>0</v>
      </c>
      <c r="N130" s="239"/>
      <c r="O130" s="236">
        <v>0</v>
      </c>
      <c r="P130" s="236">
        <v>0</v>
      </c>
      <c r="Q130" s="236" t="s">
        <v>1065</v>
      </c>
      <c r="R130" s="236" t="s">
        <v>1066</v>
      </c>
      <c r="S130" s="265">
        <v>0.76</v>
      </c>
      <c r="T130" s="236"/>
      <c r="U130" s="236" t="s">
        <v>1053</v>
      </c>
      <c r="V130" s="267" t="s">
        <v>1067</v>
      </c>
      <c r="W130" s="236" t="s">
        <v>78</v>
      </c>
      <c r="X130" s="236" t="s">
        <v>1068</v>
      </c>
      <c r="Y130" s="52"/>
      <c r="Z130" s="52"/>
      <c r="AA130" s="124"/>
      <c r="AB130" s="124"/>
      <c r="AC130" s="124"/>
      <c r="AD130" s="124"/>
    </row>
    <row r="131" spans="1:30" ht="18.75">
      <c r="A131" s="483"/>
      <c r="B131" s="244">
        <v>45177</v>
      </c>
      <c r="C131" s="245" t="s">
        <v>1069</v>
      </c>
      <c r="D131" s="236">
        <v>48000</v>
      </c>
      <c r="E131" s="236">
        <v>1603</v>
      </c>
      <c r="F131" s="236">
        <v>1282.56</v>
      </c>
      <c r="G131" s="235">
        <v>1098</v>
      </c>
      <c r="H131" s="237" t="s">
        <v>75</v>
      </c>
      <c r="I131" s="236">
        <v>3006</v>
      </c>
      <c r="J131" s="238">
        <v>6.3E-2</v>
      </c>
      <c r="K131" s="236" t="s">
        <v>1070</v>
      </c>
      <c r="L131" s="239">
        <v>549</v>
      </c>
      <c r="M131" s="236">
        <v>0</v>
      </c>
      <c r="N131" s="239"/>
      <c r="O131" s="236">
        <v>4.2</v>
      </c>
      <c r="P131" s="236">
        <v>3000</v>
      </c>
      <c r="Q131" s="236" t="s">
        <v>1071</v>
      </c>
      <c r="R131" s="245" t="s">
        <v>1072</v>
      </c>
      <c r="S131" s="265">
        <v>0.77</v>
      </c>
      <c r="T131" s="236" t="s">
        <v>1042</v>
      </c>
      <c r="U131" s="267">
        <v>-5027</v>
      </c>
      <c r="V131" s="236" t="s">
        <v>1073</v>
      </c>
      <c r="W131" s="236" t="s">
        <v>78</v>
      </c>
      <c r="X131" s="236" t="s">
        <v>1074</v>
      </c>
      <c r="Y131" s="52"/>
      <c r="Z131" s="52"/>
      <c r="AA131" s="124"/>
      <c r="AB131" s="124"/>
      <c r="AC131" s="243">
        <v>-5027</v>
      </c>
      <c r="AD131" s="124"/>
    </row>
    <row r="132" spans="1:30" ht="18.75">
      <c r="A132" s="487"/>
      <c r="B132" s="249">
        <v>45178</v>
      </c>
      <c r="C132" s="250" t="s">
        <v>1075</v>
      </c>
      <c r="D132" s="252">
        <v>30000</v>
      </c>
      <c r="E132" s="252">
        <v>1002</v>
      </c>
      <c r="F132" s="252">
        <v>801.6</v>
      </c>
      <c r="G132" s="252">
        <v>105</v>
      </c>
      <c r="H132" s="253" t="s">
        <v>75</v>
      </c>
      <c r="I132" s="252">
        <v>7950</v>
      </c>
      <c r="J132" s="238">
        <v>0.26500000000000001</v>
      </c>
      <c r="K132" s="252" t="s">
        <v>1076</v>
      </c>
      <c r="L132" s="231">
        <v>877</v>
      </c>
      <c r="M132" s="252" t="s">
        <v>1077</v>
      </c>
      <c r="N132" s="231">
        <v>864</v>
      </c>
      <c r="O132" s="252">
        <v>61400</v>
      </c>
      <c r="P132" s="252">
        <v>4385</v>
      </c>
      <c r="Q132" s="252" t="s">
        <v>1078</v>
      </c>
      <c r="R132" s="252" t="s">
        <v>1079</v>
      </c>
      <c r="S132" s="274">
        <v>0.65</v>
      </c>
      <c r="T132" s="252" t="s">
        <v>1042</v>
      </c>
      <c r="U132" s="276">
        <v>-25396</v>
      </c>
      <c r="V132" s="252" t="s">
        <v>1080</v>
      </c>
      <c r="W132" s="252" t="s">
        <v>78</v>
      </c>
      <c r="X132" s="236" t="s">
        <v>1081</v>
      </c>
      <c r="Y132" s="52"/>
      <c r="Z132" s="52"/>
      <c r="AA132" s="124"/>
      <c r="AB132" s="124"/>
      <c r="AC132" s="243">
        <v>-25396</v>
      </c>
      <c r="AD132" s="124"/>
    </row>
    <row r="133" spans="1:30" ht="18.75">
      <c r="A133" s="486" t="s">
        <v>29</v>
      </c>
      <c r="B133" s="244">
        <v>45200</v>
      </c>
      <c r="C133" s="245" t="s">
        <v>1082</v>
      </c>
      <c r="D133" s="235">
        <v>6180</v>
      </c>
      <c r="E133" s="236">
        <v>200</v>
      </c>
      <c r="F133" s="236">
        <v>160</v>
      </c>
      <c r="G133" s="236">
        <v>9</v>
      </c>
      <c r="H133" s="237" t="s">
        <v>75</v>
      </c>
      <c r="I133" s="236">
        <v>0</v>
      </c>
      <c r="J133" s="315">
        <v>0</v>
      </c>
      <c r="K133" s="236"/>
      <c r="L133" s="239"/>
      <c r="M133" s="236"/>
      <c r="N133" s="239"/>
      <c r="O133" s="236"/>
      <c r="P133" s="236"/>
      <c r="Q133" s="236"/>
      <c r="R133" s="236" t="s">
        <v>1083</v>
      </c>
      <c r="S133" s="265">
        <v>0.71</v>
      </c>
      <c r="T133" s="236" t="s">
        <v>1042</v>
      </c>
      <c r="U133" s="236">
        <v>-17.5</v>
      </c>
      <c r="V133" s="241" t="s">
        <v>1084</v>
      </c>
      <c r="W133" s="236" t="s">
        <v>78</v>
      </c>
      <c r="X133" s="287"/>
      <c r="Y133" s="52"/>
      <c r="Z133" s="52"/>
      <c r="AA133" s="124"/>
      <c r="AB133" s="124"/>
      <c r="AC133" s="243">
        <v>-17.5</v>
      </c>
      <c r="AD133" s="124"/>
    </row>
    <row r="134" spans="1:30" ht="18.75">
      <c r="A134" s="483"/>
      <c r="B134" s="244">
        <v>45201</v>
      </c>
      <c r="C134" s="245" t="s">
        <v>1085</v>
      </c>
      <c r="D134" s="235">
        <v>186463</v>
      </c>
      <c r="E134" s="235">
        <v>4987</v>
      </c>
      <c r="F134" s="235">
        <v>3990</v>
      </c>
      <c r="G134" s="235">
        <v>3818</v>
      </c>
      <c r="H134" s="237" t="s">
        <v>75</v>
      </c>
      <c r="I134" s="235">
        <v>1950</v>
      </c>
      <c r="J134" s="238">
        <v>0.01</v>
      </c>
      <c r="K134" s="236">
        <v>0</v>
      </c>
      <c r="L134" s="239"/>
      <c r="M134" s="236">
        <v>0</v>
      </c>
      <c r="N134" s="239"/>
      <c r="O134" s="236">
        <v>0</v>
      </c>
      <c r="P134" s="236">
        <v>0</v>
      </c>
      <c r="Q134" s="236" t="s">
        <v>455</v>
      </c>
      <c r="R134" s="236" t="s">
        <v>1086</v>
      </c>
      <c r="S134" s="265">
        <v>0.88</v>
      </c>
      <c r="T134" s="236" t="s">
        <v>1042</v>
      </c>
      <c r="U134" s="236">
        <v>-64650</v>
      </c>
      <c r="V134" s="266" t="s">
        <v>1087</v>
      </c>
      <c r="W134" s="236" t="s">
        <v>78</v>
      </c>
      <c r="X134" s="236"/>
      <c r="Y134" s="52"/>
      <c r="Z134" s="52"/>
      <c r="AA134" s="124"/>
      <c r="AB134" s="124"/>
      <c r="AC134" s="243">
        <v>-64650</v>
      </c>
      <c r="AD134" s="124"/>
    </row>
    <row r="135" spans="1:30" ht="18.75">
      <c r="A135" s="483"/>
      <c r="B135" s="244">
        <v>45202</v>
      </c>
      <c r="C135" s="245" t="s">
        <v>1088</v>
      </c>
      <c r="D135" s="235">
        <v>20300</v>
      </c>
      <c r="E135" s="235">
        <v>1712</v>
      </c>
      <c r="F135" s="235">
        <v>1370</v>
      </c>
      <c r="G135" s="236">
        <v>674</v>
      </c>
      <c r="H135" s="237" t="s">
        <v>75</v>
      </c>
      <c r="I135" s="235">
        <v>1307</v>
      </c>
      <c r="J135" s="238">
        <v>6.4000000000000001E-2</v>
      </c>
      <c r="K135" s="236"/>
      <c r="L135" s="239"/>
      <c r="M135" s="236"/>
      <c r="N135" s="239"/>
      <c r="O135" s="236"/>
      <c r="P135" s="236"/>
      <c r="Q135" s="236" t="s">
        <v>1089</v>
      </c>
      <c r="R135" s="236" t="s">
        <v>1090</v>
      </c>
      <c r="S135" s="265">
        <v>0.81</v>
      </c>
      <c r="T135" s="236" t="s">
        <v>1042</v>
      </c>
      <c r="U135" s="236">
        <v>0</v>
      </c>
      <c r="V135" s="266" t="s">
        <v>1091</v>
      </c>
      <c r="W135" s="236" t="s">
        <v>78</v>
      </c>
      <c r="X135" s="236"/>
      <c r="Y135" s="52"/>
      <c r="Z135" s="52"/>
      <c r="AA135" s="124"/>
      <c r="AB135" s="124"/>
      <c r="AC135" s="243">
        <v>0</v>
      </c>
      <c r="AD135" s="124"/>
    </row>
    <row r="136" spans="1:30" ht="18.75">
      <c r="A136" s="483"/>
      <c r="B136" s="244">
        <v>45203</v>
      </c>
      <c r="C136" s="245" t="s">
        <v>1092</v>
      </c>
      <c r="D136" s="235">
        <v>50570</v>
      </c>
      <c r="E136" s="235">
        <v>4235</v>
      </c>
      <c r="F136" s="235">
        <v>3388</v>
      </c>
      <c r="G136" s="236">
        <v>649</v>
      </c>
      <c r="H136" s="237" t="s">
        <v>75</v>
      </c>
      <c r="I136" s="235">
        <v>3933</v>
      </c>
      <c r="J136" s="238">
        <v>7.8E-2</v>
      </c>
      <c r="K136" s="236" t="s">
        <v>1093</v>
      </c>
      <c r="L136" s="239">
        <v>19</v>
      </c>
      <c r="M136" s="236" t="s">
        <v>1094</v>
      </c>
      <c r="N136" s="239">
        <v>3000</v>
      </c>
      <c r="O136" s="236">
        <v>186</v>
      </c>
      <c r="P136" s="236">
        <v>186</v>
      </c>
      <c r="Q136" s="236"/>
      <c r="R136" s="236" t="s">
        <v>1095</v>
      </c>
      <c r="S136" s="265">
        <v>0.76</v>
      </c>
      <c r="T136" s="236" t="s">
        <v>1042</v>
      </c>
      <c r="U136" s="236">
        <v>0</v>
      </c>
      <c r="V136" s="266" t="s">
        <v>1096</v>
      </c>
      <c r="W136" s="236" t="s">
        <v>78</v>
      </c>
      <c r="X136" s="236"/>
      <c r="Y136" s="52"/>
      <c r="Z136" s="52"/>
      <c r="AA136" s="124"/>
      <c r="AB136" s="124"/>
      <c r="AC136" s="243">
        <v>0</v>
      </c>
      <c r="AD136" s="124"/>
    </row>
    <row r="137" spans="1:30" ht="18.75">
      <c r="A137" s="483"/>
      <c r="B137" s="244">
        <v>45204</v>
      </c>
      <c r="C137" s="245" t="s">
        <v>1097</v>
      </c>
      <c r="D137" s="235">
        <v>40000</v>
      </c>
      <c r="E137" s="235">
        <v>2677</v>
      </c>
      <c r="F137" s="235">
        <v>2142</v>
      </c>
      <c r="G137" s="236">
        <v>402</v>
      </c>
      <c r="H137" s="237" t="s">
        <v>75</v>
      </c>
      <c r="I137" s="235">
        <v>5613</v>
      </c>
      <c r="J137" s="238">
        <v>0.14000000000000001</v>
      </c>
      <c r="K137" s="236" t="s">
        <v>1098</v>
      </c>
      <c r="L137" s="239">
        <v>209</v>
      </c>
      <c r="M137" s="236" t="s">
        <v>1099</v>
      </c>
      <c r="N137" s="239">
        <v>5107</v>
      </c>
      <c r="O137" s="236">
        <v>2200</v>
      </c>
      <c r="P137" s="236">
        <v>280</v>
      </c>
      <c r="Q137" s="236" t="s">
        <v>1100</v>
      </c>
      <c r="R137" s="236" t="s">
        <v>1101</v>
      </c>
      <c r="S137" s="265">
        <v>0.72</v>
      </c>
      <c r="T137" s="236" t="s">
        <v>1042</v>
      </c>
      <c r="U137" s="236">
        <v>-2793</v>
      </c>
      <c r="V137" s="266" t="s">
        <v>1102</v>
      </c>
      <c r="W137" s="236" t="s">
        <v>78</v>
      </c>
      <c r="X137" s="236"/>
      <c r="Y137" s="52"/>
      <c r="Z137" s="52"/>
      <c r="AA137" s="124"/>
      <c r="AB137" s="124"/>
      <c r="AC137" s="243">
        <v>-2793</v>
      </c>
      <c r="AD137" s="124"/>
    </row>
    <row r="138" spans="1:30" ht="18.75">
      <c r="A138" s="483"/>
      <c r="B138" s="244">
        <v>45205</v>
      </c>
      <c r="C138" s="245" t="s">
        <v>1103</v>
      </c>
      <c r="D138" s="235">
        <v>11076</v>
      </c>
      <c r="E138" s="236">
        <v>361</v>
      </c>
      <c r="F138" s="236">
        <v>289</v>
      </c>
      <c r="G138" s="236">
        <v>-306</v>
      </c>
      <c r="H138" s="237" t="s">
        <v>75</v>
      </c>
      <c r="I138" s="235">
        <v>3651</v>
      </c>
      <c r="J138" s="238">
        <v>0.33</v>
      </c>
      <c r="K138" s="236" t="s">
        <v>1104</v>
      </c>
      <c r="L138" s="239">
        <v>63</v>
      </c>
      <c r="M138" s="236" t="s">
        <v>1105</v>
      </c>
      <c r="N138" s="239">
        <v>6216</v>
      </c>
      <c r="O138" s="236">
        <v>2000</v>
      </c>
      <c r="P138" s="236">
        <v>145</v>
      </c>
      <c r="Q138" s="236" t="s">
        <v>1106</v>
      </c>
      <c r="R138" s="236" t="s">
        <v>1107</v>
      </c>
      <c r="S138" s="265">
        <v>0.77</v>
      </c>
      <c r="T138" s="236" t="s">
        <v>1042</v>
      </c>
      <c r="U138" s="236">
        <v>-0.11</v>
      </c>
      <c r="V138" s="266" t="s">
        <v>1108</v>
      </c>
      <c r="W138" s="236" t="s">
        <v>78</v>
      </c>
      <c r="X138" s="236"/>
      <c r="Y138" s="52"/>
      <c r="Z138" s="52"/>
      <c r="AA138" s="124"/>
      <c r="AB138" s="124"/>
      <c r="AC138" s="243">
        <v>-0.11</v>
      </c>
      <c r="AD138" s="124"/>
    </row>
    <row r="139" spans="1:30" ht="18.75">
      <c r="A139" s="483"/>
      <c r="B139" s="244">
        <v>45206</v>
      </c>
      <c r="C139" s="245" t="s">
        <v>1109</v>
      </c>
      <c r="D139" s="235">
        <v>12300</v>
      </c>
      <c r="E139" s="235">
        <v>2190</v>
      </c>
      <c r="F139" s="235">
        <v>1752</v>
      </c>
      <c r="G139" s="235">
        <v>2449</v>
      </c>
      <c r="H139" s="237" t="s">
        <v>75</v>
      </c>
      <c r="I139" s="235">
        <v>4198</v>
      </c>
      <c r="J139" s="238">
        <v>0.34100000000000003</v>
      </c>
      <c r="K139" s="236"/>
      <c r="L139" s="239"/>
      <c r="M139" s="236"/>
      <c r="N139" s="239"/>
      <c r="O139" s="236"/>
      <c r="P139" s="236"/>
      <c r="Q139" s="236" t="s">
        <v>1110</v>
      </c>
      <c r="R139" s="236" t="s">
        <v>1111</v>
      </c>
      <c r="S139" s="265">
        <v>0.78</v>
      </c>
      <c r="T139" s="236" t="s">
        <v>1042</v>
      </c>
      <c r="U139" s="236">
        <v>-46.2</v>
      </c>
      <c r="V139" s="266" t="s">
        <v>1091</v>
      </c>
      <c r="W139" s="236" t="s">
        <v>78</v>
      </c>
      <c r="X139" s="236"/>
      <c r="Y139" s="52"/>
      <c r="Z139" s="52"/>
      <c r="AA139" s="124"/>
      <c r="AB139" s="124"/>
      <c r="AC139" s="243">
        <v>-46.2</v>
      </c>
      <c r="AD139" s="124"/>
    </row>
    <row r="140" spans="1:30" ht="18.75">
      <c r="A140" s="483"/>
      <c r="B140" s="244">
        <v>45207</v>
      </c>
      <c r="C140" s="245" t="s">
        <v>1112</v>
      </c>
      <c r="D140" s="235">
        <v>8000</v>
      </c>
      <c r="E140" s="236">
        <v>267</v>
      </c>
      <c r="F140" s="236">
        <v>214</v>
      </c>
      <c r="G140" s="236">
        <v>322</v>
      </c>
      <c r="H140" s="375" t="s">
        <v>75</v>
      </c>
      <c r="I140" s="235">
        <v>1958</v>
      </c>
      <c r="J140" s="238">
        <v>0.245</v>
      </c>
      <c r="K140" s="236" t="s">
        <v>341</v>
      </c>
      <c r="L140" s="239"/>
      <c r="M140" s="236" t="s">
        <v>341</v>
      </c>
      <c r="N140" s="239"/>
      <c r="O140" s="236" t="s">
        <v>341</v>
      </c>
      <c r="P140" s="236" t="s">
        <v>341</v>
      </c>
      <c r="Q140" s="236" t="s">
        <v>1113</v>
      </c>
      <c r="R140" s="236" t="s">
        <v>1114</v>
      </c>
      <c r="S140" s="265">
        <v>0.81</v>
      </c>
      <c r="T140" s="267" t="s">
        <v>1042</v>
      </c>
      <c r="U140" s="267">
        <v>36.700000000000003</v>
      </c>
      <c r="V140" s="376" t="s">
        <v>1023</v>
      </c>
      <c r="W140" s="267" t="s">
        <v>78</v>
      </c>
      <c r="X140" s="236" t="s">
        <v>1115</v>
      </c>
      <c r="Y140" s="52"/>
      <c r="Z140" s="52"/>
      <c r="AA140" s="124"/>
      <c r="AB140" s="124"/>
      <c r="AC140" s="243">
        <v>36.700000000000003</v>
      </c>
      <c r="AD140" s="124"/>
    </row>
    <row r="141" spans="1:30" ht="18.75">
      <c r="A141" s="483"/>
      <c r="B141" s="244">
        <v>45208</v>
      </c>
      <c r="C141" s="245" t="s">
        <v>1116</v>
      </c>
      <c r="D141" s="235">
        <v>12106</v>
      </c>
      <c r="E141" s="236">
        <v>401</v>
      </c>
      <c r="F141" s="236">
        <v>321</v>
      </c>
      <c r="G141" s="236">
        <v>433</v>
      </c>
      <c r="H141" s="237" t="s">
        <v>75</v>
      </c>
      <c r="I141" s="235">
        <v>1298</v>
      </c>
      <c r="J141" s="238">
        <v>0.107</v>
      </c>
      <c r="K141" s="236" t="s">
        <v>341</v>
      </c>
      <c r="L141" s="239"/>
      <c r="M141" s="236" t="s">
        <v>341</v>
      </c>
      <c r="N141" s="239"/>
      <c r="O141" s="236" t="s">
        <v>341</v>
      </c>
      <c r="P141" s="236" t="s">
        <v>341</v>
      </c>
      <c r="Q141" s="236" t="s">
        <v>1106</v>
      </c>
      <c r="R141" s="236" t="s">
        <v>1117</v>
      </c>
      <c r="S141" s="265">
        <v>0.7</v>
      </c>
      <c r="T141" s="267" t="s">
        <v>1042</v>
      </c>
      <c r="U141" s="267">
        <v>0</v>
      </c>
      <c r="V141" s="376" t="s">
        <v>1118</v>
      </c>
      <c r="W141" s="267" t="s">
        <v>78</v>
      </c>
      <c r="X141" s="236"/>
      <c r="Y141" s="52"/>
      <c r="Z141" s="52"/>
      <c r="AA141" s="124"/>
      <c r="AB141" s="124"/>
      <c r="AC141" s="243">
        <v>0</v>
      </c>
      <c r="AD141" s="124"/>
    </row>
    <row r="142" spans="1:30" ht="18.75">
      <c r="A142" s="483"/>
      <c r="B142" s="244">
        <v>45209</v>
      </c>
      <c r="C142" s="245" t="s">
        <v>1119</v>
      </c>
      <c r="D142" s="235">
        <v>24929</v>
      </c>
      <c r="E142" s="236">
        <v>835</v>
      </c>
      <c r="F142" s="236">
        <v>668</v>
      </c>
      <c r="G142" s="236">
        <v>94</v>
      </c>
      <c r="H142" s="375" t="s">
        <v>75</v>
      </c>
      <c r="I142" s="235">
        <v>1075</v>
      </c>
      <c r="J142" s="238">
        <v>4.2999999999999997E-2</v>
      </c>
      <c r="K142" s="236" t="s">
        <v>344</v>
      </c>
      <c r="L142" s="239"/>
      <c r="M142" s="236" t="s">
        <v>1120</v>
      </c>
      <c r="N142" s="239">
        <v>2467</v>
      </c>
      <c r="O142" s="236">
        <v>185</v>
      </c>
      <c r="P142" s="236">
        <v>370</v>
      </c>
      <c r="Q142" s="236" t="s">
        <v>455</v>
      </c>
      <c r="R142" s="236" t="s">
        <v>1121</v>
      </c>
      <c r="S142" s="303">
        <v>0.73</v>
      </c>
      <c r="T142" s="267" t="s">
        <v>1042</v>
      </c>
      <c r="U142" s="267">
        <v>0</v>
      </c>
      <c r="V142" s="376" t="s">
        <v>1034</v>
      </c>
      <c r="W142" s="267" t="s">
        <v>78</v>
      </c>
      <c r="X142" s="236"/>
      <c r="Y142" s="52"/>
      <c r="Z142" s="52"/>
      <c r="AA142" s="124"/>
      <c r="AB142" s="124"/>
      <c r="AC142" s="243">
        <v>0</v>
      </c>
      <c r="AD142" s="124"/>
    </row>
    <row r="143" spans="1:30" ht="18.75">
      <c r="A143" s="483"/>
      <c r="B143" s="244">
        <v>45210</v>
      </c>
      <c r="C143" s="361" t="s">
        <v>1122</v>
      </c>
      <c r="D143" s="362">
        <v>47964</v>
      </c>
      <c r="E143" s="293">
        <v>1169</v>
      </c>
      <c r="F143" s="293">
        <v>935</v>
      </c>
      <c r="G143" s="293">
        <v>-864</v>
      </c>
      <c r="H143" s="377" t="s">
        <v>75</v>
      </c>
      <c r="I143" s="362">
        <v>3309</v>
      </c>
      <c r="J143" s="363">
        <v>6.9000000000000006E-2</v>
      </c>
      <c r="K143" s="293" t="s">
        <v>1123</v>
      </c>
      <c r="L143" s="294">
        <v>120</v>
      </c>
      <c r="M143" s="293" t="s">
        <v>1124</v>
      </c>
      <c r="N143" s="294">
        <v>22130</v>
      </c>
      <c r="O143" s="293">
        <v>4992</v>
      </c>
      <c r="P143" s="293">
        <v>600</v>
      </c>
      <c r="Q143" s="293" t="s">
        <v>344</v>
      </c>
      <c r="R143" s="293" t="s">
        <v>1125</v>
      </c>
      <c r="S143" s="364">
        <v>0.73</v>
      </c>
      <c r="T143" s="378" t="s">
        <v>1126</v>
      </c>
      <c r="U143" s="293"/>
      <c r="V143" s="379" t="s">
        <v>1127</v>
      </c>
      <c r="W143" s="293"/>
      <c r="X143" s="293" t="s">
        <v>1128</v>
      </c>
      <c r="Y143" s="52"/>
      <c r="Z143" s="52"/>
      <c r="AA143" s="124"/>
      <c r="AB143" s="124"/>
      <c r="AC143" s="124"/>
      <c r="AD143" s="124"/>
    </row>
    <row r="144" spans="1:30" ht="18.75">
      <c r="A144" s="487"/>
      <c r="B144" s="247">
        <v>45211</v>
      </c>
      <c r="C144" s="380" t="s">
        <v>1129</v>
      </c>
      <c r="D144" s="368">
        <v>36000</v>
      </c>
      <c r="E144" s="369">
        <v>80</v>
      </c>
      <c r="F144" s="369">
        <v>64</v>
      </c>
      <c r="G144" s="369">
        <v>64.14</v>
      </c>
      <c r="H144" s="369" t="s">
        <v>75</v>
      </c>
      <c r="I144" s="368">
        <v>2844</v>
      </c>
      <c r="J144" s="370">
        <v>9.0999999999999998E-2</v>
      </c>
      <c r="K144" s="369" t="s">
        <v>1130</v>
      </c>
      <c r="L144" s="381">
        <v>80</v>
      </c>
      <c r="M144" s="369" t="s">
        <v>1131</v>
      </c>
      <c r="N144" s="381">
        <v>2000</v>
      </c>
      <c r="O144" s="382">
        <v>20000</v>
      </c>
      <c r="P144" s="369">
        <v>420</v>
      </c>
      <c r="Q144" s="369" t="s">
        <v>455</v>
      </c>
      <c r="R144" s="369" t="s">
        <v>1132</v>
      </c>
      <c r="S144" s="373">
        <v>0.6</v>
      </c>
      <c r="T144" s="369" t="s">
        <v>1133</v>
      </c>
      <c r="U144" s="369" t="s">
        <v>1133</v>
      </c>
      <c r="V144" s="369"/>
      <c r="W144" s="369" t="s">
        <v>78</v>
      </c>
      <c r="X144" s="369" t="s">
        <v>1134</v>
      </c>
      <c r="Y144" s="52"/>
      <c r="Z144" s="52"/>
      <c r="AA144" s="124"/>
      <c r="AB144" s="124"/>
      <c r="AC144" s="124"/>
      <c r="AD144" s="124"/>
    </row>
    <row r="145" spans="1:30" ht="18.75">
      <c r="A145" s="486" t="s">
        <v>30</v>
      </c>
      <c r="B145" s="277">
        <v>45231</v>
      </c>
      <c r="C145" s="245" t="s">
        <v>1135</v>
      </c>
      <c r="D145" s="235">
        <v>11841</v>
      </c>
      <c r="E145" s="236">
        <v>424</v>
      </c>
      <c r="F145" s="236">
        <v>299</v>
      </c>
      <c r="G145" s="236">
        <v>8</v>
      </c>
      <c r="H145" s="237" t="s">
        <v>75</v>
      </c>
      <c r="I145" s="236">
        <v>626</v>
      </c>
      <c r="J145" s="238">
        <v>5.2999999999999999E-2</v>
      </c>
      <c r="K145" s="236">
        <v>0</v>
      </c>
      <c r="L145" s="316"/>
      <c r="M145" s="236">
        <v>0</v>
      </c>
      <c r="N145" s="316"/>
      <c r="O145" s="287">
        <v>0</v>
      </c>
      <c r="P145" s="236">
        <v>0</v>
      </c>
      <c r="Q145" s="236" t="s">
        <v>165</v>
      </c>
      <c r="R145" s="236" t="s">
        <v>1136</v>
      </c>
      <c r="S145" s="265">
        <v>0.51</v>
      </c>
      <c r="T145" s="236" t="s">
        <v>75</v>
      </c>
      <c r="U145" s="236">
        <v>0</v>
      </c>
      <c r="V145" s="383" t="s">
        <v>1137</v>
      </c>
      <c r="W145" s="384"/>
      <c r="X145" s="236" t="s">
        <v>1138</v>
      </c>
      <c r="Y145" s="52"/>
      <c r="Z145" s="52"/>
      <c r="AA145" s="124"/>
      <c r="AB145" s="124"/>
      <c r="AC145" s="243">
        <v>0</v>
      </c>
      <c r="AD145" s="124"/>
    </row>
    <row r="146" spans="1:30" ht="18.75">
      <c r="A146" s="483"/>
      <c r="B146" s="244">
        <v>45232</v>
      </c>
      <c r="C146" s="245" t="s">
        <v>1139</v>
      </c>
      <c r="D146" s="235">
        <v>9860</v>
      </c>
      <c r="E146" s="236">
        <v>394</v>
      </c>
      <c r="F146" s="236">
        <v>243</v>
      </c>
      <c r="G146" s="236">
        <v>172</v>
      </c>
      <c r="H146" s="237" t="s">
        <v>75</v>
      </c>
      <c r="I146" s="236">
        <v>767</v>
      </c>
      <c r="J146" s="238">
        <v>7.8E-2</v>
      </c>
      <c r="K146" s="236">
        <v>0</v>
      </c>
      <c r="L146" s="239"/>
      <c r="M146" s="236">
        <v>0</v>
      </c>
      <c r="N146" s="239"/>
      <c r="O146" s="236">
        <v>0</v>
      </c>
      <c r="P146" s="236">
        <v>0</v>
      </c>
      <c r="Q146" s="236" t="s">
        <v>1140</v>
      </c>
      <c r="R146" s="236" t="s">
        <v>1141</v>
      </c>
      <c r="S146" s="265">
        <v>0.76</v>
      </c>
      <c r="T146" s="236" t="s">
        <v>75</v>
      </c>
      <c r="U146" s="236">
        <v>0</v>
      </c>
      <c r="V146" s="383" t="s">
        <v>513</v>
      </c>
      <c r="W146" s="384"/>
      <c r="X146" s="236"/>
      <c r="Y146" s="52"/>
      <c r="Z146" s="52"/>
      <c r="AA146" s="124"/>
      <c r="AB146" s="124"/>
      <c r="AC146" s="243">
        <v>0</v>
      </c>
      <c r="AD146" s="124"/>
    </row>
    <row r="147" spans="1:30" ht="18.75">
      <c r="A147" s="483"/>
      <c r="B147" s="244">
        <v>45233</v>
      </c>
      <c r="C147" s="269" t="s">
        <v>1142</v>
      </c>
      <c r="D147" s="270">
        <v>36000</v>
      </c>
      <c r="E147" s="270">
        <v>1200</v>
      </c>
      <c r="F147" s="271">
        <v>832</v>
      </c>
      <c r="G147" s="271"/>
      <c r="H147" s="271" t="s">
        <v>78</v>
      </c>
      <c r="I147" s="271"/>
      <c r="J147" s="271"/>
      <c r="K147" s="271" t="s">
        <v>1143</v>
      </c>
      <c r="L147" s="271"/>
      <c r="M147" s="271">
        <v>0</v>
      </c>
      <c r="N147" s="271"/>
      <c r="O147" s="271">
        <v>23000</v>
      </c>
      <c r="P147" s="271">
        <v>0</v>
      </c>
      <c r="Q147" s="271" t="s">
        <v>1144</v>
      </c>
      <c r="R147" s="271" t="s">
        <v>1145</v>
      </c>
      <c r="S147" s="271"/>
      <c r="T147" s="271"/>
      <c r="U147" s="271"/>
      <c r="V147" s="385"/>
      <c r="W147" s="386"/>
      <c r="X147" s="387" t="s">
        <v>1146</v>
      </c>
      <c r="Y147" s="52"/>
      <c r="Z147" s="52"/>
      <c r="AA147" s="124"/>
      <c r="AB147" s="124"/>
      <c r="AC147" s="243">
        <v>0</v>
      </c>
      <c r="AD147" s="124"/>
    </row>
    <row r="148" spans="1:30" ht="18.75">
      <c r="A148" s="483"/>
      <c r="B148" s="244">
        <v>45234</v>
      </c>
      <c r="C148" s="245" t="s">
        <v>1147</v>
      </c>
      <c r="D148" s="235">
        <v>23000</v>
      </c>
      <c r="E148" s="236">
        <v>823</v>
      </c>
      <c r="F148" s="236">
        <v>580</v>
      </c>
      <c r="G148" s="236">
        <v>230</v>
      </c>
      <c r="H148" s="237" t="s">
        <v>75</v>
      </c>
      <c r="I148" s="235">
        <v>3378</v>
      </c>
      <c r="J148" s="238">
        <v>0.15</v>
      </c>
      <c r="K148" s="236"/>
      <c r="L148" s="239"/>
      <c r="M148" s="236"/>
      <c r="N148" s="239"/>
      <c r="O148" s="236"/>
      <c r="P148" s="236"/>
      <c r="Q148" s="236" t="s">
        <v>1148</v>
      </c>
      <c r="R148" s="236" t="s">
        <v>1149</v>
      </c>
      <c r="S148" s="265">
        <v>0.89</v>
      </c>
      <c r="T148" s="236" t="s">
        <v>78</v>
      </c>
      <c r="U148" s="236">
        <v>0</v>
      </c>
      <c r="V148" s="388" t="s">
        <v>1150</v>
      </c>
      <c r="W148" s="389" t="s">
        <v>75</v>
      </c>
      <c r="X148" s="236" t="s">
        <v>1151</v>
      </c>
      <c r="Y148" s="52"/>
      <c r="Z148" s="52"/>
      <c r="AA148" s="124"/>
      <c r="AB148" s="124"/>
      <c r="AC148" s="243">
        <v>0</v>
      </c>
      <c r="AD148" s="124"/>
    </row>
    <row r="149" spans="1:30" ht="18.75">
      <c r="A149" s="483"/>
      <c r="B149" s="244">
        <v>45235</v>
      </c>
      <c r="C149" s="245" t="s">
        <v>1152</v>
      </c>
      <c r="D149" s="235">
        <v>12000</v>
      </c>
      <c r="E149" s="236">
        <v>430</v>
      </c>
      <c r="F149" s="236">
        <v>303</v>
      </c>
      <c r="G149" s="236">
        <v>248</v>
      </c>
      <c r="H149" s="237" t="s">
        <v>75</v>
      </c>
      <c r="I149" s="235">
        <v>2911</v>
      </c>
      <c r="J149" s="238">
        <v>0.23200000000000001</v>
      </c>
      <c r="K149" s="236"/>
      <c r="L149" s="239"/>
      <c r="M149" s="236"/>
      <c r="N149" s="239"/>
      <c r="O149" s="236"/>
      <c r="P149" s="236"/>
      <c r="Q149" s="236" t="s">
        <v>1153</v>
      </c>
      <c r="R149" s="236" t="s">
        <v>1154</v>
      </c>
      <c r="S149" s="265">
        <v>0.85</v>
      </c>
      <c r="T149" s="236" t="s">
        <v>78</v>
      </c>
      <c r="U149" s="236">
        <v>0</v>
      </c>
      <c r="V149" s="388" t="s">
        <v>1150</v>
      </c>
      <c r="W149" s="389" t="s">
        <v>75</v>
      </c>
      <c r="X149" s="236" t="s">
        <v>1155</v>
      </c>
      <c r="Y149" s="52"/>
      <c r="Z149" s="52"/>
      <c r="AA149" s="124"/>
      <c r="AB149" s="124"/>
      <c r="AC149" s="243">
        <v>0</v>
      </c>
      <c r="AD149" s="124"/>
    </row>
    <row r="150" spans="1:30" ht="18.75">
      <c r="A150" s="483"/>
      <c r="B150" s="233">
        <v>45236</v>
      </c>
      <c r="C150" s="273" t="s">
        <v>1156</v>
      </c>
      <c r="D150" s="235">
        <v>34477</v>
      </c>
      <c r="E150" s="235">
        <v>1408</v>
      </c>
      <c r="F150" s="236">
        <v>992</v>
      </c>
      <c r="G150" s="236">
        <v>660</v>
      </c>
      <c r="H150" s="237" t="s">
        <v>75</v>
      </c>
      <c r="I150" s="235">
        <v>10000</v>
      </c>
      <c r="J150" s="238">
        <v>0.28999999999999998</v>
      </c>
      <c r="K150" s="236"/>
      <c r="L150" s="239"/>
      <c r="M150" s="236"/>
      <c r="N150" s="239"/>
      <c r="O150" s="236"/>
      <c r="P150" s="236"/>
      <c r="Q150" s="236" t="s">
        <v>1157</v>
      </c>
      <c r="R150" s="236" t="s">
        <v>1158</v>
      </c>
      <c r="S150" s="265">
        <v>0.82</v>
      </c>
      <c r="T150" s="236" t="s">
        <v>1053</v>
      </c>
      <c r="U150" s="236" t="s">
        <v>1053</v>
      </c>
      <c r="V150" s="388" t="s">
        <v>1159</v>
      </c>
      <c r="W150" s="390" t="s">
        <v>694</v>
      </c>
      <c r="X150" s="236" t="s">
        <v>1160</v>
      </c>
      <c r="Y150" s="124"/>
      <c r="Z150" s="52"/>
      <c r="AA150" s="124"/>
      <c r="AB150" s="52" t="s">
        <v>75</v>
      </c>
      <c r="AC150" s="124"/>
      <c r="AD150" s="124"/>
    </row>
    <row r="151" spans="1:30" ht="18.75">
      <c r="A151" s="487"/>
      <c r="B151" s="391">
        <v>45237</v>
      </c>
      <c r="C151" s="392" t="s">
        <v>1161</v>
      </c>
      <c r="D151" s="251">
        <v>25600</v>
      </c>
      <c r="E151" s="251">
        <v>2250</v>
      </c>
      <c r="F151" s="251">
        <v>1586</v>
      </c>
      <c r="G151" s="251">
        <v>1304</v>
      </c>
      <c r="H151" s="253" t="s">
        <v>75</v>
      </c>
      <c r="I151" s="251">
        <v>6300</v>
      </c>
      <c r="J151" s="254">
        <v>0.246</v>
      </c>
      <c r="K151" s="252"/>
      <c r="L151" s="231"/>
      <c r="M151" s="252"/>
      <c r="N151" s="231"/>
      <c r="O151" s="252"/>
      <c r="P151" s="252"/>
      <c r="Q151" s="252" t="s">
        <v>1162</v>
      </c>
      <c r="R151" s="252" t="s">
        <v>1158</v>
      </c>
      <c r="S151" s="274">
        <v>0.73</v>
      </c>
      <c r="T151" s="252" t="s">
        <v>75</v>
      </c>
      <c r="U151" s="252">
        <v>-480800</v>
      </c>
      <c r="V151" s="393" t="s">
        <v>1163</v>
      </c>
      <c r="W151" s="252" t="s">
        <v>694</v>
      </c>
      <c r="X151" s="252" t="s">
        <v>1164</v>
      </c>
      <c r="Y151" s="52"/>
      <c r="Z151" s="52"/>
      <c r="AA151" s="124"/>
      <c r="AB151" s="52" t="s">
        <v>75</v>
      </c>
      <c r="AC151" s="243">
        <v>-480800</v>
      </c>
      <c r="AD151" s="124"/>
    </row>
    <row r="152" spans="1:30" ht="18.75">
      <c r="A152" s="486" t="s">
        <v>31</v>
      </c>
      <c r="B152" s="244">
        <v>45261</v>
      </c>
      <c r="C152" s="245" t="s">
        <v>1165</v>
      </c>
      <c r="D152" s="235">
        <v>8800</v>
      </c>
      <c r="E152" s="236">
        <v>358</v>
      </c>
      <c r="F152" s="236">
        <v>286</v>
      </c>
      <c r="G152" s="236">
        <v>61</v>
      </c>
      <c r="H152" s="237" t="s">
        <v>75</v>
      </c>
      <c r="I152" s="236">
        <v>64</v>
      </c>
      <c r="J152" s="238">
        <v>8.0000000000000002E-3</v>
      </c>
      <c r="K152" s="236">
        <v>0</v>
      </c>
      <c r="L152" s="239"/>
      <c r="M152" s="236">
        <v>53</v>
      </c>
      <c r="N152" s="239">
        <v>53</v>
      </c>
      <c r="O152" s="236">
        <v>10</v>
      </c>
      <c r="P152" s="236">
        <v>10</v>
      </c>
      <c r="Q152" s="236" t="s">
        <v>1166</v>
      </c>
      <c r="R152" s="236" t="s">
        <v>1167</v>
      </c>
      <c r="S152" s="265">
        <v>0.78</v>
      </c>
      <c r="T152" s="236" t="s">
        <v>75</v>
      </c>
      <c r="U152" s="236">
        <v>-0.82699999999999996</v>
      </c>
      <c r="V152" s="236" t="s">
        <v>1168</v>
      </c>
      <c r="W152" s="267" t="s">
        <v>1169</v>
      </c>
      <c r="X152" s="236" t="s">
        <v>1170</v>
      </c>
      <c r="Y152" s="52"/>
      <c r="Z152" s="52"/>
      <c r="AA152" s="124"/>
      <c r="AB152" s="124"/>
      <c r="AC152" s="243">
        <v>-0.83</v>
      </c>
      <c r="AD152" s="124"/>
    </row>
    <row r="153" spans="1:30" ht="18.75">
      <c r="A153" s="483"/>
      <c r="B153" s="244">
        <v>45262</v>
      </c>
      <c r="C153" s="245" t="s">
        <v>1171</v>
      </c>
      <c r="D153" s="235">
        <v>21600</v>
      </c>
      <c r="E153" s="236">
        <v>852</v>
      </c>
      <c r="F153" s="236">
        <v>682</v>
      </c>
      <c r="G153" s="236">
        <v>819</v>
      </c>
      <c r="H153" s="237" t="s">
        <v>75</v>
      </c>
      <c r="I153" s="235">
        <v>12708</v>
      </c>
      <c r="J153" s="238">
        <v>0.58799999999999997</v>
      </c>
      <c r="K153" s="236">
        <v>0</v>
      </c>
      <c r="L153" s="239"/>
      <c r="M153" s="236">
        <v>0</v>
      </c>
      <c r="N153" s="239"/>
      <c r="O153" s="236">
        <v>0</v>
      </c>
      <c r="P153" s="236">
        <v>0</v>
      </c>
      <c r="Q153" s="236" t="s">
        <v>1172</v>
      </c>
      <c r="R153" s="236" t="s">
        <v>1173</v>
      </c>
      <c r="S153" s="265">
        <v>0.71</v>
      </c>
      <c r="T153" s="236" t="s">
        <v>75</v>
      </c>
      <c r="U153" s="236">
        <v>-2959</v>
      </c>
      <c r="V153" s="236" t="s">
        <v>1174</v>
      </c>
      <c r="W153" s="394" t="s">
        <v>1175</v>
      </c>
      <c r="X153" s="236" t="s">
        <v>1176</v>
      </c>
      <c r="Y153" s="52"/>
      <c r="Z153" s="52"/>
      <c r="AA153" s="124"/>
      <c r="AB153" s="124"/>
      <c r="AC153" s="243">
        <v>-2959</v>
      </c>
      <c r="AD153" s="124"/>
    </row>
    <row r="154" spans="1:30" ht="18.75">
      <c r="A154" s="483"/>
      <c r="B154" s="244">
        <v>45263</v>
      </c>
      <c r="C154" s="245" t="s">
        <v>1177</v>
      </c>
      <c r="D154" s="235">
        <v>23500</v>
      </c>
      <c r="E154" s="235">
        <v>1100</v>
      </c>
      <c r="F154" s="236">
        <v>880</v>
      </c>
      <c r="G154" s="236">
        <v>414</v>
      </c>
      <c r="H154" s="237" t="s">
        <v>75</v>
      </c>
      <c r="I154" s="236">
        <v>1056</v>
      </c>
      <c r="J154" s="238">
        <v>4.4999999999999998E-2</v>
      </c>
      <c r="K154" s="236">
        <v>0</v>
      </c>
      <c r="L154" s="239"/>
      <c r="M154" s="236">
        <v>0</v>
      </c>
      <c r="N154" s="239"/>
      <c r="O154" s="236">
        <v>0</v>
      </c>
      <c r="P154" s="236">
        <v>0</v>
      </c>
      <c r="Q154" s="236" t="s">
        <v>1178</v>
      </c>
      <c r="R154" s="236" t="s">
        <v>1179</v>
      </c>
      <c r="S154" s="265">
        <v>0.73</v>
      </c>
      <c r="T154" s="236" t="s">
        <v>78</v>
      </c>
      <c r="U154" s="236" t="s">
        <v>1180</v>
      </c>
      <c r="V154" s="267" t="s">
        <v>1181</v>
      </c>
      <c r="W154" s="394" t="s">
        <v>1182</v>
      </c>
      <c r="X154" s="236" t="s">
        <v>1183</v>
      </c>
      <c r="Y154" s="52"/>
      <c r="Z154" s="52"/>
      <c r="AA154" s="124"/>
      <c r="AB154" s="124"/>
      <c r="AC154" s="124"/>
      <c r="AD154" s="124"/>
    </row>
    <row r="155" spans="1:30" ht="18.75">
      <c r="A155" s="483"/>
      <c r="B155" s="244">
        <v>45264</v>
      </c>
      <c r="C155" s="245" t="s">
        <v>1184</v>
      </c>
      <c r="D155" s="235">
        <v>28856</v>
      </c>
      <c r="E155" s="235">
        <v>1033</v>
      </c>
      <c r="F155" s="236">
        <v>800</v>
      </c>
      <c r="G155" s="236">
        <v>678</v>
      </c>
      <c r="H155" s="237" t="s">
        <v>75</v>
      </c>
      <c r="I155" s="235">
        <v>1934</v>
      </c>
      <c r="J155" s="238">
        <v>6.7000000000000004E-2</v>
      </c>
      <c r="K155" s="236"/>
      <c r="L155" s="239"/>
      <c r="M155" s="236"/>
      <c r="N155" s="239"/>
      <c r="O155" s="236"/>
      <c r="P155" s="236"/>
      <c r="Q155" s="236" t="s">
        <v>1185</v>
      </c>
      <c r="R155" s="236" t="s">
        <v>1186</v>
      </c>
      <c r="S155" s="265">
        <v>0.73</v>
      </c>
      <c r="T155" s="236" t="s">
        <v>75</v>
      </c>
      <c r="U155" s="236">
        <v>-250404</v>
      </c>
      <c r="V155" s="236" t="s">
        <v>1187</v>
      </c>
      <c r="W155" s="394" t="s">
        <v>1188</v>
      </c>
      <c r="X155" s="236" t="s">
        <v>1189</v>
      </c>
      <c r="Y155" s="52"/>
      <c r="Z155" s="52"/>
      <c r="AA155" s="124"/>
      <c r="AB155" s="124"/>
      <c r="AC155" s="243">
        <v>-250404</v>
      </c>
      <c r="AD155" s="124"/>
    </row>
    <row r="156" spans="1:30" ht="18.75">
      <c r="A156" s="483"/>
      <c r="B156" s="244">
        <v>45265</v>
      </c>
      <c r="C156" s="245" t="s">
        <v>1190</v>
      </c>
      <c r="D156" s="235">
        <v>38589</v>
      </c>
      <c r="E156" s="235">
        <v>1396</v>
      </c>
      <c r="F156" s="235">
        <v>1117</v>
      </c>
      <c r="G156" s="236">
        <v>1763</v>
      </c>
      <c r="H156" s="237" t="s">
        <v>75</v>
      </c>
      <c r="I156" s="235">
        <v>2426</v>
      </c>
      <c r="J156" s="238">
        <v>6.3E-2</v>
      </c>
      <c r="K156" s="236"/>
      <c r="L156" s="239"/>
      <c r="M156" s="236"/>
      <c r="N156" s="239"/>
      <c r="O156" s="236"/>
      <c r="P156" s="236"/>
      <c r="Q156" s="236" t="s">
        <v>1191</v>
      </c>
      <c r="R156" s="236" t="s">
        <v>1192</v>
      </c>
      <c r="S156" s="265">
        <v>0.79</v>
      </c>
      <c r="T156" s="236" t="s">
        <v>75</v>
      </c>
      <c r="U156" s="236">
        <v>-293728</v>
      </c>
      <c r="V156" s="236" t="s">
        <v>1193</v>
      </c>
      <c r="W156" s="394" t="s">
        <v>1194</v>
      </c>
      <c r="X156" s="236" t="s">
        <v>1195</v>
      </c>
      <c r="Y156" s="52"/>
      <c r="Z156" s="52"/>
      <c r="AA156" s="124"/>
      <c r="AB156" s="124"/>
      <c r="AC156" s="243">
        <v>-293728</v>
      </c>
      <c r="AD156" s="124"/>
    </row>
    <row r="157" spans="1:30" ht="18.75">
      <c r="A157" s="483"/>
      <c r="B157" s="244">
        <v>45266</v>
      </c>
      <c r="C157" s="245" t="s">
        <v>1196</v>
      </c>
      <c r="D157" s="235">
        <v>14038</v>
      </c>
      <c r="E157" s="236">
        <v>430</v>
      </c>
      <c r="F157" s="236">
        <v>125</v>
      </c>
      <c r="G157" s="236">
        <v>7</v>
      </c>
      <c r="H157" s="237" t="s">
        <v>75</v>
      </c>
      <c r="I157" s="236">
        <v>90</v>
      </c>
      <c r="J157" s="238">
        <v>6.0000000000000001E-3</v>
      </c>
      <c r="K157" s="236"/>
      <c r="L157" s="239"/>
      <c r="M157" s="236"/>
      <c r="N157" s="239"/>
      <c r="O157" s="236"/>
      <c r="P157" s="236"/>
      <c r="Q157" s="236"/>
      <c r="R157" s="245" t="s">
        <v>1197</v>
      </c>
      <c r="S157" s="265">
        <v>0.53</v>
      </c>
      <c r="T157" s="236" t="s">
        <v>75</v>
      </c>
      <c r="U157" s="236">
        <v>-4100</v>
      </c>
      <c r="V157" s="236" t="s">
        <v>1198</v>
      </c>
      <c r="W157" s="267" t="s">
        <v>1199</v>
      </c>
      <c r="X157" s="245" t="s">
        <v>1200</v>
      </c>
      <c r="Y157" s="52"/>
      <c r="Z157" s="52"/>
      <c r="AA157" s="124"/>
      <c r="AB157" s="124"/>
      <c r="AC157" s="243">
        <v>-4100</v>
      </c>
      <c r="AD157" s="124"/>
    </row>
    <row r="158" spans="1:30" ht="18.75">
      <c r="A158" s="483"/>
      <c r="B158" s="244">
        <v>45267</v>
      </c>
      <c r="C158" s="245" t="s">
        <v>1201</v>
      </c>
      <c r="D158" s="235">
        <v>50000</v>
      </c>
      <c r="E158" s="235">
        <v>1790</v>
      </c>
      <c r="F158" s="235">
        <v>1432</v>
      </c>
      <c r="G158" s="236">
        <v>850</v>
      </c>
      <c r="H158" s="237" t="s">
        <v>75</v>
      </c>
      <c r="I158" s="235">
        <v>2484</v>
      </c>
      <c r="J158" s="238">
        <v>0.05</v>
      </c>
      <c r="K158" s="236"/>
      <c r="L158" s="239"/>
      <c r="M158" s="236"/>
      <c r="N158" s="239"/>
      <c r="O158" s="236"/>
      <c r="P158" s="236"/>
      <c r="Q158" s="236" t="s">
        <v>455</v>
      </c>
      <c r="R158" s="245" t="s">
        <v>1202</v>
      </c>
      <c r="S158" s="265">
        <v>0.79</v>
      </c>
      <c r="T158" s="236" t="s">
        <v>78</v>
      </c>
      <c r="U158" s="236" t="s">
        <v>1180</v>
      </c>
      <c r="V158" s="236" t="s">
        <v>1203</v>
      </c>
      <c r="W158" s="394" t="s">
        <v>1204</v>
      </c>
      <c r="X158" s="236" t="s">
        <v>1205</v>
      </c>
      <c r="Y158" s="52"/>
      <c r="Z158" s="52"/>
      <c r="AA158" s="124"/>
      <c r="AB158" s="124"/>
      <c r="AC158" s="124"/>
      <c r="AD158" s="124"/>
    </row>
    <row r="159" spans="1:30" ht="18.75">
      <c r="A159" s="483"/>
      <c r="B159" s="244">
        <v>45268</v>
      </c>
      <c r="C159" s="245" t="s">
        <v>1206</v>
      </c>
      <c r="D159" s="235">
        <v>4957</v>
      </c>
      <c r="E159" s="236">
        <v>215</v>
      </c>
      <c r="F159" s="236">
        <v>172</v>
      </c>
      <c r="G159" s="236">
        <v>43</v>
      </c>
      <c r="H159" s="237" t="s">
        <v>75</v>
      </c>
      <c r="I159" s="236">
        <v>374</v>
      </c>
      <c r="J159" s="238">
        <v>7.4999999999999997E-2</v>
      </c>
      <c r="K159" s="236"/>
      <c r="L159" s="239"/>
      <c r="M159" s="236"/>
      <c r="N159" s="239"/>
      <c r="O159" s="236"/>
      <c r="P159" s="236"/>
      <c r="Q159" s="236" t="s">
        <v>1207</v>
      </c>
      <c r="R159" s="236" t="s">
        <v>1208</v>
      </c>
      <c r="S159" s="265">
        <v>0.7</v>
      </c>
      <c r="T159" s="236" t="s">
        <v>75</v>
      </c>
      <c r="U159" s="236">
        <v>-42900</v>
      </c>
      <c r="V159" s="236" t="s">
        <v>1209</v>
      </c>
      <c r="W159" s="394" t="s">
        <v>1169</v>
      </c>
      <c r="X159" s="236" t="s">
        <v>1210</v>
      </c>
      <c r="Y159" s="52"/>
      <c r="Z159" s="52"/>
      <c r="AA159" s="124"/>
      <c r="AB159" s="124"/>
      <c r="AC159" s="243">
        <v>-42900</v>
      </c>
      <c r="AD159" s="124"/>
    </row>
    <row r="160" spans="1:30" ht="18.75">
      <c r="A160" s="483"/>
      <c r="B160" s="244">
        <v>45269</v>
      </c>
      <c r="C160" s="245" t="s">
        <v>1211</v>
      </c>
      <c r="D160" s="235">
        <v>7373</v>
      </c>
      <c r="E160" s="236">
        <v>175</v>
      </c>
      <c r="F160" s="236">
        <v>140</v>
      </c>
      <c r="G160" s="236">
        <v>39</v>
      </c>
      <c r="H160" s="237" t="s">
        <v>75</v>
      </c>
      <c r="I160" s="235">
        <v>1983</v>
      </c>
      <c r="J160" s="265">
        <v>0.27</v>
      </c>
      <c r="K160" s="236"/>
      <c r="L160" s="239"/>
      <c r="M160" s="236"/>
      <c r="N160" s="239"/>
      <c r="O160" s="236"/>
      <c r="P160" s="236"/>
      <c r="Q160" s="236" t="s">
        <v>1212</v>
      </c>
      <c r="R160" s="236" t="s">
        <v>1213</v>
      </c>
      <c r="S160" s="265">
        <v>0.77</v>
      </c>
      <c r="T160" s="236" t="s">
        <v>78</v>
      </c>
      <c r="U160" s="236" t="s">
        <v>1180</v>
      </c>
      <c r="V160" s="236" t="s">
        <v>1214</v>
      </c>
      <c r="W160" s="394" t="s">
        <v>1215</v>
      </c>
      <c r="X160" s="236" t="s">
        <v>1216</v>
      </c>
      <c r="Y160" s="52"/>
      <c r="Z160" s="52"/>
      <c r="AA160" s="124"/>
      <c r="AB160" s="124"/>
      <c r="AC160" s="124"/>
      <c r="AD160" s="124"/>
    </row>
    <row r="161" spans="1:30" ht="18.75">
      <c r="A161" s="483"/>
      <c r="B161" s="244">
        <v>45270</v>
      </c>
      <c r="C161" s="245" t="s">
        <v>1217</v>
      </c>
      <c r="D161" s="235">
        <v>6983</v>
      </c>
      <c r="E161" s="236">
        <v>251</v>
      </c>
      <c r="F161" s="236">
        <v>201</v>
      </c>
      <c r="G161" s="267">
        <v>-127</v>
      </c>
      <c r="H161" s="237" t="s">
        <v>75</v>
      </c>
      <c r="I161" s="236">
        <v>405</v>
      </c>
      <c r="J161" s="238">
        <v>5.8000000000000003E-2</v>
      </c>
      <c r="K161" s="236">
        <v>0</v>
      </c>
      <c r="L161" s="239"/>
      <c r="M161" s="236" t="s">
        <v>1218</v>
      </c>
      <c r="N161" s="239">
        <v>2700</v>
      </c>
      <c r="O161" s="236">
        <v>450</v>
      </c>
      <c r="P161" s="236"/>
      <c r="Q161" s="236"/>
      <c r="R161" s="236" t="s">
        <v>1219</v>
      </c>
      <c r="S161" s="265">
        <v>0.64</v>
      </c>
      <c r="T161" s="236" t="s">
        <v>75</v>
      </c>
      <c r="U161" s="236">
        <v>-1.0860000000000001</v>
      </c>
      <c r="V161" s="236" t="s">
        <v>1220</v>
      </c>
      <c r="W161" s="236" t="s">
        <v>1221</v>
      </c>
      <c r="X161" s="236" t="s">
        <v>1222</v>
      </c>
      <c r="Y161" s="52"/>
      <c r="Z161" s="52"/>
      <c r="AA161" s="124"/>
      <c r="AB161" s="124"/>
      <c r="AC161" s="243">
        <v>-1.0900000000000001</v>
      </c>
      <c r="AD161" s="124"/>
    </row>
    <row r="162" spans="1:30" ht="18.75">
      <c r="A162" s="487"/>
      <c r="B162" s="249">
        <v>45271</v>
      </c>
      <c r="C162" s="250" t="s">
        <v>1223</v>
      </c>
      <c r="D162" s="251">
        <v>20196</v>
      </c>
      <c r="E162" s="252">
        <v>716</v>
      </c>
      <c r="F162" s="252">
        <v>573</v>
      </c>
      <c r="G162" s="252">
        <v>210</v>
      </c>
      <c r="H162" s="253" t="s">
        <v>75</v>
      </c>
      <c r="I162" s="251">
        <v>1127</v>
      </c>
      <c r="J162" s="254">
        <v>5.6000000000000001E-2</v>
      </c>
      <c r="K162" s="252" t="s">
        <v>1224</v>
      </c>
      <c r="L162" s="231">
        <v>110</v>
      </c>
      <c r="M162" s="252">
        <v>0</v>
      </c>
      <c r="N162" s="231"/>
      <c r="O162" s="252">
        <v>2880</v>
      </c>
      <c r="P162" s="252"/>
      <c r="Q162" s="252" t="s">
        <v>1225</v>
      </c>
      <c r="R162" s="252" t="s">
        <v>1226</v>
      </c>
      <c r="S162" s="274">
        <v>0.7</v>
      </c>
      <c r="T162" s="252" t="s">
        <v>75</v>
      </c>
      <c r="U162" s="252">
        <v>-0.62</v>
      </c>
      <c r="V162" s="252" t="s">
        <v>1227</v>
      </c>
      <c r="W162" s="252" t="s">
        <v>1221</v>
      </c>
      <c r="X162" s="252" t="s">
        <v>694</v>
      </c>
      <c r="Y162" s="52"/>
      <c r="Z162" s="52"/>
      <c r="AA162" s="124"/>
      <c r="AB162" s="124"/>
      <c r="AC162" s="243">
        <v>-0.62</v>
      </c>
      <c r="AD162" s="124"/>
    </row>
    <row r="163" spans="1:30" ht="18.75">
      <c r="A163" s="486" t="s">
        <v>32</v>
      </c>
      <c r="B163" s="390" t="s">
        <v>425</v>
      </c>
      <c r="C163" s="245" t="s">
        <v>1228</v>
      </c>
      <c r="D163" s="235">
        <v>6660</v>
      </c>
      <c r="E163" s="236">
        <v>238</v>
      </c>
      <c r="F163" s="236">
        <v>120</v>
      </c>
      <c r="G163" s="236">
        <v>73</v>
      </c>
      <c r="H163" s="237" t="s">
        <v>75</v>
      </c>
      <c r="I163" s="236">
        <v>580</v>
      </c>
      <c r="J163" s="238">
        <v>8.6999999999999994E-2</v>
      </c>
      <c r="K163" s="236"/>
      <c r="L163" s="239"/>
      <c r="M163" s="236"/>
      <c r="N163" s="239"/>
      <c r="O163" s="236">
        <v>0</v>
      </c>
      <c r="P163" s="236">
        <v>0</v>
      </c>
      <c r="Q163" s="236"/>
      <c r="R163" s="236" t="s">
        <v>1229</v>
      </c>
      <c r="S163" s="265">
        <v>0.79</v>
      </c>
      <c r="T163" s="236" t="s">
        <v>75</v>
      </c>
      <c r="U163" s="236">
        <v>0</v>
      </c>
      <c r="V163" s="241" t="s">
        <v>1230</v>
      </c>
      <c r="W163" s="236" t="s">
        <v>75</v>
      </c>
      <c r="X163" s="245" t="s">
        <v>1231</v>
      </c>
      <c r="Y163" s="52"/>
      <c r="Z163" s="52"/>
      <c r="AA163" s="124"/>
      <c r="AB163" s="124"/>
      <c r="AC163" s="243">
        <v>0</v>
      </c>
      <c r="AD163" s="124"/>
    </row>
    <row r="164" spans="1:30" ht="18.75">
      <c r="A164" s="483"/>
      <c r="B164" s="390" t="s">
        <v>429</v>
      </c>
      <c r="C164" s="245" t="s">
        <v>1232</v>
      </c>
      <c r="D164" s="235">
        <v>31700</v>
      </c>
      <c r="E164" s="235">
        <v>1135</v>
      </c>
      <c r="F164" s="236">
        <v>277</v>
      </c>
      <c r="G164" s="236">
        <v>-98</v>
      </c>
      <c r="H164" s="237" t="s">
        <v>75</v>
      </c>
      <c r="I164" s="235">
        <v>6648</v>
      </c>
      <c r="J164" s="238">
        <v>0.21</v>
      </c>
      <c r="K164" s="235">
        <v>9777</v>
      </c>
      <c r="L164" s="395">
        <v>9777</v>
      </c>
      <c r="M164" s="235">
        <v>29331</v>
      </c>
      <c r="N164" s="395">
        <v>29331</v>
      </c>
      <c r="O164" s="235">
        <v>9777</v>
      </c>
      <c r="P164" s="236" t="s">
        <v>165</v>
      </c>
      <c r="Q164" s="236" t="s">
        <v>434</v>
      </c>
      <c r="R164" s="245" t="s">
        <v>1233</v>
      </c>
      <c r="S164" s="265">
        <v>0.86</v>
      </c>
      <c r="T164" s="236" t="s">
        <v>75</v>
      </c>
      <c r="U164" s="236">
        <v>0</v>
      </c>
      <c r="V164" s="241" t="s">
        <v>861</v>
      </c>
      <c r="W164" s="236" t="s">
        <v>75</v>
      </c>
      <c r="X164" s="245" t="s">
        <v>1234</v>
      </c>
      <c r="Y164" s="52"/>
      <c r="Z164" s="52"/>
      <c r="AA164" s="124"/>
      <c r="AB164" s="124"/>
      <c r="AC164" s="243">
        <v>0</v>
      </c>
      <c r="AD164" s="124"/>
    </row>
    <row r="165" spans="1:30" ht="18.75">
      <c r="A165" s="483"/>
      <c r="B165" s="390" t="s">
        <v>432</v>
      </c>
      <c r="C165" s="245" t="s">
        <v>1235</v>
      </c>
      <c r="D165" s="235">
        <v>28960</v>
      </c>
      <c r="E165" s="235">
        <v>1037</v>
      </c>
      <c r="F165" s="236">
        <v>630</v>
      </c>
      <c r="G165" s="236">
        <v>297</v>
      </c>
      <c r="H165" s="237" t="s">
        <v>75</v>
      </c>
      <c r="I165" s="235">
        <v>1661</v>
      </c>
      <c r="J165" s="238">
        <v>5.7000000000000002E-2</v>
      </c>
      <c r="K165" s="236">
        <v>15</v>
      </c>
      <c r="L165" s="239">
        <v>15</v>
      </c>
      <c r="M165" s="236">
        <v>400</v>
      </c>
      <c r="N165" s="239">
        <v>400</v>
      </c>
      <c r="O165" s="236">
        <v>0.02</v>
      </c>
      <c r="P165" s="236">
        <v>200</v>
      </c>
      <c r="Q165" s="236" t="s">
        <v>1236</v>
      </c>
      <c r="R165" s="245" t="s">
        <v>1237</v>
      </c>
      <c r="S165" s="265">
        <v>0.82</v>
      </c>
      <c r="T165" s="236" t="s">
        <v>75</v>
      </c>
      <c r="U165" s="236">
        <v>0</v>
      </c>
      <c r="V165" s="241" t="s">
        <v>1238</v>
      </c>
      <c r="W165" s="236" t="s">
        <v>75</v>
      </c>
      <c r="X165" s="245" t="s">
        <v>1239</v>
      </c>
      <c r="Y165" s="52"/>
      <c r="Z165" s="52"/>
      <c r="AA165" s="124"/>
      <c r="AB165" s="124"/>
      <c r="AC165" s="243">
        <v>0</v>
      </c>
      <c r="AD165" s="124"/>
    </row>
    <row r="166" spans="1:30" ht="18.75">
      <c r="A166" s="483"/>
      <c r="B166" s="390" t="s">
        <v>1240</v>
      </c>
      <c r="C166" s="245" t="s">
        <v>1241</v>
      </c>
      <c r="D166" s="235">
        <v>15000</v>
      </c>
      <c r="E166" s="236">
        <v>537</v>
      </c>
      <c r="F166" s="236">
        <v>430</v>
      </c>
      <c r="G166" s="267">
        <v>-56</v>
      </c>
      <c r="H166" s="237" t="s">
        <v>75</v>
      </c>
      <c r="I166" s="235">
        <v>8879</v>
      </c>
      <c r="J166" s="238">
        <v>0.50600000000000001</v>
      </c>
      <c r="K166" s="236">
        <v>10</v>
      </c>
      <c r="L166" s="239">
        <v>10</v>
      </c>
      <c r="M166" s="236">
        <v>30</v>
      </c>
      <c r="N166" s="239">
        <v>30</v>
      </c>
      <c r="O166" s="236">
        <v>0.02</v>
      </c>
      <c r="P166" s="236">
        <v>200</v>
      </c>
      <c r="Q166" s="236" t="s">
        <v>1236</v>
      </c>
      <c r="R166" s="245" t="s">
        <v>1242</v>
      </c>
      <c r="S166" s="265">
        <v>0.78</v>
      </c>
      <c r="T166" s="245"/>
      <c r="U166" s="236" t="s">
        <v>1053</v>
      </c>
      <c r="V166" s="241" t="s">
        <v>1243</v>
      </c>
      <c r="W166" s="236" t="s">
        <v>75</v>
      </c>
      <c r="X166" s="245" t="s">
        <v>1244</v>
      </c>
      <c r="Y166" s="52"/>
      <c r="Z166" s="52"/>
      <c r="AA166" s="124"/>
      <c r="AB166" s="124"/>
      <c r="AC166" s="124"/>
      <c r="AD166" s="124"/>
    </row>
    <row r="167" spans="1:30" ht="18.75">
      <c r="A167" s="483"/>
      <c r="B167" s="390" t="s">
        <v>1245</v>
      </c>
      <c r="C167" s="245" t="s">
        <v>1246</v>
      </c>
      <c r="D167" s="235">
        <v>15000</v>
      </c>
      <c r="E167" s="236">
        <v>537</v>
      </c>
      <c r="F167" s="236">
        <v>430</v>
      </c>
      <c r="G167" s="236">
        <v>388</v>
      </c>
      <c r="H167" s="237" t="s">
        <v>75</v>
      </c>
      <c r="I167" s="235">
        <v>10500</v>
      </c>
      <c r="J167" s="238">
        <v>0.7</v>
      </c>
      <c r="K167" s="236">
        <v>0</v>
      </c>
      <c r="L167" s="239"/>
      <c r="M167" s="236">
        <v>0</v>
      </c>
      <c r="N167" s="239"/>
      <c r="O167" s="236">
        <v>0</v>
      </c>
      <c r="P167" s="236">
        <v>0</v>
      </c>
      <c r="Q167" s="236" t="s">
        <v>1247</v>
      </c>
      <c r="R167" s="245" t="s">
        <v>1248</v>
      </c>
      <c r="S167" s="265">
        <v>0.99</v>
      </c>
      <c r="T167" s="236" t="s">
        <v>75</v>
      </c>
      <c r="U167" s="236">
        <v>0</v>
      </c>
      <c r="V167" s="396" t="s">
        <v>1249</v>
      </c>
      <c r="W167" s="236" t="s">
        <v>75</v>
      </c>
      <c r="X167" s="245" t="s">
        <v>1250</v>
      </c>
      <c r="Y167" s="52"/>
      <c r="Z167" s="52"/>
      <c r="AA167" s="124"/>
      <c r="AB167" s="124"/>
      <c r="AC167" s="243">
        <v>0</v>
      </c>
      <c r="AD167" s="124"/>
    </row>
    <row r="168" spans="1:30" ht="18.75">
      <c r="A168" s="483"/>
      <c r="B168" s="390" t="s">
        <v>436</v>
      </c>
      <c r="C168" s="245" t="s">
        <v>1251</v>
      </c>
      <c r="D168" s="235">
        <v>15000</v>
      </c>
      <c r="E168" s="236">
        <v>769</v>
      </c>
      <c r="F168" s="236">
        <v>427</v>
      </c>
      <c r="G168" s="236">
        <v>769</v>
      </c>
      <c r="H168" s="237" t="s">
        <v>75</v>
      </c>
      <c r="I168" s="235">
        <v>9824</v>
      </c>
      <c r="J168" s="238">
        <v>0.65900000000000003</v>
      </c>
      <c r="K168" s="236">
        <v>0</v>
      </c>
      <c r="L168" s="239"/>
      <c r="M168" s="236">
        <v>0</v>
      </c>
      <c r="N168" s="239"/>
      <c r="O168" s="236">
        <v>0</v>
      </c>
      <c r="P168" s="236">
        <v>0</v>
      </c>
      <c r="Q168" s="236" t="s">
        <v>1252</v>
      </c>
      <c r="R168" s="245" t="s">
        <v>1253</v>
      </c>
      <c r="S168" s="265">
        <v>0.91</v>
      </c>
      <c r="T168" s="267" t="s">
        <v>75</v>
      </c>
      <c r="U168" s="267">
        <v>475</v>
      </c>
      <c r="V168" s="241" t="s">
        <v>963</v>
      </c>
      <c r="W168" s="236" t="s">
        <v>75</v>
      </c>
      <c r="X168" s="245" t="s">
        <v>1254</v>
      </c>
      <c r="Y168" s="52"/>
      <c r="Z168" s="52"/>
      <c r="AA168" s="124"/>
      <c r="AB168" s="124"/>
      <c r="AC168" s="243">
        <v>475</v>
      </c>
      <c r="AD168" s="124"/>
    </row>
    <row r="169" spans="1:30" ht="18.75">
      <c r="A169" s="483"/>
      <c r="B169" s="390" t="s">
        <v>439</v>
      </c>
      <c r="C169" s="269" t="s">
        <v>430</v>
      </c>
      <c r="D169" s="270">
        <v>9100</v>
      </c>
      <c r="E169" s="271">
        <v>326</v>
      </c>
      <c r="F169" s="271">
        <v>261</v>
      </c>
      <c r="G169" s="271"/>
      <c r="H169" s="271" t="s">
        <v>78</v>
      </c>
      <c r="I169" s="271"/>
      <c r="J169" s="271"/>
      <c r="K169" s="271"/>
      <c r="L169" s="271"/>
      <c r="M169" s="271"/>
      <c r="N169" s="271"/>
      <c r="O169" s="271"/>
      <c r="P169" s="271"/>
      <c r="Q169" s="271"/>
      <c r="R169" s="271" t="s">
        <v>431</v>
      </c>
      <c r="S169" s="271"/>
      <c r="T169" s="269"/>
      <c r="U169" s="271" t="s">
        <v>1053</v>
      </c>
      <c r="V169" s="397" t="s">
        <v>1255</v>
      </c>
      <c r="W169" s="271"/>
      <c r="X169" s="269" t="s">
        <v>1256</v>
      </c>
      <c r="Y169" s="52"/>
      <c r="Z169" s="52"/>
      <c r="AA169" s="124"/>
      <c r="AB169" s="124"/>
      <c r="AC169" s="124"/>
      <c r="AD169" s="124"/>
    </row>
    <row r="170" spans="1:30" ht="18.75">
      <c r="A170" s="483"/>
      <c r="B170" s="390" t="s">
        <v>441</v>
      </c>
      <c r="C170" s="245" t="s">
        <v>1257</v>
      </c>
      <c r="D170" s="235">
        <v>12250</v>
      </c>
      <c r="E170" s="236">
        <v>895</v>
      </c>
      <c r="F170" s="236">
        <v>716</v>
      </c>
      <c r="G170" s="267">
        <v>-20</v>
      </c>
      <c r="H170" s="267" t="s">
        <v>75</v>
      </c>
      <c r="I170" s="296">
        <v>2720</v>
      </c>
      <c r="J170" s="297">
        <v>0.222</v>
      </c>
      <c r="K170" s="236">
        <v>1400</v>
      </c>
      <c r="L170" s="239">
        <v>1400</v>
      </c>
      <c r="M170" s="236">
        <v>4200</v>
      </c>
      <c r="N170" s="239">
        <v>4200</v>
      </c>
      <c r="O170" s="236">
        <v>1400</v>
      </c>
      <c r="P170" s="236"/>
      <c r="Q170" s="236" t="s">
        <v>434</v>
      </c>
      <c r="R170" s="245" t="s">
        <v>435</v>
      </c>
      <c r="S170" s="352">
        <v>0.82</v>
      </c>
      <c r="T170" s="267" t="s">
        <v>1053</v>
      </c>
      <c r="U170" s="236" t="s">
        <v>1053</v>
      </c>
      <c r="V170" s="241" t="s">
        <v>1258</v>
      </c>
      <c r="W170" s="236" t="s">
        <v>75</v>
      </c>
      <c r="X170" s="245" t="s">
        <v>1259</v>
      </c>
      <c r="Y170" s="52"/>
      <c r="Z170" s="52"/>
      <c r="AA170" s="124"/>
      <c r="AB170" s="124"/>
      <c r="AC170" s="124"/>
      <c r="AD170" s="124"/>
    </row>
    <row r="171" spans="1:30" ht="18.75">
      <c r="A171" s="483"/>
      <c r="B171" s="390" t="s">
        <v>445</v>
      </c>
      <c r="C171" s="269" t="s">
        <v>426</v>
      </c>
      <c r="D171" s="270">
        <v>21000</v>
      </c>
      <c r="E171" s="271">
        <v>752</v>
      </c>
      <c r="F171" s="271">
        <v>601</v>
      </c>
      <c r="G171" s="271"/>
      <c r="H171" s="271" t="s">
        <v>78</v>
      </c>
      <c r="I171" s="271"/>
      <c r="J171" s="271"/>
      <c r="K171" s="271">
        <v>200</v>
      </c>
      <c r="L171" s="271"/>
      <c r="M171" s="271"/>
      <c r="N171" s="271"/>
      <c r="O171" s="271">
        <v>5000</v>
      </c>
      <c r="P171" s="271"/>
      <c r="Q171" s="269" t="s">
        <v>1260</v>
      </c>
      <c r="R171" s="269" t="s">
        <v>1261</v>
      </c>
      <c r="S171" s="271"/>
      <c r="T171" s="271"/>
      <c r="U171" s="271" t="s">
        <v>1053</v>
      </c>
      <c r="V171" s="397" t="s">
        <v>1262</v>
      </c>
      <c r="W171" s="271" t="s">
        <v>75</v>
      </c>
      <c r="X171" s="269" t="s">
        <v>1263</v>
      </c>
      <c r="Y171" s="52"/>
      <c r="Z171" s="52"/>
      <c r="AA171" s="124"/>
      <c r="AB171" s="124"/>
      <c r="AC171" s="124"/>
      <c r="AD171" s="124"/>
    </row>
    <row r="172" spans="1:30" ht="18.75">
      <c r="A172" s="483"/>
      <c r="B172" s="398" t="s">
        <v>447</v>
      </c>
      <c r="C172" s="234" t="s">
        <v>1264</v>
      </c>
      <c r="D172" s="235">
        <v>45440</v>
      </c>
      <c r="E172" s="235">
        <v>2363</v>
      </c>
      <c r="F172" s="235">
        <v>2200</v>
      </c>
      <c r="G172" s="236">
        <v>2183</v>
      </c>
      <c r="H172" s="237" t="s">
        <v>75</v>
      </c>
      <c r="I172" s="235">
        <v>4300</v>
      </c>
      <c r="J172" s="236"/>
      <c r="K172" s="236"/>
      <c r="L172" s="239"/>
      <c r="M172" s="236"/>
      <c r="N172" s="239"/>
      <c r="O172" s="236" t="s">
        <v>1265</v>
      </c>
      <c r="P172" s="236" t="s">
        <v>1265</v>
      </c>
      <c r="Q172" s="236" t="s">
        <v>455</v>
      </c>
      <c r="R172" s="319" t="s">
        <v>1266</v>
      </c>
      <c r="S172" s="265">
        <v>0.71</v>
      </c>
      <c r="T172" s="236" t="s">
        <v>75</v>
      </c>
      <c r="U172" s="236">
        <v>0</v>
      </c>
      <c r="V172" s="241" t="s">
        <v>617</v>
      </c>
      <c r="W172" s="236" t="s">
        <v>75</v>
      </c>
      <c r="X172" s="245" t="s">
        <v>1267</v>
      </c>
      <c r="Y172" s="52"/>
      <c r="Z172" s="52"/>
      <c r="AA172" s="124"/>
      <c r="AB172" s="52" t="s">
        <v>75</v>
      </c>
      <c r="AC172" s="243">
        <v>0</v>
      </c>
      <c r="AD172" s="124"/>
    </row>
    <row r="173" spans="1:30" ht="18.75">
      <c r="A173" s="483"/>
      <c r="B173" s="398" t="s">
        <v>448</v>
      </c>
      <c r="C173" s="234" t="s">
        <v>1268</v>
      </c>
      <c r="D173" s="235">
        <v>42900</v>
      </c>
      <c r="E173" s="235">
        <v>2363</v>
      </c>
      <c r="F173" s="235">
        <v>2400</v>
      </c>
      <c r="G173" s="236">
        <v>2312</v>
      </c>
      <c r="H173" s="237" t="s">
        <v>75</v>
      </c>
      <c r="I173" s="235">
        <v>6300</v>
      </c>
      <c r="J173" s="236"/>
      <c r="K173" s="236"/>
      <c r="L173" s="239"/>
      <c r="M173" s="236"/>
      <c r="N173" s="239"/>
      <c r="O173" s="236" t="s">
        <v>1265</v>
      </c>
      <c r="P173" s="236" t="s">
        <v>1265</v>
      </c>
      <c r="Q173" s="236" t="s">
        <v>455</v>
      </c>
      <c r="R173" s="319" t="s">
        <v>1269</v>
      </c>
      <c r="S173" s="265">
        <v>0.72</v>
      </c>
      <c r="T173" s="236" t="s">
        <v>75</v>
      </c>
      <c r="U173" s="236">
        <v>67850</v>
      </c>
      <c r="V173" s="241" t="s">
        <v>617</v>
      </c>
      <c r="W173" s="236" t="s">
        <v>75</v>
      </c>
      <c r="X173" s="245" t="s">
        <v>1270</v>
      </c>
      <c r="Y173" s="52"/>
      <c r="Z173" s="52"/>
      <c r="AA173" s="124"/>
      <c r="AB173" s="52" t="s">
        <v>75</v>
      </c>
      <c r="AC173" s="243">
        <v>67850</v>
      </c>
      <c r="AD173" s="124"/>
    </row>
    <row r="174" spans="1:30" ht="18.75">
      <c r="A174" s="487"/>
      <c r="B174" s="399" t="s">
        <v>1271</v>
      </c>
      <c r="C174" s="250" t="s">
        <v>1272</v>
      </c>
      <c r="D174" s="251">
        <v>45000</v>
      </c>
      <c r="E174" s="252">
        <v>262</v>
      </c>
      <c r="F174" s="252">
        <v>220</v>
      </c>
      <c r="G174" s="252">
        <v>218</v>
      </c>
      <c r="H174" s="253" t="s">
        <v>75</v>
      </c>
      <c r="I174" s="251">
        <v>5924</v>
      </c>
      <c r="J174" s="250"/>
      <c r="K174" s="250"/>
      <c r="L174" s="400"/>
      <c r="M174" s="250"/>
      <c r="N174" s="400"/>
      <c r="O174" s="250" t="s">
        <v>1265</v>
      </c>
      <c r="P174" s="250" t="s">
        <v>1265</v>
      </c>
      <c r="Q174" s="250" t="s">
        <v>455</v>
      </c>
      <c r="R174" s="250" t="s">
        <v>1273</v>
      </c>
      <c r="S174" s="274">
        <v>0.78</v>
      </c>
      <c r="T174" s="252" t="s">
        <v>75</v>
      </c>
      <c r="U174" s="252">
        <v>21540</v>
      </c>
      <c r="V174" s="275" t="s">
        <v>1023</v>
      </c>
      <c r="W174" s="252" t="s">
        <v>75</v>
      </c>
      <c r="X174" s="250" t="s">
        <v>1274</v>
      </c>
      <c r="Y174" s="52"/>
      <c r="Z174" s="52"/>
      <c r="AA174" s="124"/>
      <c r="AB174" s="52"/>
      <c r="AC174" s="243">
        <v>21540</v>
      </c>
      <c r="AD174" s="124"/>
    </row>
    <row r="175" spans="1:30" ht="18.75">
      <c r="A175" s="486" t="s">
        <v>33</v>
      </c>
      <c r="B175" s="390" t="s">
        <v>449</v>
      </c>
      <c r="C175" s="245" t="s">
        <v>1275</v>
      </c>
      <c r="D175" s="235">
        <v>7000</v>
      </c>
      <c r="E175" s="236">
        <v>234</v>
      </c>
      <c r="F175" s="236">
        <v>187</v>
      </c>
      <c r="G175" s="236">
        <v>135</v>
      </c>
      <c r="H175" s="237" t="s">
        <v>75</v>
      </c>
      <c r="I175" s="235">
        <v>1746</v>
      </c>
      <c r="J175" s="238">
        <v>0.249</v>
      </c>
      <c r="K175" s="236">
        <v>0</v>
      </c>
      <c r="L175" s="239"/>
      <c r="M175" s="236">
        <v>0</v>
      </c>
      <c r="N175" s="239"/>
      <c r="O175" s="236">
        <v>85</v>
      </c>
      <c r="P175" s="236">
        <v>123</v>
      </c>
      <c r="Q175" s="236"/>
      <c r="R175" s="236" t="s">
        <v>1276</v>
      </c>
      <c r="S175" s="265">
        <v>0.78</v>
      </c>
      <c r="T175" s="236" t="s">
        <v>75</v>
      </c>
      <c r="U175" s="236">
        <v>-326</v>
      </c>
      <c r="V175" s="236" t="s">
        <v>1277</v>
      </c>
      <c r="W175" s="236" t="s">
        <v>694</v>
      </c>
      <c r="X175" s="236" t="s">
        <v>1278</v>
      </c>
      <c r="Y175" s="52"/>
      <c r="Z175" s="52"/>
      <c r="AA175" s="124"/>
      <c r="AB175" s="124"/>
      <c r="AC175" s="243">
        <v>-326</v>
      </c>
      <c r="AD175" s="124"/>
    </row>
    <row r="176" spans="1:30" ht="18.75">
      <c r="A176" s="483"/>
      <c r="B176" s="390" t="s">
        <v>453</v>
      </c>
      <c r="C176" s="245" t="s">
        <v>1279</v>
      </c>
      <c r="D176" s="235">
        <v>9000</v>
      </c>
      <c r="E176" s="236">
        <v>301</v>
      </c>
      <c r="F176" s="236">
        <v>240</v>
      </c>
      <c r="G176" s="236">
        <v>34</v>
      </c>
      <c r="H176" s="237" t="s">
        <v>75</v>
      </c>
      <c r="I176" s="235">
        <v>1659</v>
      </c>
      <c r="J176" s="238">
        <v>0.184</v>
      </c>
      <c r="K176" s="236" t="s">
        <v>1280</v>
      </c>
      <c r="L176" s="239">
        <v>13</v>
      </c>
      <c r="M176" s="236" t="s">
        <v>1281</v>
      </c>
      <c r="N176" s="239">
        <v>683</v>
      </c>
      <c r="O176" s="236">
        <v>250</v>
      </c>
      <c r="P176" s="236">
        <v>0</v>
      </c>
      <c r="Q176" s="236" t="s">
        <v>1236</v>
      </c>
      <c r="R176" s="236" t="s">
        <v>1282</v>
      </c>
      <c r="S176" s="265">
        <v>0.74</v>
      </c>
      <c r="T176" s="236" t="s">
        <v>75</v>
      </c>
      <c r="U176" s="236">
        <v>-484</v>
      </c>
      <c r="V176" s="236" t="s">
        <v>1283</v>
      </c>
      <c r="W176" s="236" t="s">
        <v>694</v>
      </c>
      <c r="X176" s="236" t="s">
        <v>1278</v>
      </c>
      <c r="Y176" s="52"/>
      <c r="Z176" s="52"/>
      <c r="AA176" s="124"/>
      <c r="AB176" s="124"/>
      <c r="AC176" s="243">
        <v>-484</v>
      </c>
      <c r="AD176" s="124"/>
    </row>
    <row r="177" spans="1:30" ht="18.75">
      <c r="A177" s="483"/>
      <c r="B177" s="390" t="s">
        <v>457</v>
      </c>
      <c r="C177" s="245" t="s">
        <v>1284</v>
      </c>
      <c r="D177" s="235">
        <v>8500</v>
      </c>
      <c r="E177" s="236">
        <v>284</v>
      </c>
      <c r="F177" s="236">
        <v>227</v>
      </c>
      <c r="G177" s="236">
        <v>93</v>
      </c>
      <c r="H177" s="237" t="s">
        <v>75</v>
      </c>
      <c r="I177" s="236">
        <v>621</v>
      </c>
      <c r="J177" s="238">
        <v>7.2999999999999995E-2</v>
      </c>
      <c r="K177" s="236" t="s">
        <v>1285</v>
      </c>
      <c r="L177" s="239">
        <v>41</v>
      </c>
      <c r="M177" s="236">
        <v>0</v>
      </c>
      <c r="N177" s="239"/>
      <c r="O177" s="235">
        <v>1200</v>
      </c>
      <c r="P177" s="236">
        <v>60</v>
      </c>
      <c r="Q177" s="236" t="s">
        <v>1286</v>
      </c>
      <c r="R177" s="236" t="s">
        <v>1287</v>
      </c>
      <c r="S177" s="265">
        <v>0.69</v>
      </c>
      <c r="T177" s="236" t="s">
        <v>75</v>
      </c>
      <c r="U177" s="236">
        <v>-398</v>
      </c>
      <c r="V177" s="236" t="s">
        <v>1288</v>
      </c>
      <c r="W177" s="236" t="s">
        <v>694</v>
      </c>
      <c r="X177" s="236" t="s">
        <v>1278</v>
      </c>
      <c r="Y177" s="52"/>
      <c r="Z177" s="52"/>
      <c r="AA177" s="124"/>
      <c r="AB177" s="124"/>
      <c r="AC177" s="243">
        <v>-398</v>
      </c>
      <c r="AD177" s="124"/>
    </row>
    <row r="178" spans="1:30" ht="18.75">
      <c r="A178" s="487"/>
      <c r="B178" s="399" t="s">
        <v>461</v>
      </c>
      <c r="C178" s="250" t="s">
        <v>1289</v>
      </c>
      <c r="D178" s="251">
        <v>20343</v>
      </c>
      <c r="E178" s="252">
        <v>679</v>
      </c>
      <c r="F178" s="252">
        <v>544</v>
      </c>
      <c r="G178" s="252">
        <v>51</v>
      </c>
      <c r="H178" s="253" t="s">
        <v>75</v>
      </c>
      <c r="I178" s="251">
        <v>7931</v>
      </c>
      <c r="J178" s="254">
        <v>0.39</v>
      </c>
      <c r="K178" s="252" t="s">
        <v>1290</v>
      </c>
      <c r="L178" s="231">
        <v>2</v>
      </c>
      <c r="M178" s="252" t="s">
        <v>1291</v>
      </c>
      <c r="N178" s="231">
        <v>619</v>
      </c>
      <c r="O178" s="252">
        <v>124</v>
      </c>
      <c r="P178" s="252">
        <v>50</v>
      </c>
      <c r="Q178" s="250" t="s">
        <v>1292</v>
      </c>
      <c r="R178" s="250" t="s">
        <v>1293</v>
      </c>
      <c r="S178" s="274">
        <v>0.69</v>
      </c>
      <c r="T178" s="236" t="s">
        <v>75</v>
      </c>
      <c r="U178" s="293">
        <v>-97</v>
      </c>
      <c r="V178" s="293" t="s">
        <v>1294</v>
      </c>
      <c r="W178" s="236" t="s">
        <v>694</v>
      </c>
      <c r="X178" s="236" t="s">
        <v>1295</v>
      </c>
      <c r="Y178" s="52"/>
      <c r="Z178" s="52"/>
      <c r="AA178" s="124"/>
      <c r="AB178" s="124"/>
      <c r="AC178" s="243">
        <v>-97</v>
      </c>
      <c r="AD178" s="124"/>
    </row>
    <row r="179" spans="1:30" ht="18.75">
      <c r="A179" s="228"/>
      <c r="B179" s="124"/>
      <c r="C179" s="401"/>
      <c r="D179" s="402"/>
      <c r="E179" s="402"/>
      <c r="F179" s="228"/>
      <c r="G179" s="228"/>
      <c r="H179" s="402"/>
      <c r="I179" s="403"/>
      <c r="J179" s="403"/>
      <c r="K179" s="404"/>
      <c r="L179" s="404"/>
      <c r="M179" s="403"/>
      <c r="N179" s="403"/>
      <c r="O179" s="403"/>
      <c r="P179" s="403"/>
      <c r="Q179" s="403"/>
      <c r="R179" s="403"/>
      <c r="S179" s="404"/>
      <c r="T179" s="404"/>
      <c r="U179" s="404"/>
      <c r="V179" s="404"/>
      <c r="W179" s="404"/>
      <c r="X179" s="403"/>
      <c r="Y179" s="124"/>
      <c r="Z179" s="52"/>
      <c r="AA179" s="124"/>
      <c r="AB179" s="124"/>
      <c r="AC179" s="124"/>
      <c r="AD179" s="124"/>
    </row>
    <row r="180" spans="1:30" ht="18.75">
      <c r="A180" s="228"/>
      <c r="B180" s="124"/>
      <c r="C180" s="401"/>
      <c r="D180" s="402"/>
      <c r="E180" s="402"/>
      <c r="F180" s="228"/>
      <c r="G180" s="228"/>
      <c r="H180" s="402"/>
      <c r="I180" s="402"/>
      <c r="J180" s="402"/>
      <c r="K180" s="228"/>
      <c r="L180" s="228"/>
      <c r="M180" s="402"/>
      <c r="N180" s="402"/>
      <c r="O180" s="402"/>
      <c r="P180" s="402"/>
      <c r="Q180" s="402"/>
      <c r="R180" s="402"/>
      <c r="S180" s="228"/>
      <c r="T180" s="228"/>
      <c r="U180" s="228"/>
      <c r="V180" s="228"/>
      <c r="W180" s="228"/>
      <c r="X180" s="402"/>
      <c r="Y180" s="124"/>
      <c r="Z180" s="52"/>
      <c r="AA180" s="124"/>
      <c r="AB180" s="124"/>
      <c r="AC180" s="124"/>
      <c r="AD180" s="124"/>
    </row>
  </sheetData>
  <autoFilter ref="B2:X178" xr:uid="{00000000-0009-0000-0000-000006000000}"/>
  <customSheetViews>
    <customSheetView guid="{CB50F483-792C-481B-9672-E3D9F6303870}" filter="1" showAutoFilter="1">
      <pageMargins left="0.7" right="0.7" top="0.75" bottom="0.75" header="0.3" footer="0.3"/>
      <autoFilter ref="B2:X178" xr:uid="{1359C032-CD0D-46CE-B9C3-7DB0C110BA12}"/>
    </customSheetView>
  </customSheetViews>
  <mergeCells count="15">
    <mergeCell ref="Y40:Y42"/>
    <mergeCell ref="A63:A77"/>
    <mergeCell ref="A152:A162"/>
    <mergeCell ref="A163:A174"/>
    <mergeCell ref="A175:A178"/>
    <mergeCell ref="A78:A114"/>
    <mergeCell ref="A115:A123"/>
    <mergeCell ref="A124:A132"/>
    <mergeCell ref="A133:A144"/>
    <mergeCell ref="A145:A151"/>
    <mergeCell ref="A3:A8"/>
    <mergeCell ref="A9:A15"/>
    <mergeCell ref="A16:A24"/>
    <mergeCell ref="A25:A39"/>
    <mergeCell ref="A40:A62"/>
  </mergeCells>
  <phoneticPr fontId="6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T23"/>
  <sheetViews>
    <sheetView topLeftCell="A11" workbookViewId="0">
      <selection activeCell="D31" sqref="D31"/>
    </sheetView>
  </sheetViews>
  <sheetFormatPr defaultColWidth="12.7109375" defaultRowHeight="15.75" customHeight="1"/>
  <cols>
    <col min="4" max="4" width="14.85546875" customWidth="1"/>
    <col min="5" max="5" width="23.140625" customWidth="1"/>
    <col min="6" max="6" width="20.140625" customWidth="1"/>
    <col min="7" max="7" width="18.85546875" customWidth="1"/>
    <col min="8" max="8" width="24.42578125" customWidth="1"/>
  </cols>
  <sheetData>
    <row r="1" spans="1:20" ht="12.75" hidden="1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</row>
    <row r="2" spans="1:20" ht="12.75" hidden="1">
      <c r="A2" s="38"/>
      <c r="B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</row>
    <row r="3" spans="1:20" ht="16.5" hidden="1">
      <c r="A3" s="38"/>
      <c r="B3" s="38"/>
      <c r="C3" s="155" t="s">
        <v>1296</v>
      </c>
      <c r="D3" s="405"/>
      <c r="E3" s="406" t="s">
        <v>1297</v>
      </c>
      <c r="F3" s="406" t="s">
        <v>1298</v>
      </c>
      <c r="G3" s="406" t="s">
        <v>1299</v>
      </c>
      <c r="H3" s="406" t="s">
        <v>1300</v>
      </c>
      <c r="I3" s="155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</row>
    <row r="4" spans="1:20" ht="16.5" hidden="1">
      <c r="A4" s="38"/>
      <c r="B4" s="38" t="s">
        <v>1301</v>
      </c>
      <c r="C4" s="41">
        <f>上週總表!$C$17</f>
        <v>103</v>
      </c>
      <c r="D4" s="407" t="s">
        <v>1302</v>
      </c>
      <c r="E4" s="408" t="e">
        <f>總表!#REF!</f>
        <v>#REF!</v>
      </c>
      <c r="F4" s="409">
        <f>上週總表!G17</f>
        <v>88</v>
      </c>
      <c r="G4" s="410" t="e">
        <f>總表!#REF!</f>
        <v>#REF!</v>
      </c>
      <c r="H4" s="410" t="e">
        <f t="shared" ref="H4:H8" si="0">G4-F4</f>
        <v>#REF!</v>
      </c>
      <c r="I4" s="155"/>
      <c r="J4" s="38"/>
      <c r="K4" s="38" t="s">
        <v>1303</v>
      </c>
      <c r="L4" s="38" t="s">
        <v>1304</v>
      </c>
      <c r="M4" s="38"/>
      <c r="N4" s="38"/>
      <c r="O4" s="38"/>
      <c r="P4" s="38"/>
      <c r="Q4" s="38"/>
      <c r="R4" s="38"/>
      <c r="S4" s="38"/>
      <c r="T4" s="38"/>
    </row>
    <row r="5" spans="1:20" ht="16.5" hidden="1">
      <c r="A5" s="38"/>
      <c r="B5" s="38"/>
      <c r="C5" s="411">
        <f>上週總表!$D$17</f>
        <v>3782861</v>
      </c>
      <c r="D5" s="407" t="s">
        <v>1305</v>
      </c>
      <c r="E5" s="412" t="e">
        <f>總表!#REF!</f>
        <v>#REF!</v>
      </c>
      <c r="F5" s="413">
        <f>SUMIF(上週明細!$H$3:$H23,"是",上週明細!$D$3:$D23)</f>
        <v>671613</v>
      </c>
      <c r="G5" s="413" t="e">
        <f>SUMIF(明細表!#REF!,"是",明細表!#REF!)</f>
        <v>#REF!</v>
      </c>
      <c r="H5" s="413" t="e">
        <f t="shared" si="0"/>
        <v>#REF!</v>
      </c>
      <c r="I5" s="155" t="e">
        <f>TEXT(H5/10,"0,0萬元")</f>
        <v>#REF!</v>
      </c>
      <c r="J5" s="38"/>
      <c r="K5" s="38">
        <f>SUMIF(上週明細!$H:$H,"是",上週明細!$D:$D)</f>
        <v>3187918</v>
      </c>
      <c r="L5" s="38">
        <f>SUMIF(明細表!H:H,"是",明細表!D:D)</f>
        <v>0</v>
      </c>
      <c r="M5" s="38"/>
      <c r="N5" s="38"/>
      <c r="O5" s="38"/>
      <c r="P5" s="38"/>
      <c r="Q5" s="38"/>
      <c r="R5" s="38"/>
      <c r="S5" s="38"/>
      <c r="T5" s="38"/>
    </row>
    <row r="6" spans="1:20" ht="16.5" hidden="1">
      <c r="A6" s="38"/>
      <c r="B6" s="38"/>
      <c r="C6" s="411">
        <f>上週總表!$F$17</f>
        <v>112443</v>
      </c>
      <c r="D6" s="407" t="s">
        <v>1306</v>
      </c>
      <c r="E6" s="412" t="e">
        <f>總表!#REF!</f>
        <v>#REF!</v>
      </c>
      <c r="F6" s="414">
        <f>上週總表!H17</f>
        <v>70310</v>
      </c>
      <c r="G6" s="410" t="e">
        <f>總表!#REF!</f>
        <v>#REF!</v>
      </c>
      <c r="H6" s="410" t="e">
        <f t="shared" si="0"/>
        <v>#REF!</v>
      </c>
      <c r="I6" s="155" t="e">
        <f>TEXT(H6/10000,"0.00萬噸")</f>
        <v>#REF!</v>
      </c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</row>
    <row r="7" spans="1:20" ht="16.5" hidden="1">
      <c r="A7" s="38"/>
      <c r="B7" s="38"/>
      <c r="C7" s="408">
        <f>C5*C8</f>
        <v>302628.88</v>
      </c>
      <c r="D7" s="407" t="s">
        <v>1307</v>
      </c>
      <c r="E7" s="408" t="e">
        <f>E5*E8</f>
        <v>#REF!</v>
      </c>
      <c r="F7" s="414">
        <f>上週總表!$I$17</f>
        <v>570537</v>
      </c>
      <c r="G7" s="410" t="e">
        <f>總表!#REF!</f>
        <v>#REF!</v>
      </c>
      <c r="H7" s="410" t="e">
        <f t="shared" si="0"/>
        <v>#REF!</v>
      </c>
      <c r="I7" s="155" t="e">
        <f>TEXT(H7/10,"0萬元")</f>
        <v>#REF!</v>
      </c>
      <c r="J7" s="38"/>
      <c r="K7" s="38">
        <f>ABS(L5-K5)</f>
        <v>3187918</v>
      </c>
      <c r="L7" s="38"/>
      <c r="M7" s="38"/>
      <c r="N7" s="38"/>
      <c r="O7" s="38"/>
      <c r="P7" s="38"/>
      <c r="Q7" s="38"/>
      <c r="R7" s="38"/>
      <c r="S7" s="38"/>
      <c r="T7" s="38"/>
    </row>
    <row r="8" spans="1:20" ht="16.5" hidden="1">
      <c r="A8" s="38"/>
      <c r="B8" s="38"/>
      <c r="C8" s="415">
        <v>0.08</v>
      </c>
      <c r="D8" s="407" t="s">
        <v>1308</v>
      </c>
      <c r="E8" s="416">
        <v>0.08</v>
      </c>
      <c r="F8" s="417">
        <f>上週總表!J17</f>
        <v>0.1767</v>
      </c>
      <c r="G8" s="418" t="e">
        <f>總表!#REF!</f>
        <v>#REF!</v>
      </c>
      <c r="H8" s="418" t="e">
        <f t="shared" si="0"/>
        <v>#REF!</v>
      </c>
      <c r="I8" s="155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</row>
    <row r="9" spans="1:20" ht="12.75" hidden="1">
      <c r="A9" s="38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</row>
    <row r="10" spans="1:20" ht="12.75" hidden="1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</row>
    <row r="11" spans="1:20" ht="12.75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</row>
    <row r="12" spans="1:20" ht="12.75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</row>
    <row r="13" spans="1:20" ht="16.5">
      <c r="A13" s="419" t="s">
        <v>1309</v>
      </c>
      <c r="B13" s="420" t="e">
        <f>SUM(明細表!#REF!)</f>
        <v>#REF!</v>
      </c>
      <c r="C13" s="419"/>
      <c r="D13" s="406"/>
      <c r="E13" s="406" t="s">
        <v>1310</v>
      </c>
      <c r="F13" s="406" t="s">
        <v>1311</v>
      </c>
      <c r="G13" s="406" t="s">
        <v>1312</v>
      </c>
      <c r="H13" s="406" t="s">
        <v>1300</v>
      </c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</row>
    <row r="14" spans="1:20" ht="16.5">
      <c r="A14" s="419"/>
      <c r="B14" s="419"/>
      <c r="C14" s="419"/>
      <c r="D14" s="407" t="s">
        <v>1302</v>
      </c>
      <c r="E14" s="413" t="e">
        <f>總表!#REF!&amp;"件"</f>
        <v>#REF!</v>
      </c>
      <c r="F14" s="421" t="str">
        <f>COUNTIF(上週明細!H:H,"是")&amp;"件"</f>
        <v>88件</v>
      </c>
      <c r="G14" s="413" t="e">
        <f>總表!#REF!&amp;"件"</f>
        <v>#REF!</v>
      </c>
      <c r="H14" s="413" t="e">
        <f>IF(G4-F4&lt;0,TEXT(G4-F4,"0")&amp;"件",TEXT(G4-F4,"+0")&amp;"件")</f>
        <v>#REF!</v>
      </c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</row>
    <row r="15" spans="1:20" ht="16.5">
      <c r="A15" s="419"/>
      <c r="B15" s="419"/>
      <c r="C15" s="419"/>
      <c r="D15" s="407" t="s">
        <v>1305</v>
      </c>
      <c r="E15" s="413" t="e">
        <f>INT(總表!#REF!/100000)&amp;"億"&amp;TEXT(MOD(總表!#REF!,100000)/10,"0,000萬元")</f>
        <v>#REF!</v>
      </c>
      <c r="F15" s="421" t="str">
        <f>INT(SUMIF(上週明細!$H:$H,"是",上週明細!$D:$D)/100000)&amp;"億"&amp;TEXT(MOD(SUMIF(上週明細!$H:$H,"是",上週明細!$D:$D),100000)/10,"0,0萬元")</f>
        <v>31億8,792萬元</v>
      </c>
      <c r="G15" s="413" t="str">
        <f>INT(SUMIF(明細表!H:H,"是",明細表!D:D)/100000)&amp;"億"&amp;(TEXT(MOD(SUMIF(明細表!H:H,"是",明細表!D:D),100000)/10,"0,000萬元"))</f>
        <v>0億0,000萬元</v>
      </c>
      <c r="H15" s="422" t="str">
        <f>IF(L5&lt;K5,"-","+")&amp;INT(K7/100000)&amp;"億"&amp;TEXT(MOD(K7,100000)/10,"0,0萬元")</f>
        <v>-31億8,792萬元</v>
      </c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</row>
    <row r="16" spans="1:20" ht="16.5">
      <c r="A16" s="419"/>
      <c r="B16" s="419"/>
      <c r="C16" s="419"/>
      <c r="D16" s="407" t="s">
        <v>1306</v>
      </c>
      <c r="E16" s="413" t="e">
        <f>TEXT(E6/10000,"0.0萬噸")</f>
        <v>#REF!</v>
      </c>
      <c r="F16" s="421" t="str">
        <f>TEXT(上週總表!H17/10000,"0.0萬噸")</f>
        <v>7.0萬噸</v>
      </c>
      <c r="G16" s="413" t="str">
        <f>TEXT(SUMIF(明細表!H:H,"是",明細表!G:G)/10000,"0.0萬噸")</f>
        <v>0.0萬噸</v>
      </c>
      <c r="H16" s="413" t="e">
        <f>IF(F6&gt;G6,TEXT(H6/10000,"0.00萬噸"),"+"&amp;TEXT(H6/10000,"0.00萬噸"))</f>
        <v>#REF!</v>
      </c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</row>
    <row r="17" spans="1:20" ht="16.5">
      <c r="A17" s="419"/>
      <c r="B17" s="419"/>
      <c r="C17" s="419"/>
      <c r="D17" s="407" t="s">
        <v>1307</v>
      </c>
      <c r="E17" s="413" t="e">
        <f>INT(總表!#REF!*0.08/100000)&amp;"億"&amp;TEXT(MOD(總表!#REF!*0.08,100000)/10,"0,000萬元")</f>
        <v>#REF!</v>
      </c>
      <c r="F17" s="421" t="str">
        <f>INT(上週總表!I17/100000)&amp;"億"&amp;TEXT(MOD(上週總表!I17,100000)/10,"0,0萬元")</f>
        <v>5億7,054萬元</v>
      </c>
      <c r="G17" s="413" t="e">
        <f>INT(總表!#REF!/100000)&amp;"億"&amp;(TEXT(MOD(總表!#REF!,100000)/10,"0,000萬元"))</f>
        <v>#REF!</v>
      </c>
      <c r="H17" s="422" t="e">
        <f>IF(H7&lt;0, "-"&amp;INT(ABS(H7)/100000)&amp;"億"&amp;TEXT(MOD(ABS(H7),100000)/10,"0,0萬元"),"+"&amp;INT(ABS(H7)/100000)&amp;"億"&amp;TEXT(MOD(ABS(H7),100000)/10,"0,0萬元"))</f>
        <v>#REF!</v>
      </c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</row>
    <row r="18" spans="1:20" ht="16.5">
      <c r="A18" s="419"/>
      <c r="B18" s="419"/>
      <c r="C18" s="419"/>
      <c r="D18" s="407" t="s">
        <v>1308</v>
      </c>
      <c r="E18" s="423">
        <v>0.08</v>
      </c>
      <c r="F18" s="417">
        <f>上週總表!J17</f>
        <v>0.1767</v>
      </c>
      <c r="G18" s="418" t="e">
        <f>總表!#REF!</f>
        <v>#REF!</v>
      </c>
      <c r="H18" s="413" t="e">
        <f>IF(總表!#REF! &lt;上週總表!J17,總表!#REF!-上週總表!J17,"+"&amp;TEXT(總表!#REF!-上週總表!J17,"0.00%"))</f>
        <v>#REF!</v>
      </c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</row>
    <row r="19" spans="1:20" ht="12.75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</row>
    <row r="20" spans="1:20" ht="12.75" hidden="1">
      <c r="A20" s="38"/>
      <c r="B20" s="38"/>
      <c r="C20" s="38" t="s">
        <v>1313</v>
      </c>
      <c r="D20" s="38" t="s">
        <v>1314</v>
      </c>
      <c r="E20" s="38" t="s">
        <v>1315</v>
      </c>
      <c r="F20" s="38" t="s">
        <v>1316</v>
      </c>
      <c r="G20" s="38"/>
      <c r="H20" s="38" t="s">
        <v>1317</v>
      </c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</row>
    <row r="21" spans="1:20" ht="12.75" hidden="1">
      <c r="C21" s="153">
        <v>160444.79999999999</v>
      </c>
      <c r="D21" s="424">
        <f>SUMIF(明細表!$H:$H,"=是",明細表!E:E)</f>
        <v>0</v>
      </c>
      <c r="E21" s="424">
        <f>SUMIF(明細表!$H:$H,"=是",明細表!F:F)</f>
        <v>0</v>
      </c>
      <c r="F21" s="424">
        <f>SUMIF(明細表!$H:$H,"=是",明細表!G:G)</f>
        <v>0</v>
      </c>
      <c r="H21" s="154">
        <f>D21-F21</f>
        <v>0</v>
      </c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</row>
    <row r="22" spans="1:20" ht="12.75" hidden="1">
      <c r="A22" s="155"/>
      <c r="B22" s="155"/>
      <c r="F22" s="425" t="e">
        <f>F21/D21</f>
        <v>#DIV/0!</v>
      </c>
      <c r="H22" s="154" t="s">
        <v>1318</v>
      </c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</row>
    <row r="23" spans="1:20" ht="12.75">
      <c r="A23" s="155"/>
      <c r="B23" s="155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</row>
  </sheetData>
  <phoneticPr fontId="6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P18"/>
  <sheetViews>
    <sheetView workbookViewId="0"/>
  </sheetViews>
  <sheetFormatPr defaultColWidth="12.7109375" defaultRowHeight="15.75" customHeight="1"/>
  <cols>
    <col min="2" max="2" width="11.85546875" customWidth="1"/>
    <col min="3" max="3" width="7.140625" customWidth="1"/>
    <col min="4" max="7" width="6" hidden="1" customWidth="1"/>
    <col min="8" max="8" width="12.7109375" hidden="1"/>
    <col min="14" max="14" width="7.140625" customWidth="1"/>
    <col min="15" max="15" width="26.28515625" customWidth="1"/>
  </cols>
  <sheetData>
    <row r="1" spans="1:16" ht="15.75" customHeight="1">
      <c r="A1" s="426"/>
      <c r="B1" s="426"/>
      <c r="C1" s="427"/>
      <c r="D1" s="427"/>
      <c r="E1" s="427"/>
      <c r="F1" s="427"/>
      <c r="G1" s="427"/>
      <c r="H1" s="427"/>
      <c r="I1" s="427"/>
      <c r="J1" s="427"/>
      <c r="K1" s="427"/>
      <c r="L1" s="427"/>
      <c r="M1" s="427"/>
      <c r="N1" s="427"/>
      <c r="O1" s="427"/>
      <c r="P1" s="427"/>
    </row>
    <row r="2" spans="1:16" ht="15.75" customHeight="1">
      <c r="A2" s="428" t="s">
        <v>4</v>
      </c>
      <c r="B2" s="429" t="s">
        <v>1319</v>
      </c>
      <c r="C2" s="427"/>
      <c r="D2" s="38" t="s">
        <v>1320</v>
      </c>
      <c r="E2" s="430" t="s">
        <v>1321</v>
      </c>
      <c r="F2" s="38" t="s">
        <v>1322</v>
      </c>
      <c r="G2" s="430" t="s">
        <v>1323</v>
      </c>
      <c r="H2" s="427"/>
      <c r="I2" s="428" t="s">
        <v>4</v>
      </c>
      <c r="J2" s="431" t="s">
        <v>1324</v>
      </c>
      <c r="K2" s="431" t="s">
        <v>1325</v>
      </c>
      <c r="L2" s="431" t="s">
        <v>1326</v>
      </c>
      <c r="M2" s="432" t="s">
        <v>65</v>
      </c>
      <c r="N2" s="427"/>
      <c r="O2" s="427"/>
      <c r="P2" s="427"/>
    </row>
    <row r="3" spans="1:16" ht="15.75" customHeight="1">
      <c r="A3" s="433" t="s">
        <v>1327</v>
      </c>
      <c r="B3" s="434">
        <f>SUMIFS(上週明細!$R:$R,上週明細!$B:$B,"=1-*")/1000</f>
        <v>-819.80399999999997</v>
      </c>
      <c r="C3" s="435"/>
      <c r="D3" s="9">
        <f>COUNTIFS(上週明細!$B:$B,"=1-*")</f>
        <v>5</v>
      </c>
      <c r="E3" s="9">
        <f>COUNTIFS(明細表!$B:$B,"=1-*")</f>
        <v>0</v>
      </c>
      <c r="F3" s="9">
        <f>COUNTIFS(上週明細!$B:$B,"=1-*",上週明細!$H:$H,"是")</f>
        <v>5</v>
      </c>
      <c r="G3" s="9">
        <f>COUNTIFS(明細表!$B:$B,"=1-*",明細表!$H:$H,"是")</f>
        <v>0</v>
      </c>
      <c r="H3" s="427"/>
      <c r="I3" s="436" t="s">
        <v>1327</v>
      </c>
      <c r="J3" s="9" t="str">
        <f>IF($D$3=$E$3,$D$3,IF($E$3&lt;$D$3,$E$3&amp;"("&amp;($E$3-$D$3)&amp;")",$E$3&amp;"(+"&amp;($E$3-$D$3)&amp;")"))</f>
        <v>0(-5)</v>
      </c>
      <c r="K3" s="17" t="str">
        <f t="shared" ref="K3:K17" si="0">IF(F3=G3,F3,IF(G3&lt;F3,G3&amp;"("&amp;(G3-F3)&amp;")",G3&amp;"(+"&amp;(G3-F3)&amp;")"))</f>
        <v>0(-5)</v>
      </c>
      <c r="L3" s="437">
        <f>SUMIFS(明細表!$R:$R,明細表!$B:$B,"=1-*")/1000</f>
        <v>0</v>
      </c>
      <c r="M3" s="438"/>
      <c r="N3" s="427"/>
      <c r="O3" s="427"/>
      <c r="P3" s="435"/>
    </row>
    <row r="4" spans="1:16" ht="15.75" customHeight="1">
      <c r="A4" s="433" t="s">
        <v>1328</v>
      </c>
      <c r="B4" s="434">
        <f>SUMIFS(上週明細!$R:$R,上週明細!$B:$B,"=2-*")/1000</f>
        <v>-0.21</v>
      </c>
      <c r="C4" s="435"/>
      <c r="D4" s="9">
        <f>COUNTIFS(上週明細!$B:$B,"=2-*")</f>
        <v>6</v>
      </c>
      <c r="E4" s="9">
        <f>COUNTIFS(明細表!$B:$B,"=2-*")</f>
        <v>0</v>
      </c>
      <c r="F4" s="9">
        <f>COUNTIFS(上週明細!$B:$B,"=2-*",上週明細!$H:$H,"是")</f>
        <v>5</v>
      </c>
      <c r="G4" s="9">
        <f>COUNTIFS(明細表!$B:$B,"=2-*",明細表!$H:$H,"是")</f>
        <v>0</v>
      </c>
      <c r="H4" s="427"/>
      <c r="I4" s="436" t="s">
        <v>1328</v>
      </c>
      <c r="J4" s="9" t="str">
        <f t="shared" ref="J4:J17" si="1">IF(D4=E4,D4,IF(E4&lt;D4,E4&amp;"("&amp;(E4-D4)&amp;")",E4&amp;"(+"&amp;(E4-D4)&amp;")"))</f>
        <v>0(-6)</v>
      </c>
      <c r="K4" s="17" t="str">
        <f t="shared" si="0"/>
        <v>0(-5)</v>
      </c>
      <c r="L4" s="437">
        <f>SUMIFS(明細表!$R:$R,明細表!$B:$B,"=2-*")/1000</f>
        <v>0</v>
      </c>
      <c r="M4" s="439" t="s">
        <v>165</v>
      </c>
      <c r="N4" s="427"/>
      <c r="O4" s="427"/>
      <c r="P4" s="435"/>
    </row>
    <row r="5" spans="1:16" ht="15.75" customHeight="1">
      <c r="A5" s="433" t="s">
        <v>1329</v>
      </c>
      <c r="B5" s="434">
        <f>SUMIFS(上週明細!$R:$R,上週明細!$B:$B,"=3-*")/1000</f>
        <v>-1800.6424999999999</v>
      </c>
      <c r="C5" s="435"/>
      <c r="D5" s="9">
        <f>COUNTIFS(上週明細!$B:$B,"=3-*")</f>
        <v>9</v>
      </c>
      <c r="E5" s="9">
        <f>COUNTIFS(明細表!$B:$B,"=3-*")</f>
        <v>0</v>
      </c>
      <c r="F5" s="9">
        <f>COUNTIFS(上週明細!$B:$B,"=3-*",上週明細!$H:$H,"是")</f>
        <v>9</v>
      </c>
      <c r="G5" s="9">
        <f>COUNTIFS(明細表!$B:$B,"=3-*",明細表!$H:$H,"是")</f>
        <v>0</v>
      </c>
      <c r="H5" s="427"/>
      <c r="I5" s="436" t="s">
        <v>1329</v>
      </c>
      <c r="J5" s="9" t="str">
        <f t="shared" si="1"/>
        <v>0(-9)</v>
      </c>
      <c r="K5" s="17" t="str">
        <f t="shared" si="0"/>
        <v>0(-9)</v>
      </c>
      <c r="L5" s="437">
        <f>SUMIFS(明細表!$R:$R,明細表!$B:$B,"=3-*")/1000</f>
        <v>0</v>
      </c>
      <c r="M5" s="440"/>
      <c r="N5" s="427"/>
      <c r="O5" s="427"/>
      <c r="P5" s="435"/>
    </row>
    <row r="6" spans="1:16" ht="15.75" customHeight="1">
      <c r="A6" s="433" t="s">
        <v>1330</v>
      </c>
      <c r="B6" s="434">
        <f>SUMIFS(上週明細!$R:$R,上週明細!$B:$B,"=4-*")/1000</f>
        <v>-32.004220000000004</v>
      </c>
      <c r="C6" s="435"/>
      <c r="D6" s="9">
        <f>COUNTIFS(上週明細!$B:$B,"=4-*")</f>
        <v>4</v>
      </c>
      <c r="E6" s="9">
        <f>COUNTIFS(明細表!$B:$B,"=4-*")</f>
        <v>0</v>
      </c>
      <c r="F6" s="9">
        <f>COUNTIFS(上週明細!$B:$B,"=4-*",上週明細!$H:$H,"是")</f>
        <v>3</v>
      </c>
      <c r="G6" s="9">
        <f>COUNTIFS(明細表!$B:$B,"=4-*",明細表!$H:$H,"是")</f>
        <v>0</v>
      </c>
      <c r="H6" s="427"/>
      <c r="I6" s="436" t="s">
        <v>1330</v>
      </c>
      <c r="J6" s="9" t="str">
        <f t="shared" si="1"/>
        <v>0(-4)</v>
      </c>
      <c r="K6" s="17" t="str">
        <f t="shared" si="0"/>
        <v>0(-3)</v>
      </c>
      <c r="L6" s="437">
        <f>SUMIFS(明細表!$R:$R,明細表!$B:$B,"=4-*")/1000</f>
        <v>0</v>
      </c>
      <c r="M6" s="440"/>
      <c r="N6" s="427"/>
      <c r="O6" s="427"/>
      <c r="P6" s="435"/>
    </row>
    <row r="7" spans="1:16" ht="15.75" customHeight="1">
      <c r="A7" s="433" t="s">
        <v>1331</v>
      </c>
      <c r="B7" s="434">
        <f>SUMIFS(上週明細!$R:$R,上週明細!$B:$B,"=5-*")/1000</f>
        <v>-110.613</v>
      </c>
      <c r="C7" s="435"/>
      <c r="D7" s="9">
        <f>COUNTIFS(上週明細!$B:$B,"=5-*")</f>
        <v>13</v>
      </c>
      <c r="E7" s="9">
        <f>COUNTIFS(明細表!$B:$B,"=5-*")</f>
        <v>0</v>
      </c>
      <c r="F7" s="9">
        <f>COUNTIFS(上週明細!$B:$B,"=5-*",上週明細!$H:$H,"是")</f>
        <v>12</v>
      </c>
      <c r="G7" s="9">
        <f>COUNTIFS(明細表!$B:$B,"=5-*",明細表!$H:$H,"是")</f>
        <v>0</v>
      </c>
      <c r="H7" s="427"/>
      <c r="I7" s="436" t="s">
        <v>1331</v>
      </c>
      <c r="J7" s="9" t="str">
        <f t="shared" si="1"/>
        <v>0(-13)</v>
      </c>
      <c r="K7" s="17" t="str">
        <f t="shared" si="0"/>
        <v>0(-12)</v>
      </c>
      <c r="L7" s="437">
        <f>SUMIFS(明細表!$R:$R,明細表!$B:$B,"=5-*")/1000</f>
        <v>0</v>
      </c>
      <c r="M7" s="440"/>
      <c r="N7" s="427"/>
      <c r="O7" s="427"/>
      <c r="P7" s="435"/>
    </row>
    <row r="8" spans="1:16" ht="15.75" customHeight="1">
      <c r="A8" s="433" t="s">
        <v>1332</v>
      </c>
      <c r="B8" s="434">
        <f>SUMIFS(上週明細!$R:$R,上週明細!$B:$B,"=6-*")/1000</f>
        <v>-78.924000000000007</v>
      </c>
      <c r="C8" s="435"/>
      <c r="D8" s="9">
        <f>COUNTIFS(上週明細!$B:$B,"=6-*")</f>
        <v>9</v>
      </c>
      <c r="E8" s="9">
        <f>COUNTIFS(明細表!$B:$B,"=6-*")</f>
        <v>0</v>
      </c>
      <c r="F8" s="9">
        <f>COUNTIFS(上週明細!$B:$B,"=6-*",上週明細!$H:$H,"是")</f>
        <v>9</v>
      </c>
      <c r="G8" s="9">
        <f>COUNTIFS(明細表!$B:$B,"=6-*",明細表!$H:$H,"是")</f>
        <v>0</v>
      </c>
      <c r="H8" s="427"/>
      <c r="I8" s="436" t="s">
        <v>1332</v>
      </c>
      <c r="J8" s="9" t="str">
        <f t="shared" si="1"/>
        <v>0(-9)</v>
      </c>
      <c r="K8" s="17" t="str">
        <f t="shared" si="0"/>
        <v>0(-9)</v>
      </c>
      <c r="L8" s="437">
        <f>SUMIFS(明細表!$R:$R,明細表!$B:$B,"=6-*")/1000</f>
        <v>0</v>
      </c>
      <c r="M8" s="440"/>
      <c r="N8" s="427"/>
      <c r="O8" s="427"/>
      <c r="P8" s="435"/>
    </row>
    <row r="9" spans="1:16" ht="15.75" customHeight="1">
      <c r="A9" s="433" t="s">
        <v>1333</v>
      </c>
      <c r="B9" s="434">
        <f>SUMIFS(上週明細!$R:$R,上週明細!$B:$B,"=7-*")/1000</f>
        <v>-82.94</v>
      </c>
      <c r="C9" s="435"/>
      <c r="D9" s="9">
        <f>COUNTIFS(上週明細!$B:$B,"=7-*")</f>
        <v>14</v>
      </c>
      <c r="E9" s="9">
        <f>COUNTIFS(明細表!$B:$B,"=7-*")</f>
        <v>0</v>
      </c>
      <c r="F9" s="9">
        <f>COUNTIFS(上週明細!$B:$B,"=7-*",上週明細!$H:$H,"是")</f>
        <v>14</v>
      </c>
      <c r="G9" s="9">
        <f>COUNTIFS(明細表!$B:$B,"=7-*",明細表!$H:$H,"是")</f>
        <v>0</v>
      </c>
      <c r="H9" s="427"/>
      <c r="I9" s="436" t="s">
        <v>1333</v>
      </c>
      <c r="J9" s="9" t="str">
        <f t="shared" si="1"/>
        <v>0(-14)</v>
      </c>
      <c r="K9" s="17" t="str">
        <f t="shared" si="0"/>
        <v>0(-14)</v>
      </c>
      <c r="L9" s="437">
        <f>SUMIFS(明細表!$R:$R,明細表!$B:$B,"=7-*")/1000</f>
        <v>0</v>
      </c>
      <c r="M9" s="440"/>
      <c r="N9" s="427"/>
      <c r="O9" s="427"/>
      <c r="P9" s="435"/>
    </row>
    <row r="10" spans="1:16" ht="15.75" customHeight="1">
      <c r="A10" s="433" t="s">
        <v>1334</v>
      </c>
      <c r="B10" s="434">
        <f>SUMIFS(上週明細!$R:$R,上週明細!$B:$B,"=8-*")/1000</f>
        <v>-0.55659999999999987</v>
      </c>
      <c r="C10" s="435"/>
      <c r="D10" s="9">
        <f>COUNTIFS(上週明細!$B:$B,"=8-*")</f>
        <v>4</v>
      </c>
      <c r="E10" s="9">
        <f>COUNTIFS(明細表!$B:$B,"=8-*")</f>
        <v>0</v>
      </c>
      <c r="F10" s="9">
        <f>COUNTIFS(上週明細!$B:$B,"=8-*",上週明細!$H:$H,"是")</f>
        <v>3</v>
      </c>
      <c r="G10" s="9">
        <f>COUNTIFS(明細表!$B:$B,"=8-*",明細表!$H:$H,"是")</f>
        <v>0</v>
      </c>
      <c r="H10" s="427"/>
      <c r="I10" s="436" t="s">
        <v>1334</v>
      </c>
      <c r="J10" s="9" t="str">
        <f t="shared" si="1"/>
        <v>0(-4)</v>
      </c>
      <c r="K10" s="17" t="str">
        <f t="shared" si="0"/>
        <v>0(-3)</v>
      </c>
      <c r="L10" s="437">
        <f>SUMIFS(明細表!$R:$R,明細表!$B:$B,"=8-*")/1000</f>
        <v>0</v>
      </c>
      <c r="M10" s="440"/>
      <c r="N10" s="427"/>
      <c r="O10" s="427"/>
      <c r="P10" s="435"/>
    </row>
    <row r="11" spans="1:16" ht="15.75" customHeight="1">
      <c r="A11" s="433" t="s">
        <v>1335</v>
      </c>
      <c r="B11" s="434">
        <f>SUMIFS(上週明細!$R:$R,上週明細!$B:$B,"=9-*")/1000</f>
        <v>-30.218299999999999</v>
      </c>
      <c r="C11" s="435"/>
      <c r="D11" s="9">
        <f>COUNTIFS(上週明細!$B:$B,"=9-*")</f>
        <v>5</v>
      </c>
      <c r="E11" s="9">
        <f>COUNTIFS(明細表!$B:$B,"=9-*")</f>
        <v>0</v>
      </c>
      <c r="F11" s="9">
        <f>COUNTIFS(上週明細!$B:$B,"=9-*",上週明細!$H:$H,"是")</f>
        <v>5</v>
      </c>
      <c r="G11" s="9">
        <f>COUNTIFS(明細表!$B:$B,"=9-*",明細表!$H:$H,"是")</f>
        <v>0</v>
      </c>
      <c r="H11" s="427"/>
      <c r="I11" s="436" t="s">
        <v>1335</v>
      </c>
      <c r="J11" s="9" t="str">
        <f t="shared" si="1"/>
        <v>0(-5)</v>
      </c>
      <c r="K11" s="17" t="str">
        <f t="shared" si="0"/>
        <v>0(-5)</v>
      </c>
      <c r="L11" s="437">
        <f>SUMIFS(明細表!$R:$R,明細表!$B:$B,"=9-*")/1000</f>
        <v>0</v>
      </c>
      <c r="M11" s="440"/>
      <c r="N11" s="427"/>
      <c r="O11" s="427"/>
      <c r="P11" s="435"/>
    </row>
    <row r="12" spans="1:16" ht="15.75" customHeight="1">
      <c r="A12" s="433" t="s">
        <v>1336</v>
      </c>
      <c r="B12" s="434">
        <f>SUMIFS(上週明細!$R:$R,上週明細!$B:$B,"=10-*")/1000</f>
        <v>-4.1849999999999996</v>
      </c>
      <c r="C12" s="435"/>
      <c r="D12" s="9">
        <f>COUNTIFS(上週明細!$B:$B,"=10-*")</f>
        <v>5</v>
      </c>
      <c r="E12" s="9">
        <f>COUNTIFS(明細表!$B:$B,"=10-*")</f>
        <v>0</v>
      </c>
      <c r="F12" s="9">
        <f>COUNTIFS(上週明細!$B:$B,"=10-*",上週明細!$H:$H,"是")</f>
        <v>4</v>
      </c>
      <c r="G12" s="9">
        <f>COUNTIFS(明細表!$B:$B,"=10-*",明細表!$H:$H,"是")</f>
        <v>0</v>
      </c>
      <c r="H12" s="427"/>
      <c r="I12" s="436" t="s">
        <v>1336</v>
      </c>
      <c r="J12" s="9" t="str">
        <f t="shared" si="1"/>
        <v>0(-5)</v>
      </c>
      <c r="K12" s="17" t="str">
        <f t="shared" si="0"/>
        <v>0(-4)</v>
      </c>
      <c r="L12" s="437">
        <f>SUMIFS(明細表!$R:$R,明細表!$B:$B,"=10-*")/1000</f>
        <v>0</v>
      </c>
      <c r="M12" s="440"/>
      <c r="N12" s="427"/>
      <c r="O12" s="427"/>
      <c r="P12" s="435"/>
    </row>
    <row r="13" spans="1:16" ht="15.75" customHeight="1">
      <c r="A13" s="433" t="s">
        <v>1337</v>
      </c>
      <c r="B13" s="434">
        <f>SUMIFS(上週明細!$R:$R,上週明細!$B:$B,"=11-*")/1000</f>
        <v>-0.56979999999999997</v>
      </c>
      <c r="C13" s="435"/>
      <c r="D13" s="9">
        <f>COUNTIFS(上週明細!$B:$B,"=11-*")</f>
        <v>11</v>
      </c>
      <c r="E13" s="9">
        <f>COUNTIFS(明細表!$B:$B,"=11-*")</f>
        <v>0</v>
      </c>
      <c r="F13" s="9">
        <f>COUNTIFS(上週明細!$B:$B,"=11-*",上週明細!$H:$H,"是")</f>
        <v>5</v>
      </c>
      <c r="G13" s="9">
        <f>COUNTIFS(明細表!$B:$B,"=11-*",明細表!$H:$H,"是")</f>
        <v>0</v>
      </c>
      <c r="H13" s="427"/>
      <c r="I13" s="436" t="s">
        <v>1337</v>
      </c>
      <c r="J13" s="9" t="str">
        <f t="shared" si="1"/>
        <v>0(-11)</v>
      </c>
      <c r="K13" s="17" t="str">
        <f t="shared" si="0"/>
        <v>0(-5)</v>
      </c>
      <c r="L13" s="437">
        <f>SUMIFS(明細表!$R:$R,明細表!$B:$B,"=11-*")/1000</f>
        <v>0</v>
      </c>
      <c r="M13" s="440"/>
      <c r="N13" s="427"/>
      <c r="O13" s="427"/>
      <c r="P13" s="435"/>
    </row>
    <row r="14" spans="1:16" ht="15.75" customHeight="1">
      <c r="A14" s="433" t="s">
        <v>1338</v>
      </c>
      <c r="B14" s="434">
        <f>SUMIFS(上週明細!$R:$R,上週明細!$B:$B,"=12-*")/1000</f>
        <v>-2.6366999999999998</v>
      </c>
      <c r="C14" s="435"/>
      <c r="D14" s="9">
        <f>COUNTIFS(上週明細!$B:$B,"=12-*")</f>
        <v>7</v>
      </c>
      <c r="E14" s="9">
        <f>COUNTIFS(明細表!$B:$B,"=12-*")</f>
        <v>0</v>
      </c>
      <c r="F14" s="9">
        <f>COUNTIFS(上週明細!$B:$B,"=12-*",上週明細!$H:$H,"是")</f>
        <v>6</v>
      </c>
      <c r="G14" s="9">
        <f>COUNTIFS(明細表!$B:$B,"=12-*",明細表!$H:$H,"是")</f>
        <v>0</v>
      </c>
      <c r="H14" s="427"/>
      <c r="I14" s="436" t="s">
        <v>1338</v>
      </c>
      <c r="J14" s="9" t="str">
        <f t="shared" si="1"/>
        <v>0(-7)</v>
      </c>
      <c r="K14" s="17" t="str">
        <f t="shared" si="0"/>
        <v>0(-6)</v>
      </c>
      <c r="L14" s="437">
        <f>SUMIFS(明細表!$R:$R,明細表!$B:$B,"=12-*")/1000</f>
        <v>0</v>
      </c>
      <c r="M14" s="440"/>
      <c r="N14" s="427"/>
      <c r="O14" s="427"/>
      <c r="P14" s="435"/>
    </row>
    <row r="15" spans="1:16" ht="15.75" customHeight="1">
      <c r="A15" s="433" t="s">
        <v>1339</v>
      </c>
      <c r="B15" s="434">
        <f>SUMIFS(上週明細!$R:$R,上週明細!$B:$B,"=13-*")/1000</f>
        <v>0.60620000000000007</v>
      </c>
      <c r="C15" s="435"/>
      <c r="D15" s="9">
        <f>COUNTIFS(上週明細!$B:$B,"=13-*")</f>
        <v>7</v>
      </c>
      <c r="E15" s="9">
        <f>COUNTIFS(明細表!$B:$B,"=13-*")</f>
        <v>0</v>
      </c>
      <c r="F15" s="9">
        <f>COUNTIFS(上週明細!$B:$B,"=13-*",上週明細!$H:$H,"是")</f>
        <v>4</v>
      </c>
      <c r="G15" s="9">
        <f>COUNTIFS(明細表!$B:$B,"=13-*",明細表!$H:$H,"是")</f>
        <v>0</v>
      </c>
      <c r="H15" s="427"/>
      <c r="I15" s="436" t="s">
        <v>1339</v>
      </c>
      <c r="J15" s="9" t="str">
        <f t="shared" si="1"/>
        <v>0(-7)</v>
      </c>
      <c r="K15" s="17" t="str">
        <f t="shared" si="0"/>
        <v>0(-4)</v>
      </c>
      <c r="L15" s="437">
        <f>SUMIFS(明細表!$R:$R,明細表!$B:$B,"=13-*")/1000</f>
        <v>0</v>
      </c>
      <c r="M15" s="440"/>
      <c r="N15" s="427"/>
      <c r="O15" s="427"/>
      <c r="P15" s="435"/>
    </row>
    <row r="16" spans="1:16" ht="15.75" customHeight="1">
      <c r="A16" s="433" t="s">
        <v>1340</v>
      </c>
      <c r="B16" s="434">
        <f>SUMIFS(上週明細!$R:$R,上週明細!$B:$B,"=14-*")/1000</f>
        <v>0</v>
      </c>
      <c r="C16" s="435"/>
      <c r="D16" s="9">
        <f>COUNTIFS(上週明細!$B:$B,"=14-*")</f>
        <v>4</v>
      </c>
      <c r="E16" s="9">
        <f>COUNTIFS(明細表!$B:$B,"=14-*")</f>
        <v>0</v>
      </c>
      <c r="F16" s="9">
        <f>COUNTIFS(上週明細!$B:$B,"=14-*",上週明細!$H:$H,"是")</f>
        <v>4</v>
      </c>
      <c r="G16" s="9">
        <f>COUNTIFS(明細表!$B:$B,"=14-*",明細表!$H:$H,"是")</f>
        <v>0</v>
      </c>
      <c r="H16" s="427"/>
      <c r="I16" s="436" t="s">
        <v>1340</v>
      </c>
      <c r="J16" s="9" t="str">
        <f t="shared" si="1"/>
        <v>0(-4)</v>
      </c>
      <c r="K16" s="17" t="str">
        <f t="shared" si="0"/>
        <v>0(-4)</v>
      </c>
      <c r="L16" s="437">
        <f>SUMIFS(明細表!$R:$R,明細表!$B:$B,"=14-*")/1000</f>
        <v>0</v>
      </c>
      <c r="M16" s="439" t="s">
        <v>165</v>
      </c>
      <c r="N16" s="441"/>
      <c r="O16" s="442" t="str">
        <f>ROUND(L17,0)&amp;" 噸CO2e"</f>
        <v>0 噸CO2e</v>
      </c>
      <c r="P16" s="435"/>
    </row>
    <row r="17" spans="1:16" ht="15.75" customHeight="1">
      <c r="A17" s="443" t="s">
        <v>1341</v>
      </c>
      <c r="B17" s="444">
        <f>SUM(B3:B16)</f>
        <v>-2962.6979199999996</v>
      </c>
      <c r="C17" s="445"/>
      <c r="D17" s="446">
        <f t="shared" ref="D17:F17" si="2">SUM(D3:D16)</f>
        <v>103</v>
      </c>
      <c r="E17" s="446">
        <f t="shared" si="2"/>
        <v>0</v>
      </c>
      <c r="F17" s="446">
        <f t="shared" si="2"/>
        <v>88</v>
      </c>
      <c r="G17" s="446">
        <f>SUM(G3,G4,G5,G6,G7,G8,G9,G10,G11,G12,G13,G14,G15,G16)</f>
        <v>0</v>
      </c>
      <c r="H17" s="427"/>
      <c r="I17" s="447" t="s">
        <v>1341</v>
      </c>
      <c r="J17" s="446" t="str">
        <f t="shared" si="1"/>
        <v>0(-103)</v>
      </c>
      <c r="K17" s="448" t="str">
        <f t="shared" si="0"/>
        <v>0(-88)</v>
      </c>
      <c r="L17" s="449">
        <f>SUM(L3:L16)</f>
        <v>0</v>
      </c>
      <c r="M17" s="450"/>
      <c r="N17" s="441"/>
      <c r="O17" s="442" t="str">
        <f>"= "  &amp;TEXT(L17/10000,"0.000 萬噸")&amp;"CO2e"</f>
        <v>= 0.000 萬噸CO2e</v>
      </c>
      <c r="P17" s="435"/>
    </row>
    <row r="18" spans="1:16" ht="15.75" customHeight="1">
      <c r="A18" s="427"/>
      <c r="B18" s="427"/>
      <c r="C18" s="427"/>
      <c r="D18" s="427"/>
      <c r="E18" s="427"/>
      <c r="F18" s="427"/>
      <c r="G18" s="427"/>
      <c r="H18" s="427"/>
      <c r="I18" s="427"/>
      <c r="J18" s="427"/>
      <c r="K18" s="427"/>
      <c r="L18" s="427"/>
      <c r="M18" s="427"/>
      <c r="N18" s="427"/>
      <c r="O18" s="427"/>
      <c r="P18" s="427"/>
    </row>
  </sheetData>
  <phoneticPr fontId="67" type="noConversion"/>
  <conditionalFormatting sqref="J3:K17">
    <cfRule type="containsText" dxfId="7" priority="1" stopIfTrue="1" operator="containsText" text="(">
      <formula>NOT(ISERROR(SEARCH(("("),(J3))))</formula>
    </cfRule>
  </conditionalFormatting>
  <conditionalFormatting sqref="L3:L7">
    <cfRule type="cellIs" dxfId="6" priority="3" stopIfTrue="1" operator="notEqual">
      <formula>B3</formula>
    </cfRule>
  </conditionalFormatting>
  <conditionalFormatting sqref="L8:L12">
    <cfRule type="cellIs" dxfId="5" priority="9" operator="notEqual">
      <formula>B8</formula>
    </cfRule>
  </conditionalFormatting>
  <conditionalFormatting sqref="L13">
    <cfRule type="cellIs" dxfId="4" priority="2" stopIfTrue="1" operator="notEqual">
      <formula>B13</formula>
    </cfRule>
  </conditionalFormatting>
  <conditionalFormatting sqref="L14:L17">
    <cfRule type="cellIs" dxfId="3" priority="14" operator="notEqual">
      <formula>B14</formula>
    </cfRule>
  </conditionalFormatting>
  <conditionalFormatting sqref="P3">
    <cfRule type="cellIs" dxfId="2" priority="4" stopIfTrue="1" operator="notEqual">
      <formula>$C$3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總表</vt:lpstr>
      <vt:lpstr>上週總表</vt:lpstr>
      <vt:lpstr>上週總表0831</vt:lpstr>
      <vt:lpstr>明細表</vt:lpstr>
      <vt:lpstr>1002(備份)</vt:lpstr>
      <vt:lpstr>上週明細</vt:lpstr>
      <vt:lpstr>111明細表</vt:lpstr>
      <vt:lpstr>表格1</vt:lpstr>
      <vt:lpstr>附件1</vt:lpstr>
      <vt:lpstr>表格2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</dc:creator>
  <cp:lastModifiedBy>鄧 臣宏</cp:lastModifiedBy>
  <cp:lastPrinted>2023-10-03T03:51:42Z</cp:lastPrinted>
  <dcterms:created xsi:type="dcterms:W3CDTF">2023-10-04T06:42:19Z</dcterms:created>
  <dcterms:modified xsi:type="dcterms:W3CDTF">2023-10-11T10:24:08Z</dcterms:modified>
</cp:coreProperties>
</file>