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og\OneDrive - Universidad de los Andes\Duodecimo semestre\Repositorio_Maestria\Codigo\Evaluacion modelo\Datos\"/>
    </mc:Choice>
  </mc:AlternateContent>
  <xr:revisionPtr revIDLastSave="393" documentId="8_{96F53E7C-9F8F-4DF5-852A-1907DBE65D16}" xr6:coauthVersionLast="45" xr6:coauthVersionMax="45" xr10:uidLastSave="{C8D8F1E2-BFF0-4F0D-9B20-A27F82E92069}"/>
  <bookViews>
    <workbookView xWindow="-98" yWindow="-98" windowWidth="20715" windowHeight="13276" activeTab="6" xr2:uid="{81EA504D-B5AB-4750-8DD8-750B5AC10E58}"/>
  </bookViews>
  <sheets>
    <sheet name="Beltrame" sheetId="10" r:id="rId1"/>
    <sheet name="Garcia" sheetId="11" r:id="rId2"/>
    <sheet name="Celina" sheetId="1" r:id="rId3"/>
    <sheet name="Halim" sheetId="6" r:id="rId4"/>
    <sheet name="Heude" sheetId="5" r:id="rId5"/>
    <sheet name="Michaels " sheetId="4" r:id="rId6"/>
    <sheet name="Datos" sheetId="9" r:id="rId7"/>
    <sheet name="Van Krevelen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9" l="1"/>
  <c r="D14" i="9"/>
  <c r="C27" i="9" l="1"/>
  <c r="B27" i="9"/>
  <c r="F27" i="10"/>
  <c r="F28" i="10"/>
  <c r="F29" i="10"/>
  <c r="F30" i="10"/>
  <c r="F31" i="10"/>
  <c r="F32" i="10"/>
  <c r="F33" i="10"/>
  <c r="F26" i="10"/>
  <c r="E26" i="10"/>
  <c r="D45" i="10"/>
  <c r="D44" i="10"/>
  <c r="C44" i="10"/>
  <c r="C36" i="10"/>
  <c r="C37" i="10"/>
  <c r="C38" i="10"/>
  <c r="C39" i="10"/>
  <c r="C40" i="10"/>
  <c r="C41" i="10"/>
  <c r="C42" i="10"/>
  <c r="C35" i="10"/>
  <c r="D42" i="10"/>
  <c r="D36" i="10"/>
  <c r="D37" i="10"/>
  <c r="D38" i="10"/>
  <c r="D39" i="10"/>
  <c r="D40" i="10"/>
  <c r="D41" i="10"/>
  <c r="D35" i="10"/>
  <c r="B22" i="10"/>
  <c r="C27" i="10"/>
  <c r="C28" i="10"/>
  <c r="C29" i="10"/>
  <c r="C30" i="10"/>
  <c r="C31" i="10"/>
  <c r="C32" i="10"/>
  <c r="C33" i="10"/>
  <c r="C26" i="10"/>
  <c r="F4" i="11"/>
  <c r="E4" i="11"/>
  <c r="E3" i="11"/>
  <c r="F8" i="11"/>
  <c r="G4" i="11"/>
  <c r="G5" i="11"/>
  <c r="G6" i="11"/>
  <c r="G7" i="11"/>
  <c r="G8" i="11"/>
  <c r="G3" i="11"/>
  <c r="F3" i="11"/>
  <c r="B16" i="11"/>
  <c r="D28" i="11"/>
  <c r="D29" i="11"/>
  <c r="D30" i="11"/>
  <c r="D31" i="11"/>
  <c r="D32" i="11"/>
  <c r="D33" i="11"/>
  <c r="D34" i="11"/>
  <c r="D27" i="11"/>
  <c r="C28" i="11"/>
  <c r="C29" i="11"/>
  <c r="C30" i="11"/>
  <c r="C31" i="11"/>
  <c r="C32" i="11"/>
  <c r="C33" i="11"/>
  <c r="C34" i="11"/>
  <c r="C27" i="11"/>
  <c r="C19" i="11"/>
  <c r="C20" i="11"/>
  <c r="C21" i="11"/>
  <c r="C22" i="11"/>
  <c r="C23" i="11"/>
  <c r="C24" i="11"/>
  <c r="C25" i="11"/>
  <c r="C18" i="11"/>
  <c r="F5" i="11"/>
  <c r="F6" i="11"/>
  <c r="F7" i="11"/>
  <c r="E5" i="11"/>
  <c r="E6" i="11"/>
  <c r="E7" i="11"/>
  <c r="E8" i="11"/>
  <c r="D3" i="11"/>
  <c r="D4" i="11"/>
  <c r="D5" i="11"/>
  <c r="D6" i="11"/>
  <c r="D7" i="11"/>
  <c r="D8" i="11"/>
  <c r="C3" i="11"/>
  <c r="B13" i="11"/>
  <c r="B8" i="11"/>
  <c r="B7" i="11"/>
  <c r="B6" i="11"/>
  <c r="B5" i="11"/>
  <c r="C4" i="11"/>
  <c r="C5" i="11"/>
  <c r="C6" i="11"/>
  <c r="C7" i="11"/>
  <c r="C8" i="11"/>
  <c r="B4" i="11"/>
  <c r="B3" i="11"/>
  <c r="A8" i="11"/>
  <c r="A6" i="11"/>
  <c r="A7" i="11"/>
  <c r="A5" i="11"/>
  <c r="A4" i="11"/>
  <c r="A3" i="11"/>
  <c r="E33" i="10" l="1"/>
  <c r="E29" i="10"/>
  <c r="E32" i="10"/>
  <c r="E28" i="10"/>
  <c r="E31" i="10"/>
  <c r="E27" i="10"/>
  <c r="E30" i="10"/>
  <c r="D12" i="9"/>
  <c r="H3" i="9"/>
  <c r="C3" i="9" l="1"/>
  <c r="C4" i="9"/>
  <c r="C5" i="9"/>
  <c r="C6" i="9"/>
  <c r="C7" i="9"/>
  <c r="C8" i="9"/>
  <c r="C2" i="9" l="1"/>
  <c r="D18" i="9" l="1"/>
  <c r="D4" i="9"/>
  <c r="H4" i="9" s="1"/>
  <c r="D5" i="9"/>
  <c r="H5" i="9" s="1"/>
  <c r="D6" i="9"/>
  <c r="H6" i="9" s="1"/>
  <c r="D7" i="9"/>
  <c r="H7" i="9" s="1"/>
  <c r="D8" i="9"/>
  <c r="H8" i="9" s="1"/>
  <c r="D13" i="9"/>
  <c r="D15" i="9"/>
  <c r="D16" i="9"/>
  <c r="D17" i="9"/>
  <c r="J22" i="6" l="1"/>
  <c r="J21" i="6"/>
  <c r="J20" i="6"/>
  <c r="J19" i="6"/>
  <c r="J16" i="6"/>
  <c r="K16" i="6" s="1"/>
  <c r="J15" i="6"/>
  <c r="K15" i="6" s="1"/>
  <c r="J14" i="6"/>
  <c r="K14" i="6" s="1"/>
  <c r="J13" i="6"/>
  <c r="K13" i="6" s="1"/>
  <c r="J12" i="6"/>
  <c r="K12" i="6" s="1"/>
  <c r="J11" i="6"/>
  <c r="K11" i="6" s="1"/>
  <c r="J10" i="6"/>
  <c r="K10" i="6" s="1"/>
  <c r="J9" i="6"/>
  <c r="K9" i="6" s="1"/>
  <c r="J8" i="6"/>
  <c r="K8" i="6" s="1"/>
  <c r="K5" i="6"/>
  <c r="J7" i="6"/>
  <c r="K7" i="6" s="1"/>
  <c r="J5" i="6"/>
  <c r="J6" i="6"/>
  <c r="K6" i="6" s="1"/>
  <c r="J4" i="6"/>
  <c r="K4" i="6" s="1"/>
  <c r="J23" i="4" l="1"/>
  <c r="J24" i="4"/>
  <c r="I22" i="4"/>
  <c r="J22" i="4" s="1"/>
  <c r="D2" i="1" l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<sst xmlns="http://schemas.openxmlformats.org/spreadsheetml/2006/main" count="293" uniqueCount="73">
  <si>
    <t>[ccSTP/cm-s-cmHg]</t>
  </si>
  <si>
    <t>25°C</t>
  </si>
  <si>
    <t>40°C</t>
  </si>
  <si>
    <t>50°C</t>
  </si>
  <si>
    <t>65°C</t>
  </si>
  <si>
    <t>80°C</t>
  </si>
  <si>
    <t>95°C</t>
  </si>
  <si>
    <t>110°C</t>
  </si>
  <si>
    <t>125°C</t>
  </si>
  <si>
    <t>140°C</t>
  </si>
  <si>
    <t>828/A2049</t>
  </si>
  <si>
    <t>828/D230</t>
  </si>
  <si>
    <t>828/D400</t>
  </si>
  <si>
    <t>Kapton</t>
  </si>
  <si>
    <t>MVK-14</t>
  </si>
  <si>
    <t>Diffusivity</t>
  </si>
  <si>
    <t>[cm2</t>
  </si>
  <si>
    <t>/s]</t>
  </si>
  <si>
    <t>Solubility</t>
  </si>
  <si>
    <t>[ccSTP/cc-cmHg]</t>
  </si>
  <si>
    <t xml:space="preserve"> </t>
  </si>
  <si>
    <t>PErmEability</t>
  </si>
  <si>
    <t>PolypropylEnE</t>
  </si>
  <si>
    <t>Y</t>
  </si>
  <si>
    <t>X</t>
  </si>
  <si>
    <t>Grex Olefin Polymer</t>
  </si>
  <si>
    <t>Alathon 34</t>
  </si>
  <si>
    <t>Alathon 14</t>
  </si>
  <si>
    <t>Ea/R</t>
  </si>
  <si>
    <t xml:space="preserve">Sustancia </t>
  </si>
  <si>
    <t>Ea</t>
  </si>
  <si>
    <t>Do [cm^2/s]</t>
  </si>
  <si>
    <t xml:space="preserve">Isotactic Polypropylene </t>
  </si>
  <si>
    <t>Do (m^2/s)</t>
  </si>
  <si>
    <t>Ea (Kj/mol)</t>
  </si>
  <si>
    <t>So</t>
  </si>
  <si>
    <t>LDPE</t>
  </si>
  <si>
    <t>Do</t>
  </si>
  <si>
    <t>HDPE</t>
  </si>
  <si>
    <t>PE</t>
  </si>
  <si>
    <t>IPP</t>
  </si>
  <si>
    <t>Dx10^7 (cm^2/s)</t>
  </si>
  <si>
    <t>D (cm^2/s)</t>
  </si>
  <si>
    <t>PS</t>
  </si>
  <si>
    <t>NR</t>
  </si>
  <si>
    <t>PBD</t>
  </si>
  <si>
    <t>PDMB</t>
  </si>
  <si>
    <t>CBS</t>
  </si>
  <si>
    <t>PEMA</t>
  </si>
  <si>
    <t>PVC</t>
  </si>
  <si>
    <t>PMPBD</t>
  </si>
  <si>
    <t>PIA (74/26)</t>
  </si>
  <si>
    <t>APP</t>
  </si>
  <si>
    <t xml:space="preserve">mol </t>
  </si>
  <si>
    <t>cm3 stp</t>
  </si>
  <si>
    <t>PET</t>
  </si>
  <si>
    <t>BR</t>
  </si>
  <si>
    <t>iPP</t>
  </si>
  <si>
    <t>Delta_H (J/mol)</t>
  </si>
  <si>
    <t>So (mol/cm3*Pa)</t>
  </si>
  <si>
    <t>Ea (J/mol)</t>
  </si>
  <si>
    <t>Do (cm^2/s)</t>
  </si>
  <si>
    <t xml:space="preserve">Material </t>
  </si>
  <si>
    <t>T</t>
  </si>
  <si>
    <t>Handbook of Polymer Degradation</t>
  </si>
  <si>
    <t>Por S. Halim Hamid</t>
  </si>
  <si>
    <t>DO2 (cm2/s)</t>
  </si>
  <si>
    <t>Material</t>
  </si>
  <si>
    <t>Predicho Heude</t>
  </si>
  <si>
    <t>predicho Beltrame</t>
  </si>
  <si>
    <t>Predicho Halim 1</t>
  </si>
  <si>
    <t>Predicho Halim 2</t>
  </si>
  <si>
    <t>Predicho Celina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</si>
</sst>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.E+00"/>
    <numFmt numFmtId="166" formatCode="0.00.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Beltrame!$C$26:$C$33</c:f>
              <c:numCache>
                <c:formatCode>General</c:formatCode>
                <c:ptCount val="8"/>
                <c:pt idx="0">
                  <c:v>298</c:v>
                </c:pt>
                <c:pt idx="1">
                  <c:v>313</c:v>
                </c:pt>
                <c:pt idx="2">
                  <c:v>323</c:v>
                </c:pt>
                <c:pt idx="3">
                  <c:v>338</c:v>
                </c:pt>
                <c:pt idx="4">
                  <c:v>353</c:v>
                </c:pt>
                <c:pt idx="5">
                  <c:v>368</c:v>
                </c:pt>
                <c:pt idx="6">
                  <c:v>383</c:v>
                </c:pt>
                <c:pt idx="7">
                  <c:v>393</c:v>
                </c:pt>
              </c:numCache>
            </c:numRef>
          </c:xVal>
          <c:yVal>
            <c:numRef>
              <c:f>Beltrame!$D$26:$D$33</c:f>
              <c:numCache>
                <c:formatCode>0.00E+00</c:formatCode>
                <c:ptCount val="8"/>
                <c:pt idx="0">
                  <c:v>9.3400000000000004E-4</c:v>
                </c:pt>
                <c:pt idx="1">
                  <c:v>1.09E-3</c:v>
                </c:pt>
                <c:pt idx="2">
                  <c:v>9.7000000000000005E-4</c:v>
                </c:pt>
                <c:pt idx="3">
                  <c:v>1.08E-3</c:v>
                </c:pt>
                <c:pt idx="4">
                  <c:v>1.0499999999999999E-3</c:v>
                </c:pt>
                <c:pt idx="5">
                  <c:v>1.1199999999999999E-3</c:v>
                </c:pt>
                <c:pt idx="6">
                  <c:v>1.07E-3</c:v>
                </c:pt>
                <c:pt idx="7">
                  <c:v>1.4599999999999999E-3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DB-4A80-A525-F942E33FD3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Beltrame!$C$26:$C$33</c:f>
              <c:numCache>
                <c:formatCode>General</c:formatCode>
                <c:ptCount val="8"/>
                <c:pt idx="0">
                  <c:v>298</c:v>
                </c:pt>
                <c:pt idx="1">
                  <c:v>313</c:v>
                </c:pt>
                <c:pt idx="2">
                  <c:v>323</c:v>
                </c:pt>
                <c:pt idx="3">
                  <c:v>338</c:v>
                </c:pt>
                <c:pt idx="4">
                  <c:v>353</c:v>
                </c:pt>
                <c:pt idx="5">
                  <c:v>368</c:v>
                </c:pt>
                <c:pt idx="6">
                  <c:v>383</c:v>
                </c:pt>
                <c:pt idx="7">
                  <c:v>393</c:v>
                </c:pt>
              </c:numCache>
            </c:numRef>
          </c:xVal>
          <c:yVal>
            <c:numRef>
              <c:f>Beltrame!$E$26:$E$33</c:f>
              <c:numCache>
                <c:formatCode>0.00.E+00</c:formatCode>
                <c:ptCount val="8"/>
                <c:pt idx="0">
                  <c:v>2.6800000000000001E-3</c:v>
                </c:pt>
                <c:pt idx="1">
                  <c:v>2.7997542709833692E-3</c:v>
                </c:pt>
                <c:pt idx="2">
                  <c:v>2.8760540216247227E-3</c:v>
                </c:pt>
                <c:pt idx="3">
                  <c:v>2.9855007562892017E-3</c:v>
                </c:pt>
                <c:pt idx="4">
                  <c:v>3.0892912129804754E-3</c:v>
                </c:pt>
                <c:pt idx="5">
                  <c:v>3.1877965369869372E-3</c:v>
                </c:pt>
                <c:pt idx="6">
                  <c:v>3.2813652846283479E-3</c:v>
                </c:pt>
                <c:pt idx="7">
                  <c:v>3.3411636288186862E-3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DB-4A80-A525-F942E33FD30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Beltrame!$C$26:$C$33</c:f>
              <c:numCache>
                <c:formatCode>General</c:formatCode>
                <c:ptCount val="8"/>
                <c:pt idx="0">
                  <c:v>298</c:v>
                </c:pt>
                <c:pt idx="1">
                  <c:v>313</c:v>
                </c:pt>
                <c:pt idx="2">
                  <c:v>323</c:v>
                </c:pt>
                <c:pt idx="3">
                  <c:v>338</c:v>
                </c:pt>
                <c:pt idx="4">
                  <c:v>353</c:v>
                </c:pt>
                <c:pt idx="5">
                  <c:v>368</c:v>
                </c:pt>
                <c:pt idx="6">
                  <c:v>383</c:v>
                </c:pt>
                <c:pt idx="7">
                  <c:v>393</c:v>
                </c:pt>
              </c:numCache>
            </c:numRef>
          </c:xVal>
          <c:yVal>
            <c:numRef>
              <c:f>Beltrame!$F$26:$F$33</c:f>
              <c:numCache>
                <c:formatCode>General</c:formatCode>
                <c:ptCount val="8"/>
                <c:pt idx="0">
                  <c:v>9.3859103052836999E-4</c:v>
                </c:pt>
                <c:pt idx="1">
                  <c:v>9.9036129129949965E-4</c:v>
                </c:pt>
                <c:pt idx="2">
                  <c:v>1.023611921041561E-3</c:v>
                </c:pt>
                <c:pt idx="3">
                  <c:v>1.0716591812800758E-3</c:v>
                </c:pt>
                <c:pt idx="4">
                  <c:v>1.1175964411535577E-3</c:v>
                </c:pt>
                <c:pt idx="5">
                  <c:v>1.1615216971398521E-3</c:v>
                </c:pt>
                <c:pt idx="6">
                  <c:v>1.2035336429885289E-3</c:v>
                </c:pt>
                <c:pt idx="7">
                  <c:v>1.2305268665107416E-3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DB-4A80-A525-F942E33FD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25231"/>
        <c:axId val="883197023"/>
      </c:scatterChart>
      <c:valAx>
        <c:axId val="1033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3197023"/>
        <c:crosses val="autoZero"/>
        <c:crossBetween val="midCat"/>
      </c:valAx>
      <c:valAx>
        <c:axId val="8831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392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098775153105861"/>
                  <c:y val="-4.5517279090113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Beltrame!$C$35:$C$42</c:f>
              <c:numCache>
                <c:formatCode>General</c:formatCode>
                <c:ptCount val="8"/>
                <c:pt idx="0">
                  <c:v>4.0362096439578745E-4</c:v>
                </c:pt>
                <c:pt idx="1">
                  <c:v>3.842781066771395E-4</c:v>
                </c:pt>
                <c:pt idx="2">
                  <c:v>3.7238095167165534E-4</c:v>
                </c:pt>
                <c:pt idx="3">
                  <c:v>3.5585516979273573E-4</c:v>
                </c:pt>
                <c:pt idx="4">
                  <c:v>3.4073384529729366E-4</c:v>
                </c:pt>
                <c:pt idx="5">
                  <c:v>3.2684523747267573E-4</c:v>
                </c:pt>
                <c:pt idx="6">
                  <c:v>3.1404451015651347E-4</c:v>
                </c:pt>
                <c:pt idx="7">
                  <c:v>3.0605355569960475E-4</c:v>
                </c:pt>
              </c:numCache>
            </c:numRef>
          </c:xVal>
          <c:yVal>
            <c:numRef>
              <c:f>Beltrame!$D$35:$D$42</c:f>
              <c:numCache>
                <c:formatCode>General</c:formatCode>
                <c:ptCount val="8"/>
                <c:pt idx="0">
                  <c:v>-6.9760341197354316</c:v>
                </c:pt>
                <c:pt idx="1">
                  <c:v>-6.8215775827410843</c:v>
                </c:pt>
                <c:pt idx="2">
                  <c:v>-6.9382144864668458</c:v>
                </c:pt>
                <c:pt idx="3">
                  <c:v>-6.8307942378460087</c:v>
                </c:pt>
                <c:pt idx="4">
                  <c:v>-6.8589651148127055</c:v>
                </c:pt>
                <c:pt idx="5">
                  <c:v>-6.7944265936751336</c:v>
                </c:pt>
                <c:pt idx="6">
                  <c:v>-6.840096630508322</c:v>
                </c:pt>
                <c:pt idx="7">
                  <c:v>-6.5293188432618923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A-4D10-9F69-85EBD3302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148591"/>
        <c:axId val="883195359"/>
      </c:scatterChart>
      <c:valAx>
        <c:axId val="99214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3195359"/>
        <c:crosses val="autoZero"/>
        <c:crossBetween val="midCat"/>
      </c:valAx>
      <c:valAx>
        <c:axId val="8831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214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Garcia!$B$2</c:f>
              <c:strCache>
                <c:ptCount val="1"/>
                <c:pt idx="0">
                  <c:v>DO2 (cm2/s)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Garcia!$A$3:$A$8</c:f>
              <c:numCache>
                <c:formatCode>General</c:formatCode>
                <c:ptCount val="6"/>
                <c:pt idx="0">
                  <c:v>298</c:v>
                </c:pt>
                <c:pt idx="1">
                  <c:v>298</c:v>
                </c:pt>
                <c:pt idx="2">
                  <c:v>303</c:v>
                </c:pt>
                <c:pt idx="3">
                  <c:v>363</c:v>
                </c:pt>
                <c:pt idx="4">
                  <c:v>383</c:v>
                </c:pt>
                <c:pt idx="5">
                  <c:v>403</c:v>
                </c:pt>
              </c:numCache>
            </c:numRef>
          </c:xVal>
          <c:yVal>
            <c:numRef>
              <c:f>Garcia!$B$3:$B$8</c:f>
              <c:numCache>
                <c:formatCode>0.00.E+00</c:formatCode>
                <c:ptCount val="6"/>
                <c:pt idx="0">
                  <c:v>4.7E-7</c:v>
                </c:pt>
                <c:pt idx="1">
                  <c:v>6.6000000000000003E-7</c:v>
                </c:pt>
                <c:pt idx="2">
                  <c:v>1.4000000000000001E-8</c:v>
                </c:pt>
                <c:pt idx="3">
                  <c:v>7.0000000000000007E-7</c:v>
                </c:pt>
                <c:pt idx="4">
                  <c:v>1.9999999999999999E-7</c:v>
                </c:pt>
                <c:pt idx="5">
                  <c:v>6.0000000000000002E-6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A-44CD-95B2-4E096E03B726}"/>
            </c:ext>
          </c:extLst>
        </c:ser>
        <c:ser>
          <c:idx val="1"/>
          <c:order val="1"/>
          <c:tx>
            <c:strRef>
              <c:f>Garcia!$C$2</c:f>
              <c:strCache>
                <c:ptCount val="1"/>
                <c:pt idx="0">
                  <c:v>predicho Beltrame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Garcia!$A$3:$A$8</c:f>
              <c:numCache>
                <c:formatCode>General</c:formatCode>
                <c:ptCount val="6"/>
                <c:pt idx="0">
                  <c:v>298</c:v>
                </c:pt>
                <c:pt idx="1">
                  <c:v>298</c:v>
                </c:pt>
                <c:pt idx="2">
                  <c:v>303</c:v>
                </c:pt>
                <c:pt idx="3">
                  <c:v>363</c:v>
                </c:pt>
                <c:pt idx="4">
                  <c:v>383</c:v>
                </c:pt>
                <c:pt idx="5">
                  <c:v>403</c:v>
                </c:pt>
              </c:numCache>
            </c:numRef>
          </c:xVal>
          <c:yVal>
            <c:numRef>
              <c:f>Garcia!$C$3:$C$8</c:f>
              <c:numCache>
                <c:formatCode>General</c:formatCode>
                <c:ptCount val="6"/>
                <c:pt idx="0">
                  <c:v>2.323154425613517E-7</c:v>
                </c:pt>
                <c:pt idx="1">
                  <c:v>2.323154425613517E-7</c:v>
                </c:pt>
                <c:pt idx="2">
                  <c:v>2.9624924700206691E-7</c:v>
                </c:pt>
                <c:pt idx="3">
                  <c:v>3.2489499415963541E-6</c:v>
                </c:pt>
                <c:pt idx="4">
                  <c:v>6.1097228685250949E-6</c:v>
                </c:pt>
                <c:pt idx="5">
                  <c:v>1.0791363740358331E-5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A-44CD-95B2-4E096E03B726}"/>
            </c:ext>
          </c:extLst>
        </c:ser>
        <c:ser>
          <c:idx val="2"/>
          <c:order val="2"/>
          <c:tx>
            <c:strRef>
              <c:f>Garcia!$D$2</c:f>
              <c:strCache>
                <c:ptCount val="1"/>
                <c:pt idx="0">
                  <c:v>Predicho Heude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Garcia!$A$3:$A$8</c:f>
              <c:numCache>
                <c:formatCode>General</c:formatCode>
                <c:ptCount val="6"/>
                <c:pt idx="0">
                  <c:v>298</c:v>
                </c:pt>
                <c:pt idx="1">
                  <c:v>298</c:v>
                </c:pt>
                <c:pt idx="2">
                  <c:v>303</c:v>
                </c:pt>
                <c:pt idx="3">
                  <c:v>363</c:v>
                </c:pt>
                <c:pt idx="4">
                  <c:v>383</c:v>
                </c:pt>
                <c:pt idx="5">
                  <c:v>403</c:v>
                </c:pt>
              </c:numCache>
            </c:numRef>
          </c:xVal>
          <c:yVal>
            <c:numRef>
              <c:f>Garcia!$D$3:$D$8</c:f>
              <c:numCache>
                <c:formatCode>General</c:formatCode>
                <c:ptCount val="6"/>
                <c:pt idx="0">
                  <c:v>3.6220149232391278E-8</c:v>
                </c:pt>
                <c:pt idx="1">
                  <c:v>3.6220149232391278E-8</c:v>
                </c:pt>
                <c:pt idx="2">
                  <c:v>4.6157274126059363E-8</c:v>
                </c:pt>
                <c:pt idx="3">
                  <c:v>5.0289390018566611E-7</c:v>
                </c:pt>
                <c:pt idx="4">
                  <c:v>9.4406829216291869E-7</c:v>
                </c:pt>
                <c:pt idx="5">
                  <c:v>1.6648739915792059E-6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8A-44CD-95B2-4E096E03B726}"/>
            </c:ext>
          </c:extLst>
        </c:ser>
        <c:ser>
          <c:idx val="3"/>
          <c:order val="3"/>
          <c:tx>
            <c:strRef>
              <c:f>Garcia!$E$2</c:f>
              <c:strCache>
                <c:ptCount val="1"/>
                <c:pt idx="0">
                  <c:v>Predicho Halim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Garcia!$A$3:$A$8</c:f>
              <c:numCache>
                <c:formatCode>General</c:formatCode>
                <c:ptCount val="6"/>
                <c:pt idx="0">
                  <c:v>298</c:v>
                </c:pt>
                <c:pt idx="1">
                  <c:v>298</c:v>
                </c:pt>
                <c:pt idx="2">
                  <c:v>303</c:v>
                </c:pt>
                <c:pt idx="3">
                  <c:v>363</c:v>
                </c:pt>
                <c:pt idx="4">
                  <c:v>383</c:v>
                </c:pt>
                <c:pt idx="5">
                  <c:v>403</c:v>
                </c:pt>
              </c:numCache>
            </c:numRef>
          </c:xVal>
          <c:yVal>
            <c:numRef>
              <c:f>Garcia!$E$3:$E$8</c:f>
              <c:numCache>
                <c:formatCode>General</c:formatCode>
                <c:ptCount val="6"/>
                <c:pt idx="0">
                  <c:v>6.2448533159295309E-7</c:v>
                </c:pt>
                <c:pt idx="1">
                  <c:v>6.2448533159295309E-7</c:v>
                </c:pt>
                <c:pt idx="2">
                  <c:v>7.9581507113895459E-7</c:v>
                </c:pt>
                <c:pt idx="3">
                  <c:v>8.6705844859597603E-6</c:v>
                </c:pt>
                <c:pt idx="4">
                  <c:v>1.6277039520050325E-5</c:v>
                </c:pt>
                <c:pt idx="5">
                  <c:v>2.8704723992744935E-5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8A-44CD-95B2-4E096E03B726}"/>
            </c:ext>
          </c:extLst>
        </c:ser>
        <c:ser>
          <c:idx val="4"/>
          <c:order val="4"/>
          <c:tx>
            <c:strRef>
              <c:f>Garcia!$F$2</c:f>
              <c:strCache>
                <c:ptCount val="1"/>
                <c:pt idx="0">
                  <c:v>Predicho Halim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Garcia!$A$3:$A$8</c:f>
              <c:numCache>
                <c:formatCode>General</c:formatCode>
                <c:ptCount val="6"/>
                <c:pt idx="0">
                  <c:v>298</c:v>
                </c:pt>
                <c:pt idx="1">
                  <c:v>298</c:v>
                </c:pt>
                <c:pt idx="2">
                  <c:v>303</c:v>
                </c:pt>
                <c:pt idx="3">
                  <c:v>363</c:v>
                </c:pt>
                <c:pt idx="4">
                  <c:v>383</c:v>
                </c:pt>
                <c:pt idx="5">
                  <c:v>403</c:v>
                </c:pt>
              </c:numCache>
            </c:numRef>
          </c:xVal>
          <c:yVal>
            <c:numRef>
              <c:f>Garcia!$F$3:$F$8</c:f>
              <c:numCache>
                <c:formatCode>General</c:formatCode>
                <c:ptCount val="6"/>
                <c:pt idx="0">
                  <c:v>3.3483802255884425E-7</c:v>
                </c:pt>
                <c:pt idx="1">
                  <c:v>3.3483802255884425E-7</c:v>
                </c:pt>
                <c:pt idx="2">
                  <c:v>4.5548278957946292E-7</c:v>
                </c:pt>
                <c:pt idx="3">
                  <c:v>9.4398282030633595E-6</c:v>
                </c:pt>
                <c:pt idx="4">
                  <c:v>2.0995829169400456E-5</c:v>
                </c:pt>
                <c:pt idx="5">
                  <c:v>4.3136361974699158E-5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8A-44CD-95B2-4E096E03B726}"/>
            </c:ext>
          </c:extLst>
        </c:ser>
        <c:ser>
          <c:idx val="5"/>
          <c:order val="5"/>
          <c:tx>
            <c:v>Celima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Garcia!$C$18:$C$25</c:f>
              <c:numCache>
                <c:formatCode>General</c:formatCode>
                <c:ptCount val="8"/>
                <c:pt idx="0">
                  <c:v>298</c:v>
                </c:pt>
                <c:pt idx="1">
                  <c:v>313</c:v>
                </c:pt>
                <c:pt idx="2">
                  <c:v>323</c:v>
                </c:pt>
                <c:pt idx="3">
                  <c:v>338</c:v>
                </c:pt>
                <c:pt idx="4">
                  <c:v>353</c:v>
                </c:pt>
                <c:pt idx="5">
                  <c:v>368</c:v>
                </c:pt>
                <c:pt idx="6">
                  <c:v>383</c:v>
                </c:pt>
                <c:pt idx="7">
                  <c:v>398</c:v>
                </c:pt>
              </c:numCache>
            </c:numRef>
          </c:xVal>
          <c:yVal>
            <c:numRef>
              <c:f>Garcia!$D$18:$D$25</c:f>
              <c:numCache>
                <c:formatCode>0.00E+00</c:formatCode>
                <c:ptCount val="8"/>
                <c:pt idx="0">
                  <c:v>2.1199999999999999E-7</c:v>
                </c:pt>
                <c:pt idx="1">
                  <c:v>6.0500000000000003E-7</c:v>
                </c:pt>
                <c:pt idx="2">
                  <c:v>9.7000000000000003E-7</c:v>
                </c:pt>
                <c:pt idx="3">
                  <c:v>1.88E-6</c:v>
                </c:pt>
                <c:pt idx="4">
                  <c:v>3.2899999999999998E-6</c:v>
                </c:pt>
                <c:pt idx="5">
                  <c:v>5.7699999999999998E-6</c:v>
                </c:pt>
                <c:pt idx="6">
                  <c:v>1.29E-5</c:v>
                </c:pt>
                <c:pt idx="7">
                  <c:v>1.4800000000000001E-5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8A-44CD-95B2-4E096E03B726}"/>
            </c:ext>
          </c:extLst>
        </c:ser>
        <c:ser>
          <c:idx val="6"/>
          <c:order val="6"/>
          <c:tx>
            <c:strRef>
              <c:f>Garcia!$G$2</c:f>
              <c:strCache>
                <c:ptCount val="1"/>
                <c:pt idx="0">
                  <c:v>Predicho Celina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Garcia!$A$3:$A$8</c:f>
              <c:numCache>
                <c:formatCode>General</c:formatCode>
                <c:ptCount val="6"/>
                <c:pt idx="0">
                  <c:v>298</c:v>
                </c:pt>
                <c:pt idx="1">
                  <c:v>298</c:v>
                </c:pt>
                <c:pt idx="2">
                  <c:v>303</c:v>
                </c:pt>
                <c:pt idx="3">
                  <c:v>363</c:v>
                </c:pt>
                <c:pt idx="4">
                  <c:v>383</c:v>
                </c:pt>
                <c:pt idx="5">
                  <c:v>403</c:v>
                </c:pt>
              </c:numCache>
            </c:numRef>
          </c:xVal>
          <c:yVal>
            <c:numRef>
              <c:f>Garcia!$G$3:$G$8</c:f>
              <c:numCache>
                <c:formatCode>General</c:formatCode>
                <c:ptCount val="6"/>
                <c:pt idx="0">
                  <c:v>2.4317231528145365E-7</c:v>
                </c:pt>
                <c:pt idx="1">
                  <c:v>2.4317231528145365E-7</c:v>
                </c:pt>
                <c:pt idx="2">
                  <c:v>3.21850472417807E-7</c:v>
                </c:pt>
                <c:pt idx="3">
                  <c:v>5.0926552401481916E-6</c:v>
                </c:pt>
                <c:pt idx="4">
                  <c:v>1.05488754202886E-5</c:v>
                </c:pt>
                <c:pt idx="5">
                  <c:v>2.0327187461882667E-5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8A-44CD-95B2-4E096E03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70607"/>
        <c:axId val="883211583"/>
      </c:scatterChart>
      <c:valAx>
        <c:axId val="459270607"/>
        <c:scaling>
          <c:orientation val="minMax"/>
          <c:max val="403"/>
          <c:min val="2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3211583"/>
        <c:crosses val="autoZero"/>
        <c:crossBetween val="midCat"/>
      </c:valAx>
      <c:valAx>
        <c:axId val="883211583"/>
        <c:scaling>
          <c:orientation val="minMax"/>
          <c:max val="4.5000000000000016E-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270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101924759405073E-2"/>
                  <c:y val="1.518299795858850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Garcia!$C$27:$C$34</c:f>
              <c:numCache>
                <c:formatCode>General</c:formatCode>
                <c:ptCount val="8"/>
                <c:pt idx="0">
                  <c:v>4.0362096439578745E-4</c:v>
                </c:pt>
                <c:pt idx="1">
                  <c:v>3.842781066771395E-4</c:v>
                </c:pt>
                <c:pt idx="2">
                  <c:v>3.7238095167165534E-4</c:v>
                </c:pt>
                <c:pt idx="3">
                  <c:v>3.5585516979273573E-4</c:v>
                </c:pt>
                <c:pt idx="4">
                  <c:v>3.4073384529729366E-4</c:v>
                </c:pt>
                <c:pt idx="5">
                  <c:v>3.2684523747267573E-4</c:v>
                </c:pt>
                <c:pt idx="6">
                  <c:v>3.1404451015651347E-4</c:v>
                </c:pt>
                <c:pt idx="7">
                  <c:v>3.0220866178378054E-4</c:v>
                </c:pt>
              </c:numCache>
            </c:numRef>
          </c:xVal>
          <c:yVal>
            <c:numRef>
              <c:f>Garcia!$D$27:$D$34</c:f>
              <c:numCache>
                <c:formatCode>General</c:formatCode>
                <c:ptCount val="8"/>
                <c:pt idx="0">
                  <c:v>-15.366679562274399</c:v>
                </c:pt>
                <c:pt idx="1">
                  <c:v>-14.318037378915569</c:v>
                </c:pt>
                <c:pt idx="2">
                  <c:v>-13.845969765448983</c:v>
                </c:pt>
                <c:pt idx="3">
                  <c:v>-13.184238781122417</c:v>
                </c:pt>
                <c:pt idx="4">
                  <c:v>-12.624622993186994</c:v>
                </c:pt>
                <c:pt idx="5">
                  <c:v>-12.062838477444267</c:v>
                </c:pt>
                <c:pt idx="6">
                  <c:v>-11.258283246596648</c:v>
                </c:pt>
                <c:pt idx="7">
                  <c:v>-11.120883377194204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C-4F52-863C-39DBC8B53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82831"/>
        <c:axId val="883194527"/>
      </c:scatterChart>
      <c:valAx>
        <c:axId val="1033982831"/>
        <c:scaling>
          <c:orientation val="minMax"/>
          <c:min val="2.5000000000000011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3194527"/>
        <c:crosses val="autoZero"/>
        <c:crossBetween val="midCat"/>
      </c:valAx>
      <c:valAx>
        <c:axId val="88319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398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390004374453193E-2"/>
                  <c:y val="-0.10563283756197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Celina!$C$2:$I$2</c:f>
              <c:numCache>
                <c:formatCode>General</c:formatCode>
                <c:ptCount val="7"/>
                <c:pt idx="0">
                  <c:v>4.0362096439578745E-4</c:v>
                </c:pt>
                <c:pt idx="1">
                  <c:v>3.842781066771395E-4</c:v>
                </c:pt>
                <c:pt idx="2">
                  <c:v>3.7238095167165534E-4</c:v>
                </c:pt>
                <c:pt idx="3">
                  <c:v>3.5585516979273573E-4</c:v>
                </c:pt>
                <c:pt idx="4">
                  <c:v>3.4073384529729366E-4</c:v>
                </c:pt>
                <c:pt idx="5">
                  <c:v>3.2684523747267573E-4</c:v>
                </c:pt>
                <c:pt idx="6">
                  <c:v>3.1404451015651347E-4</c:v>
                </c:pt>
              </c:numCache>
            </c:numRef>
          </c:xVal>
          <c:yVal>
            <c:numRef>
              <c:f>Celina!$C$16:$J$16</c:f>
              <c:numCache>
                <c:formatCode>0.00E+00</c:formatCode>
                <c:ptCount val="8"/>
                <c:pt idx="0">
                  <c:v>2.1199999999999999E-7</c:v>
                </c:pt>
                <c:pt idx="1">
                  <c:v>6.0500000000000003E-7</c:v>
                </c:pt>
                <c:pt idx="2">
                  <c:v>9.7000000000000003E-7</c:v>
                </c:pt>
                <c:pt idx="3">
                  <c:v>1.88E-6</c:v>
                </c:pt>
                <c:pt idx="4">
                  <c:v>3.2899999999999998E-6</c:v>
                </c:pt>
                <c:pt idx="5">
                  <c:v>5.7699999999999998E-6</c:v>
                </c:pt>
                <c:pt idx="6">
                  <c:v>1.29E-5</c:v>
                </c:pt>
                <c:pt idx="7">
                  <c:v>1.4800000000000001E-5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6-4757-9CF2-663B52BC9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21999"/>
        <c:axId val="1904495167"/>
      </c:scatterChart>
      <c:valAx>
        <c:axId val="2118121999"/>
        <c:scaling>
          <c:orientation val="minMax"/>
          <c:min val="2.9000000000000011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4495167"/>
        <c:crosses val="autoZero"/>
        <c:crossBetween val="midCat"/>
      </c:valAx>
      <c:valAx>
        <c:axId val="19044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12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1769685039370076E-2"/>
                  <c:y val="-0.387027559055118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Celina!$C$2:$K$2</c:f>
              <c:numCache>
                <c:formatCode>General</c:formatCode>
                <c:ptCount val="9"/>
                <c:pt idx="0">
                  <c:v>4.0362096439578745E-4</c:v>
                </c:pt>
                <c:pt idx="1">
                  <c:v>3.842781066771395E-4</c:v>
                </c:pt>
                <c:pt idx="2">
                  <c:v>3.7238095167165534E-4</c:v>
                </c:pt>
                <c:pt idx="3">
                  <c:v>3.5585516979273573E-4</c:v>
                </c:pt>
                <c:pt idx="4">
                  <c:v>3.4073384529729366E-4</c:v>
                </c:pt>
                <c:pt idx="5">
                  <c:v>3.2684523747267573E-4</c:v>
                </c:pt>
                <c:pt idx="6">
                  <c:v>3.1404451015651347E-4</c:v>
                </c:pt>
                <c:pt idx="7">
                  <c:v>3.0220866178378054E-4</c:v>
                </c:pt>
                <c:pt idx="8">
                  <c:v>2.9123256026620983E-4</c:v>
                </c:pt>
              </c:numCache>
            </c:numRef>
          </c:xVal>
          <c:yVal>
            <c:numRef>
              <c:f>Celina!$C$4:$K$4</c:f>
              <c:numCache>
                <c:formatCode>0.00E+00</c:formatCode>
                <c:ptCount val="9"/>
                <c:pt idx="0">
                  <c:v>1.4E-11</c:v>
                </c:pt>
                <c:pt idx="1">
                  <c:v>2.4000000000000001E-11</c:v>
                </c:pt>
                <c:pt idx="2">
                  <c:v>3.3000000000000002E-11</c:v>
                </c:pt>
                <c:pt idx="3">
                  <c:v>5.0999999999999998E-11</c:v>
                </c:pt>
                <c:pt idx="4">
                  <c:v>7.7000000000000006E-11</c:v>
                </c:pt>
                <c:pt idx="5">
                  <c:v>1.2E-10</c:v>
                </c:pt>
                <c:pt idx="6">
                  <c:v>1.5999999999999999E-10</c:v>
                </c:pt>
                <c:pt idx="7">
                  <c:v>2.4E-10</c:v>
                </c:pt>
                <c:pt idx="8">
                  <c:v>3.1000000000000002E-10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2-4C31-AF9E-11CEBFF38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340639"/>
        <c:axId val="1998031551"/>
      </c:scatterChart>
      <c:valAx>
        <c:axId val="2007340639"/>
        <c:scaling>
          <c:orientation val="minMax"/>
          <c:min val="2.7000000000000011E-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8031551"/>
        <c:crosses val="autoZero"/>
        <c:crossBetween val="midCat"/>
      </c:valAx>
      <c:valAx>
        <c:axId val="199803155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734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Celina!$B$11</c:f>
              <c:strCache>
                <c:ptCount val="1"/>
                <c:pt idx="0">
                  <c:v>828/A2049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Celina!$C$2:$K$2</c:f>
              <c:numCache>
                <c:formatCode>General</c:formatCode>
                <c:ptCount val="9"/>
                <c:pt idx="0">
                  <c:v>4.0362096439578745E-4</c:v>
                </c:pt>
                <c:pt idx="1">
                  <c:v>3.842781066771395E-4</c:v>
                </c:pt>
                <c:pt idx="2">
                  <c:v>3.7238095167165534E-4</c:v>
                </c:pt>
                <c:pt idx="3">
                  <c:v>3.5585516979273573E-4</c:v>
                </c:pt>
                <c:pt idx="4">
                  <c:v>3.4073384529729366E-4</c:v>
                </c:pt>
                <c:pt idx="5">
                  <c:v>3.2684523747267573E-4</c:v>
                </c:pt>
                <c:pt idx="6">
                  <c:v>3.1404451015651347E-4</c:v>
                </c:pt>
                <c:pt idx="7">
                  <c:v>3.0220866178378054E-4</c:v>
                </c:pt>
                <c:pt idx="8">
                  <c:v>2.9123256026620983E-4</c:v>
                </c:pt>
              </c:numCache>
            </c:numRef>
          </c:xVal>
          <c:yVal>
            <c:numRef>
              <c:f>Celina!$C$11:$K$11</c:f>
              <c:numCache>
                <c:formatCode>0.00E+00</c:formatCode>
                <c:ptCount val="9"/>
                <c:pt idx="0">
                  <c:v>4.97E-9</c:v>
                </c:pt>
                <c:pt idx="1">
                  <c:v>1.0099999999999999E-8</c:v>
                </c:pt>
                <c:pt idx="2">
                  <c:v>1.6700000000000001E-8</c:v>
                </c:pt>
                <c:pt idx="3">
                  <c:v>3.2800000000000003E-8</c:v>
                </c:pt>
                <c:pt idx="4">
                  <c:v>5.2199999999999998E-8</c:v>
                </c:pt>
                <c:pt idx="5">
                  <c:v>7.6599999999999998E-8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8-4C97-8444-39406F51F59C}"/>
            </c:ext>
          </c:extLst>
        </c:ser>
        <c:ser>
          <c:idx val="1"/>
          <c:order val="1"/>
          <c:tx>
            <c:strRef>
              <c:f>Celina!$B$12</c:f>
              <c:strCache>
                <c:ptCount val="1"/>
                <c:pt idx="0">
                  <c:v>828/D230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731700519383792"/>
                  <c:y val="-0.21123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Celina!$C$2:$K$2</c:f>
              <c:numCache>
                <c:formatCode>General</c:formatCode>
                <c:ptCount val="9"/>
                <c:pt idx="0">
                  <c:v>4.0362096439578745E-4</c:v>
                </c:pt>
                <c:pt idx="1">
                  <c:v>3.842781066771395E-4</c:v>
                </c:pt>
                <c:pt idx="2">
                  <c:v>3.7238095167165534E-4</c:v>
                </c:pt>
                <c:pt idx="3">
                  <c:v>3.5585516979273573E-4</c:v>
                </c:pt>
                <c:pt idx="4">
                  <c:v>3.4073384529729366E-4</c:v>
                </c:pt>
                <c:pt idx="5">
                  <c:v>3.2684523747267573E-4</c:v>
                </c:pt>
                <c:pt idx="6">
                  <c:v>3.1404451015651347E-4</c:v>
                </c:pt>
                <c:pt idx="7">
                  <c:v>3.0220866178378054E-4</c:v>
                </c:pt>
                <c:pt idx="8">
                  <c:v>2.9123256026620983E-4</c:v>
                </c:pt>
              </c:numCache>
            </c:numRef>
          </c:xVal>
          <c:yVal>
            <c:numRef>
              <c:f>Celina!$C$12:$K$12</c:f>
              <c:numCache>
                <c:formatCode>0.00E+00</c:formatCode>
                <c:ptCount val="9"/>
                <c:pt idx="0">
                  <c:v>2.9199999999999998E-9</c:v>
                </c:pt>
                <c:pt idx="1">
                  <c:v>5.8399999999999997E-9</c:v>
                </c:pt>
                <c:pt idx="2">
                  <c:v>1.1700000000000001E-8</c:v>
                </c:pt>
                <c:pt idx="3">
                  <c:v>2.5600000000000001E-8</c:v>
                </c:pt>
                <c:pt idx="4">
                  <c:v>5.4800000000000001E-8</c:v>
                </c:pt>
                <c:pt idx="5">
                  <c:v>1.1999999999999999E-7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8-4C97-8444-39406F51F59C}"/>
            </c:ext>
          </c:extLst>
        </c:ser>
        <c:ser>
          <c:idx val="2"/>
          <c:order val="2"/>
          <c:tx>
            <c:strRef>
              <c:f>Celina!$B$13</c:f>
              <c:strCache>
                <c:ptCount val="1"/>
                <c:pt idx="0">
                  <c:v>828/D400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9932551751394904"/>
                  <c:y val="-0.60938283756197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Celina!$C$2:$K$2</c:f>
              <c:numCache>
                <c:formatCode>General</c:formatCode>
                <c:ptCount val="9"/>
                <c:pt idx="0">
                  <c:v>4.0362096439578745E-4</c:v>
                </c:pt>
                <c:pt idx="1">
                  <c:v>3.842781066771395E-4</c:v>
                </c:pt>
                <c:pt idx="2">
                  <c:v>3.7238095167165534E-4</c:v>
                </c:pt>
                <c:pt idx="3">
                  <c:v>3.5585516979273573E-4</c:v>
                </c:pt>
                <c:pt idx="4">
                  <c:v>3.4073384529729366E-4</c:v>
                </c:pt>
                <c:pt idx="5">
                  <c:v>3.2684523747267573E-4</c:v>
                </c:pt>
                <c:pt idx="6">
                  <c:v>3.1404451015651347E-4</c:v>
                </c:pt>
                <c:pt idx="7">
                  <c:v>3.0220866178378054E-4</c:v>
                </c:pt>
                <c:pt idx="8">
                  <c:v>2.9123256026620983E-4</c:v>
                </c:pt>
              </c:numCache>
            </c:numRef>
          </c:xVal>
          <c:yVal>
            <c:numRef>
              <c:f>Celina!$C$13:$K$13</c:f>
              <c:numCache>
                <c:formatCode>0.00E+00</c:formatCode>
                <c:ptCount val="9"/>
                <c:pt idx="0">
                  <c:v>5.3599999999999997E-9</c:v>
                </c:pt>
                <c:pt idx="1">
                  <c:v>1.6899999999999999E-8</c:v>
                </c:pt>
                <c:pt idx="2">
                  <c:v>3.47E-8</c:v>
                </c:pt>
                <c:pt idx="3">
                  <c:v>8.8800000000000001E-8</c:v>
                </c:pt>
                <c:pt idx="4">
                  <c:v>1.9000000000000001E-7</c:v>
                </c:pt>
                <c:pt idx="5">
                  <c:v>2.8700000000000002E-7</c:v>
                </c:pt>
                <c:pt idx="6">
                  <c:v>5.37E-7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58-4C97-8444-39406F51F59C}"/>
            </c:ext>
          </c:extLst>
        </c:ser>
        <c:ser>
          <c:idx val="3"/>
          <c:order val="3"/>
          <c:tx>
            <c:strRef>
              <c:f>Celina!$B$14</c:f>
              <c:strCache>
                <c:ptCount val="1"/>
                <c:pt idx="0">
                  <c:v>Kapton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7755430619316167E-2"/>
                  <c:y val="-7.53098571011956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Celina!$C$2:$K$2</c:f>
              <c:numCache>
                <c:formatCode>General</c:formatCode>
                <c:ptCount val="9"/>
                <c:pt idx="0">
                  <c:v>4.0362096439578745E-4</c:v>
                </c:pt>
                <c:pt idx="1">
                  <c:v>3.842781066771395E-4</c:v>
                </c:pt>
                <c:pt idx="2">
                  <c:v>3.7238095167165534E-4</c:v>
                </c:pt>
                <c:pt idx="3">
                  <c:v>3.5585516979273573E-4</c:v>
                </c:pt>
                <c:pt idx="4">
                  <c:v>3.4073384529729366E-4</c:v>
                </c:pt>
                <c:pt idx="5">
                  <c:v>3.2684523747267573E-4</c:v>
                </c:pt>
                <c:pt idx="6">
                  <c:v>3.1404451015651347E-4</c:v>
                </c:pt>
                <c:pt idx="7">
                  <c:v>3.0220866178378054E-4</c:v>
                </c:pt>
                <c:pt idx="8">
                  <c:v>2.9123256026620983E-4</c:v>
                </c:pt>
              </c:numCache>
            </c:numRef>
          </c:xVal>
          <c:yVal>
            <c:numRef>
              <c:f>Celina!$C$14:$K$14</c:f>
              <c:numCache>
                <c:formatCode>0.00E+00</c:formatCode>
                <c:ptCount val="9"/>
                <c:pt idx="0">
                  <c:v>1.19E-9</c:v>
                </c:pt>
                <c:pt idx="1">
                  <c:v>2.7900000000000001E-9</c:v>
                </c:pt>
                <c:pt idx="2">
                  <c:v>4.3599999999999998E-9</c:v>
                </c:pt>
                <c:pt idx="3">
                  <c:v>7.2300000000000001E-9</c:v>
                </c:pt>
                <c:pt idx="4">
                  <c:v>1.4899999999999999E-8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58-4C97-8444-39406F51F59C}"/>
            </c:ext>
          </c:extLst>
        </c:ser>
        <c:ser>
          <c:idx val="4"/>
          <c:order val="4"/>
          <c:tx>
            <c:strRef>
              <c:f>Celina!$B$15</c:f>
              <c:strCache>
                <c:ptCount val="1"/>
                <c:pt idx="0">
                  <c:v>MVK-14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9043411100500014"/>
                  <c:y val="-2.60495042286380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Celina!$C$2:$K$2</c:f>
              <c:numCache>
                <c:formatCode>General</c:formatCode>
                <c:ptCount val="9"/>
                <c:pt idx="0">
                  <c:v>4.0362096439578745E-4</c:v>
                </c:pt>
                <c:pt idx="1">
                  <c:v>3.842781066771395E-4</c:v>
                </c:pt>
                <c:pt idx="2">
                  <c:v>3.7238095167165534E-4</c:v>
                </c:pt>
                <c:pt idx="3">
                  <c:v>3.5585516979273573E-4</c:v>
                </c:pt>
                <c:pt idx="4">
                  <c:v>3.4073384529729366E-4</c:v>
                </c:pt>
                <c:pt idx="5">
                  <c:v>3.2684523747267573E-4</c:v>
                </c:pt>
                <c:pt idx="6">
                  <c:v>3.1404451015651347E-4</c:v>
                </c:pt>
                <c:pt idx="7">
                  <c:v>3.0220866178378054E-4</c:v>
                </c:pt>
                <c:pt idx="8">
                  <c:v>2.9123256026620983E-4</c:v>
                </c:pt>
              </c:numCache>
            </c:numRef>
          </c:xVal>
          <c:yVal>
            <c:numRef>
              <c:f>Celina!$C$15:$K$15</c:f>
              <c:numCache>
                <c:formatCode>General</c:formatCode>
                <c:ptCount val="9"/>
                <c:pt idx="0" formatCode="0.00E+00">
                  <c:v>4.97E-9</c:v>
                </c:pt>
                <c:pt idx="2" formatCode="0.00E+00">
                  <c:v>1.46E-8</c:v>
                </c:pt>
                <c:pt idx="4" formatCode="0.00E+00">
                  <c:v>3.9699999999999998E-8</c:v>
                </c:pt>
                <c:pt idx="5" formatCode="0.00E+00">
                  <c:v>6.8600000000000005E-8</c:v>
                </c:pt>
                <c:pt idx="7" formatCode="0.00E+00">
                  <c:v>1.12E-7</c:v>
                </c:pt>
                <c:pt idx="8" formatCode="0.00E+00">
                  <c:v>1.97E-7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58-4C97-8444-39406F51F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48863"/>
        <c:axId val="1897444927"/>
      </c:scatterChart>
      <c:valAx>
        <c:axId val="2110648863"/>
        <c:scaling>
          <c:orientation val="minMax"/>
          <c:max val="4.1000000000000015E-4"/>
          <c:min val="2.7000000000000011E-4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7444927"/>
        <c:crosses val="autoZero"/>
        <c:crossBetween val="midCat"/>
      </c:valAx>
      <c:valAx>
        <c:axId val="1897444927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064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'Michaels '!$A$1</c:f>
              <c:strCache>
                <c:ptCount val="1"/>
                <c:pt idx="0">
                  <c:v>Alathon 14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0.29617279090113735"/>
                  <c:y val="-0.41013633712452607"/>
                </c:manualLayout>
              </c:layout>
              <c:numFmt formatCode="General" sourceLinked="0"/>
            </c:trendlineLbl>
          </c:trendline>
          <c:xVal>
            <c:numRef>
              <c:f>'Michaels '!$A$3:$A$38</c:f>
              <c:numCache>
                <c:formatCode>General</c:formatCode>
                <c:ptCount val="36"/>
                <c:pt idx="0">
                  <c:v>3.192E-3</c:v>
                </c:pt>
                <c:pt idx="1">
                  <c:v>3.2039999999999998E-3</c:v>
                </c:pt>
                <c:pt idx="2">
                  <c:v>3.2160000000000001E-3</c:v>
                </c:pt>
                <c:pt idx="3">
                  <c:v>3.228E-3</c:v>
                </c:pt>
                <c:pt idx="4">
                  <c:v>3.2399999999999998E-3</c:v>
                </c:pt>
                <c:pt idx="5">
                  <c:v>3.2520000000000001E-3</c:v>
                </c:pt>
                <c:pt idx="6">
                  <c:v>3.264E-3</c:v>
                </c:pt>
                <c:pt idx="7">
                  <c:v>3.2759999999999998E-3</c:v>
                </c:pt>
                <c:pt idx="8">
                  <c:v>3.2880000000000001E-3</c:v>
                </c:pt>
                <c:pt idx="9">
                  <c:v>3.3E-3</c:v>
                </c:pt>
                <c:pt idx="10">
                  <c:v>3.3119999999999998E-3</c:v>
                </c:pt>
                <c:pt idx="11">
                  <c:v>3.3240000000000001E-3</c:v>
                </c:pt>
                <c:pt idx="12">
                  <c:v>3.336E-3</c:v>
                </c:pt>
                <c:pt idx="13">
                  <c:v>3.3479999999999998E-3</c:v>
                </c:pt>
                <c:pt idx="14">
                  <c:v>3.3600000000000001E-3</c:v>
                </c:pt>
                <c:pt idx="15">
                  <c:v>3.372E-3</c:v>
                </c:pt>
                <c:pt idx="16">
                  <c:v>3.3839999999999999E-3</c:v>
                </c:pt>
                <c:pt idx="17">
                  <c:v>3.3960000000000001E-3</c:v>
                </c:pt>
                <c:pt idx="18">
                  <c:v>3.408E-3</c:v>
                </c:pt>
                <c:pt idx="19">
                  <c:v>3.4199999999999999E-3</c:v>
                </c:pt>
                <c:pt idx="20">
                  <c:v>3.4320000000000002E-3</c:v>
                </c:pt>
                <c:pt idx="21">
                  <c:v>3.444E-3</c:v>
                </c:pt>
                <c:pt idx="22">
                  <c:v>3.4559999999999999E-3</c:v>
                </c:pt>
                <c:pt idx="23">
                  <c:v>3.4680000000000002E-3</c:v>
                </c:pt>
                <c:pt idx="24">
                  <c:v>3.48E-3</c:v>
                </c:pt>
                <c:pt idx="25">
                  <c:v>3.4919999999999999E-3</c:v>
                </c:pt>
                <c:pt idx="26">
                  <c:v>3.5279999999999999E-3</c:v>
                </c:pt>
                <c:pt idx="27">
                  <c:v>3.5400000000000002E-3</c:v>
                </c:pt>
                <c:pt idx="28">
                  <c:v>3.552E-3</c:v>
                </c:pt>
                <c:pt idx="29">
                  <c:v>3.5639999999999999E-3</c:v>
                </c:pt>
                <c:pt idx="30">
                  <c:v>3.5760000000000002E-3</c:v>
                </c:pt>
                <c:pt idx="31">
                  <c:v>3.5160774951795001E-3</c:v>
                </c:pt>
                <c:pt idx="32">
                  <c:v>3.50361766596272E-3</c:v>
                </c:pt>
                <c:pt idx="33">
                  <c:v>3.1796621063263199E-3</c:v>
                </c:pt>
                <c:pt idx="34">
                  <c:v>3.16596272151317E-3</c:v>
                </c:pt>
                <c:pt idx="35">
                  <c:v>3.0999265448535401E-3</c:v>
                </c:pt>
              </c:numCache>
            </c:numRef>
          </c:xVal>
          <c:yVal>
            <c:numRef>
              <c:f>'Michaels '!$B$3:$B$38</c:f>
              <c:numCache>
                <c:formatCode>0.00E+00</c:formatCode>
                <c:ptCount val="36"/>
                <c:pt idx="0">
                  <c:v>9.8293268150550695E-7</c:v>
                </c:pt>
                <c:pt idx="1">
                  <c:v>9.4700927981818405E-7</c:v>
                </c:pt>
                <c:pt idx="2">
                  <c:v>9.0397988551504297E-7</c:v>
                </c:pt>
                <c:pt idx="3">
                  <c:v>8.5742650541338495E-7</c:v>
                </c:pt>
                <c:pt idx="4">
                  <c:v>8.1631766849871897E-7</c:v>
                </c:pt>
                <c:pt idx="5">
                  <c:v>7.6714794651080999E-7</c:v>
                </c:pt>
                <c:pt idx="6">
                  <c:v>7.0765491359600705E-7</c:v>
                </c:pt>
                <c:pt idx="7">
                  <c:v>6.8290884515716205E-7</c:v>
                </c:pt>
                <c:pt idx="8">
                  <c:v>6.3824957309107904E-7</c:v>
                </c:pt>
                <c:pt idx="9">
                  <c:v>6.09691187818495E-7</c:v>
                </c:pt>
                <c:pt idx="10">
                  <c:v>5.5731685690156799E-7</c:v>
                </c:pt>
                <c:pt idx="11">
                  <c:v>5.2043941191971499E-7</c:v>
                </c:pt>
                <c:pt idx="12">
                  <c:v>5.0457340260938502E-7</c:v>
                </c:pt>
                <c:pt idx="13">
                  <c:v>4.7631630710612398E-7</c:v>
                </c:pt>
                <c:pt idx="14">
                  <c:v>4.5509571753093398E-7</c:v>
                </c:pt>
                <c:pt idx="15">
                  <c:v>4.2962252226189999E-7</c:v>
                </c:pt>
                <c:pt idx="16">
                  <c:v>4.01507673586456E-7</c:v>
                </c:pt>
                <c:pt idx="17">
                  <c:v>3.8612285625616802E-7</c:v>
                </c:pt>
                <c:pt idx="18">
                  <c:v>3.5295894178768302E-7</c:v>
                </c:pt>
                <c:pt idx="19">
                  <c:v>3.4503908620728701E-7</c:v>
                </c:pt>
                <c:pt idx="20">
                  <c:v>3.1280252183494E-7</c:v>
                </c:pt>
                <c:pt idx="21">
                  <c:v>3.0187105227386999E-7</c:v>
                </c:pt>
                <c:pt idx="22">
                  <c:v>2.91704863124403E-7</c:v>
                </c:pt>
                <c:pt idx="23">
                  <c:v>2.8020367091297399E-7</c:v>
                </c:pt>
                <c:pt idx="24">
                  <c:v>2.67394077951049E-7</c:v>
                </c:pt>
                <c:pt idx="25">
                  <c:v>2.45764250365533E-7</c:v>
                </c:pt>
                <c:pt idx="26">
                  <c:v>2.0420738659565101E-7</c:v>
                </c:pt>
                <c:pt idx="27">
                  <c:v>1.9651903709399301E-7</c:v>
                </c:pt>
                <c:pt idx="28">
                  <c:v>1.8576278735486399E-7</c:v>
                </c:pt>
                <c:pt idx="29">
                  <c:v>1.7622714149733099E-7</c:v>
                </c:pt>
                <c:pt idx="30">
                  <c:v>1.6703426996953401E-7</c:v>
                </c:pt>
                <c:pt idx="31">
                  <c:v>2.19450656128143E-7</c:v>
                </c:pt>
                <c:pt idx="32">
                  <c:v>2.32702652897642E-7</c:v>
                </c:pt>
                <c:pt idx="33" formatCode="General">
                  <c:v>1.0687522805376799E-6</c:v>
                </c:pt>
                <c:pt idx="34" formatCode="General">
                  <c:v>1.1331713762045499E-6</c:v>
                </c:pt>
                <c:pt idx="35" formatCode="General">
                  <c:v>1.5448518897970299E-6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A-473D-8852-A2A021C1D704}"/>
            </c:ext>
          </c:extLst>
        </c:ser>
        <c:ser>
          <c:idx val="3"/>
          <c:order val="1"/>
          <c:tx>
            <c:strRef>
              <c:f>'Michaels '!$C$1</c:f>
              <c:strCache>
                <c:ptCount val="1"/>
                <c:pt idx="0">
                  <c:v>Alathon 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trendlineType val="exp"/>
            <c:dispRSqr val="0"/>
            <c:dispEq val="1"/>
            <c:trendlineLbl>
              <c:layout>
                <c:manualLayout>
                  <c:x val="-0.22569510061242345"/>
                  <c:y val="-0.20589676290463693"/>
                </c:manualLayout>
              </c:layout>
              <c:numFmt formatCode="General" sourceLinked="0"/>
            </c:trendlineLbl>
          </c:trendline>
          <c:xVal>
            <c:numRef>
              <c:f>'Michaels '!$C$3:$C$38</c:f>
              <c:numCache>
                <c:formatCode>General</c:formatCode>
                <c:ptCount val="36"/>
                <c:pt idx="0">
                  <c:v>3.1679999999999998E-3</c:v>
                </c:pt>
                <c:pt idx="1">
                  <c:v>3.1800000000000001E-3</c:v>
                </c:pt>
                <c:pt idx="2">
                  <c:v>3.192E-3</c:v>
                </c:pt>
                <c:pt idx="3">
                  <c:v>3.2039999999999998E-3</c:v>
                </c:pt>
                <c:pt idx="4">
                  <c:v>3.2160000000000001E-3</c:v>
                </c:pt>
                <c:pt idx="5">
                  <c:v>3.228E-3</c:v>
                </c:pt>
                <c:pt idx="6">
                  <c:v>3.2399999999999998E-3</c:v>
                </c:pt>
                <c:pt idx="7">
                  <c:v>3.2520000000000001E-3</c:v>
                </c:pt>
                <c:pt idx="8">
                  <c:v>3.264E-3</c:v>
                </c:pt>
                <c:pt idx="9">
                  <c:v>3.2759999999999998E-3</c:v>
                </c:pt>
                <c:pt idx="10">
                  <c:v>3.2880000000000001E-3</c:v>
                </c:pt>
                <c:pt idx="11">
                  <c:v>3.30004590946653E-3</c:v>
                </c:pt>
                <c:pt idx="12">
                  <c:v>3.3119999999999998E-3</c:v>
                </c:pt>
                <c:pt idx="13">
                  <c:v>3.3239770452667301E-3</c:v>
                </c:pt>
                <c:pt idx="14">
                  <c:v>3.336E-3</c:v>
                </c:pt>
                <c:pt idx="15">
                  <c:v>3.3479999999999998E-3</c:v>
                </c:pt>
                <c:pt idx="16">
                  <c:v>3.3600000000000001E-3</c:v>
                </c:pt>
                <c:pt idx="17">
                  <c:v>3.372E-3</c:v>
                </c:pt>
                <c:pt idx="18">
                  <c:v>3.3839999999999999E-3</c:v>
                </c:pt>
                <c:pt idx="19">
                  <c:v>3.3960000000000001E-3</c:v>
                </c:pt>
                <c:pt idx="20">
                  <c:v>3.408E-3</c:v>
                </c:pt>
                <c:pt idx="21">
                  <c:v>3.4199999999999999E-3</c:v>
                </c:pt>
                <c:pt idx="22">
                  <c:v>3.4320000000000002E-3</c:v>
                </c:pt>
                <c:pt idx="23">
                  <c:v>3.444E-3</c:v>
                </c:pt>
                <c:pt idx="24">
                  <c:v>3.4559999999999999E-3</c:v>
                </c:pt>
              </c:numCache>
            </c:numRef>
          </c:xVal>
          <c:yVal>
            <c:numRef>
              <c:f>'Michaels '!$D$3:$D$38</c:f>
              <c:numCache>
                <c:formatCode>0.00E+00</c:formatCode>
                <c:ptCount val="36"/>
                <c:pt idx="0">
                  <c:v>6.0275112180010098E-7</c:v>
                </c:pt>
                <c:pt idx="1">
                  <c:v>5.8265305325424298E-7</c:v>
                </c:pt>
                <c:pt idx="2">
                  <c:v>5.56069805179699E-7</c:v>
                </c:pt>
                <c:pt idx="3">
                  <c:v>5.1522562999079303E-7</c:v>
                </c:pt>
                <c:pt idx="4">
                  <c:v>4.9402354026492703E-7</c:v>
                </c:pt>
                <c:pt idx="5">
                  <c:v>4.7876681100730795E-7</c:v>
                </c:pt>
                <c:pt idx="6">
                  <c:v>4.4713751146035202E-7</c:v>
                </c:pt>
                <c:pt idx="7">
                  <c:v>4.2456026608419502E-7</c:v>
                </c:pt>
                <c:pt idx="8">
                  <c:v>3.9963580942366602E-7</c:v>
                </c:pt>
                <c:pt idx="9">
                  <c:v>3.8669739244144202E-7</c:v>
                </c:pt>
                <c:pt idx="10">
                  <c:v>3.7199231848026099E-7</c:v>
                </c:pt>
                <c:pt idx="11">
                  <c:v>3.4698315297374299E-7</c:v>
                </c:pt>
                <c:pt idx="12">
                  <c:v>3.2747410650799602E-7</c:v>
                </c:pt>
                <c:pt idx="13">
                  <c:v>3.0998367324576498E-7</c:v>
                </c:pt>
                <c:pt idx="14">
                  <c:v>2.9543186916242402E-7</c:v>
                </c:pt>
                <c:pt idx="15">
                  <c:v>2.7988579367246902E-7</c:v>
                </c:pt>
                <c:pt idx="16">
                  <c:v>2.6601291526925401E-7</c:v>
                </c:pt>
                <c:pt idx="17">
                  <c:v>2.52340250075225E-7</c:v>
                </c:pt>
                <c:pt idx="18">
                  <c:v>2.3913214639149E-7</c:v>
                </c:pt>
                <c:pt idx="19">
                  <c:v>2.2794051261801601E-7</c:v>
                </c:pt>
                <c:pt idx="20">
                  <c:v>2.1438628306545399E-7</c:v>
                </c:pt>
                <c:pt idx="21">
                  <c:v>2.01622606358943E-7</c:v>
                </c:pt>
                <c:pt idx="22">
                  <c:v>1.9429553579304801E-7</c:v>
                </c:pt>
                <c:pt idx="23">
                  <c:v>1.8798166722606201E-7</c:v>
                </c:pt>
                <c:pt idx="24">
                  <c:v>1.78392057002923E-7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EA-473D-8852-A2A021C1D704}"/>
            </c:ext>
          </c:extLst>
        </c:ser>
        <c:ser>
          <c:idx val="1"/>
          <c:order val="2"/>
          <c:tx>
            <c:strRef>
              <c:f>'Michaels '!$E$1</c:f>
              <c:strCache>
                <c:ptCount val="1"/>
                <c:pt idx="0">
                  <c:v>Grex Olefin Polymer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0.15703783902012247"/>
                  <c:y val="-8.592082239720035E-2"/>
                </c:manualLayout>
              </c:layout>
              <c:numFmt formatCode="General" sourceLinked="0"/>
            </c:trendlineLbl>
          </c:trendline>
          <c:xVal>
            <c:numRef>
              <c:f>'Michaels '!$E$3:$E$38</c:f>
              <c:numCache>
                <c:formatCode>General</c:formatCode>
                <c:ptCount val="36"/>
                <c:pt idx="0">
                  <c:v>3.156E-3</c:v>
                </c:pt>
                <c:pt idx="1">
                  <c:v>3.1679999999999998E-3</c:v>
                </c:pt>
                <c:pt idx="2">
                  <c:v>3.1800000000000001E-3</c:v>
                </c:pt>
                <c:pt idx="3">
                  <c:v>3.192E-3</c:v>
                </c:pt>
                <c:pt idx="4">
                  <c:v>3.2039999999999998E-3</c:v>
                </c:pt>
                <c:pt idx="5">
                  <c:v>3.2160000000000001E-3</c:v>
                </c:pt>
                <c:pt idx="6">
                  <c:v>3.228E-3</c:v>
                </c:pt>
                <c:pt idx="7">
                  <c:v>3.2399999999999998E-3</c:v>
                </c:pt>
                <c:pt idx="8">
                  <c:v>3.2520000000000001E-3</c:v>
                </c:pt>
                <c:pt idx="9">
                  <c:v>3.2639311358001999E-3</c:v>
                </c:pt>
                <c:pt idx="10">
                  <c:v>3.2759540905334598E-3</c:v>
                </c:pt>
                <c:pt idx="11">
                  <c:v>3.2879724543200799E-3</c:v>
                </c:pt>
                <c:pt idx="12">
                  <c:v>3.3000183637866098E-3</c:v>
                </c:pt>
                <c:pt idx="13">
                  <c:v>3.3120137728399599E-3</c:v>
                </c:pt>
                <c:pt idx="14">
                  <c:v>3.3240000000000001E-3</c:v>
                </c:pt>
                <c:pt idx="15">
                  <c:v>3.336E-3</c:v>
                </c:pt>
                <c:pt idx="16">
                  <c:v>3.3479999999999998E-3</c:v>
                </c:pt>
                <c:pt idx="17">
                  <c:v>3.3600000000000001E-3</c:v>
                </c:pt>
                <c:pt idx="18">
                  <c:v>3.372E-3</c:v>
                </c:pt>
                <c:pt idx="19">
                  <c:v>3.3839999999999999E-3</c:v>
                </c:pt>
                <c:pt idx="20">
                  <c:v>3.3960000000000001E-3</c:v>
                </c:pt>
                <c:pt idx="21">
                  <c:v>3.408E-3</c:v>
                </c:pt>
                <c:pt idx="22">
                  <c:v>3.4199999999999999E-3</c:v>
                </c:pt>
                <c:pt idx="23">
                  <c:v>3.4320000000000002E-3</c:v>
                </c:pt>
                <c:pt idx="24">
                  <c:v>3.444E-3</c:v>
                </c:pt>
                <c:pt idx="25">
                  <c:v>3.4559999999999999E-3</c:v>
                </c:pt>
              </c:numCache>
            </c:numRef>
          </c:xVal>
          <c:yVal>
            <c:numRef>
              <c:f>'Michaels '!$F$3:$F$38</c:f>
              <c:numCache>
                <c:formatCode>0.00E+00</c:formatCode>
                <c:ptCount val="36"/>
                <c:pt idx="0">
                  <c:v>3.7241715289837102E-7</c:v>
                </c:pt>
                <c:pt idx="1">
                  <c:v>3.5769385652617801E-7</c:v>
                </c:pt>
                <c:pt idx="2">
                  <c:v>3.3341420906081198E-7</c:v>
                </c:pt>
                <c:pt idx="3">
                  <c:v>3.1102479168034502E-7</c:v>
                </c:pt>
                <c:pt idx="4">
                  <c:v>3.0107341944756098E-7</c:v>
                </c:pt>
                <c:pt idx="5">
                  <c:v>2.8618557981850398E-7</c:v>
                </c:pt>
                <c:pt idx="6">
                  <c:v>2.7006940116916802E-7</c:v>
                </c:pt>
                <c:pt idx="7">
                  <c:v>2.5606683460435001E-7</c:v>
                </c:pt>
                <c:pt idx="8">
                  <c:v>2.4233121692036497E-7</c:v>
                </c:pt>
                <c:pt idx="9">
                  <c:v>2.3086293581497399E-7</c:v>
                </c:pt>
                <c:pt idx="10">
                  <c:v>2.1920833077526699E-7</c:v>
                </c:pt>
                <c:pt idx="11">
                  <c:v>2.0767063799382001E-7</c:v>
                </c:pt>
                <c:pt idx="12">
                  <c:v>1.9720588654899899E-7</c:v>
                </c:pt>
                <c:pt idx="13">
                  <c:v>1.87457415345942E-7</c:v>
                </c:pt>
                <c:pt idx="14">
                  <c:v>1.76627515501058E-7</c:v>
                </c:pt>
                <c:pt idx="15">
                  <c:v>1.6887183335373701E-7</c:v>
                </c:pt>
                <c:pt idx="16">
                  <c:v>1.5729768591386401E-7</c:v>
                </c:pt>
                <c:pt idx="17">
                  <c:v>1.5181453660977301E-7</c:v>
                </c:pt>
                <c:pt idx="18">
                  <c:v>1.4408894281693399E-7</c:v>
                </c:pt>
                <c:pt idx="19">
                  <c:v>1.3685351276361099E-7</c:v>
                </c:pt>
                <c:pt idx="20">
                  <c:v>1.30019462908964E-7</c:v>
                </c:pt>
                <c:pt idx="21">
                  <c:v>1.2205218785779E-7</c:v>
                </c:pt>
                <c:pt idx="22">
                  <c:v>1.16937274507098E-7</c:v>
                </c:pt>
                <c:pt idx="23">
                  <c:v>1.10896878637144E-7</c:v>
                </c:pt>
                <c:pt idx="24">
                  <c:v>1.0503091487369E-7</c:v>
                </c:pt>
                <c:pt idx="25">
                  <c:v>1.0078071223679999E-7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EA-473D-8852-A2A021C1D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465120"/>
        <c:axId val="1407378320"/>
      </c:scatterChart>
      <c:valAx>
        <c:axId val="14104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1/T[K]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7378320"/>
        <c:crosses val="autoZero"/>
        <c:crossBetween val="midCat"/>
      </c:valAx>
      <c:valAx>
        <c:axId val="1407378320"/>
        <c:scaling>
          <c:logBase val="10"/>
          <c:orientation val="minMax"/>
          <c:max val="9.0000000000000036E-6"/>
          <c:min val="4.0000000000000021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0465120"/>
        <c:crosses val="autoZero"/>
        <c:crossBetween val="midCat"/>
        <c:majorUnit val="10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</xdr:colOff>
      <xdr:row>1</xdr:row>
      <xdr:rowOff>0</xdr:rowOff>
    </xdr:from>
    <xdr:to>
      <xdr:col>8</xdr:col>
      <xdr:colOff>103367</xdr:colOff>
      <xdr:row>16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C1BD47-A87B-40CB-BB79-AE48323E3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763" y="180975"/>
          <a:ext cx="5432604" cy="2862263"/>
        </a:xfrm>
        <a:prstGeom prst="rect">
          <a:avLst/>
        </a:prstGeom>
      </xdr:spPr>
    </xdr:pic>
    <xdr:clientData/>
  </xdr:twoCellAnchor>
  <xdr:twoCellAnchor>
    <xdr:from>
      <xdr:col>4</xdr:col>
      <xdr:colOff>609600</xdr:colOff>
      <xdr:row>9</xdr:row>
      <xdr:rowOff>28574</xdr:rowOff>
    </xdr:from>
    <xdr:to>
      <xdr:col>10</xdr:col>
      <xdr:colOff>609600</xdr:colOff>
      <xdr:row>24</xdr:row>
      <xdr:rowOff>57149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206D24-14CF-44E6-8612-EDAC3BF30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22</xdr:row>
      <xdr:rowOff>180974</xdr:rowOff>
    </xdr:from>
    <xdr:to>
      <xdr:col>15</xdr:col>
      <xdr:colOff>361950</xdr:colOff>
      <xdr:row>38</xdr:row>
      <xdr:rowOff>28574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C8FCEA-FCC3-4FD2-A3D5-786761B08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0</xdr:row>
      <xdr:rowOff>76200</xdr:rowOff>
    </xdr:from>
    <xdr:to>
      <xdr:col>25</xdr:col>
      <xdr:colOff>525748</xdr:colOff>
      <xdr:row>32</xdr:row>
      <xdr:rowOff>153219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E82413-73E7-4FB5-90EB-E94426FA6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3175" y="76200"/>
          <a:ext cx="13422598" cy="5868219"/>
        </a:xfrm>
        <a:prstGeom prst="rect">
          <a:avLst/>
        </a:prstGeom>
      </xdr:spPr>
    </xdr:pic>
    <xdr:clientData/>
  </xdr:twoCellAnchor>
  <xdr:twoCellAnchor>
    <xdr:from>
      <xdr:col>10</xdr:col>
      <xdr:colOff>361949</xdr:colOff>
      <xdr:row>2</xdr:row>
      <xdr:rowOff>76198</xdr:rowOff>
    </xdr:from>
    <xdr:to>
      <xdr:col>22</xdr:col>
      <xdr:colOff>390525</xdr:colOff>
      <xdr:row>33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A7ED9C-DA2D-4FA3-857F-546B0E9B2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733425</xdr:colOff>
      <xdr:row>27</xdr:row>
      <xdr:rowOff>114300</xdr:rowOff>
    </xdr:from>
    <xdr:to>
      <xdr:col>7</xdr:col>
      <xdr:colOff>466725</xdr:colOff>
      <xdr:row>42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B98D5BF-455D-46C5-9A87-4C960226B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202405</xdr:colOff>
      <xdr:row>15</xdr:row>
      <xdr:rowOff>85725</xdr:rowOff>
    </xdr:from>
    <xdr:to>
      <xdr:col>23</xdr:col>
      <xdr:colOff>202405</xdr:colOff>
      <xdr:row>30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8BEA7E-FE06-4B82-ADA6-ECD8DBCC5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483394</xdr:colOff>
      <xdr:row>11</xdr:row>
      <xdr:rowOff>19050</xdr:rowOff>
    </xdr:from>
    <xdr:to>
      <xdr:col>17</xdr:col>
      <xdr:colOff>483394</xdr:colOff>
      <xdr:row>26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7AE38E-DF08-438E-898D-0FD26A065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697704</xdr:colOff>
      <xdr:row>1</xdr:row>
      <xdr:rowOff>66675</xdr:rowOff>
    </xdr:from>
    <xdr:to>
      <xdr:col>24</xdr:col>
      <xdr:colOff>190499</xdr:colOff>
      <xdr:row>16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4B33D73-9611-41C2-B122-853E759B1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590582</xdr:colOff>
      <xdr:row>28</xdr:row>
      <xdr:rowOff>100050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0B9C5F3-F764-4E98-A429-1BE38090D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00582" cy="5167350"/>
        </a:xfrm>
        <a:prstGeom prst="rect">
          <a:avLst/>
        </a:prstGeom>
      </xdr:spPr>
    </xdr:pic>
    <xdr:clientData/>
  </xdr:twoCellAnchor>
  <xdr:twoCellAnchor editAs="oneCell">
    <xdr:from>
      <xdr:col>11</xdr:col>
      <xdr:colOff>504825</xdr:colOff>
      <xdr:row>1</xdr:row>
      <xdr:rowOff>80963</xdr:rowOff>
    </xdr:from>
    <xdr:to>
      <xdr:col>21</xdr:col>
      <xdr:colOff>223891</xdr:colOff>
      <xdr:row>32</xdr:row>
      <xdr:rowOff>85767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56EDA94-AD1D-4BE2-9662-D92082BC0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00" y="261938"/>
          <a:ext cx="7339066" cy="5615029"/>
        </a:xfrm>
        <a:prstGeom prst="rect">
          <a:avLst/>
        </a:prstGeom>
      </xdr:spPr>
    </xdr:pic>
    <xdr:clientData/>
  </xdr:twoCellAnchor>
  <xdr:twoCellAnchor editAs="oneCell">
    <xdr:from>
      <xdr:col>6</xdr:col>
      <xdr:colOff>372532</xdr:colOff>
      <xdr:row>29</xdr:row>
      <xdr:rowOff>21431</xdr:rowOff>
    </xdr:from>
    <xdr:to>
      <xdr:col>11</xdr:col>
      <xdr:colOff>20927</xdr:colOff>
      <xdr:row>32</xdr:row>
      <xdr:rowOff>102398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C7D9B23-8D5B-4DD7-A4AC-98210FB07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36595" y="5200650"/>
          <a:ext cx="3550999" cy="6167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547688</xdr:colOff>
      <xdr:row>1</xdr:row>
      <xdr:rowOff>152400</xdr:rowOff>
    </xdr:from>
    <xdr:to>
      <xdr:col>13</xdr:col>
      <xdr:colOff>381000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70B9EE-21C2-4A1D-9B99-91AAB64AB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1</xdr:row>
      <xdr:rowOff>47617</xdr:rowOff>
    </xdr:from>
    <xdr:to>
      <xdr:col>20</xdr:col>
      <xdr:colOff>438163</xdr:colOff>
      <xdr:row>33</xdr:row>
      <xdr:rowOff>66709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4E0AF246-4C90-4637-9301-E7665F1FAE25}"/>
            </a:ext>
          </a:extLst>
        </xdr:cNvPr>
        <xdr:cNvGrpSpPr/>
      </xdr:nvGrpSpPr>
      <xdr:grpSpPr>
        <a:xfrm>
          <a:off x="8399950" y="239949"/>
          <a:ext cx="7241578" cy="6173707"/>
          <a:chOff x="8267699" y="0"/>
          <a:chExt cx="7258064" cy="581029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FDCCBB29-0CCB-42EA-B83C-DED53FDC7A7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r="1449"/>
          <a:stretch/>
        </xdr:blipFill>
        <xdr:spPr>
          <a:xfrm>
            <a:off x="8267699" y="0"/>
            <a:ext cx="5829301" cy="5810292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B9851CA5-DC04-4923-9100-72410FB2A21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10204"/>
          <a:stretch/>
        </xdr:blipFill>
        <xdr:spPr>
          <a:xfrm>
            <a:off x="14058900" y="357188"/>
            <a:ext cx="1466863" cy="534356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23813</xdr:rowOff>
    </xdr:from>
    <xdr:to>
      <xdr:col>11</xdr:col>
      <xdr:colOff>123887</xdr:colOff>
      <xdr:row>36</xdr:row>
      <xdr:rowOff>104822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A6160C-C276-4B2C-AC32-C955C61FC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04788"/>
          <a:ext cx="8505887" cy="6415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E5D56-F1D6-487F-BD6E-079B497106E2}">
  <dimension ref="B22:F45"/>
  <sheetViews>
    <sheetView topLeftCell="A8" workbookViewId="0">
      <selection activeCell="C23" sqref="B23:C23"/>
    </sheetView>
  </sheetViews>
  <sheetFormatPr baseColWidth="10" defaultRowHeight="15" x14ac:dyDescent="0.25"/>
  <sheetData>
    <row r="22" spans="2:6" x14ac:dyDescent="0.25">
      <c r="B22">
        <f>0.00268</f>
        <v>2.6800000000000001E-3</v>
      </c>
      <c r="C22">
        <v>2260</v>
      </c>
    </row>
    <row r="23" spans="2:6" x14ac:dyDescent="0.25">
      <c r="B23">
        <v>9.3859103052836999E-4</v>
      </c>
      <c r="C23">
        <v>2775.7</v>
      </c>
    </row>
    <row r="26" spans="2:6" x14ac:dyDescent="0.25">
      <c r="B26">
        <v>25</v>
      </c>
      <c r="C26">
        <f>B26+273</f>
        <v>298</v>
      </c>
      <c r="D26" s="1">
        <v>9.3400000000000004E-4</v>
      </c>
      <c r="E26" s="6">
        <f>$B$22*EXP(-$C$22/8.314*(1/C26-1/298))</f>
        <v>2.6800000000000001E-3</v>
      </c>
      <c r="F26">
        <f>$B$23*EXP(-$C$23/8.314*(1/C26-1/298))</f>
        <v>9.3859103052836999E-4</v>
      </c>
    </row>
    <row r="27" spans="2:6" x14ac:dyDescent="0.25">
      <c r="B27">
        <v>40</v>
      </c>
      <c r="C27">
        <f t="shared" ref="C27:C33" si="0">B27+273</f>
        <v>313</v>
      </c>
      <c r="D27" s="1">
        <v>1.09E-3</v>
      </c>
      <c r="E27" s="6">
        <f t="shared" ref="E27:E33" si="1">$B$22*EXP(-$C$22/8.314*(1/C27-1/298))</f>
        <v>2.7997542709833692E-3</v>
      </c>
      <c r="F27">
        <f t="shared" ref="F27:F33" si="2">$B$23*EXP(-$C$23/8.314*(1/C27-1/298))</f>
        <v>9.9036129129949965E-4</v>
      </c>
    </row>
    <row r="28" spans="2:6" x14ac:dyDescent="0.25">
      <c r="B28">
        <v>50</v>
      </c>
      <c r="C28">
        <f t="shared" si="0"/>
        <v>323</v>
      </c>
      <c r="D28" s="1">
        <v>9.7000000000000005E-4</v>
      </c>
      <c r="E28" s="6">
        <f t="shared" si="1"/>
        <v>2.8760540216247227E-3</v>
      </c>
      <c r="F28">
        <f t="shared" si="2"/>
        <v>1.023611921041561E-3</v>
      </c>
    </row>
    <row r="29" spans="2:6" x14ac:dyDescent="0.25">
      <c r="B29">
        <v>65</v>
      </c>
      <c r="C29">
        <f t="shared" si="0"/>
        <v>338</v>
      </c>
      <c r="D29" s="1">
        <v>1.08E-3</v>
      </c>
      <c r="E29" s="6">
        <f t="shared" si="1"/>
        <v>2.9855007562892017E-3</v>
      </c>
      <c r="F29">
        <f t="shared" si="2"/>
        <v>1.0716591812800758E-3</v>
      </c>
    </row>
    <row r="30" spans="2:6" x14ac:dyDescent="0.25">
      <c r="B30">
        <v>80</v>
      </c>
      <c r="C30">
        <f t="shared" si="0"/>
        <v>353</v>
      </c>
      <c r="D30" s="1">
        <v>1.0499999999999999E-3</v>
      </c>
      <c r="E30" s="6">
        <f t="shared" si="1"/>
        <v>3.0892912129804754E-3</v>
      </c>
      <c r="F30">
        <f t="shared" si="2"/>
        <v>1.1175964411535577E-3</v>
      </c>
    </row>
    <row r="31" spans="2:6" x14ac:dyDescent="0.25">
      <c r="B31">
        <v>95</v>
      </c>
      <c r="C31">
        <f t="shared" si="0"/>
        <v>368</v>
      </c>
      <c r="D31" s="1">
        <v>1.1199999999999999E-3</v>
      </c>
      <c r="E31" s="6">
        <f t="shared" si="1"/>
        <v>3.1877965369869372E-3</v>
      </c>
      <c r="F31">
        <f t="shared" si="2"/>
        <v>1.1615216971398521E-3</v>
      </c>
    </row>
    <row r="32" spans="2:6" x14ac:dyDescent="0.25">
      <c r="B32">
        <v>110</v>
      </c>
      <c r="C32">
        <f t="shared" si="0"/>
        <v>383</v>
      </c>
      <c r="D32" s="1">
        <v>1.07E-3</v>
      </c>
      <c r="E32" s="6">
        <f t="shared" si="1"/>
        <v>3.2813652846283479E-3</v>
      </c>
      <c r="F32">
        <f t="shared" si="2"/>
        <v>1.2035336429885289E-3</v>
      </c>
    </row>
    <row r="33" spans="2:6" x14ac:dyDescent="0.25">
      <c r="B33">
        <v>120</v>
      </c>
      <c r="C33">
        <f t="shared" si="0"/>
        <v>393</v>
      </c>
      <c r="D33" s="1">
        <v>1.4599999999999999E-3</v>
      </c>
      <c r="E33" s="6">
        <f t="shared" si="1"/>
        <v>3.3411636288186862E-3</v>
      </c>
      <c r="F33">
        <f t="shared" si="2"/>
        <v>1.2305268665107416E-3</v>
      </c>
    </row>
    <row r="35" spans="2:6" x14ac:dyDescent="0.25">
      <c r="C35">
        <f>1/(8.314*C26)</f>
        <v>4.0362096439578745E-4</v>
      </c>
      <c r="D35">
        <f>LN(D26)</f>
        <v>-6.9760341197354316</v>
      </c>
    </row>
    <row r="36" spans="2:6" x14ac:dyDescent="0.25">
      <c r="C36">
        <f t="shared" ref="C36:C42" si="3">1/(8.314*C27)</f>
        <v>3.842781066771395E-4</v>
      </c>
      <c r="D36">
        <f t="shared" ref="D36:D41" si="4">LN(D27)</f>
        <v>-6.8215775827410843</v>
      </c>
    </row>
    <row r="37" spans="2:6" x14ac:dyDescent="0.25">
      <c r="C37">
        <f t="shared" si="3"/>
        <v>3.7238095167165534E-4</v>
      </c>
      <c r="D37">
        <f t="shared" si="4"/>
        <v>-6.9382144864668458</v>
      </c>
    </row>
    <row r="38" spans="2:6" x14ac:dyDescent="0.25">
      <c r="C38">
        <f t="shared" si="3"/>
        <v>3.5585516979273573E-4</v>
      </c>
      <c r="D38">
        <f t="shared" si="4"/>
        <v>-6.8307942378460087</v>
      </c>
    </row>
    <row r="39" spans="2:6" x14ac:dyDescent="0.25">
      <c r="C39">
        <f t="shared" si="3"/>
        <v>3.4073384529729366E-4</v>
      </c>
      <c r="D39">
        <f t="shared" si="4"/>
        <v>-6.8589651148127055</v>
      </c>
    </row>
    <row r="40" spans="2:6" x14ac:dyDescent="0.25">
      <c r="C40">
        <f t="shared" si="3"/>
        <v>3.2684523747267573E-4</v>
      </c>
      <c r="D40">
        <f t="shared" si="4"/>
        <v>-6.7944265936751336</v>
      </c>
    </row>
    <row r="41" spans="2:6" x14ac:dyDescent="0.25">
      <c r="C41">
        <f t="shared" si="3"/>
        <v>3.1404451015651347E-4</v>
      </c>
      <c r="D41">
        <f t="shared" si="4"/>
        <v>-6.840096630508322</v>
      </c>
    </row>
    <row r="42" spans="2:6" x14ac:dyDescent="0.25">
      <c r="C42">
        <f t="shared" si="3"/>
        <v>3.0605355569960475E-4</v>
      </c>
      <c r="D42">
        <f>LN(D33)</f>
        <v>-6.5293188432618923</v>
      </c>
    </row>
    <row r="44" spans="2:6" x14ac:dyDescent="0.25">
      <c r="C44">
        <f>C23/(8.314*298)</f>
        <v>1.1203307108733873</v>
      </c>
      <c r="D44">
        <f>-5.8508-C44</f>
        <v>-6.9711307108733873</v>
      </c>
    </row>
    <row r="45" spans="2:6" x14ac:dyDescent="0.25">
      <c r="D45">
        <f>EXP(D44)</f>
        <v>9.3859103052836999E-4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D063-7964-43C6-99C4-B14FD6779DDD}">
  <dimension ref="A2:J34"/>
  <sheetViews>
    <sheetView workbookViewId="0">
      <selection activeCell="B18" sqref="B18"/>
    </sheetView>
  </sheetViews>
  <sheetFormatPr baseColWidth="10" defaultRowHeight="15" x14ac:dyDescent="0.25"/>
  <cols>
    <col min="3" max="7" width="11.5703125" bestFit="1" customWidth="1"/>
  </cols>
  <sheetData>
    <row r="2" spans="1:7" x14ac:dyDescent="0.25">
      <c r="A2" t="s">
        <v>63</v>
      </c>
      <c r="B2" t="s">
        <v>66</v>
      </c>
      <c r="C2" t="s">
        <v>69</v>
      </c>
      <c r="D2" t="s">
        <v>68</v>
      </c>
      <c r="E2" t="s">
        <v>70</v>
      </c>
      <c r="F2" t="s">
        <v>71</v>
      </c>
      <c r="G2" t="s">
        <v>72</v>
      </c>
    </row>
    <row r="3" spans="1:7" x14ac:dyDescent="0.25">
      <c r="A3">
        <f>25+273</f>
        <v>298</v>
      </c>
      <c r="B3" s="6">
        <f>0.000000000047 *10000</f>
        <v>4.7E-7</v>
      </c>
      <c r="C3">
        <f>$B$12*EXP(-$C$12/(8.314*A3))</f>
        <v>2.323154425613517E-7</v>
      </c>
      <c r="D3">
        <f>$B$13*EXP(-$C$13/(8.314*A3))</f>
        <v>3.6220149232391278E-8</v>
      </c>
      <c r="E3">
        <f>$B$14*EXP(-$C$14/(8.314*A3))</f>
        <v>6.2448533159295309E-7</v>
      </c>
      <c r="F3">
        <f>$B$15*EXP(-$C$15/(8.314*A3))</f>
        <v>3.3483802255884425E-7</v>
      </c>
      <c r="G3">
        <f>$B$16*EXP(-$C$16/(8.314*A3))</f>
        <v>2.4317231528145365E-7</v>
      </c>
    </row>
    <row r="4" spans="1:7" x14ac:dyDescent="0.25">
      <c r="A4">
        <f>25+273</f>
        <v>298</v>
      </c>
      <c r="B4" s="6">
        <f>0.000000000066*10000</f>
        <v>6.6000000000000003E-7</v>
      </c>
      <c r="C4">
        <f t="shared" ref="C4:C8" si="0">$B$12*EXP(-$C$12/(8.314*A4))</f>
        <v>2.323154425613517E-7</v>
      </c>
      <c r="D4">
        <f t="shared" ref="D4:D8" si="1">$B$13*EXP(-$C$13/(8.314*A4))</f>
        <v>3.6220149232391278E-8</v>
      </c>
      <c r="E4">
        <f>$B$14*EXP(-$C$14/(8.314*A4))</f>
        <v>6.2448533159295309E-7</v>
      </c>
      <c r="F4">
        <f>$B$15*EXP(-$C$15/(8.314*A4))</f>
        <v>3.3483802255884425E-7</v>
      </c>
      <c r="G4">
        <f t="shared" ref="G4:G8" si="2">$B$16*EXP(-$C$16/(8.314*A4))</f>
        <v>2.4317231528145365E-7</v>
      </c>
    </row>
    <row r="5" spans="1:7" x14ac:dyDescent="0.25">
      <c r="A5">
        <f>30+273</f>
        <v>303</v>
      </c>
      <c r="B5" s="6">
        <f>0.0000000000014*10000</f>
        <v>1.4000000000000001E-8</v>
      </c>
      <c r="C5">
        <f t="shared" si="0"/>
        <v>2.9624924700206691E-7</v>
      </c>
      <c r="D5">
        <f t="shared" si="1"/>
        <v>4.6157274126059363E-8</v>
      </c>
      <c r="E5">
        <f t="shared" ref="E5:E8" si="3">$B$14*EXP(-$C$14/(8.314*A5))</f>
        <v>7.9581507113895459E-7</v>
      </c>
      <c r="F5">
        <f t="shared" ref="F5:F7" si="4">$B$15*EXP(-$C$15/(8.314*A5))</f>
        <v>4.5548278957946292E-7</v>
      </c>
      <c r="G5">
        <f t="shared" si="2"/>
        <v>3.21850472417807E-7</v>
      </c>
    </row>
    <row r="6" spans="1:7" x14ac:dyDescent="0.25">
      <c r="A6">
        <f>90+273</f>
        <v>363</v>
      </c>
      <c r="B6" s="6">
        <f>0.00000000007*10000</f>
        <v>7.0000000000000007E-7</v>
      </c>
      <c r="C6">
        <f t="shared" si="0"/>
        <v>3.2489499415963541E-6</v>
      </c>
      <c r="D6">
        <f t="shared" si="1"/>
        <v>5.0289390018566611E-7</v>
      </c>
      <c r="E6">
        <f t="shared" si="3"/>
        <v>8.6705844859597603E-6</v>
      </c>
      <c r="F6">
        <f t="shared" si="4"/>
        <v>9.4398282030633595E-6</v>
      </c>
      <c r="G6">
        <f t="shared" si="2"/>
        <v>5.0926552401481916E-6</v>
      </c>
    </row>
    <row r="7" spans="1:7" x14ac:dyDescent="0.25">
      <c r="A7">
        <f>110+273</f>
        <v>383</v>
      </c>
      <c r="B7" s="6">
        <f>0.0000002</f>
        <v>1.9999999999999999E-7</v>
      </c>
      <c r="C7">
        <f t="shared" si="0"/>
        <v>6.1097228685250949E-6</v>
      </c>
      <c r="D7">
        <f t="shared" si="1"/>
        <v>9.4406829216291869E-7</v>
      </c>
      <c r="E7">
        <f t="shared" si="3"/>
        <v>1.6277039520050325E-5</v>
      </c>
      <c r="F7">
        <f t="shared" si="4"/>
        <v>2.0995829169400456E-5</v>
      </c>
      <c r="G7">
        <f t="shared" si="2"/>
        <v>1.05488754202886E-5</v>
      </c>
    </row>
    <row r="8" spans="1:7" x14ac:dyDescent="0.25">
      <c r="A8">
        <f>130+273</f>
        <v>403</v>
      </c>
      <c r="B8" s="6">
        <f>0.0000000006*10000</f>
        <v>6.0000000000000002E-6</v>
      </c>
      <c r="C8">
        <f t="shared" si="0"/>
        <v>1.0791363740358331E-5</v>
      </c>
      <c r="D8">
        <f t="shared" si="1"/>
        <v>1.6648739915792059E-6</v>
      </c>
      <c r="E8">
        <f t="shared" si="3"/>
        <v>2.8704723992744935E-5</v>
      </c>
      <c r="F8">
        <f>$B$15*EXP(-$C$15/(8.314*A8))</f>
        <v>4.3136361974699158E-5</v>
      </c>
      <c r="G8">
        <f t="shared" si="2"/>
        <v>2.0327187461882667E-5</v>
      </c>
    </row>
    <row r="11" spans="1:7" x14ac:dyDescent="0.25">
      <c r="A11" s="2" t="s">
        <v>67</v>
      </c>
      <c r="B11" s="2" t="s">
        <v>61</v>
      </c>
      <c r="C11" s="2" t="s">
        <v>60</v>
      </c>
    </row>
    <row r="12" spans="1:7" x14ac:dyDescent="0.25">
      <c r="A12" s="2" t="s">
        <v>57</v>
      </c>
      <c r="B12" s="7">
        <v>0.58099999999999996</v>
      </c>
      <c r="C12" s="2">
        <v>36500</v>
      </c>
    </row>
    <row r="13" spans="1:7" x14ac:dyDescent="0.25">
      <c r="B13" s="1">
        <f>0.0000087*10000</f>
        <v>8.6999999999999994E-2</v>
      </c>
      <c r="C13" s="2">
        <v>36400</v>
      </c>
    </row>
    <row r="14" spans="1:7" x14ac:dyDescent="0.25">
      <c r="B14" s="2">
        <v>1.5</v>
      </c>
      <c r="C14" s="2">
        <v>36400</v>
      </c>
    </row>
    <row r="15" spans="1:7" x14ac:dyDescent="0.25">
      <c r="B15" s="2">
        <v>42</v>
      </c>
      <c r="C15" s="2">
        <v>46200</v>
      </c>
    </row>
    <row r="16" spans="1:7" x14ac:dyDescent="0.25">
      <c r="B16">
        <f>EXP(1.7577)</f>
        <v>5.799084150512491</v>
      </c>
      <c r="C16" s="2">
        <v>42087</v>
      </c>
    </row>
    <row r="18" spans="2:10" x14ac:dyDescent="0.25">
      <c r="B18">
        <v>25</v>
      </c>
      <c r="C18">
        <f>B18+273</f>
        <v>298</v>
      </c>
      <c r="D18" s="1">
        <v>2.1199999999999999E-7</v>
      </c>
    </row>
    <row r="19" spans="2:10" x14ac:dyDescent="0.25">
      <c r="B19">
        <v>40</v>
      </c>
      <c r="C19">
        <f t="shared" ref="C19:C25" si="5">B19+273</f>
        <v>313</v>
      </c>
      <c r="D19" s="1">
        <v>6.0500000000000003E-7</v>
      </c>
    </row>
    <row r="20" spans="2:10" x14ac:dyDescent="0.25">
      <c r="B20">
        <v>50</v>
      </c>
      <c r="C20">
        <f t="shared" si="5"/>
        <v>323</v>
      </c>
      <c r="D20" s="1">
        <v>9.7000000000000003E-7</v>
      </c>
    </row>
    <row r="21" spans="2:10" x14ac:dyDescent="0.25">
      <c r="B21">
        <v>65</v>
      </c>
      <c r="C21">
        <f t="shared" si="5"/>
        <v>338</v>
      </c>
      <c r="D21" s="1">
        <v>1.88E-6</v>
      </c>
    </row>
    <row r="22" spans="2:10" x14ac:dyDescent="0.25">
      <c r="B22">
        <v>80</v>
      </c>
      <c r="C22">
        <f t="shared" si="5"/>
        <v>353</v>
      </c>
      <c r="D22" s="1">
        <v>3.2899999999999998E-6</v>
      </c>
    </row>
    <row r="23" spans="2:10" x14ac:dyDescent="0.25">
      <c r="B23">
        <v>95</v>
      </c>
      <c r="C23">
        <f t="shared" si="5"/>
        <v>368</v>
      </c>
      <c r="D23" s="1">
        <v>5.7699999999999998E-6</v>
      </c>
    </row>
    <row r="24" spans="2:10" x14ac:dyDescent="0.25">
      <c r="B24">
        <v>110</v>
      </c>
      <c r="C24">
        <f t="shared" si="5"/>
        <v>383</v>
      </c>
      <c r="D24" s="1">
        <v>1.29E-5</v>
      </c>
      <c r="E24" s="1"/>
      <c r="F24" s="1"/>
      <c r="G24" s="1"/>
      <c r="H24" s="1"/>
      <c r="I24" s="1"/>
      <c r="J24" s="1"/>
    </row>
    <row r="25" spans="2:10" x14ac:dyDescent="0.25">
      <c r="B25">
        <v>125</v>
      </c>
      <c r="C25">
        <f t="shared" si="5"/>
        <v>398</v>
      </c>
      <c r="D25" s="1">
        <v>1.4800000000000001E-5</v>
      </c>
    </row>
    <row r="27" spans="2:10" x14ac:dyDescent="0.25">
      <c r="C27">
        <f>1/(8.314*C18)</f>
        <v>4.0362096439578745E-4</v>
      </c>
      <c r="D27">
        <f>LN(D18)</f>
        <v>-15.366679562274399</v>
      </c>
    </row>
    <row r="28" spans="2:10" x14ac:dyDescent="0.25">
      <c r="C28">
        <f t="shared" ref="C28:C34" si="6">1/(8.314*C19)</f>
        <v>3.842781066771395E-4</v>
      </c>
      <c r="D28">
        <f t="shared" ref="D28:D34" si="7">LN(D19)</f>
        <v>-14.318037378915569</v>
      </c>
    </row>
    <row r="29" spans="2:10" x14ac:dyDescent="0.25">
      <c r="C29">
        <f t="shared" si="6"/>
        <v>3.7238095167165534E-4</v>
      </c>
      <c r="D29">
        <f t="shared" si="7"/>
        <v>-13.845969765448983</v>
      </c>
    </row>
    <row r="30" spans="2:10" x14ac:dyDescent="0.25">
      <c r="C30">
        <f t="shared" si="6"/>
        <v>3.5585516979273573E-4</v>
      </c>
      <c r="D30">
        <f t="shared" si="7"/>
        <v>-13.184238781122417</v>
      </c>
    </row>
    <row r="31" spans="2:10" x14ac:dyDescent="0.25">
      <c r="C31">
        <f t="shared" si="6"/>
        <v>3.4073384529729366E-4</v>
      </c>
      <c r="D31">
        <f t="shared" si="7"/>
        <v>-12.624622993186994</v>
      </c>
    </row>
    <row r="32" spans="2:10" x14ac:dyDescent="0.25">
      <c r="C32">
        <f t="shared" si="6"/>
        <v>3.2684523747267573E-4</v>
      </c>
      <c r="D32">
        <f t="shared" si="7"/>
        <v>-12.062838477444267</v>
      </c>
    </row>
    <row r="33" spans="3:4" x14ac:dyDescent="0.25">
      <c r="C33">
        <f t="shared" si="6"/>
        <v>3.1404451015651347E-4</v>
      </c>
      <c r="D33">
        <f t="shared" si="7"/>
        <v>-11.258283246596648</v>
      </c>
    </row>
    <row r="34" spans="3:4" x14ac:dyDescent="0.25">
      <c r="C34">
        <f t="shared" si="6"/>
        <v>3.0220866178378054E-4</v>
      </c>
      <c r="D34">
        <f t="shared" si="7"/>
        <v>-11.120883377194204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CBAE-3834-4417-9705-778DED817519}">
  <dimension ref="A1:Q23"/>
  <sheetViews>
    <sheetView topLeftCell="B1" workbookViewId="0">
      <selection activeCell="D28" sqref="D28"/>
    </sheetView>
  </sheetViews>
  <sheetFormatPr baseColWidth="10" defaultRowHeight="15" x14ac:dyDescent="0.25"/>
  <cols>
    <col min="3" max="3" width="14.28515625" bestFit="1" customWidth="1"/>
  </cols>
  <sheetData>
    <row r="1" spans="1:17" x14ac:dyDescent="0.25">
      <c r="C1">
        <v>25</v>
      </c>
      <c r="D1">
        <v>40</v>
      </c>
      <c r="E1">
        <v>50</v>
      </c>
      <c r="F1">
        <v>65</v>
      </c>
      <c r="G1">
        <v>80</v>
      </c>
      <c r="H1">
        <v>95</v>
      </c>
      <c r="I1">
        <v>110</v>
      </c>
      <c r="J1">
        <v>125</v>
      </c>
      <c r="K1">
        <v>140</v>
      </c>
    </row>
    <row r="2" spans="1:17" x14ac:dyDescent="0.25">
      <c r="C2" s="2">
        <f>1/((273+C1)*8.314)</f>
        <v>4.0362096439578745E-4</v>
      </c>
      <c r="D2" s="2">
        <f t="shared" ref="D2:K2" si="0">1/((273+D1)*8.314)</f>
        <v>3.842781066771395E-4</v>
      </c>
      <c r="E2" s="2">
        <f t="shared" si="0"/>
        <v>3.7238095167165534E-4</v>
      </c>
      <c r="F2" s="2">
        <f t="shared" si="0"/>
        <v>3.5585516979273573E-4</v>
      </c>
      <c r="G2" s="2">
        <f t="shared" si="0"/>
        <v>3.4073384529729366E-4</v>
      </c>
      <c r="H2" s="2">
        <f t="shared" si="0"/>
        <v>3.2684523747267573E-4</v>
      </c>
      <c r="I2" s="2">
        <f t="shared" si="0"/>
        <v>3.1404451015651347E-4</v>
      </c>
      <c r="J2" s="2">
        <f t="shared" si="0"/>
        <v>3.0220866178378054E-4</v>
      </c>
      <c r="K2" s="2">
        <f t="shared" si="0"/>
        <v>2.9123256026620983E-4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</row>
    <row r="3" spans="1:17" x14ac:dyDescent="0.25">
      <c r="A3" t="s">
        <v>21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</row>
    <row r="4" spans="1:17" x14ac:dyDescent="0.25">
      <c r="A4" t="s">
        <v>20</v>
      </c>
      <c r="B4" t="s">
        <v>10</v>
      </c>
      <c r="C4" s="1">
        <v>1.4E-11</v>
      </c>
      <c r="D4" s="1">
        <v>2.4000000000000001E-11</v>
      </c>
      <c r="E4" s="1">
        <v>3.3000000000000002E-11</v>
      </c>
      <c r="F4" s="1">
        <v>5.0999999999999998E-11</v>
      </c>
      <c r="G4" s="1">
        <v>7.7000000000000006E-11</v>
      </c>
      <c r="H4" s="1">
        <v>1.2E-10</v>
      </c>
      <c r="I4" s="1">
        <v>1.5999999999999999E-10</v>
      </c>
      <c r="J4" s="1">
        <v>2.4E-10</v>
      </c>
      <c r="K4" s="1">
        <v>3.1000000000000002E-10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</row>
    <row r="5" spans="1:17" x14ac:dyDescent="0.25">
      <c r="A5" t="s">
        <v>20</v>
      </c>
      <c r="B5" t="s">
        <v>11</v>
      </c>
      <c r="C5" s="1">
        <v>7.5300000000000004E-12</v>
      </c>
      <c r="D5" s="1">
        <v>1.27E-11</v>
      </c>
      <c r="E5" s="1">
        <v>1.62E-11</v>
      </c>
      <c r="F5" s="1">
        <v>2.4699999999999999E-11</v>
      </c>
      <c r="G5" s="1">
        <v>4.4900000000000001E-11</v>
      </c>
      <c r="H5" s="1">
        <v>1.15E-10</v>
      </c>
      <c r="I5" s="1">
        <v>3.0299999999999999E-10</v>
      </c>
      <c r="J5" s="1">
        <v>6.0199999999999999E-10</v>
      </c>
      <c r="K5" s="1">
        <v>1.0600000000000001E-9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</row>
    <row r="6" spans="1:17" x14ac:dyDescent="0.25">
      <c r="A6" t="s">
        <v>20</v>
      </c>
      <c r="B6" t="s">
        <v>12</v>
      </c>
      <c r="C6" s="1">
        <v>7.2600000000000002E-12</v>
      </c>
      <c r="D6" s="1">
        <v>1.6500000000000001E-11</v>
      </c>
      <c r="E6" s="1">
        <v>3.2799999999999999E-11</v>
      </c>
      <c r="F6" s="1">
        <v>9.1700000000000004E-11</v>
      </c>
      <c r="G6" s="1">
        <v>2.26E-10</v>
      </c>
      <c r="H6" t="s">
        <v>20</v>
      </c>
      <c r="I6" s="1">
        <v>9.87E-10</v>
      </c>
      <c r="J6" s="1">
        <v>1.49E-9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</row>
    <row r="7" spans="1:17" x14ac:dyDescent="0.25">
      <c r="A7" t="s">
        <v>20</v>
      </c>
      <c r="B7" t="s">
        <v>13</v>
      </c>
      <c r="C7" s="1">
        <v>1.43E-11</v>
      </c>
      <c r="D7" s="1">
        <v>2.3200000000000001E-11</v>
      </c>
      <c r="E7" s="1">
        <v>2.8499999999999999E-11</v>
      </c>
      <c r="F7" s="1">
        <v>3.8799999999999998E-11</v>
      </c>
      <c r="G7" s="1">
        <v>5.3900000000000003E-11</v>
      </c>
      <c r="H7" s="1">
        <v>7.5100000000000004E-11</v>
      </c>
      <c r="I7" s="1">
        <v>9.9400000000000001E-11</v>
      </c>
      <c r="J7" s="1">
        <v>1.2999999999999999E-10</v>
      </c>
      <c r="K7" s="1">
        <v>1.6300000000000001E-10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t="s">
        <v>20</v>
      </c>
    </row>
    <row r="8" spans="1:17" x14ac:dyDescent="0.25">
      <c r="A8" t="s">
        <v>20</v>
      </c>
      <c r="B8" t="s">
        <v>14</v>
      </c>
      <c r="C8" s="1">
        <v>7.1E-11</v>
      </c>
      <c r="D8" t="s">
        <v>20</v>
      </c>
      <c r="E8" s="1">
        <v>1.16E-10</v>
      </c>
      <c r="F8" t="s">
        <v>20</v>
      </c>
      <c r="G8" s="1">
        <v>1.88E-10</v>
      </c>
      <c r="H8" s="1">
        <v>2.5999999999999998E-10</v>
      </c>
      <c r="I8" t="s">
        <v>20</v>
      </c>
      <c r="J8" s="1">
        <v>3.0299999999999999E-10</v>
      </c>
      <c r="K8" s="1">
        <v>4.2800000000000002E-10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</row>
    <row r="9" spans="1:17" x14ac:dyDescent="0.25">
      <c r="A9" t="s">
        <v>20</v>
      </c>
      <c r="B9" t="s">
        <v>22</v>
      </c>
      <c r="C9" s="1">
        <v>1.9699999999999999E-10</v>
      </c>
      <c r="D9" s="1">
        <v>6.59E-10</v>
      </c>
      <c r="E9" s="1">
        <v>9.3800000000000007E-10</v>
      </c>
      <c r="F9" s="1">
        <v>2.0200000000000001E-9</v>
      </c>
      <c r="G9" s="1">
        <v>3.4400000000000001E-9</v>
      </c>
      <c r="H9" s="1">
        <v>6.4700000000000002E-9</v>
      </c>
      <c r="I9" s="1">
        <v>1.2299999999999999E-8</v>
      </c>
      <c r="J9" s="1">
        <v>1.6800000000000002E-8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</row>
    <row r="10" spans="1:17" x14ac:dyDescent="0.25">
      <c r="A10" t="s">
        <v>20</v>
      </c>
      <c r="B10" t="s">
        <v>15</v>
      </c>
      <c r="C10" t="s">
        <v>16</v>
      </c>
      <c r="D10" t="s">
        <v>17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</row>
    <row r="11" spans="1:17" x14ac:dyDescent="0.25">
      <c r="A11" t="s">
        <v>20</v>
      </c>
      <c r="B11" t="s">
        <v>10</v>
      </c>
      <c r="C11" s="1">
        <v>4.97E-9</v>
      </c>
      <c r="D11" s="1">
        <v>1.0099999999999999E-8</v>
      </c>
      <c r="E11" s="1">
        <v>1.6700000000000001E-8</v>
      </c>
      <c r="F11" s="1">
        <v>3.2800000000000003E-8</v>
      </c>
      <c r="G11" s="1">
        <v>5.2199999999999998E-8</v>
      </c>
      <c r="H11" s="1">
        <v>7.6599999999999998E-8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</row>
    <row r="12" spans="1:17" x14ac:dyDescent="0.25">
      <c r="A12" t="s">
        <v>20</v>
      </c>
      <c r="B12" t="s">
        <v>11</v>
      </c>
      <c r="C12" s="1">
        <v>2.9199999999999998E-9</v>
      </c>
      <c r="D12" s="1">
        <v>5.8399999999999997E-9</v>
      </c>
      <c r="E12" s="1">
        <v>1.1700000000000001E-8</v>
      </c>
      <c r="F12" s="1">
        <v>2.5600000000000001E-8</v>
      </c>
      <c r="G12" s="1">
        <v>5.4800000000000001E-8</v>
      </c>
      <c r="H12" s="1">
        <v>1.1999999999999999E-7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</row>
    <row r="13" spans="1:17" x14ac:dyDescent="0.25">
      <c r="A13" t="s">
        <v>20</v>
      </c>
      <c r="B13" t="s">
        <v>12</v>
      </c>
      <c r="C13" s="1">
        <v>5.3599999999999997E-9</v>
      </c>
      <c r="D13" s="1">
        <v>1.6899999999999999E-8</v>
      </c>
      <c r="E13" s="1">
        <v>3.47E-8</v>
      </c>
      <c r="F13" s="1">
        <v>8.8800000000000001E-8</v>
      </c>
      <c r="G13" s="1">
        <v>1.9000000000000001E-7</v>
      </c>
      <c r="H13" s="1">
        <v>2.8700000000000002E-7</v>
      </c>
      <c r="I13" s="1">
        <v>5.37E-7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</row>
    <row r="14" spans="1:17" x14ac:dyDescent="0.25">
      <c r="A14" t="s">
        <v>20</v>
      </c>
      <c r="B14" t="s">
        <v>13</v>
      </c>
      <c r="C14" s="1">
        <v>1.19E-9</v>
      </c>
      <c r="D14" s="1">
        <v>2.7900000000000001E-9</v>
      </c>
      <c r="E14" s="1">
        <v>4.3599999999999998E-9</v>
      </c>
      <c r="F14" s="1">
        <v>7.2300000000000001E-9</v>
      </c>
      <c r="G14" s="1">
        <v>1.4899999999999999E-8</v>
      </c>
      <c r="L14" t="s">
        <v>20</v>
      </c>
      <c r="M14" t="s">
        <v>20</v>
      </c>
      <c r="N14" t="s">
        <v>20</v>
      </c>
      <c r="O14" t="s">
        <v>20</v>
      </c>
      <c r="P14" t="s">
        <v>20</v>
      </c>
      <c r="Q14" t="s">
        <v>20</v>
      </c>
    </row>
    <row r="15" spans="1:17" x14ac:dyDescent="0.25">
      <c r="A15" t="s">
        <v>20</v>
      </c>
      <c r="B15" t="s">
        <v>14</v>
      </c>
      <c r="C15" s="1">
        <v>4.97E-9</v>
      </c>
      <c r="E15" s="1">
        <v>1.46E-8</v>
      </c>
      <c r="G15" s="1">
        <v>3.9699999999999998E-8</v>
      </c>
      <c r="H15" s="1">
        <v>6.8600000000000005E-8</v>
      </c>
      <c r="J15" s="1">
        <v>1.12E-7</v>
      </c>
      <c r="K15" s="1">
        <v>1.97E-7</v>
      </c>
      <c r="L15" t="s">
        <v>20</v>
      </c>
      <c r="M15" t="s">
        <v>20</v>
      </c>
      <c r="N15" t="s">
        <v>20</v>
      </c>
      <c r="O15" t="s">
        <v>20</v>
      </c>
      <c r="P15" t="s">
        <v>20</v>
      </c>
      <c r="Q15" t="s">
        <v>20</v>
      </c>
    </row>
    <row r="16" spans="1:17" x14ac:dyDescent="0.25">
      <c r="A16" t="s">
        <v>20</v>
      </c>
      <c r="B16" t="s">
        <v>22</v>
      </c>
      <c r="C16" s="1">
        <v>2.1199999999999999E-7</v>
      </c>
      <c r="D16" s="1">
        <v>6.0500000000000003E-7</v>
      </c>
      <c r="E16" s="1">
        <v>9.7000000000000003E-7</v>
      </c>
      <c r="F16" s="1">
        <v>1.88E-6</v>
      </c>
      <c r="G16" s="1">
        <v>3.2899999999999998E-6</v>
      </c>
      <c r="H16" s="1">
        <v>5.7699999999999998E-6</v>
      </c>
      <c r="I16" s="1">
        <v>1.29E-5</v>
      </c>
      <c r="J16" s="1">
        <v>1.4800000000000001E-5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</row>
    <row r="17" spans="1:17" x14ac:dyDescent="0.25">
      <c r="A17" t="s">
        <v>20</v>
      </c>
      <c r="B17" t="s">
        <v>18</v>
      </c>
      <c r="C17" t="s">
        <v>19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  <c r="I17" t="s">
        <v>20</v>
      </c>
      <c r="J17" t="s">
        <v>20</v>
      </c>
      <c r="K17" t="s">
        <v>20</v>
      </c>
      <c r="L17" t="s">
        <v>20</v>
      </c>
      <c r="M17" t="s">
        <v>20</v>
      </c>
      <c r="N17" t="s">
        <v>20</v>
      </c>
      <c r="O17" t="s">
        <v>20</v>
      </c>
      <c r="P17" t="s">
        <v>20</v>
      </c>
      <c r="Q17" t="s">
        <v>20</v>
      </c>
    </row>
    <row r="18" spans="1:17" x14ac:dyDescent="0.25">
      <c r="A18" t="s">
        <v>20</v>
      </c>
      <c r="B18" t="s">
        <v>10</v>
      </c>
      <c r="C18" s="1">
        <v>2.82E-3</v>
      </c>
      <c r="D18" s="1">
        <v>2.2799999999999999E-3</v>
      </c>
      <c r="E18" s="1">
        <v>1.92E-3</v>
      </c>
      <c r="F18" s="1">
        <v>1.5499999999999999E-3</v>
      </c>
      <c r="G18" s="1">
        <v>1.4400000000000001E-3</v>
      </c>
      <c r="H18" s="1">
        <v>1.57E-3</v>
      </c>
      <c r="I18" t="s">
        <v>20</v>
      </c>
      <c r="J18" t="s">
        <v>20</v>
      </c>
      <c r="K18" t="s">
        <v>20</v>
      </c>
      <c r="L18" t="s">
        <v>20</v>
      </c>
      <c r="M18" t="s">
        <v>20</v>
      </c>
      <c r="N18" t="s">
        <v>20</v>
      </c>
      <c r="O18" t="s">
        <v>20</v>
      </c>
      <c r="P18" t="s">
        <v>20</v>
      </c>
      <c r="Q18" t="s">
        <v>20</v>
      </c>
    </row>
    <row r="19" spans="1:17" x14ac:dyDescent="0.25">
      <c r="A19" t="s">
        <v>20</v>
      </c>
      <c r="B19" t="s">
        <v>11</v>
      </c>
      <c r="C19" s="1">
        <v>2.7200000000000002E-3</v>
      </c>
      <c r="D19" s="1">
        <v>2.1800000000000001E-3</v>
      </c>
      <c r="E19" s="1">
        <v>1.39E-3</v>
      </c>
      <c r="F19" s="1">
        <v>9.59E-4</v>
      </c>
      <c r="G19" s="1">
        <v>8.6200000000000003E-4</v>
      </c>
      <c r="H19" s="1">
        <v>1.5499999999999999E-3</v>
      </c>
      <c r="I19" t="s">
        <v>20</v>
      </c>
      <c r="J19" t="s">
        <v>20</v>
      </c>
      <c r="K19" t="s">
        <v>20</v>
      </c>
      <c r="L19" t="s">
        <v>20</v>
      </c>
      <c r="M19" t="s">
        <v>20</v>
      </c>
      <c r="N19" t="s">
        <v>20</v>
      </c>
      <c r="O19" t="s">
        <v>20</v>
      </c>
      <c r="P19" t="s">
        <v>20</v>
      </c>
      <c r="Q19" t="s">
        <v>20</v>
      </c>
    </row>
    <row r="20" spans="1:17" x14ac:dyDescent="0.25">
      <c r="A20" t="s">
        <v>20</v>
      </c>
      <c r="B20" t="s">
        <v>12</v>
      </c>
      <c r="C20" s="1">
        <v>1.3600000000000001E-3</v>
      </c>
      <c r="D20" s="1">
        <v>9.7300000000000002E-4</v>
      </c>
      <c r="E20" s="1">
        <v>9.4499999999999998E-4</v>
      </c>
      <c r="F20" s="1">
        <v>1.0300000000000001E-3</v>
      </c>
      <c r="G20" s="1">
        <v>1.1900000000000001E-3</v>
      </c>
      <c r="H20" s="1">
        <v>1.24E-3</v>
      </c>
      <c r="I20" s="1">
        <v>1.8400000000000001E-3</v>
      </c>
      <c r="J20" t="s">
        <v>20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 t="s">
        <v>20</v>
      </c>
      <c r="Q20" t="s">
        <v>20</v>
      </c>
    </row>
    <row r="21" spans="1:17" x14ac:dyDescent="0.25">
      <c r="A21" t="s">
        <v>20</v>
      </c>
      <c r="B21" t="s">
        <v>13</v>
      </c>
      <c r="C21" s="1">
        <v>1.2E-2</v>
      </c>
      <c r="D21" s="1">
        <v>8.2799999999999992E-3</v>
      </c>
      <c r="E21" s="1">
        <v>6.5399999999999998E-3</v>
      </c>
      <c r="F21" s="1">
        <v>5.1900000000000002E-3</v>
      </c>
      <c r="G21" s="1">
        <v>3.6099999999999999E-3</v>
      </c>
      <c r="H21" t="s">
        <v>20</v>
      </c>
      <c r="I21" t="s">
        <v>20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</row>
    <row r="22" spans="1:17" x14ac:dyDescent="0.25">
      <c r="A22" t="s">
        <v>20</v>
      </c>
      <c r="B22" t="s">
        <v>14</v>
      </c>
      <c r="C22" s="1">
        <v>1.43E-2</v>
      </c>
      <c r="D22" t="s">
        <v>20</v>
      </c>
      <c r="E22" s="1">
        <v>7.9399999999999991E-3</v>
      </c>
      <c r="F22" t="s">
        <v>20</v>
      </c>
      <c r="G22" s="1">
        <v>4.7400000000000003E-3</v>
      </c>
      <c r="H22" s="1">
        <v>3.79E-3</v>
      </c>
      <c r="I22" t="s">
        <v>20</v>
      </c>
      <c r="J22" s="1">
        <v>2.7000000000000001E-3</v>
      </c>
      <c r="K22" s="1">
        <v>2.1800000000000001E-3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</row>
    <row r="23" spans="1:17" x14ac:dyDescent="0.25">
      <c r="B23" t="s">
        <v>22</v>
      </c>
      <c r="C23" s="1">
        <v>9.3400000000000004E-4</v>
      </c>
      <c r="D23" s="1">
        <v>1.09E-3</v>
      </c>
      <c r="E23" s="1">
        <v>9.7000000000000005E-4</v>
      </c>
      <c r="F23" s="1">
        <v>1.08E-3</v>
      </c>
      <c r="G23" s="1">
        <v>1.0499999999999999E-3</v>
      </c>
      <c r="H23" s="1">
        <v>1.1199999999999999E-3</v>
      </c>
      <c r="I23" s="1">
        <v>1.07E-3</v>
      </c>
      <c r="J23" s="1">
        <v>1.4599999999999999E-3</v>
      </c>
      <c r="K23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5A82-8FB1-4FC1-B7EA-664A669DF32B}">
  <dimension ref="B3:K31"/>
  <sheetViews>
    <sheetView topLeftCell="L1" zoomScale="145" zoomScaleNormal="145" workbookViewId="0">
      <selection activeCell="H7" sqref="H7:I7"/>
    </sheetView>
  </sheetViews>
  <sheetFormatPr baseColWidth="10" defaultRowHeight="15" x14ac:dyDescent="0.25"/>
  <cols>
    <col min="10" max="10" width="12" bestFit="1" customWidth="1"/>
  </cols>
  <sheetData>
    <row r="3" spans="7:11" x14ac:dyDescent="0.25">
      <c r="H3" t="s">
        <v>37</v>
      </c>
      <c r="I3" t="s">
        <v>30</v>
      </c>
      <c r="J3" t="s">
        <v>42</v>
      </c>
      <c r="K3" t="s">
        <v>41</v>
      </c>
    </row>
    <row r="4" spans="7:11" x14ac:dyDescent="0.25">
      <c r="G4" t="s">
        <v>36</v>
      </c>
      <c r="H4">
        <v>0.53</v>
      </c>
      <c r="I4">
        <v>-37</v>
      </c>
      <c r="J4">
        <f>H4*EXP(I4*1000/(8.314*298))</f>
        <v>1.7319391831659392E-7</v>
      </c>
      <c r="K4" s="4">
        <f>J4*10000000</f>
        <v>1.7319391831659392</v>
      </c>
    </row>
    <row r="5" spans="7:11" x14ac:dyDescent="0.25">
      <c r="G5" t="s">
        <v>38</v>
      </c>
      <c r="H5">
        <v>5.25</v>
      </c>
      <c r="I5">
        <v>-40.299999999999997</v>
      </c>
      <c r="J5">
        <f t="shared" ref="J5:J16" si="0">H5*EXP(I5*1000/(8.314*298))</f>
        <v>4.5285366972050587E-7</v>
      </c>
      <c r="K5" s="4">
        <f t="shared" ref="K5:K16" si="1">J5*10000000</f>
        <v>4.5285366972050589</v>
      </c>
    </row>
    <row r="6" spans="7:11" x14ac:dyDescent="0.25">
      <c r="G6" t="s">
        <v>39</v>
      </c>
      <c r="H6">
        <v>8.3000000000000007</v>
      </c>
      <c r="I6">
        <v>-39</v>
      </c>
      <c r="J6">
        <f t="shared" si="0"/>
        <v>1.2099130062115719E-6</v>
      </c>
      <c r="K6" s="4">
        <f t="shared" si="1"/>
        <v>12.099130062115719</v>
      </c>
    </row>
    <row r="7" spans="7:11" x14ac:dyDescent="0.25">
      <c r="G7" t="s">
        <v>40</v>
      </c>
      <c r="H7">
        <v>1.5</v>
      </c>
      <c r="I7">
        <v>-36.4</v>
      </c>
      <c r="J7">
        <f t="shared" si="0"/>
        <v>6.2448533159295309E-7</v>
      </c>
      <c r="K7" s="4">
        <f t="shared" si="1"/>
        <v>6.2448533159295305</v>
      </c>
    </row>
    <row r="8" spans="7:11" x14ac:dyDescent="0.25">
      <c r="G8" t="s">
        <v>43</v>
      </c>
      <c r="H8" s="1">
        <v>4.8000000000000001E-4</v>
      </c>
      <c r="I8">
        <v>-26</v>
      </c>
      <c r="J8">
        <f t="shared" si="0"/>
        <v>1.3295110134888283E-8</v>
      </c>
      <c r="K8" s="3">
        <f t="shared" si="1"/>
        <v>0.13295110134888283</v>
      </c>
    </row>
    <row r="9" spans="7:11" x14ac:dyDescent="0.25">
      <c r="G9" t="s">
        <v>44</v>
      </c>
      <c r="H9">
        <v>1.9</v>
      </c>
      <c r="I9">
        <v>-34.9</v>
      </c>
      <c r="J9">
        <f t="shared" si="0"/>
        <v>1.4491726200664085E-6</v>
      </c>
      <c r="K9" s="4">
        <f t="shared" si="1"/>
        <v>14.491726200664084</v>
      </c>
    </row>
    <row r="10" spans="7:11" x14ac:dyDescent="0.25">
      <c r="G10" t="s">
        <v>45</v>
      </c>
      <c r="H10">
        <v>9.5000000000000001E-2</v>
      </c>
      <c r="I10">
        <v>-27.2</v>
      </c>
      <c r="J10">
        <f t="shared" si="0"/>
        <v>1.6211599945387898E-6</v>
      </c>
      <c r="K10" s="4">
        <f t="shared" si="1"/>
        <v>16.211599945387899</v>
      </c>
    </row>
    <row r="11" spans="7:11" x14ac:dyDescent="0.25">
      <c r="G11" t="s">
        <v>46</v>
      </c>
      <c r="H11">
        <v>19</v>
      </c>
      <c r="I11">
        <v>-46.4</v>
      </c>
      <c r="J11">
        <f t="shared" si="0"/>
        <v>1.3972721647421421E-7</v>
      </c>
      <c r="K11" s="4">
        <f t="shared" si="1"/>
        <v>1.397272164742142</v>
      </c>
    </row>
    <row r="12" spans="7:11" x14ac:dyDescent="0.25">
      <c r="G12" t="s">
        <v>47</v>
      </c>
      <c r="H12">
        <v>0.23</v>
      </c>
      <c r="I12">
        <v>-29.7</v>
      </c>
      <c r="J12">
        <f t="shared" si="0"/>
        <v>1.4308832992334874E-6</v>
      </c>
      <c r="K12" s="4">
        <f t="shared" si="1"/>
        <v>14.308832992334874</v>
      </c>
    </row>
    <row r="13" spans="7:11" x14ac:dyDescent="0.25">
      <c r="G13" t="s">
        <v>48</v>
      </c>
      <c r="H13">
        <v>3.9E-2</v>
      </c>
      <c r="I13">
        <v>-31.8</v>
      </c>
      <c r="J13">
        <f t="shared" si="0"/>
        <v>1.0395161352482347E-7</v>
      </c>
      <c r="K13" s="4">
        <f t="shared" si="1"/>
        <v>1.0395161352482347</v>
      </c>
    </row>
    <row r="14" spans="7:11" x14ac:dyDescent="0.25">
      <c r="G14" t="s">
        <v>49</v>
      </c>
      <c r="H14">
        <v>41</v>
      </c>
      <c r="I14">
        <v>-54</v>
      </c>
      <c r="J14">
        <f t="shared" si="0"/>
        <v>1.4031514369981612E-8</v>
      </c>
      <c r="K14" s="3">
        <f t="shared" si="1"/>
        <v>0.14031514369981613</v>
      </c>
    </row>
    <row r="15" spans="7:11" x14ac:dyDescent="0.25">
      <c r="G15" t="s">
        <v>50</v>
      </c>
      <c r="H15">
        <v>8.5</v>
      </c>
      <c r="I15">
        <v>-41</v>
      </c>
      <c r="J15">
        <f t="shared" si="0"/>
        <v>5.5273156083168973E-7</v>
      </c>
      <c r="K15" s="4">
        <f t="shared" si="1"/>
        <v>5.5273156083168971</v>
      </c>
    </row>
    <row r="16" spans="7:11" x14ac:dyDescent="0.25">
      <c r="G16" t="s">
        <v>51</v>
      </c>
      <c r="H16">
        <v>70</v>
      </c>
      <c r="I16">
        <v>-53</v>
      </c>
      <c r="J16">
        <f t="shared" si="0"/>
        <v>3.5868159000658153E-8</v>
      </c>
      <c r="K16" s="4">
        <f t="shared" si="1"/>
        <v>0.35868159000658151</v>
      </c>
    </row>
    <row r="19" spans="2:11" x14ac:dyDescent="0.25">
      <c r="G19" t="s">
        <v>39</v>
      </c>
      <c r="H19">
        <v>1.5</v>
      </c>
      <c r="I19">
        <v>-3.8</v>
      </c>
      <c r="J19" s="5">
        <f>H19*0.00000001</f>
        <v>1.5000000000000002E-8</v>
      </c>
      <c r="K19" s="5"/>
    </row>
    <row r="20" spans="2:11" x14ac:dyDescent="0.25">
      <c r="G20" t="s">
        <v>40</v>
      </c>
      <c r="H20">
        <v>3.4</v>
      </c>
      <c r="I20">
        <v>1.2</v>
      </c>
      <c r="J20" s="5">
        <f>H20*0.00000001</f>
        <v>3.4E-8</v>
      </c>
    </row>
    <row r="21" spans="2:11" x14ac:dyDescent="0.25">
      <c r="G21" t="s">
        <v>52</v>
      </c>
      <c r="H21">
        <v>7.1</v>
      </c>
      <c r="I21">
        <v>10</v>
      </c>
      <c r="J21" s="5">
        <f>H21*0.00000001</f>
        <v>7.1E-8</v>
      </c>
    </row>
    <row r="22" spans="2:11" x14ac:dyDescent="0.25">
      <c r="G22" t="s">
        <v>49</v>
      </c>
      <c r="H22">
        <v>1.4</v>
      </c>
      <c r="I22">
        <v>1.3</v>
      </c>
      <c r="J22" s="5">
        <f>H22*0.00000001</f>
        <v>1.4E-8</v>
      </c>
    </row>
    <row r="30" spans="2:11" x14ac:dyDescent="0.25">
      <c r="B30" t="s">
        <v>64</v>
      </c>
    </row>
    <row r="31" spans="2:11" x14ac:dyDescent="0.25">
      <c r="B31" t="s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A417-D71D-4939-97C1-1C0019A41FD9}">
  <dimension ref="B2:F3"/>
  <sheetViews>
    <sheetView workbookViewId="0">
      <selection activeCell="D3" sqref="C3:D3"/>
    </sheetView>
  </sheetViews>
  <sheetFormatPr baseColWidth="10" defaultRowHeight="15" x14ac:dyDescent="0.25"/>
  <sheetData>
    <row r="2" spans="2:6" x14ac:dyDescent="0.25">
      <c r="B2" t="s">
        <v>32</v>
      </c>
      <c r="C2" t="s">
        <v>33</v>
      </c>
      <c r="D2" t="s">
        <v>34</v>
      </c>
      <c r="E2" t="s">
        <v>35</v>
      </c>
      <c r="F2" t="s">
        <v>34</v>
      </c>
    </row>
    <row r="3" spans="2:6" x14ac:dyDescent="0.25">
      <c r="C3" s="1">
        <v>8.6999999999999997E-6</v>
      </c>
      <c r="D3">
        <v>36.4</v>
      </c>
      <c r="E3" s="1">
        <v>2.5000000000000002E-6</v>
      </c>
      <c r="F3">
        <v>36.4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8ACA-A035-4A4C-9C55-2BD79F340B63}">
  <dimension ref="A1:K38"/>
  <sheetViews>
    <sheetView workbookViewId="0">
      <selection activeCell="G11" sqref="G11"/>
    </sheetView>
  </sheetViews>
  <sheetFormatPr baseColWidth="10" defaultRowHeight="15" x14ac:dyDescent="0.25"/>
  <sheetData>
    <row r="1" spans="1:6" x14ac:dyDescent="0.25">
      <c r="A1" t="s">
        <v>27</v>
      </c>
      <c r="C1" t="s">
        <v>26</v>
      </c>
      <c r="E1" t="s">
        <v>25</v>
      </c>
    </row>
    <row r="2" spans="1:6" x14ac:dyDescent="0.25">
      <c r="A2" t="s">
        <v>20</v>
      </c>
      <c r="B2" t="s">
        <v>23</v>
      </c>
      <c r="C2" t="s">
        <v>24</v>
      </c>
      <c r="D2" t="s">
        <v>23</v>
      </c>
      <c r="E2" t="s">
        <v>24</v>
      </c>
      <c r="F2" t="s">
        <v>23</v>
      </c>
    </row>
    <row r="3" spans="1:6" x14ac:dyDescent="0.25">
      <c r="A3">
        <v>3.192E-3</v>
      </c>
      <c r="B3" s="1">
        <v>9.8293268150550695E-7</v>
      </c>
      <c r="C3">
        <v>3.1679999999999998E-3</v>
      </c>
      <c r="D3" s="1">
        <v>6.0275112180010098E-7</v>
      </c>
      <c r="E3">
        <v>3.156E-3</v>
      </c>
      <c r="F3" s="1">
        <v>3.7241715289837102E-7</v>
      </c>
    </row>
    <row r="4" spans="1:6" x14ac:dyDescent="0.25">
      <c r="A4">
        <v>3.2039999999999998E-3</v>
      </c>
      <c r="B4" s="1">
        <v>9.4700927981818405E-7</v>
      </c>
      <c r="C4">
        <v>3.1800000000000001E-3</v>
      </c>
      <c r="D4" s="1">
        <v>5.8265305325424298E-7</v>
      </c>
      <c r="E4">
        <v>3.1679999999999998E-3</v>
      </c>
      <c r="F4" s="1">
        <v>3.5769385652617801E-7</v>
      </c>
    </row>
    <row r="5" spans="1:6" x14ac:dyDescent="0.25">
      <c r="A5">
        <v>3.2160000000000001E-3</v>
      </c>
      <c r="B5" s="1">
        <v>9.0397988551504297E-7</v>
      </c>
      <c r="C5">
        <v>3.192E-3</v>
      </c>
      <c r="D5" s="1">
        <v>5.56069805179699E-7</v>
      </c>
      <c r="E5">
        <v>3.1800000000000001E-3</v>
      </c>
      <c r="F5" s="1">
        <v>3.3341420906081198E-7</v>
      </c>
    </row>
    <row r="6" spans="1:6" x14ac:dyDescent="0.25">
      <c r="A6">
        <v>3.228E-3</v>
      </c>
      <c r="B6" s="1">
        <v>8.5742650541338495E-7</v>
      </c>
      <c r="C6">
        <v>3.2039999999999998E-3</v>
      </c>
      <c r="D6" s="1">
        <v>5.1522562999079303E-7</v>
      </c>
      <c r="E6">
        <v>3.192E-3</v>
      </c>
      <c r="F6" s="1">
        <v>3.1102479168034502E-7</v>
      </c>
    </row>
    <row r="7" spans="1:6" x14ac:dyDescent="0.25">
      <c r="A7">
        <v>3.2399999999999998E-3</v>
      </c>
      <c r="B7" s="1">
        <v>8.1631766849871897E-7</v>
      </c>
      <c r="C7">
        <v>3.2160000000000001E-3</v>
      </c>
      <c r="D7" s="1">
        <v>4.9402354026492703E-7</v>
      </c>
      <c r="E7">
        <v>3.2039999999999998E-3</v>
      </c>
      <c r="F7" s="1">
        <v>3.0107341944756098E-7</v>
      </c>
    </row>
    <row r="8" spans="1:6" x14ac:dyDescent="0.25">
      <c r="A8">
        <v>3.2520000000000001E-3</v>
      </c>
      <c r="B8" s="1">
        <v>7.6714794651080999E-7</v>
      </c>
      <c r="C8">
        <v>3.228E-3</v>
      </c>
      <c r="D8" s="1">
        <v>4.7876681100730795E-7</v>
      </c>
      <c r="E8">
        <v>3.2160000000000001E-3</v>
      </c>
      <c r="F8" s="1">
        <v>2.8618557981850398E-7</v>
      </c>
    </row>
    <row r="9" spans="1:6" x14ac:dyDescent="0.25">
      <c r="A9">
        <v>3.264E-3</v>
      </c>
      <c r="B9" s="1">
        <v>7.0765491359600705E-7</v>
      </c>
      <c r="C9">
        <v>3.2399999999999998E-3</v>
      </c>
      <c r="D9" s="1">
        <v>4.4713751146035202E-7</v>
      </c>
      <c r="E9">
        <v>3.228E-3</v>
      </c>
      <c r="F9" s="1">
        <v>2.7006940116916802E-7</v>
      </c>
    </row>
    <row r="10" spans="1:6" x14ac:dyDescent="0.25">
      <c r="A10">
        <v>3.2759999999999998E-3</v>
      </c>
      <c r="B10" s="1">
        <v>6.8290884515716205E-7</v>
      </c>
      <c r="C10">
        <v>3.2520000000000001E-3</v>
      </c>
      <c r="D10" s="1">
        <v>4.2456026608419502E-7</v>
      </c>
      <c r="E10">
        <v>3.2399999999999998E-3</v>
      </c>
      <c r="F10" s="1">
        <v>2.5606683460435001E-7</v>
      </c>
    </row>
    <row r="11" spans="1:6" x14ac:dyDescent="0.25">
      <c r="A11">
        <v>3.2880000000000001E-3</v>
      </c>
      <c r="B11" s="1">
        <v>6.3824957309107904E-7</v>
      </c>
      <c r="C11">
        <v>3.264E-3</v>
      </c>
      <c r="D11" s="1">
        <v>3.9963580942366602E-7</v>
      </c>
      <c r="E11">
        <v>3.2520000000000001E-3</v>
      </c>
      <c r="F11" s="1">
        <v>2.4233121692036497E-7</v>
      </c>
    </row>
    <row r="12" spans="1:6" x14ac:dyDescent="0.25">
      <c r="A12">
        <v>3.3E-3</v>
      </c>
      <c r="B12" s="1">
        <v>6.09691187818495E-7</v>
      </c>
      <c r="C12">
        <v>3.2759999999999998E-3</v>
      </c>
      <c r="D12" s="1">
        <v>3.8669739244144202E-7</v>
      </c>
      <c r="E12">
        <v>3.2639311358001999E-3</v>
      </c>
      <c r="F12" s="1">
        <v>2.3086293581497399E-7</v>
      </c>
    </row>
    <row r="13" spans="1:6" x14ac:dyDescent="0.25">
      <c r="A13">
        <v>3.3119999999999998E-3</v>
      </c>
      <c r="B13" s="1">
        <v>5.5731685690156799E-7</v>
      </c>
      <c r="C13">
        <v>3.2880000000000001E-3</v>
      </c>
      <c r="D13" s="1">
        <v>3.7199231848026099E-7</v>
      </c>
      <c r="E13">
        <v>3.2759540905334598E-3</v>
      </c>
      <c r="F13" s="1">
        <v>2.1920833077526699E-7</v>
      </c>
    </row>
    <row r="14" spans="1:6" x14ac:dyDescent="0.25">
      <c r="A14">
        <v>3.3240000000000001E-3</v>
      </c>
      <c r="B14" s="1">
        <v>5.2043941191971499E-7</v>
      </c>
      <c r="C14">
        <v>3.30004590946653E-3</v>
      </c>
      <c r="D14" s="1">
        <v>3.4698315297374299E-7</v>
      </c>
      <c r="E14">
        <v>3.2879724543200799E-3</v>
      </c>
      <c r="F14" s="1">
        <v>2.0767063799382001E-7</v>
      </c>
    </row>
    <row r="15" spans="1:6" x14ac:dyDescent="0.25">
      <c r="A15">
        <v>3.336E-3</v>
      </c>
      <c r="B15" s="1">
        <v>5.0457340260938502E-7</v>
      </c>
      <c r="C15">
        <v>3.3119999999999998E-3</v>
      </c>
      <c r="D15" s="1">
        <v>3.2747410650799602E-7</v>
      </c>
      <c r="E15">
        <v>3.3000183637866098E-3</v>
      </c>
      <c r="F15" s="1">
        <v>1.9720588654899899E-7</v>
      </c>
    </row>
    <row r="16" spans="1:6" x14ac:dyDescent="0.25">
      <c r="A16">
        <v>3.3479999999999998E-3</v>
      </c>
      <c r="B16" s="1">
        <v>4.7631630710612398E-7</v>
      </c>
      <c r="C16">
        <v>3.3239770452667301E-3</v>
      </c>
      <c r="D16" s="1">
        <v>3.0998367324576498E-7</v>
      </c>
      <c r="E16">
        <v>3.3120137728399599E-3</v>
      </c>
      <c r="F16" s="1">
        <v>1.87457415345942E-7</v>
      </c>
    </row>
    <row r="17" spans="1:11" x14ac:dyDescent="0.25">
      <c r="A17">
        <v>3.3600000000000001E-3</v>
      </c>
      <c r="B17" s="1">
        <v>4.5509571753093398E-7</v>
      </c>
      <c r="C17">
        <v>3.336E-3</v>
      </c>
      <c r="D17" s="1">
        <v>2.9543186916242402E-7</v>
      </c>
      <c r="E17">
        <v>3.3240000000000001E-3</v>
      </c>
      <c r="F17" s="1">
        <v>1.76627515501058E-7</v>
      </c>
    </row>
    <row r="18" spans="1:11" x14ac:dyDescent="0.25">
      <c r="A18">
        <v>3.372E-3</v>
      </c>
      <c r="B18" s="1">
        <v>4.2962252226189999E-7</v>
      </c>
      <c r="C18">
        <v>3.3479999999999998E-3</v>
      </c>
      <c r="D18" s="1">
        <v>2.7988579367246902E-7</v>
      </c>
      <c r="E18">
        <v>3.336E-3</v>
      </c>
      <c r="F18" s="1">
        <v>1.6887183335373701E-7</v>
      </c>
    </row>
    <row r="19" spans="1:11" x14ac:dyDescent="0.25">
      <c r="A19">
        <v>3.3839999999999999E-3</v>
      </c>
      <c r="B19" s="1">
        <v>4.01507673586456E-7</v>
      </c>
      <c r="C19">
        <v>3.3600000000000001E-3</v>
      </c>
      <c r="D19" s="1">
        <v>2.6601291526925401E-7</v>
      </c>
      <c r="E19">
        <v>3.3479999999999998E-3</v>
      </c>
      <c r="F19" s="1">
        <v>1.5729768591386401E-7</v>
      </c>
    </row>
    <row r="20" spans="1:11" x14ac:dyDescent="0.25">
      <c r="A20">
        <v>3.3960000000000001E-3</v>
      </c>
      <c r="B20" s="1">
        <v>3.8612285625616802E-7</v>
      </c>
      <c r="C20">
        <v>3.372E-3</v>
      </c>
      <c r="D20" s="1">
        <v>2.52340250075225E-7</v>
      </c>
      <c r="E20">
        <v>3.3600000000000001E-3</v>
      </c>
      <c r="F20" s="1">
        <v>1.5181453660977301E-7</v>
      </c>
    </row>
    <row r="21" spans="1:11" x14ac:dyDescent="0.25">
      <c r="A21">
        <v>3.408E-3</v>
      </c>
      <c r="B21" s="1">
        <v>3.5295894178768302E-7</v>
      </c>
      <c r="C21">
        <v>3.3839999999999999E-3</v>
      </c>
      <c r="D21" s="1">
        <v>2.3913214639149E-7</v>
      </c>
      <c r="E21">
        <v>3.372E-3</v>
      </c>
      <c r="F21" s="1">
        <v>1.4408894281693399E-7</v>
      </c>
      <c r="H21" t="s">
        <v>29</v>
      </c>
      <c r="I21" t="s">
        <v>28</v>
      </c>
      <c r="J21" t="s">
        <v>30</v>
      </c>
      <c r="K21" t="s">
        <v>31</v>
      </c>
    </row>
    <row r="22" spans="1:11" x14ac:dyDescent="0.25">
      <c r="A22">
        <v>3.4199999999999999E-3</v>
      </c>
      <c r="B22" s="1">
        <v>3.4503908620728701E-7</v>
      </c>
      <c r="C22">
        <v>3.3960000000000001E-3</v>
      </c>
      <c r="D22" s="1">
        <v>2.2794051261801601E-7</v>
      </c>
      <c r="E22">
        <v>3.3839999999999999E-3</v>
      </c>
      <c r="F22" s="1">
        <v>1.3685351276361099E-7</v>
      </c>
      <c r="H22" t="s">
        <v>27</v>
      </c>
      <c r="I22">
        <f>-4690</f>
        <v>-4690</v>
      </c>
      <c r="J22">
        <f>I22*8.314</f>
        <v>-38992.660000000003</v>
      </c>
      <c r="K22">
        <v>3.1707999999999998</v>
      </c>
    </row>
    <row r="23" spans="1:11" x14ac:dyDescent="0.25">
      <c r="A23">
        <v>3.4320000000000002E-3</v>
      </c>
      <c r="B23" s="1">
        <v>3.1280252183494E-7</v>
      </c>
      <c r="C23">
        <v>3.408E-3</v>
      </c>
      <c r="D23" s="1">
        <v>2.1438628306545399E-7</v>
      </c>
      <c r="E23">
        <v>3.3960000000000001E-3</v>
      </c>
      <c r="F23" s="1">
        <v>1.30019462908964E-7</v>
      </c>
      <c r="H23" t="s">
        <v>26</v>
      </c>
      <c r="I23">
        <v>-4321</v>
      </c>
      <c r="J23">
        <f t="shared" ref="J23:J24" si="0">I23*8.314</f>
        <v>-35924.794000000002</v>
      </c>
      <c r="K23">
        <v>0.53900000000000003</v>
      </c>
    </row>
    <row r="24" spans="1:11" x14ac:dyDescent="0.25">
      <c r="A24">
        <v>3.444E-3</v>
      </c>
      <c r="B24" s="1">
        <v>3.0187105227386999E-7</v>
      </c>
      <c r="C24">
        <v>3.4199999999999999E-3</v>
      </c>
      <c r="D24" s="1">
        <v>2.01622606358943E-7</v>
      </c>
      <c r="E24">
        <v>3.408E-3</v>
      </c>
      <c r="F24" s="1">
        <v>1.2205218785779E-7</v>
      </c>
      <c r="H24" t="s">
        <v>25</v>
      </c>
      <c r="I24">
        <v>-4377</v>
      </c>
      <c r="J24">
        <f t="shared" si="0"/>
        <v>-36390.377999999997</v>
      </c>
      <c r="K24">
        <v>0.37019999999999997</v>
      </c>
    </row>
    <row r="25" spans="1:11" x14ac:dyDescent="0.25">
      <c r="A25">
        <v>3.4559999999999999E-3</v>
      </c>
      <c r="B25" s="1">
        <v>2.91704863124403E-7</v>
      </c>
      <c r="C25">
        <v>3.4320000000000002E-3</v>
      </c>
      <c r="D25" s="1">
        <v>1.9429553579304801E-7</v>
      </c>
      <c r="E25">
        <v>3.4199999999999999E-3</v>
      </c>
      <c r="F25" s="1">
        <v>1.16937274507098E-7</v>
      </c>
    </row>
    <row r="26" spans="1:11" x14ac:dyDescent="0.25">
      <c r="A26">
        <v>3.4680000000000002E-3</v>
      </c>
      <c r="B26" s="1">
        <v>2.8020367091297399E-7</v>
      </c>
      <c r="C26">
        <v>3.444E-3</v>
      </c>
      <c r="D26" s="1">
        <v>1.8798166722606201E-7</v>
      </c>
      <c r="E26">
        <v>3.4320000000000002E-3</v>
      </c>
      <c r="F26" s="1">
        <v>1.10896878637144E-7</v>
      </c>
    </row>
    <row r="27" spans="1:11" x14ac:dyDescent="0.25">
      <c r="A27">
        <v>3.48E-3</v>
      </c>
      <c r="B27" s="1">
        <v>2.67394077951049E-7</v>
      </c>
      <c r="C27">
        <v>3.4559999999999999E-3</v>
      </c>
      <c r="D27" s="1">
        <v>1.78392057002923E-7</v>
      </c>
      <c r="E27">
        <v>3.444E-3</v>
      </c>
      <c r="F27" s="1">
        <v>1.0503091487369E-7</v>
      </c>
    </row>
    <row r="28" spans="1:11" x14ac:dyDescent="0.25">
      <c r="A28">
        <v>3.4919999999999999E-3</v>
      </c>
      <c r="B28" s="1">
        <v>2.45764250365533E-7</v>
      </c>
      <c r="E28">
        <v>3.4559999999999999E-3</v>
      </c>
      <c r="F28" s="1">
        <v>1.0078071223679999E-7</v>
      </c>
    </row>
    <row r="29" spans="1:11" x14ac:dyDescent="0.25">
      <c r="A29">
        <v>3.5279999999999999E-3</v>
      </c>
      <c r="B29" s="1">
        <v>2.0420738659565101E-7</v>
      </c>
    </row>
    <row r="30" spans="1:11" x14ac:dyDescent="0.25">
      <c r="A30">
        <v>3.5400000000000002E-3</v>
      </c>
      <c r="B30" s="1">
        <v>1.9651903709399301E-7</v>
      </c>
    </row>
    <row r="31" spans="1:11" x14ac:dyDescent="0.25">
      <c r="A31">
        <v>3.552E-3</v>
      </c>
      <c r="B31" s="1">
        <v>1.8576278735486399E-7</v>
      </c>
    </row>
    <row r="32" spans="1:11" x14ac:dyDescent="0.25">
      <c r="A32">
        <v>3.5639999999999999E-3</v>
      </c>
      <c r="B32" s="1">
        <v>1.7622714149733099E-7</v>
      </c>
    </row>
    <row r="33" spans="1:2" x14ac:dyDescent="0.25">
      <c r="A33">
        <v>3.5760000000000002E-3</v>
      </c>
      <c r="B33" s="1">
        <v>1.6703426996953401E-7</v>
      </c>
    </row>
    <row r="34" spans="1:2" x14ac:dyDescent="0.25">
      <c r="A34">
        <v>3.5160774951795001E-3</v>
      </c>
      <c r="B34" s="1">
        <v>2.19450656128143E-7</v>
      </c>
    </row>
    <row r="35" spans="1:2" x14ac:dyDescent="0.25">
      <c r="A35">
        <v>3.50361766596272E-3</v>
      </c>
      <c r="B35" s="1">
        <v>2.32702652897642E-7</v>
      </c>
    </row>
    <row r="36" spans="1:2" x14ac:dyDescent="0.25">
      <c r="A36">
        <v>3.1796621063263199E-3</v>
      </c>
      <c r="B36">
        <v>1.0687522805376799E-6</v>
      </c>
    </row>
    <row r="37" spans="1:2" x14ac:dyDescent="0.25">
      <c r="A37">
        <v>3.16596272151317E-3</v>
      </c>
      <c r="B37">
        <v>1.1331713762045499E-6</v>
      </c>
    </row>
    <row r="38" spans="1:2" x14ac:dyDescent="0.25">
      <c r="A38">
        <v>3.0999265448535401E-3</v>
      </c>
      <c r="B38">
        <v>1.5448518897970299E-6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2F202-5725-4707-A9D7-98A87FBC98D3}">
  <dimension ref="A1:H27"/>
  <sheetViews>
    <sheetView tabSelected="1" workbookViewId="0">
      <selection activeCell="C18" sqref="C18"/>
    </sheetView>
  </sheetViews>
  <sheetFormatPr baseColWidth="10" defaultRowHeight="15" x14ac:dyDescent="0.25"/>
  <cols>
    <col min="5" max="5" width="17.5703125" customWidth="1"/>
  </cols>
  <sheetData>
    <row r="1" spans="1:8" x14ac:dyDescent="0.25">
      <c r="A1" t="s">
        <v>62</v>
      </c>
      <c r="B1" t="s">
        <v>61</v>
      </c>
      <c r="D1" t="s">
        <v>60</v>
      </c>
      <c r="E1" t="s">
        <v>59</v>
      </c>
      <c r="F1" t="s">
        <v>58</v>
      </c>
    </row>
    <row r="2" spans="1:8" x14ac:dyDescent="0.25">
      <c r="A2" t="s">
        <v>57</v>
      </c>
      <c r="B2" s="1">
        <v>8.6999999999999997E-6</v>
      </c>
      <c r="C2" s="1">
        <f>B2*1000000</f>
        <v>8.6999999999999993</v>
      </c>
      <c r="D2">
        <v>36400</v>
      </c>
      <c r="E2" s="1">
        <v>2.5000000000000002E-6</v>
      </c>
      <c r="F2">
        <v>36400</v>
      </c>
      <c r="H2" s="1">
        <f>C2*EXP(-D2/(8.314*$B$10))</f>
        <v>3.6220149232391278E-6</v>
      </c>
    </row>
    <row r="3" spans="1:8" x14ac:dyDescent="0.25">
      <c r="A3" t="s">
        <v>36</v>
      </c>
      <c r="B3" s="1">
        <v>4.4800000000000003E-6</v>
      </c>
      <c r="C3" s="1">
        <f t="shared" ref="C3:C8" si="0">B3*1000000</f>
        <v>4.4800000000000004</v>
      </c>
      <c r="D3">
        <v>39907.199999999997</v>
      </c>
      <c r="E3">
        <v>2.8990000000000001E-11</v>
      </c>
      <c r="F3">
        <v>2500</v>
      </c>
      <c r="H3" s="1">
        <f>C3*EXP(-D3/(8.314*$B$10))</f>
        <v>4.5282526972925657E-7</v>
      </c>
    </row>
    <row r="4" spans="1:8" x14ac:dyDescent="0.25">
      <c r="A4" t="s">
        <v>38</v>
      </c>
      <c r="B4" s="1">
        <v>4.3000000000000001E-7</v>
      </c>
      <c r="C4" s="1">
        <f t="shared" si="0"/>
        <v>0.43</v>
      </c>
      <c r="D4">
        <f>4.4*8314</f>
        <v>36581.600000000006</v>
      </c>
      <c r="E4">
        <v>2.0961999999999999E-11</v>
      </c>
      <c r="F4">
        <v>-1700</v>
      </c>
      <c r="H4" s="1">
        <f t="shared" ref="H4:H8" si="1">C4*EXP(-D4/(8.314*$B$10))</f>
        <v>1.6636681767833879E-7</v>
      </c>
    </row>
    <row r="5" spans="1:8" x14ac:dyDescent="0.25">
      <c r="A5" t="s">
        <v>56</v>
      </c>
      <c r="B5" s="1">
        <v>1.4999999999999999E-7</v>
      </c>
      <c r="C5" s="1">
        <f t="shared" si="0"/>
        <v>0.15</v>
      </c>
      <c r="D5">
        <f>3.4*8314</f>
        <v>28267.599999999999</v>
      </c>
      <c r="E5">
        <v>4.3261999999999999E-11</v>
      </c>
      <c r="F5">
        <v>1300</v>
      </c>
      <c r="H5" s="1">
        <f t="shared" si="1"/>
        <v>1.663617752432558E-6</v>
      </c>
    </row>
    <row r="6" spans="1:8" x14ac:dyDescent="0.25">
      <c r="A6" t="s">
        <v>43</v>
      </c>
      <c r="B6" s="1">
        <v>1.2499999999999999E-7</v>
      </c>
      <c r="C6" s="1">
        <f t="shared" si="0"/>
        <v>0.125</v>
      </c>
      <c r="D6">
        <f>4.15*8314</f>
        <v>34503.100000000006</v>
      </c>
      <c r="E6">
        <v>2.4530000000000001E-11</v>
      </c>
      <c r="F6">
        <v>0</v>
      </c>
      <c r="H6" s="1">
        <f t="shared" si="1"/>
        <v>1.1190494422098743E-7</v>
      </c>
    </row>
    <row r="7" spans="1:8" x14ac:dyDescent="0.25">
      <c r="A7" t="s">
        <v>55</v>
      </c>
      <c r="B7" s="1">
        <v>3.8000000000000001E-7</v>
      </c>
      <c r="C7" s="1">
        <f t="shared" si="0"/>
        <v>0.38</v>
      </c>
      <c r="D7">
        <f>5.5*8314</f>
        <v>45727</v>
      </c>
      <c r="E7">
        <v>3.0773999999999996E-11</v>
      </c>
      <c r="F7">
        <v>-31400</v>
      </c>
      <c r="H7" s="1">
        <f t="shared" si="1"/>
        <v>3.6667509556057892E-9</v>
      </c>
    </row>
    <row r="8" spans="1:8" x14ac:dyDescent="0.25">
      <c r="A8" t="s">
        <v>49</v>
      </c>
      <c r="B8" s="1">
        <v>4.2500000000000003E-5</v>
      </c>
      <c r="C8" s="1">
        <f t="shared" si="0"/>
        <v>42.5</v>
      </c>
      <c r="D8">
        <f>6.55*8314</f>
        <v>54456.7</v>
      </c>
      <c r="E8" s="1">
        <v>1.2934E-11</v>
      </c>
      <c r="F8">
        <v>-7900</v>
      </c>
      <c r="H8" s="1">
        <f t="shared" si="1"/>
        <v>1.2096354679606418E-8</v>
      </c>
    </row>
    <row r="10" spans="1:8" x14ac:dyDescent="0.25">
      <c r="A10" t="s">
        <v>63</v>
      </c>
      <c r="B10" s="1">
        <v>298</v>
      </c>
      <c r="C10" s="1"/>
    </row>
    <row r="12" spans="1:8" x14ac:dyDescent="0.25">
      <c r="A12" t="s">
        <v>20</v>
      </c>
      <c r="B12" s="1">
        <v>6.5000000000000002E-7</v>
      </c>
      <c r="C12" s="1"/>
      <c r="D12" s="1">
        <f>B12*$A$22</f>
        <v>2.8990000000000001E-11</v>
      </c>
      <c r="E12" s="1">
        <v>2500</v>
      </c>
    </row>
    <row r="13" spans="1:8" x14ac:dyDescent="0.25">
      <c r="A13" t="s">
        <v>38</v>
      </c>
      <c r="B13" s="1">
        <v>4.7E-7</v>
      </c>
      <c r="C13" s="1"/>
      <c r="D13" s="1">
        <f t="shared" ref="D13:D18" si="2">B13*$A$22</f>
        <v>2.0961999999999999E-11</v>
      </c>
      <c r="E13" s="1">
        <v>-1700</v>
      </c>
    </row>
    <row r="14" spans="1:8" x14ac:dyDescent="0.25">
      <c r="A14" t="s">
        <v>56</v>
      </c>
      <c r="B14" s="1">
        <v>9.7000000000000003E-7</v>
      </c>
      <c r="C14" s="1"/>
      <c r="D14" s="1">
        <f>B14*$A$22</f>
        <v>4.3261999999999999E-11</v>
      </c>
      <c r="E14" s="1">
        <v>1300</v>
      </c>
    </row>
    <row r="15" spans="1:8" x14ac:dyDescent="0.25">
      <c r="A15" t="s">
        <v>43</v>
      </c>
      <c r="B15" s="1">
        <v>5.5000000000000003E-7</v>
      </c>
      <c r="C15" s="1"/>
      <c r="D15" s="1">
        <f t="shared" si="2"/>
        <v>2.4530000000000001E-11</v>
      </c>
      <c r="E15" s="1">
        <v>0</v>
      </c>
    </row>
    <row r="16" spans="1:8" x14ac:dyDescent="0.25">
      <c r="A16" t="s">
        <v>55</v>
      </c>
      <c r="B16" s="1">
        <v>6.8999999999999996E-7</v>
      </c>
      <c r="C16" s="1"/>
      <c r="D16" s="1">
        <f t="shared" si="2"/>
        <v>3.0773999999999996E-11</v>
      </c>
      <c r="E16" s="1">
        <v>-31400</v>
      </c>
    </row>
    <row r="17" spans="1:5" x14ac:dyDescent="0.25">
      <c r="A17" t="s">
        <v>49</v>
      </c>
      <c r="B17" s="1">
        <v>2.8999999999999998E-7</v>
      </c>
      <c r="C17" s="1"/>
      <c r="D17" s="1">
        <f t="shared" si="2"/>
        <v>1.2934E-11</v>
      </c>
      <c r="E17" s="1">
        <v>-7900</v>
      </c>
    </row>
    <row r="18" spans="1:5" x14ac:dyDescent="0.25">
      <c r="B18" s="1">
        <v>7.1199999999999999E-2</v>
      </c>
      <c r="C18" s="1"/>
      <c r="D18" s="1">
        <f t="shared" si="2"/>
        <v>3.17552E-6</v>
      </c>
    </row>
    <row r="21" spans="1:5" x14ac:dyDescent="0.25">
      <c r="A21">
        <v>1</v>
      </c>
      <c r="B21" t="s">
        <v>54</v>
      </c>
    </row>
    <row r="22" spans="1:5" x14ac:dyDescent="0.25">
      <c r="A22" s="1">
        <v>4.46E-5</v>
      </c>
      <c r="B22" t="s">
        <v>53</v>
      </c>
    </row>
    <row r="23" spans="1:5" x14ac:dyDescent="0.25">
      <c r="A23" t="s">
        <v>20</v>
      </c>
    </row>
    <row r="26" spans="1:5" x14ac:dyDescent="0.25">
      <c r="A26">
        <v>9.3859103052836999E-4</v>
      </c>
      <c r="B26">
        <v>2775.7</v>
      </c>
    </row>
    <row r="27" spans="1:5" x14ac:dyDescent="0.25">
      <c r="B27" s="1">
        <f>A26*A22</f>
        <v>4.1861159961565302E-8</v>
      </c>
      <c r="C27" s="1">
        <f>B27/ 1333.224</f>
        <v>3.1398444643634756E-11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D1CB-E93B-410D-914B-3FC1C90B486C}">
  <dimension ref="A1"/>
  <sheetViews>
    <sheetView topLeftCell="A4" zoomScale="104" workbookViewId="0">
      <selection activeCell="W21" sqref="W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073622718B7D418B69CBE92FF13C49" ma:contentTypeVersion="39" ma:contentTypeDescription="Crear nuevo documento." ma:contentTypeScope="" ma:versionID="5f1dbbd8d2bc6d63873560f8f91a64fe">
  <xsd:schema xmlns:xsd="http://www.w3.org/2001/XMLSchema" xmlns:xs="http://www.w3.org/2001/XMLSchema" xmlns:p="http://schemas.microsoft.com/office/2006/metadata/properties" xmlns:ns3="2d185e16-06da-45ab-8500-654d664b7dd3" xmlns:ns4="8f8a3fab-e0af-4131-8cc8-5f2165a4edfc" targetNamespace="http://schemas.microsoft.com/office/2006/metadata/properties" ma:root="true" ma:fieldsID="0256b4d38701b5e0b7a2941a706499e5" ns3:_="" ns4:_="">
    <xsd:import namespace="2d185e16-06da-45ab-8500-654d664b7dd3"/>
    <xsd:import namespace="8f8a3fab-e0af-4131-8cc8-5f2165a4edf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Leaders" minOccurs="0"/>
                <xsd:element ref="ns4:Members" minOccurs="0"/>
                <xsd:element ref="ns4:Member_Groups" minOccurs="0"/>
                <xsd:element ref="ns4:Distribution_Groups" minOccurs="0"/>
                <xsd:element ref="ns4:LMS_Mappings" minOccurs="0"/>
                <xsd:element ref="ns4:Invited_Leaders" minOccurs="0"/>
                <xsd:element ref="ns4:Invited_Members" minOccurs="0"/>
                <xsd:element ref="ns4:Has_Leaders_Only_SectionGroup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85e16-06da-45ab-8500-654d664b7dd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a3fab-e0af-4131-8cc8-5f2165a4ed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NotebookType" ma:index="17" nillable="true" ma:displayName="Notebook Type" ma:internalName="NotebookType">
      <xsd:simpleType>
        <xsd:restriction base="dms:Text"/>
      </xsd:simpleType>
    </xsd:element>
    <xsd:element name="FolderType" ma:index="18" nillable="true" ma:displayName="Folder Type" ma:internalName="FolderType">
      <xsd:simpleType>
        <xsd:restriction base="dms:Text"/>
      </xsd:simpleType>
    </xsd:element>
    <xsd:element name="CultureName" ma:index="19" nillable="true" ma:displayName="Culture Name" ma:internalName="CultureName">
      <xsd:simpleType>
        <xsd:restriction base="dms:Text"/>
      </xsd:simpleType>
    </xsd:element>
    <xsd:element name="AppVersion" ma:index="20" nillable="true" ma:displayName="App Version" ma:internalName="AppVersion">
      <xsd:simpleType>
        <xsd:restriction base="dms:Text"/>
      </xsd:simpleType>
    </xsd:element>
    <xsd:element name="TeamsChannelId" ma:index="21" nillable="true" ma:displayName="Teams Channel Id" ma:internalName="TeamsChannelId">
      <xsd:simpleType>
        <xsd:restriction base="dms:Text"/>
      </xsd:simpleType>
    </xsd:element>
    <xsd:element name="Owner" ma:index="22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3" nillable="true" ma:displayName="Math Settings" ma:internalName="Math_Settings">
      <xsd:simpleType>
        <xsd:restriction base="dms:Text"/>
      </xsd:simpleType>
    </xsd:element>
    <xsd:element name="DefaultSectionNames" ma:index="2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5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9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0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1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2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3" nillable="true" ma:displayName="Is Collaboration Space Locked" ma:internalName="Is_Collaboration_Space_Locked">
      <xsd:simpleType>
        <xsd:restriction base="dms:Boolean"/>
      </xsd:simpleType>
    </xsd:element>
    <xsd:element name="IsNotebookLocked" ma:index="34" nillable="true" ma:displayName="Is Notebook Locked" ma:internalName="IsNotebookLocked">
      <xsd:simpleType>
        <xsd:restriction base="dms:Boolean"/>
      </xsd:simpleType>
    </xsd:element>
    <xsd:element name="Leaders" ma:index="35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36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37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4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4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42" nillable="true" ma:displayName="Has Leaders Only SectionGroup" ma:internalName="Has_Leaders_Only_SectionGroup">
      <xsd:simpleType>
        <xsd:restriction base="dms:Boolean"/>
      </xsd:simpleType>
    </xsd:element>
    <xsd:element name="MediaServiceGenerationTime" ma:index="4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4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8f8a3fab-e0af-4131-8cc8-5f2165a4edfc" xsi:nil="true"/>
    <Invited_Teachers xmlns="8f8a3fab-e0af-4131-8cc8-5f2165a4edfc" xsi:nil="true"/>
    <IsNotebookLocked xmlns="8f8a3fab-e0af-4131-8cc8-5f2165a4edfc" xsi:nil="true"/>
    <Teachers xmlns="8f8a3fab-e0af-4131-8cc8-5f2165a4edfc">
      <UserInfo>
        <DisplayName/>
        <AccountId xsi:nil="true"/>
        <AccountType/>
      </UserInfo>
    </Teachers>
    <Distribution_Groups xmlns="8f8a3fab-e0af-4131-8cc8-5f2165a4edfc" xsi:nil="true"/>
    <Self_Registration_Enabled xmlns="8f8a3fab-e0af-4131-8cc8-5f2165a4edfc" xsi:nil="true"/>
    <LMS_Mappings xmlns="8f8a3fab-e0af-4131-8cc8-5f2165a4edfc" xsi:nil="true"/>
    <FolderType xmlns="8f8a3fab-e0af-4131-8cc8-5f2165a4edfc" xsi:nil="true"/>
    <CultureName xmlns="8f8a3fab-e0af-4131-8cc8-5f2165a4edfc" xsi:nil="true"/>
    <Templates xmlns="8f8a3fab-e0af-4131-8cc8-5f2165a4edfc" xsi:nil="true"/>
    <Has_Teacher_Only_SectionGroup xmlns="8f8a3fab-e0af-4131-8cc8-5f2165a4edfc" xsi:nil="true"/>
    <Members xmlns="8f8a3fab-e0af-4131-8cc8-5f2165a4edfc">
      <UserInfo>
        <DisplayName/>
        <AccountId xsi:nil="true"/>
        <AccountType/>
      </UserInfo>
    </Members>
    <Member_Groups xmlns="8f8a3fab-e0af-4131-8cc8-5f2165a4edfc">
      <UserInfo>
        <DisplayName/>
        <AccountId xsi:nil="true"/>
        <AccountType/>
      </UserInfo>
    </Member_Groups>
    <NotebookType xmlns="8f8a3fab-e0af-4131-8cc8-5f2165a4edfc" xsi:nil="true"/>
    <Leaders xmlns="8f8a3fab-e0af-4131-8cc8-5f2165a4edfc">
      <UserInfo>
        <DisplayName/>
        <AccountId xsi:nil="true"/>
        <AccountType/>
      </UserInfo>
    </Leaders>
    <Has_Leaders_Only_SectionGroup xmlns="8f8a3fab-e0af-4131-8cc8-5f2165a4edfc" xsi:nil="true"/>
    <Owner xmlns="8f8a3fab-e0af-4131-8cc8-5f2165a4edfc">
      <UserInfo>
        <DisplayName/>
        <AccountId xsi:nil="true"/>
        <AccountType/>
      </UserInfo>
    </Owner>
    <Math_Settings xmlns="8f8a3fab-e0af-4131-8cc8-5f2165a4edfc" xsi:nil="true"/>
    <DefaultSectionNames xmlns="8f8a3fab-e0af-4131-8cc8-5f2165a4edfc" xsi:nil="true"/>
    <Invited_Members xmlns="8f8a3fab-e0af-4131-8cc8-5f2165a4edfc" xsi:nil="true"/>
    <AppVersion xmlns="8f8a3fab-e0af-4131-8cc8-5f2165a4edfc" xsi:nil="true"/>
    <TeamsChannelId xmlns="8f8a3fab-e0af-4131-8cc8-5f2165a4edfc" xsi:nil="true"/>
    <Invited_Students xmlns="8f8a3fab-e0af-4131-8cc8-5f2165a4edfc" xsi:nil="true"/>
    <Invited_Leaders xmlns="8f8a3fab-e0af-4131-8cc8-5f2165a4edfc" xsi:nil="true"/>
    <Students xmlns="8f8a3fab-e0af-4131-8cc8-5f2165a4edfc">
      <UserInfo>
        <DisplayName/>
        <AccountId xsi:nil="true"/>
        <AccountType/>
      </UserInfo>
    </Students>
    <Student_Groups xmlns="8f8a3fab-e0af-4131-8cc8-5f2165a4edfc">
      <UserInfo>
        <DisplayName/>
        <AccountId xsi:nil="true"/>
        <AccountType/>
      </UserInfo>
    </Student_Group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B278D2-CA39-41B5-AF06-42A48A15C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85e16-06da-45ab-8500-654d664b7dd3"/>
    <ds:schemaRef ds:uri="8f8a3fab-e0af-4131-8cc8-5f2165a4ed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BC3ED2-B145-456D-B17E-3307C54DB7AA}">
  <ds:schemaRefs>
    <ds:schemaRef ds:uri="http://schemas.microsoft.com/office/2006/metadata/properties"/>
    <ds:schemaRef ds:uri="8f8a3fab-e0af-4131-8cc8-5f2165a4edfc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  <ds:schemaRef ds:uri="2d185e16-06da-45ab-8500-654d664b7dd3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91F98FC-DA5B-4AE9-A6DD-2E45FD7B13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Beltrame</vt:lpstr>
      <vt:lpstr>Garcia</vt:lpstr>
      <vt:lpstr>Celina</vt:lpstr>
      <vt:lpstr>Halim</vt:lpstr>
      <vt:lpstr>Heude</vt:lpstr>
      <vt:lpstr>Michaels </vt:lpstr>
      <vt:lpstr>Datos</vt:lpstr>
      <vt:lpstr>Van Krevelen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Rozo</dc:creator>
  <cp:lastModifiedBy>Daniel Rozo</cp:lastModifiedBy>
  <dcterms:created xsi:type="dcterms:W3CDTF">2020-04-14T22:22:02Z</dcterms:created>
  <dcterms:modified xsi:type="dcterms:W3CDTF">2020-09-15T16:02:43Z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0x0101006E073622718B7D418B69CBE92FF13C49</vt:lpwstr>
  </property>
</Properties>
</file>