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df_rozo11_uniandes_edu_co/Documents/Duodecimo semestre/Repositorio_Maestria/Resultados Experimentales/Headspace/"/>
    </mc:Choice>
  </mc:AlternateContent>
  <xr:revisionPtr revIDLastSave="719" documentId="8_{F0D00AB0-7A3D-4779-B8A1-B26280F2D0D1}" xr6:coauthVersionLast="46" xr6:coauthVersionMax="46" xr10:uidLastSave="{E0DCFA93-88DF-4C72-B1CB-A79589300643}"/>
  <bookViews>
    <workbookView xWindow="-98" yWindow="-98" windowWidth="20715" windowHeight="13276" firstSheet="1" activeTab="1" xr2:uid="{DFD069CD-3AE0-47DF-A1DA-971D170629D0}"/>
  </bookViews>
  <sheets>
    <sheet name="Headspace Peliculas" sheetId="2" r:id="rId1"/>
    <sheet name="Hoja1" sheetId="1" r:id="rId2"/>
    <sheet name="Headspace Chaparro" sheetId="3" r:id="rId3"/>
    <sheet name="Hoja1 (2)" sheetId="5" r:id="rId4"/>
    <sheet name="Hoja2" sheetId="4" r:id="rId5"/>
  </sheets>
  <definedNames>
    <definedName name="solver_adj" localSheetId="1" hidden="1">Hoja1!$C$17</definedName>
    <definedName name="solver_cvg" localSheetId="1" hidden="1">"""0,0001"""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"""0,075"""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Hoja1!$B$23</definedName>
    <definedName name="solver_pre" localSheetId="1" hidden="1">"""0,000001"""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B34" i="1"/>
  <c r="C35" i="1"/>
  <c r="E16" i="1"/>
  <c r="D20" i="1" s="1"/>
  <c r="D21" i="1" s="1"/>
  <c r="D22" i="1" s="1"/>
  <c r="D32" i="1"/>
  <c r="C31" i="1"/>
  <c r="D31" i="1"/>
  <c r="B31" i="1"/>
  <c r="B27" i="1"/>
  <c r="B29" i="1" s="1"/>
  <c r="B28" i="1"/>
  <c r="C28" i="1"/>
  <c r="D24" i="1"/>
  <c r="D25" i="1" s="1"/>
  <c r="D23" i="1"/>
  <c r="B17" i="1"/>
  <c r="D17" i="1"/>
  <c r="D18" i="1"/>
  <c r="C18" i="1"/>
  <c r="C16" i="1"/>
  <c r="B12" i="1"/>
  <c r="C12" i="1" s="1"/>
  <c r="C8" i="1"/>
  <c r="C9" i="1"/>
  <c r="D12" i="1" l="1"/>
  <c r="D13" i="1" s="1"/>
  <c r="C13" i="1"/>
  <c r="B13" i="1"/>
  <c r="E17" i="1" l="1"/>
  <c r="B16" i="1"/>
  <c r="D16" i="1" s="1"/>
  <c r="B19" i="1" l="1"/>
  <c r="D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564531-0922-499D-BB7A-22BF24054B31}" keepAlive="1" name="Consulta - Hoja1" description="Conexión a la consulta 'Hoja1' en el libro." type="5" refreshedVersion="0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<sst xmlns="http://schemas.openxmlformats.org/spreadsheetml/2006/main" count="151" uniqueCount="140">
  <si>
    <t>NA1</t>
  </si>
  <si>
    <t>NB1</t>
  </si>
  <si>
    <t>NC1</t>
  </si>
  <si>
    <t>NA2</t>
  </si>
  <si>
    <t>NB2</t>
  </si>
  <si>
    <t>NC2</t>
  </si>
  <si>
    <t>NA3</t>
  </si>
  <si>
    <t>NB3</t>
  </si>
  <si>
    <t>NC3</t>
  </si>
  <si>
    <t>NA4</t>
  </si>
  <si>
    <t>NB4</t>
  </si>
  <si>
    <t>NC4</t>
  </si>
  <si>
    <t>NA5</t>
  </si>
  <si>
    <t>NB5</t>
  </si>
  <si>
    <t>NC5</t>
  </si>
  <si>
    <t>NA6</t>
  </si>
  <si>
    <t>NB6</t>
  </si>
  <si>
    <t>NC6</t>
  </si>
  <si>
    <t>NA7</t>
  </si>
  <si>
    <t>NB7</t>
  </si>
  <si>
    <t>NC7</t>
  </si>
  <si>
    <t>NA8</t>
  </si>
  <si>
    <t>NB8</t>
  </si>
  <si>
    <t>NC8</t>
  </si>
  <si>
    <t>NA9</t>
  </si>
  <si>
    <t>NB9</t>
  </si>
  <si>
    <t>NC9</t>
  </si>
  <si>
    <t>NA10</t>
  </si>
  <si>
    <t>NB10</t>
  </si>
  <si>
    <t>NC10</t>
  </si>
  <si>
    <t>NA11</t>
  </si>
  <si>
    <t>NB11</t>
  </si>
  <si>
    <t>NC11</t>
  </si>
  <si>
    <t>NA12</t>
  </si>
  <si>
    <t>NB12</t>
  </si>
  <si>
    <t>NC12</t>
  </si>
  <si>
    <t>NA13</t>
  </si>
  <si>
    <t>NB13</t>
  </si>
  <si>
    <t>NC13</t>
  </si>
  <si>
    <t>NA14</t>
  </si>
  <si>
    <t>NB14</t>
  </si>
  <si>
    <t>NC14</t>
  </si>
  <si>
    <t>NA15</t>
  </si>
  <si>
    <t>NB15</t>
  </si>
  <si>
    <t>NC15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</si>
  <si>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</si>
  <si>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</si>
  <si>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</si>
  <si>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</si>
  <si>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</si>
  <si>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</si>
  <si>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</si>
  <si>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</si>
  <si>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</si>
  <si>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</si>
  <si>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</si>
  <si>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</si>
  <si>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</si>
  <si>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</si>
  <si>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</si>
  <si>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</si>
  <si>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</si>
  <si>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</si>
  <si>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</si>
  <si>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</si>
  <si>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</si>
  <si>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</si>
  <si>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</si>
  <si>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</si>
  <si>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</si>
  <si>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</si>
  <si>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</si>
  <si>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A10</t>
  </si>
  <si>
    <t>B10</t>
  </si>
  <si>
    <t>C10</t>
  </si>
  <si>
    <t>A11</t>
  </si>
  <si>
    <t>B11</t>
  </si>
  <si>
    <t>C11</t>
  </si>
  <si>
    <t>A12</t>
  </si>
  <si>
    <t>B12</t>
  </si>
  <si>
    <t>C12</t>
  </si>
  <si>
    <t>A13</t>
  </si>
  <si>
    <t>B13</t>
  </si>
  <si>
    <t>C13</t>
  </si>
  <si>
    <t>A14</t>
  </si>
  <si>
    <t>B14</t>
  </si>
  <si>
    <t>C14</t>
  </si>
  <si>
    <t>A15</t>
  </si>
  <si>
    <t>B15</t>
  </si>
  <si>
    <t>C15</t>
  </si>
  <si>
    <t xml:space="preserve"> </t>
  </si>
  <si>
    <t>21.11g</t>
  </si>
  <si>
    <t>9.31g</t>
  </si>
  <si>
    <t>25ml</t>
  </si>
  <si>
    <t>N1</t>
  </si>
  <si>
    <t>N2</t>
  </si>
  <si>
    <t>N3</t>
  </si>
  <si>
    <t>V10A</t>
  </si>
  <si>
    <t>V10B</t>
  </si>
  <si>
    <t>V10C</t>
  </si>
  <si>
    <t>V10D</t>
  </si>
  <si>
    <t>V10AE</t>
  </si>
  <si>
    <t>V10F</t>
  </si>
  <si>
    <t>V13A</t>
  </si>
  <si>
    <t>V13B</t>
  </si>
  <si>
    <t>V13C</t>
  </si>
  <si>
    <t>V13D</t>
  </si>
  <si>
    <t>V13AE</t>
  </si>
  <si>
    <t>V13F</t>
  </si>
  <si>
    <t>V8A</t>
  </si>
  <si>
    <t>V8B</t>
  </si>
  <si>
    <t>V8C</t>
  </si>
  <si>
    <t>V8D</t>
  </si>
  <si>
    <t>V8AE</t>
  </si>
  <si>
    <t>V8F</t>
  </si>
  <si>
    <t>ND1</t>
  </si>
  <si>
    <t>ND2</t>
  </si>
  <si>
    <t>ND3</t>
  </si>
  <si>
    <t>3/26/2021  3:50:00 p.m.</t>
  </si>
  <si>
    <t>g/cm3</t>
  </si>
  <si>
    <t>cm3/g</t>
  </si>
  <si>
    <t>radio</t>
  </si>
  <si>
    <t>CGS</t>
  </si>
  <si>
    <t>SI</t>
  </si>
  <si>
    <t xml:space="preserve">vol </t>
  </si>
  <si>
    <t>Peso</t>
  </si>
  <si>
    <t xml:space="preserve">Aceite de Linaza </t>
  </si>
  <si>
    <t xml:space="preserve">Volumen </t>
  </si>
  <si>
    <t>Densidad</t>
  </si>
  <si>
    <t>Radio</t>
  </si>
  <si>
    <t>Silice</t>
  </si>
  <si>
    <t>Total</t>
  </si>
  <si>
    <t>Poros</t>
  </si>
  <si>
    <t>-</t>
  </si>
  <si>
    <t>ID</t>
  </si>
  <si>
    <t>V</t>
  </si>
  <si>
    <t xml:space="preserve">Pelicula </t>
  </si>
  <si>
    <t>Volumen [cm3]</t>
  </si>
  <si>
    <t xml:space="preserve">Capsulas </t>
  </si>
  <si>
    <t>Grosor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</si>
</sst>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164" formatCode="0.0000E+00"/>
    <numFmt numFmtId="165" formatCode="0.000"/>
    <numFmt numFmtId="166" formatCode="0.00.E+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22" fontId="0" fillId="0" borderId="0" xfId="0" applyNumberFormat="1"/>
    <xf numFmtId="0" fontId="0" fillId="2" borderId="0" xfId="0" applyFill="1"/>
    <xf numFmtId="8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/>
    <xf numFmtId="0" fontId="0" fillId="0" borderId="1" xfId="0" applyFont="1" applyBorder="1"/>
    <xf numFmtId="0" fontId="0" fillId="0" borderId="3" xfId="0" applyFont="1" applyBorder="1"/>
    <xf numFmtId="0" fontId="0" fillId="4" borderId="4" xfId="0" applyNumberFormat="1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2" xfId="0" applyNumberFormat="1" applyFont="1" applyBorder="1"/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6" fontId="0" fillId="0" borderId="0" xfId="0" applyNumberForma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20D6-0784-431E-80C0-C780DA8D91FA}">
  <dimension ref="A3:CM12"/>
  <sheetViews>
    <sheetView topLeftCell="BS1" zoomScale="91" workbookViewId="0">
      <selection activeCell="BW13" sqref="BW13"/>
    </sheetView>
  </sheetViews>
  <sheetFormatPr baseColWidth="10" defaultColWidth="11.3984375" defaultRowHeight="14.25" x14ac:dyDescent="0.45"/>
  <cols>
    <col min="1" max="1" width="16.6640625" bestFit="1" customWidth="1"/>
  </cols>
  <sheetData>
    <row r="3" spans="1:91" x14ac:dyDescent="0.45">
      <c r="B3" s="6" t="s">
        <v>0</v>
      </c>
      <c r="C3" s="2" t="s">
        <v>1</v>
      </c>
      <c r="D3" s="2" t="s">
        <v>2</v>
      </c>
      <c r="E3" s="2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2" t="s">
        <v>11</v>
      </c>
      <c r="N3" s="6" t="s">
        <v>12</v>
      </c>
      <c r="O3" s="6" t="s">
        <v>13</v>
      </c>
      <c r="P3" s="6" t="s">
        <v>14</v>
      </c>
      <c r="Q3" s="2" t="s">
        <v>15</v>
      </c>
      <c r="R3" s="2" t="s">
        <v>16</v>
      </c>
      <c r="S3" s="6" t="s">
        <v>17</v>
      </c>
      <c r="T3" s="6" t="s">
        <v>18</v>
      </c>
      <c r="U3" s="6" t="s">
        <v>19</v>
      </c>
      <c r="V3" s="6" t="s">
        <v>20</v>
      </c>
      <c r="W3" s="6" t="s">
        <v>21</v>
      </c>
      <c r="X3" s="6" t="s">
        <v>22</v>
      </c>
      <c r="Y3" s="6" t="s">
        <v>23</v>
      </c>
      <c r="Z3" s="6" t="s">
        <v>24</v>
      </c>
      <c r="AA3" s="2" t="s">
        <v>25</v>
      </c>
      <c r="AB3" s="2" t="s">
        <v>26</v>
      </c>
      <c r="AC3" s="6" t="s">
        <v>27</v>
      </c>
      <c r="AD3" s="2" t="s">
        <v>28</v>
      </c>
      <c r="AE3" s="6" t="s">
        <v>29</v>
      </c>
      <c r="AF3" s="2" t="s">
        <v>30</v>
      </c>
      <c r="AG3" s="2" t="s">
        <v>31</v>
      </c>
      <c r="AH3" s="6" t="s">
        <v>32</v>
      </c>
      <c r="AI3" s="6" t="s">
        <v>33</v>
      </c>
      <c r="AJ3" s="6" t="s">
        <v>34</v>
      </c>
      <c r="AK3" s="6" t="s">
        <v>35</v>
      </c>
      <c r="AL3" s="6" t="s">
        <v>36</v>
      </c>
      <c r="AM3" s="6" t="s">
        <v>37</v>
      </c>
      <c r="AN3" s="6" t="s">
        <v>38</v>
      </c>
      <c r="AO3" s="6" t="s">
        <v>39</v>
      </c>
      <c r="AP3" s="6" t="s">
        <v>40</v>
      </c>
      <c r="AQ3" s="6" t="s">
        <v>41</v>
      </c>
      <c r="AR3" s="6" t="s">
        <v>42</v>
      </c>
      <c r="AS3" s="6" t="s">
        <v>43</v>
      </c>
      <c r="AT3" s="6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81</v>
      </c>
      <c r="CF3" t="s">
        <v>82</v>
      </c>
      <c r="CG3" t="s">
        <v>83</v>
      </c>
      <c r="CH3" t="s">
        <v>84</v>
      </c>
      <c r="CI3" t="s">
        <v>85</v>
      </c>
      <c r="CJ3" t="s">
        <v>86</v>
      </c>
      <c r="CK3" t="s">
        <v>87</v>
      </c>
      <c r="CL3" t="s">
        <v>88</v>
      </c>
      <c r="CM3" t="s">
        <v>89</v>
      </c>
    </row>
    <row r="4" spans="1:91" x14ac:dyDescent="0.45">
      <c r="A4" s="1">
        <v>44246.666666666664</v>
      </c>
      <c r="B4">
        <v>3.3</v>
      </c>
      <c r="C4">
        <v>12.1</v>
      </c>
      <c r="D4">
        <v>2.4</v>
      </c>
      <c r="E4" s="2">
        <v>17.3</v>
      </c>
      <c r="F4">
        <v>1.6</v>
      </c>
      <c r="G4">
        <v>4.4000000000000004</v>
      </c>
      <c r="H4">
        <v>5.4</v>
      </c>
      <c r="I4">
        <v>2</v>
      </c>
      <c r="J4">
        <v>7.1</v>
      </c>
      <c r="K4">
        <v>4.2</v>
      </c>
      <c r="L4">
        <v>3.8</v>
      </c>
      <c r="M4">
        <v>8.1</v>
      </c>
      <c r="N4">
        <v>2</v>
      </c>
      <c r="O4">
        <v>5.8</v>
      </c>
      <c r="P4">
        <v>1</v>
      </c>
      <c r="Q4">
        <v>3.3</v>
      </c>
      <c r="R4">
        <v>5.8</v>
      </c>
      <c r="S4">
        <v>1.3</v>
      </c>
      <c r="T4">
        <v>1</v>
      </c>
      <c r="U4">
        <v>9.3000000000000007</v>
      </c>
      <c r="V4">
        <v>3.9</v>
      </c>
      <c r="W4">
        <v>3.1</v>
      </c>
      <c r="X4">
        <v>3.6</v>
      </c>
      <c r="Y4">
        <v>3</v>
      </c>
      <c r="Z4">
        <v>3.6</v>
      </c>
      <c r="AA4">
        <v>6.4</v>
      </c>
      <c r="AB4">
        <v>8.5</v>
      </c>
      <c r="AC4">
        <v>2.9</v>
      </c>
      <c r="AD4">
        <v>10.8</v>
      </c>
      <c r="AE4">
        <v>3</v>
      </c>
      <c r="AF4">
        <v>5.6</v>
      </c>
      <c r="AG4">
        <v>1</v>
      </c>
      <c r="AH4">
        <v>6.3</v>
      </c>
      <c r="AI4">
        <v>3.1</v>
      </c>
      <c r="AJ4">
        <v>8.1</v>
      </c>
      <c r="AK4">
        <v>2.7</v>
      </c>
      <c r="AL4">
        <v>2.2999999999999998</v>
      </c>
      <c r="AM4">
        <v>0.9</v>
      </c>
      <c r="AN4">
        <v>7.7</v>
      </c>
      <c r="AO4">
        <v>0.9</v>
      </c>
      <c r="AP4">
        <v>3.2</v>
      </c>
      <c r="AQ4">
        <v>2.5</v>
      </c>
      <c r="AR4">
        <v>1.6</v>
      </c>
      <c r="AS4">
        <v>1.5</v>
      </c>
      <c r="AT4">
        <v>5</v>
      </c>
      <c r="AU4">
        <v>20.8</v>
      </c>
      <c r="AV4">
        <v>20.8</v>
      </c>
      <c r="AW4">
        <v>20.8</v>
      </c>
    </row>
    <row r="5" spans="1:91" x14ac:dyDescent="0.45">
      <c r="A5" s="1">
        <v>44250.333333333336</v>
      </c>
      <c r="B5">
        <v>3.2</v>
      </c>
      <c r="C5">
        <v>20.9</v>
      </c>
      <c r="D5">
        <v>3.3</v>
      </c>
      <c r="X5" t="s">
        <v>90</v>
      </c>
      <c r="AX5">
        <v>20.9</v>
      </c>
      <c r="AY5">
        <v>20.9</v>
      </c>
      <c r="AZ5">
        <v>20.9</v>
      </c>
    </row>
    <row r="6" spans="1:91" x14ac:dyDescent="0.45">
      <c r="A6" s="1">
        <v>44257.333333333336</v>
      </c>
      <c r="E6">
        <v>20.9</v>
      </c>
      <c r="F6">
        <v>2</v>
      </c>
      <c r="G6">
        <v>19.7</v>
      </c>
      <c r="BA6">
        <v>20.8</v>
      </c>
      <c r="BB6">
        <v>20.8</v>
      </c>
      <c r="BC6">
        <v>20.8</v>
      </c>
    </row>
    <row r="7" spans="1:91" x14ac:dyDescent="0.45">
      <c r="A7" s="1">
        <v>44260.375</v>
      </c>
      <c r="B7">
        <v>3.6</v>
      </c>
      <c r="C7">
        <v>20.8</v>
      </c>
      <c r="D7" s="2">
        <v>20.8</v>
      </c>
      <c r="F7">
        <v>2</v>
      </c>
      <c r="G7">
        <v>20.399999999999999</v>
      </c>
      <c r="H7">
        <v>20.7</v>
      </c>
      <c r="I7">
        <v>2.1</v>
      </c>
      <c r="J7">
        <v>20.8</v>
      </c>
      <c r="BD7">
        <v>20.9</v>
      </c>
      <c r="BE7">
        <v>20.9</v>
      </c>
      <c r="BF7">
        <v>20.9</v>
      </c>
    </row>
    <row r="8" spans="1:91" x14ac:dyDescent="0.45">
      <c r="A8" s="1">
        <v>44264.333333333336</v>
      </c>
      <c r="K8">
        <v>20.9</v>
      </c>
      <c r="L8">
        <v>20.8</v>
      </c>
      <c r="BG8">
        <v>20.8</v>
      </c>
      <c r="BH8">
        <v>20.8</v>
      </c>
      <c r="BI8">
        <v>20.8</v>
      </c>
    </row>
    <row r="9" spans="1:91" x14ac:dyDescent="0.45">
      <c r="A9" s="1">
        <v>44267.666666666664</v>
      </c>
      <c r="N9">
        <v>2.2000000000000002</v>
      </c>
      <c r="O9">
        <v>20.8</v>
      </c>
      <c r="P9">
        <v>1.7</v>
      </c>
      <c r="BJ9">
        <v>20.9</v>
      </c>
      <c r="BK9">
        <v>20.9</v>
      </c>
      <c r="BL9">
        <v>20.8</v>
      </c>
    </row>
    <row r="10" spans="1:91" x14ac:dyDescent="0.45">
      <c r="A10" s="1">
        <v>44271.333333333336</v>
      </c>
      <c r="S10">
        <v>2</v>
      </c>
      <c r="BM10">
        <v>20.5</v>
      </c>
      <c r="BN10">
        <v>20.5</v>
      </c>
      <c r="BO10">
        <v>20.5</v>
      </c>
    </row>
    <row r="11" spans="1:91" x14ac:dyDescent="0.45">
      <c r="A11" s="1">
        <v>44274.458333333336</v>
      </c>
      <c r="T11">
        <v>1.5</v>
      </c>
      <c r="U11">
        <v>20.7</v>
      </c>
      <c r="V11">
        <v>4</v>
      </c>
      <c r="BP11">
        <v>20.7</v>
      </c>
      <c r="BQ11">
        <v>20.9</v>
      </c>
      <c r="BR11">
        <v>20.7</v>
      </c>
    </row>
    <row r="12" spans="1:91" x14ac:dyDescent="0.45">
      <c r="A12" s="1" t="s">
        <v>118</v>
      </c>
      <c r="W12">
        <v>3.4</v>
      </c>
      <c r="X12">
        <v>7.5</v>
      </c>
      <c r="Y12">
        <v>3.4</v>
      </c>
      <c r="BS12">
        <v>20.6</v>
      </c>
      <c r="BT12">
        <v>20.6</v>
      </c>
      <c r="BU12">
        <v>20.9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C8F4-4277-4619-919B-859A58F9D37E}">
  <dimension ref="A3:J35"/>
  <sheetViews>
    <sheetView tabSelected="1" topLeftCell="A6" zoomScale="151" workbookViewId="0">
      <selection activeCell="C18" sqref="C18"/>
    </sheetView>
  </sheetViews>
  <sheetFormatPr baseColWidth="10" defaultColWidth="11.3984375" defaultRowHeight="14.25" x14ac:dyDescent="0.45"/>
  <cols>
    <col min="1" max="1" width="13.86328125" bestFit="1" customWidth="1"/>
    <col min="2" max="2" width="12.796875" bestFit="1" customWidth="1"/>
    <col min="10" max="10" width="16.9296875" bestFit="1" customWidth="1"/>
  </cols>
  <sheetData>
    <row r="3" spans="1:10" x14ac:dyDescent="0.45">
      <c r="B3" t="s">
        <v>91</v>
      </c>
    </row>
    <row r="8" spans="1:10" x14ac:dyDescent="0.45">
      <c r="B8" t="s">
        <v>92</v>
      </c>
      <c r="C8">
        <f>9.31/25</f>
        <v>0.37240000000000001</v>
      </c>
      <c r="D8" t="s">
        <v>119</v>
      </c>
    </row>
    <row r="9" spans="1:10" x14ac:dyDescent="0.45">
      <c r="B9" t="s">
        <v>93</v>
      </c>
      <c r="C9">
        <f>1/C8</f>
        <v>2.685284640171858</v>
      </c>
      <c r="D9" t="s">
        <v>120</v>
      </c>
    </row>
    <row r="11" spans="1:10" x14ac:dyDescent="0.45">
      <c r="A11" s="8"/>
      <c r="B11" s="8" t="s">
        <v>121</v>
      </c>
      <c r="C11" s="8" t="s">
        <v>124</v>
      </c>
      <c r="D11" s="8" t="s">
        <v>125</v>
      </c>
    </row>
    <row r="12" spans="1:10" x14ac:dyDescent="0.45">
      <c r="A12" s="8" t="s">
        <v>122</v>
      </c>
      <c r="B12" s="9">
        <f>0.000012171/2</f>
        <v>6.0854999999999996E-6</v>
      </c>
      <c r="C12" s="9">
        <f>(4/3 )*PI()*(B12)^3</f>
        <v>9.4401177095391684E-16</v>
      </c>
      <c r="D12" s="9">
        <f>C8*C12</f>
        <v>3.5154998350323865E-16</v>
      </c>
      <c r="F12" s="7"/>
      <c r="G12" s="7"/>
      <c r="H12" s="7"/>
    </row>
    <row r="13" spans="1:10" x14ac:dyDescent="0.45">
      <c r="A13" s="8" t="s">
        <v>123</v>
      </c>
      <c r="B13" s="9">
        <f>B12*0.01</f>
        <v>6.0854999999999998E-8</v>
      </c>
      <c r="C13" s="9">
        <f>C12*0.000001</f>
        <v>9.4401177095391688E-22</v>
      </c>
      <c r="D13" s="9">
        <f>D12*0.001</f>
        <v>3.5154998350323865E-19</v>
      </c>
    </row>
    <row r="14" spans="1:10" x14ac:dyDescent="0.45">
      <c r="A14" s="8"/>
      <c r="B14" s="9"/>
      <c r="C14" s="9"/>
      <c r="D14" s="9"/>
    </row>
    <row r="15" spans="1:10" x14ac:dyDescent="0.45">
      <c r="A15" s="8"/>
      <c r="B15" s="8" t="s">
        <v>125</v>
      </c>
      <c r="C15" s="8" t="s">
        <v>128</v>
      </c>
      <c r="D15" s="8" t="s">
        <v>127</v>
      </c>
      <c r="E15" s="8" t="s">
        <v>129</v>
      </c>
    </row>
    <row r="16" spans="1:10" x14ac:dyDescent="0.45">
      <c r="A16" s="8" t="s">
        <v>126</v>
      </c>
      <c r="B16" s="9">
        <f>D13*0.4337</f>
        <v>1.524672278453546E-19</v>
      </c>
      <c r="C16" s="8">
        <f>931</f>
        <v>931</v>
      </c>
      <c r="D16" s="9">
        <f>B16/C16</f>
        <v>1.6376716202508551E-22</v>
      </c>
      <c r="E16" s="10">
        <f>(3/(4*PI())*D16)^(1/3)</f>
        <v>3.3940070329933899E-8</v>
      </c>
      <c r="J16" s="5"/>
    </row>
    <row r="17" spans="1:10" x14ac:dyDescent="0.45">
      <c r="A17" s="8" t="s">
        <v>130</v>
      </c>
      <c r="B17" s="9">
        <f>C17*D17</f>
        <v>1.9908275565788409E-19</v>
      </c>
      <c r="C17" s="11">
        <v>377.2462587903928</v>
      </c>
      <c r="D17" s="9">
        <f>C13-(D16+D18)</f>
        <v>5.277262557784551E-22</v>
      </c>
      <c r="E17" s="10">
        <f>B13-E16</f>
        <v>2.6914929670066099E-8</v>
      </c>
    </row>
    <row r="18" spans="1:10" x14ac:dyDescent="0.45">
      <c r="A18" s="8" t="s">
        <v>132</v>
      </c>
      <c r="B18" s="8"/>
      <c r="C18" s="11">
        <f>1000/0.7183</f>
        <v>1392.1759710427398</v>
      </c>
      <c r="D18" s="9">
        <f>D13/C18</f>
        <v>2.5251835315037632E-22</v>
      </c>
      <c r="E18" s="8" t="s">
        <v>133</v>
      </c>
    </row>
    <row r="19" spans="1:10" x14ac:dyDescent="0.45">
      <c r="A19" s="8" t="s">
        <v>131</v>
      </c>
      <c r="B19" s="9">
        <f>SUM(B16:B17)</f>
        <v>3.5154998350323869E-19</v>
      </c>
      <c r="C19" s="8"/>
      <c r="D19" s="9">
        <f>SUM(D16:D18)</f>
        <v>9.4401177095391688E-22</v>
      </c>
      <c r="E19" s="8"/>
    </row>
    <row r="20" spans="1:10" x14ac:dyDescent="0.45">
      <c r="B20" s="12"/>
      <c r="D20" s="7">
        <f>4/3*PI()*(B13^3-E16^3)</f>
        <v>7.8024460892883137E-22</v>
      </c>
      <c r="E20" s="7"/>
    </row>
    <row r="21" spans="1:10" x14ac:dyDescent="0.45">
      <c r="B21" s="12"/>
      <c r="D21" s="12">
        <f>D17/D20</f>
        <v>0.67636001548661862</v>
      </c>
    </row>
    <row r="22" spans="1:10" x14ac:dyDescent="0.45">
      <c r="D22" s="4">
        <f>1-D21</f>
        <v>0.32363998451338138</v>
      </c>
    </row>
    <row r="23" spans="1:10" x14ac:dyDescent="0.45">
      <c r="B23" s="7"/>
      <c r="D23" s="7">
        <f>4*PI()*B13^2</f>
        <v>4.6537430167804635E-14</v>
      </c>
    </row>
    <row r="24" spans="1:10" x14ac:dyDescent="0.45">
      <c r="D24" s="7">
        <f>D23*1.2/(D12)</f>
        <v>158.85341721499779</v>
      </c>
      <c r="J24" s="4"/>
    </row>
    <row r="25" spans="1:10" x14ac:dyDescent="0.45">
      <c r="D25" s="7">
        <f>D24*0.021</f>
        <v>3.3359217615149537</v>
      </c>
      <c r="J25" s="3"/>
    </row>
    <row r="26" spans="1:10" x14ac:dyDescent="0.45">
      <c r="A26" s="8"/>
      <c r="B26" s="8" t="s">
        <v>137</v>
      </c>
      <c r="C26" s="8" t="s">
        <v>125</v>
      </c>
      <c r="D26" t="s">
        <v>139</v>
      </c>
    </row>
    <row r="27" spans="1:10" x14ac:dyDescent="0.45">
      <c r="A27" s="8" t="s">
        <v>136</v>
      </c>
      <c r="B27" s="11">
        <f>19*19*D27</f>
        <v>6.4619</v>
      </c>
      <c r="C27" s="8">
        <v>12</v>
      </c>
      <c r="D27" s="7">
        <v>1.7899999999999999E-2</v>
      </c>
    </row>
    <row r="28" spans="1:10" x14ac:dyDescent="0.45">
      <c r="A28" s="8" t="s">
        <v>138</v>
      </c>
      <c r="B28" s="22">
        <f>C28*C9</f>
        <v>1.6111707841031151</v>
      </c>
      <c r="C28" s="8">
        <f>C27*0.05</f>
        <v>0.60000000000000009</v>
      </c>
      <c r="H28" s="3"/>
    </row>
    <row r="29" spans="1:10" x14ac:dyDescent="0.45">
      <c r="B29" s="23">
        <f>B28/B27</f>
        <v>0.24933390861869034</v>
      </c>
    </row>
    <row r="31" spans="1:10" x14ac:dyDescent="0.45">
      <c r="B31" s="7">
        <f>16*D27</f>
        <v>0.28639999999999999</v>
      </c>
      <c r="C31" s="7">
        <f>B31*0.22</f>
        <v>6.3007999999999995E-2</v>
      </c>
      <c r="D31" s="7">
        <f>PI()*B12^2</f>
        <v>1.1634357541951157E-10</v>
      </c>
    </row>
    <row r="32" spans="1:10" x14ac:dyDescent="0.45">
      <c r="D32" s="7">
        <f>C31/D31</f>
        <v>541568365.70309794</v>
      </c>
    </row>
    <row r="34" spans="2:3" x14ac:dyDescent="0.45">
      <c r="B34" s="24">
        <f>0.0176/10000</f>
        <v>1.7600000000000001E-6</v>
      </c>
      <c r="C34" s="7">
        <f>B12/B34</f>
        <v>3.457670454545454</v>
      </c>
    </row>
    <row r="35" spans="2:3" x14ac:dyDescent="0.45">
      <c r="C35" s="25">
        <f>E16*100/B34</f>
        <v>1.9284130869280622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4D5B-DDE6-4144-BD99-716B789CAA6B}">
  <dimension ref="A2:Y9"/>
  <sheetViews>
    <sheetView topLeftCell="F1" zoomScale="126" workbookViewId="0">
      <selection activeCell="Q7" sqref="Q7"/>
    </sheetView>
  </sheetViews>
  <sheetFormatPr baseColWidth="10" defaultColWidth="11.3984375" defaultRowHeight="14.25" x14ac:dyDescent="0.45"/>
  <cols>
    <col min="1" max="1" width="21.3984375" customWidth="1"/>
  </cols>
  <sheetData>
    <row r="2" spans="1:25" x14ac:dyDescent="0.45">
      <c r="B2" t="s">
        <v>94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t="s">
        <v>112</v>
      </c>
      <c r="U2" t="s">
        <v>113</v>
      </c>
      <c r="V2" t="s">
        <v>114</v>
      </c>
      <c r="W2" t="s">
        <v>115</v>
      </c>
      <c r="X2" t="s">
        <v>116</v>
      </c>
      <c r="Y2" t="s">
        <v>117</v>
      </c>
    </row>
    <row r="3" spans="1:25" x14ac:dyDescent="0.45">
      <c r="A3" s="1">
        <v>44260.666666666664</v>
      </c>
      <c r="B3">
        <v>2.4</v>
      </c>
      <c r="C3">
        <v>1.6</v>
      </c>
      <c r="D3">
        <v>2.4</v>
      </c>
      <c r="E3">
        <v>20.6</v>
      </c>
      <c r="F3">
        <v>20.6</v>
      </c>
      <c r="G3">
        <v>20.6</v>
      </c>
      <c r="H3">
        <v>20.6</v>
      </c>
      <c r="I3">
        <v>20.6</v>
      </c>
      <c r="J3">
        <v>20.6</v>
      </c>
      <c r="K3">
        <v>20.6</v>
      </c>
      <c r="L3">
        <v>20.6</v>
      </c>
      <c r="M3">
        <v>20.6</v>
      </c>
      <c r="N3">
        <v>20.6</v>
      </c>
      <c r="O3">
        <v>20.6</v>
      </c>
      <c r="P3">
        <v>20.6</v>
      </c>
      <c r="Q3">
        <v>20.6</v>
      </c>
      <c r="R3">
        <v>20.6</v>
      </c>
      <c r="S3">
        <v>20.6</v>
      </c>
      <c r="T3">
        <v>20.6</v>
      </c>
      <c r="U3">
        <v>20.6</v>
      </c>
      <c r="V3">
        <v>20.6</v>
      </c>
    </row>
    <row r="4" spans="1:25" x14ac:dyDescent="0.45">
      <c r="A4" s="1">
        <v>44263.625</v>
      </c>
      <c r="B4">
        <v>7.4</v>
      </c>
      <c r="C4">
        <v>2.2999999999999998</v>
      </c>
      <c r="D4">
        <v>2.6</v>
      </c>
      <c r="E4">
        <v>20.399999999999999</v>
      </c>
      <c r="F4">
        <v>20.8</v>
      </c>
      <c r="G4">
        <v>20.399999999999999</v>
      </c>
      <c r="H4">
        <v>19.8</v>
      </c>
      <c r="I4">
        <v>20.5</v>
      </c>
      <c r="J4">
        <v>19.8</v>
      </c>
      <c r="K4">
        <v>20.5</v>
      </c>
      <c r="L4">
        <v>20.5</v>
      </c>
      <c r="M4">
        <v>20.399999999999999</v>
      </c>
      <c r="N4">
        <v>19.899999999999999</v>
      </c>
      <c r="O4">
        <v>20</v>
      </c>
      <c r="P4">
        <v>20.100000000000001</v>
      </c>
      <c r="Q4">
        <v>20.7</v>
      </c>
      <c r="R4">
        <v>20.7</v>
      </c>
      <c r="S4">
        <v>20.7</v>
      </c>
      <c r="T4">
        <v>20.399999999999999</v>
      </c>
      <c r="U4">
        <v>20.6</v>
      </c>
      <c r="V4">
        <v>20.6</v>
      </c>
    </row>
    <row r="5" spans="1:25" x14ac:dyDescent="0.45">
      <c r="A5" s="1">
        <v>44265.645833333336</v>
      </c>
      <c r="B5">
        <v>8.3000000000000007</v>
      </c>
      <c r="C5">
        <v>2.6</v>
      </c>
      <c r="D5">
        <v>7.2</v>
      </c>
      <c r="E5">
        <v>20</v>
      </c>
      <c r="F5">
        <v>20.8</v>
      </c>
      <c r="G5">
        <v>20</v>
      </c>
      <c r="H5">
        <v>18.899999999999999</v>
      </c>
      <c r="I5">
        <v>20.5</v>
      </c>
      <c r="J5">
        <v>19</v>
      </c>
      <c r="K5">
        <v>20.100000000000001</v>
      </c>
      <c r="L5">
        <v>20.100000000000001</v>
      </c>
      <c r="M5">
        <v>19.8</v>
      </c>
      <c r="N5">
        <v>19</v>
      </c>
      <c r="O5">
        <v>19.100000000000001</v>
      </c>
      <c r="P5">
        <v>19.399999999999999</v>
      </c>
      <c r="Q5">
        <v>20.5</v>
      </c>
      <c r="R5">
        <v>20.5</v>
      </c>
      <c r="S5">
        <v>20.5</v>
      </c>
      <c r="T5">
        <v>19.899999999999999</v>
      </c>
      <c r="U5">
        <v>20.2</v>
      </c>
      <c r="V5">
        <v>20.2</v>
      </c>
      <c r="W5">
        <v>20.6</v>
      </c>
      <c r="X5">
        <v>20.6</v>
      </c>
      <c r="Y5">
        <v>20.6</v>
      </c>
    </row>
    <row r="6" spans="1:25" x14ac:dyDescent="0.45">
      <c r="A6" s="1">
        <v>44267.666666666664</v>
      </c>
      <c r="B6">
        <v>11.8</v>
      </c>
      <c r="C6">
        <v>3</v>
      </c>
      <c r="D6">
        <v>7.3</v>
      </c>
      <c r="E6">
        <v>19.600000000000001</v>
      </c>
      <c r="F6">
        <v>20.8</v>
      </c>
      <c r="G6">
        <v>19.600000000000001</v>
      </c>
      <c r="H6">
        <v>17.899999999999999</v>
      </c>
      <c r="I6">
        <v>20.6</v>
      </c>
      <c r="J6">
        <v>18</v>
      </c>
      <c r="K6">
        <v>19.5</v>
      </c>
      <c r="L6">
        <v>19.5</v>
      </c>
      <c r="M6">
        <v>19</v>
      </c>
      <c r="N6">
        <v>17.899999999999999</v>
      </c>
      <c r="O6">
        <v>18.100000000000001</v>
      </c>
      <c r="P6">
        <v>18.600000000000001</v>
      </c>
      <c r="Q6">
        <v>20.2</v>
      </c>
      <c r="R6">
        <v>20.100000000000001</v>
      </c>
      <c r="S6">
        <v>20.100000000000001</v>
      </c>
      <c r="T6">
        <v>19.2</v>
      </c>
      <c r="U6">
        <v>19.600000000000001</v>
      </c>
      <c r="V6">
        <v>19.600000000000001</v>
      </c>
      <c r="W6">
        <v>20.9</v>
      </c>
      <c r="X6">
        <v>20.8</v>
      </c>
      <c r="Y6">
        <v>20.9</v>
      </c>
    </row>
    <row r="7" spans="1:25" x14ac:dyDescent="0.45">
      <c r="A7" s="1">
        <v>44274.4375</v>
      </c>
      <c r="B7">
        <v>16.8</v>
      </c>
      <c r="C7">
        <v>6</v>
      </c>
      <c r="D7">
        <v>7.3</v>
      </c>
      <c r="E7">
        <v>18</v>
      </c>
      <c r="F7">
        <v>20.8</v>
      </c>
      <c r="G7">
        <v>17.399999999999999</v>
      </c>
      <c r="H7">
        <v>13.7</v>
      </c>
      <c r="I7">
        <v>20.5</v>
      </c>
      <c r="J7">
        <v>14.2</v>
      </c>
      <c r="K7">
        <v>17.600000000000001</v>
      </c>
      <c r="L7">
        <v>17.8</v>
      </c>
      <c r="M7">
        <v>16.3</v>
      </c>
      <c r="N7">
        <v>14.5</v>
      </c>
      <c r="O7">
        <v>14.7</v>
      </c>
      <c r="P7">
        <v>15.9</v>
      </c>
      <c r="Q7">
        <v>19</v>
      </c>
      <c r="R7">
        <v>19</v>
      </c>
      <c r="S7">
        <v>19</v>
      </c>
      <c r="T7">
        <v>16.899999999999999</v>
      </c>
      <c r="U7">
        <v>17.7</v>
      </c>
      <c r="V7">
        <v>17.8</v>
      </c>
      <c r="W7">
        <v>20.6</v>
      </c>
      <c r="X7">
        <v>20.6</v>
      </c>
      <c r="Y7">
        <v>20.6</v>
      </c>
    </row>
    <row r="9" spans="1:25" x14ac:dyDescent="0.45">
      <c r="A9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14D5-4B4B-4BFC-B692-E15E1DBD9F24}">
  <dimension ref="A1:J22"/>
  <sheetViews>
    <sheetView zoomScale="92" workbookViewId="0">
      <selection sqref="A1:I10"/>
    </sheetView>
  </sheetViews>
  <sheetFormatPr baseColWidth="10" defaultRowHeight="14.25" x14ac:dyDescent="0.45"/>
  <cols>
    <col min="1" max="9" width="10.19921875" bestFit="1" customWidth="1"/>
  </cols>
  <sheetData>
    <row r="1" spans="1:10" x14ac:dyDescent="0.45">
      <c r="A1" s="15"/>
      <c r="B1" s="16"/>
      <c r="C1" s="16"/>
      <c r="D1" s="16"/>
      <c r="E1" s="16"/>
      <c r="F1" s="16"/>
      <c r="G1" s="16"/>
      <c r="H1" s="16"/>
      <c r="I1" s="17"/>
    </row>
    <row r="2" spans="1:10" x14ac:dyDescent="0.45">
      <c r="A2" s="18"/>
      <c r="B2" s="19"/>
      <c r="C2" s="19"/>
      <c r="D2" s="19"/>
      <c r="E2" s="19"/>
      <c r="F2" s="19"/>
      <c r="G2" s="19"/>
      <c r="H2" s="19"/>
      <c r="I2" s="20"/>
    </row>
    <row r="3" spans="1:10" x14ac:dyDescent="0.45">
      <c r="A3" s="15"/>
      <c r="B3" s="16"/>
      <c r="C3" s="16"/>
      <c r="D3" s="16"/>
      <c r="E3" s="16"/>
      <c r="F3" s="16"/>
      <c r="G3" s="16"/>
      <c r="H3" s="16"/>
      <c r="I3" s="17"/>
    </row>
    <row r="4" spans="1:10" x14ac:dyDescent="0.45">
      <c r="A4" s="18"/>
      <c r="B4" s="19"/>
      <c r="C4" s="19"/>
      <c r="D4" s="19"/>
      <c r="E4" s="19"/>
      <c r="F4" s="19"/>
      <c r="G4" s="19"/>
      <c r="H4" s="19"/>
      <c r="I4" s="20"/>
    </row>
    <row r="5" spans="1:10" x14ac:dyDescent="0.45">
      <c r="A5" s="15"/>
      <c r="B5" s="16"/>
      <c r="C5" s="16"/>
      <c r="D5" s="16"/>
      <c r="E5" s="16"/>
      <c r="F5" s="16"/>
      <c r="G5" s="16"/>
      <c r="H5" s="16"/>
      <c r="I5" s="17"/>
    </row>
    <row r="6" spans="1:10" x14ac:dyDescent="0.45">
      <c r="A6" s="18"/>
      <c r="B6" s="19"/>
      <c r="C6" s="19"/>
      <c r="D6" s="19"/>
      <c r="E6" s="19"/>
      <c r="F6" s="19"/>
      <c r="G6" s="19"/>
      <c r="H6" s="19"/>
      <c r="I6" s="20"/>
    </row>
    <row r="7" spans="1:10" x14ac:dyDescent="0.45">
      <c r="A7" s="15"/>
      <c r="B7" s="16"/>
      <c r="C7" s="16"/>
      <c r="D7" s="16"/>
      <c r="E7" s="16"/>
      <c r="F7" s="16"/>
      <c r="G7" s="16"/>
      <c r="H7" s="16"/>
      <c r="I7" s="17"/>
    </row>
    <row r="8" spans="1:10" x14ac:dyDescent="0.45">
      <c r="A8" s="18"/>
      <c r="B8" s="19"/>
      <c r="C8" s="19"/>
      <c r="D8" s="19"/>
      <c r="E8" s="19"/>
      <c r="F8" s="19"/>
      <c r="G8" s="19"/>
      <c r="H8" s="19"/>
      <c r="I8" s="20"/>
    </row>
    <row r="9" spans="1:10" x14ac:dyDescent="0.45">
      <c r="A9" s="15"/>
      <c r="B9" s="16"/>
      <c r="C9" s="16"/>
      <c r="D9" s="16"/>
      <c r="E9" s="16"/>
      <c r="F9" s="16"/>
      <c r="G9" s="16"/>
      <c r="H9" s="16"/>
      <c r="I9" s="17"/>
    </row>
    <row r="10" spans="1:10" x14ac:dyDescent="0.45">
      <c r="A10" s="21"/>
      <c r="B10" s="14"/>
      <c r="C10" s="14"/>
      <c r="D10" s="14"/>
      <c r="E10" s="14"/>
      <c r="F10" s="14"/>
      <c r="G10" s="14"/>
      <c r="H10" s="14"/>
      <c r="I10" s="13"/>
    </row>
    <row r="14" spans="1:10" x14ac:dyDescent="0.45">
      <c r="A14" s="15" t="s">
        <v>134</v>
      </c>
      <c r="B14" s="18" t="s">
        <v>45</v>
      </c>
      <c r="C14" s="15" t="s">
        <v>46</v>
      </c>
      <c r="D14" s="18" t="s">
        <v>47</v>
      </c>
      <c r="E14" s="15" t="s">
        <v>48</v>
      </c>
      <c r="F14" s="18" t="s">
        <v>49</v>
      </c>
      <c r="G14" s="15" t="s">
        <v>50</v>
      </c>
      <c r="H14" s="18" t="s">
        <v>51</v>
      </c>
      <c r="I14" s="15" t="s">
        <v>52</v>
      </c>
      <c r="J14" s="21" t="s">
        <v>53</v>
      </c>
    </row>
    <row r="15" spans="1:10" x14ac:dyDescent="0.45">
      <c r="A15" s="16">
        <v>0</v>
      </c>
      <c r="B15" s="19">
        <v>20.6</v>
      </c>
      <c r="C15" s="16">
        <v>20.6</v>
      </c>
      <c r="D15" s="19">
        <v>20.6</v>
      </c>
      <c r="E15" s="16">
        <v>20.6</v>
      </c>
      <c r="F15" s="19">
        <v>20.6</v>
      </c>
      <c r="G15" s="16">
        <v>20.6</v>
      </c>
      <c r="H15" s="19">
        <v>20.6</v>
      </c>
      <c r="I15" s="16">
        <v>20.6</v>
      </c>
      <c r="J15" s="14">
        <v>20.6</v>
      </c>
    </row>
    <row r="16" spans="1:10" x14ac:dyDescent="0.45">
      <c r="A16" s="16">
        <v>48</v>
      </c>
      <c r="B16" s="19">
        <v>20.5</v>
      </c>
      <c r="C16" s="16">
        <v>20.3</v>
      </c>
      <c r="D16" s="19">
        <v>20.399999999999999</v>
      </c>
      <c r="E16" s="16">
        <v>20.3</v>
      </c>
      <c r="F16" s="19">
        <v>20.399999999999999</v>
      </c>
      <c r="G16" s="16">
        <v>20.3</v>
      </c>
      <c r="H16" s="19">
        <v>20.100000000000001</v>
      </c>
      <c r="I16" s="16">
        <v>20.2</v>
      </c>
      <c r="J16" s="14">
        <v>20.2</v>
      </c>
    </row>
    <row r="17" spans="1:10" x14ac:dyDescent="0.45">
      <c r="A17" s="16">
        <v>117</v>
      </c>
      <c r="B17" s="19">
        <v>19.5</v>
      </c>
      <c r="C17" s="16">
        <v>19.399999999999999</v>
      </c>
      <c r="D17" s="19">
        <v>19.600000000000001</v>
      </c>
      <c r="E17" s="16">
        <v>19.7</v>
      </c>
      <c r="F17" s="19">
        <v>19.899999999999999</v>
      </c>
      <c r="G17" s="16">
        <v>19.399999999999999</v>
      </c>
      <c r="H17" s="19">
        <v>18.600000000000001</v>
      </c>
      <c r="I17" s="16">
        <v>18.899999999999999</v>
      </c>
      <c r="J17" s="14">
        <v>19</v>
      </c>
    </row>
    <row r="18" spans="1:10" x14ac:dyDescent="0.45">
      <c r="A18" s="16">
        <v>167</v>
      </c>
      <c r="B18" s="19">
        <v>19.899999999999999</v>
      </c>
      <c r="C18" s="16">
        <v>19</v>
      </c>
      <c r="D18" s="19">
        <v>19.2</v>
      </c>
      <c r="E18" s="16">
        <v>18.899999999999999</v>
      </c>
      <c r="F18" s="19">
        <v>19.899999999999999</v>
      </c>
      <c r="G18" s="16">
        <v>18.899999999999999</v>
      </c>
      <c r="H18" s="19">
        <v>17.8</v>
      </c>
      <c r="I18" s="16">
        <v>17.899999999999999</v>
      </c>
      <c r="J18" s="14">
        <v>17.899999999999999</v>
      </c>
    </row>
    <row r="19" spans="1:10" x14ac:dyDescent="0.45">
      <c r="A19" s="16">
        <v>215</v>
      </c>
      <c r="B19" s="19">
        <v>19.100000000000001</v>
      </c>
      <c r="C19" s="16">
        <v>18.899999999999999</v>
      </c>
      <c r="D19" s="19">
        <v>19</v>
      </c>
      <c r="E19" s="16">
        <v>19.3</v>
      </c>
      <c r="F19" s="19">
        <v>19.2</v>
      </c>
      <c r="G19" s="16">
        <v>18.5</v>
      </c>
      <c r="H19" s="19">
        <v>17.5</v>
      </c>
      <c r="I19" s="16">
        <v>17.2</v>
      </c>
      <c r="J19" s="14">
        <v>17.899999999999999</v>
      </c>
    </row>
    <row r="20" spans="1:10" x14ac:dyDescent="0.45">
      <c r="A20" s="16">
        <v>287</v>
      </c>
      <c r="B20" s="19">
        <v>18.399999999999999</v>
      </c>
      <c r="C20" s="16">
        <v>18.2</v>
      </c>
      <c r="D20" s="19">
        <v>18.100000000000001</v>
      </c>
      <c r="E20" s="16">
        <v>18.3</v>
      </c>
      <c r="F20" s="19">
        <v>18.899999999999999</v>
      </c>
      <c r="G20" s="16">
        <v>18.3</v>
      </c>
      <c r="H20" s="19">
        <v>16.3</v>
      </c>
      <c r="I20" s="16">
        <v>16.7</v>
      </c>
      <c r="J20" s="14">
        <v>16.2</v>
      </c>
    </row>
    <row r="21" spans="1:10" x14ac:dyDescent="0.45">
      <c r="A21" s="16">
        <v>339</v>
      </c>
      <c r="B21" s="19">
        <v>18.2</v>
      </c>
      <c r="C21" s="16">
        <v>16.8</v>
      </c>
      <c r="D21" s="19">
        <v>18</v>
      </c>
      <c r="E21" s="16">
        <v>20.5</v>
      </c>
      <c r="F21" s="19">
        <v>18.5</v>
      </c>
      <c r="G21" s="16">
        <v>18.8</v>
      </c>
      <c r="H21" s="19">
        <v>16.399999999999999</v>
      </c>
      <c r="I21" s="16">
        <v>16.3</v>
      </c>
      <c r="J21" s="14">
        <v>18</v>
      </c>
    </row>
    <row r="22" spans="1:10" x14ac:dyDescent="0.45">
      <c r="A22" s="17" t="s">
        <v>135</v>
      </c>
      <c r="B22" s="20">
        <v>8</v>
      </c>
      <c r="C22" s="17">
        <v>8</v>
      </c>
      <c r="D22" s="20">
        <v>8</v>
      </c>
      <c r="E22" s="17">
        <v>10</v>
      </c>
      <c r="F22" s="20">
        <v>10</v>
      </c>
      <c r="G22" s="17">
        <v>10</v>
      </c>
      <c r="H22" s="20">
        <v>13</v>
      </c>
      <c r="I22" s="17">
        <v>13</v>
      </c>
      <c r="J22" s="13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EFBF-2C29-4245-80F2-FEE1B8DC43E1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z J q L U j w x t g C i A A A A 9 Q A A A B I A H A B D b 2 5 m a W c v U G F j a 2 F n Z S 5 4 b W w g o h g A K K A U A A A A A A A A A A A A A A A A A A A A A A A A A A A A h Y + 9 D o I w G E V f h X T v D 3 V R 8 l E G V o k m J s a 1 K R U a o R h a L O / m 4 C P 5 C m I U d X O 8 5 5 7 h 3 v v 1 B t n Y N t F F 9 8 5 0 N k U x Y S j S V n W l s V W K B n / E S 5 Q J 2 E p 1 k p W O J t m 6 Z H R l i m r v z w m l I Q Q S F q T r K 8 o Z i + m h W O 9 U r V u J P r L 5 L 2 N j n Z d W a S R g / x o j O F n F h D N O G N C Z Q W H s t + f T 3 G f 7 A y E f G j / 0 W m i H 8 w 3 Q O Q J 9 X x A P U E s D B B Q A A g A I A M y a i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m o t S y p K C b h A B A A A U A g A A E w A c A E Z v c m 1 1 b G F z L 1 N l Y 3 R p b 2 4 x L m 0 g o h g A K K A U A A A A A A A A A A A A A A A A A A A A A A A A A A A A d d D P a 4 M w F M D x u + D / E L J L B S l 0 v 7 f S k + 3 o 2 G G H W n a o p T z 1 r c 0 a 8 y S J z K 7 4 v y / o h B 6 m l 8 D 7 J P k G D W Z W k G K r b p 1 M f c / 3 z A E 0 5 m x J X z B h M y b R + h 5 z 3 7 s W e 1 R u s q g z l O M P 0 s e U 6 D h 6 E R L H E S m L y p o R j 5 6 T t U F t E k 0 / t E / m 9 K 0 k Q W 6 S J U K + K i H D 3 c J k I C E n M 6 6 l q X k Q M l V J G T K r K w z C r t b m d 6 s D o n X J r n 3 e v F o s Z r w 1 H r 4 J l c 9 4 u 4 V v m 8 0 c L G z / T l / x W J T E M i h S 4 U L c X R F D 6 t 4 Z a 1 D m k 3 Q R k a w K F Z 9 K N K O L V n g + 8 4 5 c g F n H z G J t m 5 D 1 8 + t + r q o i R X 0 h N 4 N y O y h 3 g 3 I / K A + D 8 j g o T 7 2 A O j V N 4 H t C / f + n p r 9 Q S w E C L Q A U A A I A C A D M m o t S P D G 2 A K I A A A D 1 A A A A E g A A A A A A A A A A A A A A A A A A A A A A Q 2 9 u Z m l n L 1 B h Y 2 t h Z 2 U u e G 1 s U E s B A i 0 A F A A C A A g A z J q L U g / K 6 a u k A A A A 6 Q A A A B M A A A A A A A A A A A A A A A A A 7 g A A A F t D b 2 5 0 Z W 5 0 X 1 R 5 c G V z X S 5 4 b W x Q S w E C L Q A U A A I A C A D M m o t S y p K C b h A B A A A U A g A A E w A A A A A A A A A A A A A A A A D f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D A A A A A A A A I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p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y V D A w O j I y O j A x L j M z N j c 5 O D d a I i A v P j x F b n R y e S B U e X B l P S J G a W x s Q 2 9 s d W 1 u V H l w Z X M i I F Z h b H V l P S J z Q m d V R k J R V U Z C U V V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q Y T E v Q X V 0 b 1 J l b W 9 2 Z W R D b 2 x 1 b W 5 z M S 5 7 Q 2 9 s d W 1 u M S w w f S Z x d W 9 0 O y w m c X V v d D t T Z W N 0 a W 9 u M S 9 I b 2 p h M S 9 B d X R v U m V t b 3 Z l Z E N v b H V t b n M x L n t D b 2 x 1 b W 4 y L D F 9 J n F 1 b 3 Q 7 L C Z x d W 9 0 O 1 N l Y 3 R p b 2 4 x L 0 h v a m E x L 0 F 1 d G 9 S Z W 1 v d m V k Q 2 9 s d W 1 u c z E u e 0 N v b H V t b j M s M n 0 m c X V v d D s s J n F 1 b 3 Q 7 U 2 V j d G l v b j E v S G 9 q Y T E v Q X V 0 b 1 J l b W 9 2 Z W R D b 2 x 1 b W 5 z M S 5 7 Q 2 9 s d W 1 u N C w z f S Z x d W 9 0 O y w m c X V v d D t T Z W N 0 a W 9 u M S 9 I b 2 p h M S 9 B d X R v U m V t b 3 Z l Z E N v b H V t b n M x L n t D b 2 x 1 b W 4 1 L D R 9 J n F 1 b 3 Q 7 L C Z x d W 9 0 O 1 N l Y 3 R p b 2 4 x L 0 h v a m E x L 0 F 1 d G 9 S Z W 1 v d m V k Q 2 9 s d W 1 u c z E u e 0 N v b H V t b j Y s N X 0 m c X V v d D s s J n F 1 b 3 Q 7 U 2 V j d G l v b j E v S G 9 q Y T E v Q X V 0 b 1 J l b W 9 2 Z W R D b 2 x 1 b W 5 z M S 5 7 Q 2 9 s d W 1 u N y w 2 f S Z x d W 9 0 O y w m c X V v d D t T Z W N 0 a W 9 u M S 9 I b 2 p h M S 9 B d X R v U m V t b 3 Z l Z E N v b H V t b n M x L n t D b 2 x 1 b W 4 4 L D d 9 J n F 1 b 3 Q 7 L C Z x d W 9 0 O 1 N l Y 3 R p b 2 4 x L 0 h v a m E x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G 9 q Y T E v Q X V 0 b 1 J l b W 9 2 Z W R D b 2 x 1 b W 5 z M S 5 7 Q 2 9 s d W 1 u M S w w f S Z x d W 9 0 O y w m c X V v d D t T Z W N 0 a W 9 u M S 9 I b 2 p h M S 9 B d X R v U m V t b 3 Z l Z E N v b H V t b n M x L n t D b 2 x 1 b W 4 y L D F 9 J n F 1 b 3 Q 7 L C Z x d W 9 0 O 1 N l Y 3 R p b 2 4 x L 0 h v a m E x L 0 F 1 d G 9 S Z W 1 v d m V k Q 2 9 s d W 1 u c z E u e 0 N v b H V t b j M s M n 0 m c X V v d D s s J n F 1 b 3 Q 7 U 2 V j d G l v b j E v S G 9 q Y T E v Q X V 0 b 1 J l b W 9 2 Z W R D b 2 x 1 b W 5 z M S 5 7 Q 2 9 s d W 1 u N C w z f S Z x d W 9 0 O y w m c X V v d D t T Z W N 0 a W 9 u M S 9 I b 2 p h M S 9 B d X R v U m V t b 3 Z l Z E N v b H V t b n M x L n t D b 2 x 1 b W 4 1 L D R 9 J n F 1 b 3 Q 7 L C Z x d W 9 0 O 1 N l Y 3 R p b 2 4 x L 0 h v a m E x L 0 F 1 d G 9 S Z W 1 v d m V k Q 2 9 s d W 1 u c z E u e 0 N v b H V t b j Y s N X 0 m c X V v d D s s J n F 1 b 3 Q 7 U 2 V j d G l v b j E v S G 9 q Y T E v Q X V 0 b 1 J l b W 9 2 Z W R D b 2 x 1 b W 5 z M S 5 7 Q 2 9 s d W 1 u N y w 2 f S Z x d W 9 0 O y w m c X V v d D t T Z W N 0 a W 9 u M S 9 I b 2 p h M S 9 B d X R v U m V t b 3 Z l Z E N v b H V t b n M x L n t D b 2 x 1 b W 4 4 L D d 9 J n F 1 b 3 Q 7 L C Z x d W 9 0 O 1 N l Y 3 R p b 2 4 x L 0 h v a m E x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a m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h v a m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A o W E U C a e R N o e F V 3 N X 1 6 d k A A A A A A g A A A A A A E G Y A A A A B A A A g A A A A w N x c c h c H / T l w c T + b h E V m + K M 6 h H / k A B T V 3 K B 7 S H + H J s w A A A A A D o A A A A A C A A A g A A A A X R z C d U L D / 2 z C Q U 6 t / i c P + 1 a F g 4 o + y 9 R g v Y / y F k W z G 9 B Q A A A A F s w L I k A / N I z k / d a z a A d Q Z 3 i S Y K u 7 S F z R p 5 t L L 2 + F h a L j g H t 7 h H L z A S G f a F D p l 0 O L P i 9 X R T M o 6 Q n E r T o E 7 S 7 g V I 7 8 t 0 D B G r x s h v K w y 1 B Y J 6 1 A A A A A A f 1 + U p A w l U 0 2 k A V d O S 8 V V F 7 H A O d + g 4 p p E f 7 f 8 e 8 Z 5 x Q q l H G 7 d p y e h e j W b D u g 9 j 2 w M m e G m 9 R g w b y y c N J E 4 D a 0 m Q = = < / D a t a M a s h u p > 
</file>

<file path=customXml/itemProps1.xml><?xml version="1.0" encoding="utf-8"?>
<ds:datastoreItem xmlns:ds="http://schemas.openxmlformats.org/officeDocument/2006/customXml" ds:itemID="{06E80642-0F95-4562-89F1-98C0FBE27F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Headspace Peliculas</vt:lpstr>
      <vt:lpstr>Hoja1</vt:lpstr>
      <vt:lpstr>Headspace Chaparro</vt:lpstr>
      <vt:lpstr>Hoja1 (2)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Rozo</dc:creator>
  <cp:keywords/>
  <dc:description/>
  <cp:lastModifiedBy>Daniel Rozo</cp:lastModifiedBy>
  <cp:revision/>
  <dcterms:created xsi:type="dcterms:W3CDTF">2021-02-23T00:00:41Z</dcterms:created>
  <dcterms:modified xsi:type="dcterms:W3CDTF">2021-04-16T21:30:56Z</dcterms:modified>
  <cp:category/>
  <cp:contentStatus/>
</cp:coreProperties>
</file>