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59431" documentId="8_{22F2181A-421C-449B-9B87-A1B05CE41FE6}" xr6:coauthVersionLast="45" xr6:coauthVersionMax="45" xr10:uidLastSave="{92AA8FA9-3939-4453-A459-36C003179DEF}"/>
  <bookViews>
    <workbookView xWindow="-98" yWindow="-98" windowWidth="20715" windowHeight="13276" firstSheet="10" activeTab="12" xr2:uid="{00000000-000D-0000-FFFF-FFFF00000000}"/>
  </bookViews>
  <sheets>
    <sheet name="Prueba 1 - Con Succión" sheetId="1" r:id="rId1"/>
    <sheet name="Prueba 2 - Sin succión" sheetId="2" r:id="rId2"/>
    <sheet name="Prueba 3 - N2" sheetId="3" r:id="rId3"/>
    <sheet name="Prueba 4 - Película" sheetId="4" r:id="rId4"/>
    <sheet name="Miscelaneo " sheetId="5" r:id="rId5"/>
    <sheet name="Hoja1" sheetId="6" r:id="rId6"/>
    <sheet name="Hoja2" sheetId="7" r:id="rId7"/>
    <sheet name="Headspace Bolsa" sheetId="8" r:id="rId8"/>
    <sheet name="Headspace Bolsa 2" sheetId="9" r:id="rId9"/>
    <sheet name="Hoja3" sheetId="10" r:id="rId10"/>
    <sheet name="Headspace Destructivo Nitrogeno" sheetId="11" r:id="rId11"/>
    <sheet name="Headspace Destructivo capsulas " sheetId="12" r:id="rId12"/>
    <sheet name="Headspace Destructivo capsu (2)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1" l="1"/>
  <c r="B3" i="13" l="1"/>
  <c r="AK7" i="13" l="1"/>
  <c r="AS19" i="13"/>
  <c r="AU8" i="13"/>
  <c r="AT8" i="13"/>
  <c r="BI8" i="13"/>
  <c r="AP8" i="13"/>
  <c r="AO8" i="13"/>
  <c r="AL8" i="13"/>
  <c r="AG8" i="13"/>
  <c r="AF8" i="13"/>
  <c r="AC8" i="13"/>
  <c r="AB8" i="13"/>
  <c r="X8" i="13"/>
  <c r="W8" i="13"/>
  <c r="S8" i="13"/>
  <c r="R8" i="13"/>
  <c r="O8" i="13"/>
  <c r="N8" i="13"/>
  <c r="G8" i="13"/>
  <c r="F8" i="13"/>
  <c r="B8" i="13"/>
  <c r="BI7" i="13"/>
  <c r="AP7" i="13"/>
  <c r="AO7" i="13"/>
  <c r="AL7" i="13"/>
  <c r="AG7" i="13"/>
  <c r="AF7" i="13"/>
  <c r="AC7" i="13"/>
  <c r="AB7" i="13"/>
  <c r="X7" i="13"/>
  <c r="W7" i="13"/>
  <c r="S7" i="13"/>
  <c r="R7" i="13"/>
  <c r="O7" i="13"/>
  <c r="N7" i="13"/>
  <c r="G7" i="13"/>
  <c r="F7" i="13"/>
  <c r="B7" i="13"/>
  <c r="BI6" i="13"/>
  <c r="AG6" i="13"/>
  <c r="AF6" i="13"/>
  <c r="AC6" i="13"/>
  <c r="AB6" i="13"/>
  <c r="X6" i="13"/>
  <c r="W6" i="13"/>
  <c r="S6" i="13"/>
  <c r="R6" i="13"/>
  <c r="O6" i="13"/>
  <c r="N6" i="13"/>
  <c r="G6" i="13"/>
  <c r="F6" i="13"/>
  <c r="B6" i="13"/>
  <c r="BI5" i="13"/>
  <c r="X5" i="13"/>
  <c r="W5" i="13"/>
  <c r="S5" i="13"/>
  <c r="R5" i="13"/>
  <c r="O5" i="13"/>
  <c r="N5" i="13"/>
  <c r="G5" i="13"/>
  <c r="F5" i="13"/>
  <c r="B5" i="13"/>
  <c r="BI4" i="13"/>
  <c r="S4" i="13"/>
  <c r="R4" i="13"/>
  <c r="O4" i="13"/>
  <c r="N4" i="13"/>
  <c r="G4" i="13"/>
  <c r="F4" i="13"/>
  <c r="B4" i="13"/>
  <c r="G3" i="13"/>
  <c r="F3" i="13"/>
  <c r="G2" i="13"/>
  <c r="F2" i="13"/>
  <c r="AK8" i="13" l="1"/>
  <c r="AS19" i="12"/>
  <c r="AP8" i="12"/>
  <c r="AP7" i="12"/>
  <c r="AO8" i="12"/>
  <c r="AO7" i="12"/>
  <c r="AW6" i="12"/>
  <c r="AW8" i="12"/>
  <c r="AW7" i="12"/>
  <c r="AW5" i="12"/>
  <c r="AW4" i="12"/>
  <c r="AF8" i="12" l="1"/>
  <c r="AG8" i="12"/>
  <c r="S8" i="12"/>
  <c r="R8" i="12"/>
  <c r="AK8" i="12"/>
  <c r="AL8" i="12"/>
  <c r="AI8" i="12"/>
  <c r="AB8" i="12"/>
  <c r="AC8" i="12"/>
  <c r="W8" i="12"/>
  <c r="X8" i="12"/>
  <c r="N8" i="12"/>
  <c r="O8" i="12"/>
  <c r="F8" i="12"/>
  <c r="G8" i="12"/>
  <c r="B6" i="12"/>
  <c r="B7" i="12"/>
  <c r="B8" i="12"/>
  <c r="AF7" i="12"/>
  <c r="AG7" i="12"/>
  <c r="W7" i="12"/>
  <c r="X7" i="12"/>
  <c r="X6" i="12"/>
  <c r="R7" i="12"/>
  <c r="S7" i="12"/>
  <c r="AB7" i="12"/>
  <c r="AC7" i="12"/>
  <c r="O7" i="12"/>
  <c r="N7" i="12"/>
  <c r="F7" i="12"/>
  <c r="G7" i="12"/>
  <c r="AL7" i="12"/>
  <c r="AG6" i="12"/>
  <c r="AF6" i="12"/>
  <c r="S5" i="12"/>
  <c r="S6" i="12"/>
  <c r="S4" i="12"/>
  <c r="R5" i="12"/>
  <c r="R6" i="12"/>
  <c r="R4" i="12"/>
  <c r="X5" i="12"/>
  <c r="AC6" i="12"/>
  <c r="O5" i="12"/>
  <c r="O6" i="12"/>
  <c r="O4" i="12"/>
  <c r="G3" i="12"/>
  <c r="G4" i="12"/>
  <c r="G5" i="12"/>
  <c r="G6" i="12"/>
  <c r="G2" i="12"/>
  <c r="W6" i="12"/>
  <c r="N6" i="12"/>
  <c r="F6" i="12"/>
  <c r="AB6" i="12"/>
  <c r="N5" i="12"/>
  <c r="F5" i="12"/>
  <c r="W5" i="12"/>
  <c r="B5" i="12"/>
  <c r="F4" i="12"/>
  <c r="N4" i="12"/>
  <c r="B4" i="12"/>
  <c r="F3" i="12"/>
  <c r="F2" i="12"/>
  <c r="V9" i="11"/>
  <c r="U9" i="11"/>
  <c r="V8" i="11"/>
  <c r="D26" i="11"/>
  <c r="Q8" i="11"/>
  <c r="Q9" i="11"/>
  <c r="Q7" i="11"/>
  <c r="D25" i="11"/>
  <c r="P9" i="11"/>
  <c r="L9" i="11"/>
  <c r="L8" i="11"/>
  <c r="L7" i="11"/>
  <c r="L6" i="11"/>
  <c r="D24" i="11"/>
  <c r="L4" i="11"/>
  <c r="G9" i="11"/>
  <c r="G8" i="11"/>
  <c r="G7" i="11"/>
  <c r="G5" i="11"/>
  <c r="G6" i="11"/>
  <c r="G4" i="11"/>
  <c r="D23" i="11"/>
  <c r="B18" i="11"/>
  <c r="B17" i="11"/>
  <c r="B16" i="11"/>
  <c r="B15" i="11"/>
  <c r="B14" i="11"/>
  <c r="C27" i="11"/>
  <c r="C26" i="11"/>
  <c r="C25" i="11"/>
  <c r="C24" i="11"/>
  <c r="C23" i="11"/>
  <c r="B24" i="11"/>
  <c r="B25" i="11"/>
  <c r="B26" i="11"/>
  <c r="B27" i="11"/>
  <c r="B23" i="11"/>
  <c r="U8" i="11"/>
  <c r="P8" i="11"/>
  <c r="P7" i="11"/>
  <c r="K6" i="11"/>
  <c r="K7" i="11"/>
  <c r="K8" i="11"/>
  <c r="K9" i="11"/>
  <c r="K4" i="11"/>
  <c r="F5" i="11"/>
  <c r="F6" i="11"/>
  <c r="F7" i="11"/>
  <c r="F8" i="11"/>
  <c r="F9" i="11"/>
  <c r="F4" i="11"/>
  <c r="B4" i="11"/>
  <c r="B3" i="12"/>
  <c r="B8" i="11"/>
  <c r="B7" i="11"/>
  <c r="B6" i="11"/>
  <c r="B5" i="11"/>
  <c r="Z9" i="9"/>
  <c r="AA9" i="9"/>
  <c r="AB9" i="9"/>
  <c r="AC9" i="9"/>
  <c r="AD9" i="9"/>
  <c r="AE9" i="9"/>
  <c r="AF9" i="9"/>
  <c r="Z10" i="9"/>
  <c r="AA10" i="9"/>
  <c r="AB10" i="9"/>
  <c r="AC10" i="9"/>
  <c r="AD10" i="9"/>
  <c r="AE10" i="9"/>
  <c r="AF10" i="9"/>
  <c r="Z11" i="9"/>
  <c r="AA11" i="9"/>
  <c r="AB11" i="9"/>
  <c r="AC11" i="9"/>
  <c r="AD11" i="9"/>
  <c r="AE11" i="9"/>
  <c r="AF11" i="9"/>
  <c r="AF8" i="9"/>
  <c r="AE8" i="9"/>
  <c r="AD8" i="9"/>
  <c r="AC8" i="9"/>
  <c r="AB8" i="9"/>
  <c r="AA8" i="9"/>
  <c r="Z8" i="9"/>
  <c r="B11" i="9"/>
  <c r="G10" i="10"/>
  <c r="H10" i="10"/>
  <c r="B10" i="10"/>
  <c r="H6" i="10"/>
  <c r="H7" i="10"/>
  <c r="H8" i="10"/>
  <c r="H9" i="10"/>
  <c r="H5" i="10"/>
  <c r="G9" i="10"/>
  <c r="B9" i="10"/>
  <c r="B10" i="9"/>
  <c r="X5" i="9"/>
  <c r="B9" i="9"/>
  <c r="B8" i="9"/>
  <c r="G8" i="10"/>
  <c r="G7" i="10"/>
  <c r="B8" i="10"/>
  <c r="G6" i="10"/>
  <c r="G5" i="10"/>
  <c r="Y5" i="9"/>
  <c r="Y4" i="9"/>
  <c r="X4" i="9"/>
  <c r="AL5" i="8"/>
  <c r="AL6" i="8"/>
  <c r="AL7" i="8"/>
  <c r="AL8" i="8"/>
  <c r="AL9" i="8"/>
  <c r="AL4" i="8"/>
  <c r="AK4" i="8"/>
  <c r="AJ4" i="8"/>
  <c r="AI4" i="8"/>
  <c r="AH4" i="8"/>
  <c r="AG4" i="8"/>
  <c r="AF4" i="8"/>
  <c r="AE4" i="8"/>
  <c r="AD4" i="8"/>
  <c r="AK5" i="8"/>
  <c r="AK6" i="8"/>
  <c r="AK7" i="8"/>
  <c r="AK8" i="8"/>
  <c r="AK9" i="8"/>
  <c r="AJ5" i="8"/>
  <c r="AJ6" i="8"/>
  <c r="AJ7" i="8"/>
  <c r="AJ8" i="8"/>
  <c r="AJ9" i="8"/>
  <c r="AI5" i="8"/>
  <c r="AI6" i="8"/>
  <c r="AI7" i="8"/>
  <c r="AI8" i="8"/>
  <c r="AI9" i="8"/>
  <c r="AH5" i="8"/>
  <c r="AH6" i="8"/>
  <c r="AH7" i="8"/>
  <c r="AH8" i="8"/>
  <c r="AH9" i="8"/>
  <c r="AG5" i="8"/>
  <c r="AG6" i="8"/>
  <c r="AG7" i="8"/>
  <c r="AG8" i="8"/>
  <c r="AG9" i="8"/>
  <c r="AF5" i="8"/>
  <c r="AF6" i="8"/>
  <c r="AF7" i="8"/>
  <c r="AF8" i="8"/>
  <c r="AF9" i="8"/>
  <c r="AE5" i="8"/>
  <c r="AE6" i="8"/>
  <c r="AE7" i="8"/>
  <c r="AE8" i="8"/>
  <c r="AE9" i="8"/>
  <c r="AD5" i="8"/>
  <c r="AD6" i="8"/>
  <c r="AD7" i="8"/>
  <c r="AD8" i="8"/>
  <c r="AD9" i="8"/>
  <c r="B6" i="9"/>
  <c r="B7" i="10"/>
  <c r="B6" i="10"/>
  <c r="B5" i="10"/>
  <c r="B9" i="8"/>
  <c r="B5" i="9"/>
  <c r="B8" i="8"/>
  <c r="B7" i="8"/>
  <c r="B6" i="8"/>
  <c r="B5" i="8"/>
  <c r="M11" i="4"/>
  <c r="O11" i="4"/>
  <c r="L11" i="4"/>
  <c r="N11" i="4"/>
  <c r="M12" i="3"/>
  <c r="O12" i="3"/>
  <c r="L12" i="3"/>
  <c r="N12" i="3"/>
  <c r="C11" i="7"/>
  <c r="C12" i="7"/>
  <c r="M10" i="4"/>
  <c r="O10" i="4"/>
  <c r="L10" i="4"/>
  <c r="N10" i="4"/>
  <c r="M11" i="3"/>
  <c r="O11" i="3"/>
  <c r="L11" i="3"/>
  <c r="N11" i="3"/>
  <c r="H7" i="5"/>
  <c r="I7" i="5"/>
  <c r="J7" i="5"/>
  <c r="N9" i="4"/>
  <c r="O9" i="4"/>
  <c r="L9" i="4"/>
  <c r="M9" i="4"/>
  <c r="M10" i="3"/>
  <c r="O10" i="3"/>
  <c r="L10" i="3"/>
  <c r="N10" i="3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4" i="6"/>
  <c r="E34" i="6" a="1"/>
  <c r="E34" i="6" s="1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O8" i="4"/>
  <c r="N8" i="4"/>
  <c r="M8" i="4"/>
  <c r="L8" i="4"/>
  <c r="O7" i="4"/>
  <c r="N7" i="4"/>
  <c r="M7" i="4"/>
  <c r="L7" i="4"/>
  <c r="E7" i="4"/>
  <c r="E8" i="4"/>
  <c r="E9" i="4"/>
  <c r="E10" i="4"/>
  <c r="E11" i="4"/>
  <c r="O6" i="4"/>
  <c r="N6" i="4"/>
  <c r="M6" i="4"/>
  <c r="L6" i="4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E6" i="3"/>
  <c r="E7" i="3"/>
  <c r="E8" i="3"/>
  <c r="E9" i="3"/>
  <c r="E10" i="3"/>
  <c r="E11" i="3"/>
  <c r="E12" i="3"/>
  <c r="O5" i="3"/>
  <c r="N5" i="3"/>
  <c r="M5" i="3"/>
  <c r="L5" i="3"/>
  <c r="AG13" i="2"/>
  <c r="AF13" i="2"/>
  <c r="AE13" i="2"/>
  <c r="AD13" i="2"/>
  <c r="AC13" i="2"/>
  <c r="AB13" i="2"/>
  <c r="AA13" i="2"/>
  <c r="Z13" i="2"/>
  <c r="Y13" i="2"/>
  <c r="X13" i="2"/>
  <c r="W13" i="2"/>
  <c r="V13" i="2"/>
  <c r="AG12" i="2"/>
  <c r="AF12" i="2"/>
  <c r="AE12" i="2"/>
  <c r="AD12" i="2"/>
  <c r="AC12" i="2"/>
  <c r="AB12" i="2"/>
  <c r="AA12" i="2"/>
  <c r="Z12" i="2"/>
  <c r="Y12" i="2"/>
  <c r="X12" i="2"/>
  <c r="W12" i="2"/>
  <c r="V12" i="2"/>
  <c r="AG11" i="2"/>
  <c r="AF11" i="2"/>
  <c r="AE11" i="2"/>
  <c r="AD11" i="2"/>
  <c r="AC11" i="2"/>
  <c r="AB11" i="2"/>
  <c r="AA11" i="2"/>
  <c r="Z11" i="2"/>
  <c r="Y11" i="2"/>
  <c r="X11" i="2"/>
  <c r="W11" i="2"/>
  <c r="V11" i="2"/>
  <c r="AG10" i="2"/>
  <c r="AF10" i="2"/>
  <c r="AE10" i="2"/>
  <c r="AD10" i="2"/>
  <c r="AC10" i="2"/>
  <c r="AB10" i="2"/>
  <c r="AA10" i="2"/>
  <c r="Z10" i="2"/>
  <c r="Y10" i="2"/>
  <c r="X10" i="2"/>
  <c r="W10" i="2"/>
  <c r="V10" i="2"/>
  <c r="AG9" i="2"/>
  <c r="AF9" i="2"/>
  <c r="AE9" i="2"/>
  <c r="AD9" i="2"/>
  <c r="AC9" i="2"/>
  <c r="AB9" i="2"/>
  <c r="AA9" i="2"/>
  <c r="Z9" i="2"/>
  <c r="Y9" i="2"/>
  <c r="X9" i="2"/>
  <c r="W9" i="2"/>
  <c r="V9" i="2"/>
  <c r="AG8" i="2"/>
  <c r="AF8" i="2"/>
  <c r="AE8" i="2"/>
  <c r="AD8" i="2"/>
  <c r="AC8" i="2"/>
  <c r="AB8" i="2"/>
  <c r="AA8" i="2"/>
  <c r="Z8" i="2"/>
  <c r="Y8" i="2"/>
  <c r="X8" i="2"/>
  <c r="W8" i="2"/>
  <c r="V8" i="2"/>
  <c r="AG7" i="2"/>
  <c r="AF7" i="2"/>
  <c r="AE7" i="2"/>
  <c r="AD7" i="2"/>
  <c r="AC7" i="2"/>
  <c r="AB7" i="2"/>
  <c r="AA7" i="2"/>
  <c r="Z7" i="2"/>
  <c r="Y7" i="2"/>
  <c r="X7" i="2"/>
  <c r="W7" i="2"/>
  <c r="V7" i="2"/>
  <c r="AG6" i="2"/>
  <c r="AF6" i="2"/>
  <c r="AE6" i="2"/>
  <c r="AD6" i="2"/>
  <c r="AC6" i="2"/>
  <c r="AB6" i="2"/>
  <c r="AA6" i="2"/>
  <c r="Z6" i="2"/>
  <c r="Y6" i="2"/>
  <c r="X6" i="2"/>
  <c r="W6" i="2"/>
  <c r="V6" i="2"/>
  <c r="C6" i="2"/>
  <c r="C7" i="2"/>
  <c r="C8" i="2"/>
  <c r="C9" i="2"/>
  <c r="C10" i="2"/>
  <c r="C11" i="2"/>
  <c r="C12" i="2"/>
  <c r="C13" i="2"/>
  <c r="AG5" i="2"/>
  <c r="AF5" i="2"/>
  <c r="AE5" i="2"/>
  <c r="AD5" i="2"/>
  <c r="AC5" i="2"/>
  <c r="AB5" i="2"/>
  <c r="AA5" i="2"/>
  <c r="Z5" i="2"/>
  <c r="Y5" i="2"/>
  <c r="X5" i="2"/>
  <c r="W5" i="2"/>
  <c r="V5" i="2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J16" i="1"/>
  <c r="J17" i="1"/>
  <c r="J18" i="1"/>
  <c r="J19" i="1"/>
  <c r="J20" i="1"/>
  <c r="J21" i="1"/>
  <c r="J22" i="1"/>
  <c r="N15" i="1"/>
  <c r="M15" i="1"/>
  <c r="L15" i="1"/>
  <c r="K15" i="1"/>
  <c r="J15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5" i="1"/>
  <c r="J6" i="1"/>
  <c r="J7" i="1"/>
  <c r="J8" i="1"/>
  <c r="J9" i="1"/>
  <c r="J10" i="1"/>
  <c r="J11" i="1"/>
  <c r="N4" i="1"/>
  <c r="M4" i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<sst xmlns="http://schemas.openxmlformats.org/spreadsheetml/2006/main" count="723" uniqueCount="175">
  <si>
    <t>Destructivas</t>
  </si>
  <si>
    <t>B1</t>
  </si>
  <si>
    <t>B2</t>
  </si>
  <si>
    <t>B3</t>
  </si>
  <si>
    <t>Medicion 1</t>
  </si>
  <si>
    <t>Medicion 2</t>
  </si>
  <si>
    <t>Medicion 3</t>
  </si>
  <si>
    <t>Medicion 4</t>
  </si>
  <si>
    <t>Medicion 5</t>
  </si>
  <si>
    <t>Medicion 6</t>
  </si>
  <si>
    <t>Medicion 7</t>
  </si>
  <si>
    <t>Medicion 8</t>
  </si>
  <si>
    <t>No destructivas</t>
  </si>
  <si>
    <t>Hora</t>
  </si>
  <si>
    <t>Tiempo [h]</t>
  </si>
  <si>
    <t>Muestra</t>
  </si>
  <si>
    <t>Tiempo de succion [s]</t>
  </si>
  <si>
    <t>Flujo de succion [ml/s]</t>
  </si>
  <si>
    <t>Promedio</t>
  </si>
  <si>
    <t>Desviacion Capsulas</t>
  </si>
  <si>
    <t>Desviacin Blancos</t>
  </si>
  <si>
    <t>Desviacion Blancos</t>
  </si>
  <si>
    <t>Carga de Capsulas [g]</t>
  </si>
  <si>
    <t xml:space="preserve"> Capsulas</t>
  </si>
  <si>
    <t>Blancos</t>
  </si>
  <si>
    <t>Capsules</t>
  </si>
  <si>
    <t>White</t>
  </si>
  <si>
    <t>Volumen Vial [ml]</t>
  </si>
  <si>
    <t>Especificaciones</t>
  </si>
  <si>
    <t>Acido Ascorbico [5g]</t>
  </si>
  <si>
    <t>Aceite Linaza [3mL]</t>
  </si>
  <si>
    <t>Capsulas Batch [0.2g]</t>
  </si>
  <si>
    <t>Capsulas Escalado x13 [0.2g]</t>
  </si>
  <si>
    <t>Capsulas Escalado x13 [0.6g]</t>
  </si>
  <si>
    <t>Blanco</t>
  </si>
  <si>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</si>
  <si>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</si>
  <si>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</si>
  <si>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</si>
  <si>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</si>
  <si>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</si>
  <si>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</si>
  <si>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</si>
  <si>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</si>
  <si>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Agente Activo</t>
  </si>
  <si>
    <t>Ac. Ascorb [5g]</t>
  </si>
  <si>
    <t>Aceite Lin. [3mL]</t>
  </si>
  <si>
    <t>Cap. Batch [0.2g]</t>
  </si>
  <si>
    <t>Cap. Esc. X13 [0.2g]</t>
  </si>
  <si>
    <t>Cap. Esc. X13 [0.6g]</t>
  </si>
  <si>
    <t>Datos</t>
  </si>
  <si>
    <t>Desviación</t>
  </si>
  <si>
    <t xml:space="preserve">Fecha </t>
  </si>
  <si>
    <t xml:space="preserve">Hora </t>
  </si>
  <si>
    <t>Sin succión</t>
  </si>
  <si>
    <t>Con succión</t>
  </si>
  <si>
    <t xml:space="preserve">Medida 9 </t>
  </si>
  <si>
    <t>Ac. Asc</t>
  </si>
  <si>
    <t>Aceite. Lin</t>
  </si>
  <si>
    <t>Cap Batch [0.2g]</t>
  </si>
  <si>
    <t>Medida final con succion</t>
  </si>
  <si>
    <t>Tiempo</t>
  </si>
  <si>
    <t>Tamaño de muestra [mL]</t>
  </si>
  <si>
    <t xml:space="preserve">Medida 1 </t>
  </si>
  <si>
    <t>Medida 10</t>
  </si>
  <si>
    <t>Medida 11</t>
  </si>
  <si>
    <t>Medida 12</t>
  </si>
  <si>
    <t>Medida 13</t>
  </si>
  <si>
    <t>Medida 14</t>
  </si>
  <si>
    <t>Cantidad ingresada  (mL)</t>
  </si>
  <si>
    <t>Rellenado</t>
  </si>
  <si>
    <t>LM1 (mL)</t>
  </si>
  <si>
    <t>Blanco LM</t>
  </si>
  <si>
    <t>no dest A</t>
  </si>
  <si>
    <t>LM 13,2 2</t>
  </si>
  <si>
    <t>LM 13,2 1</t>
  </si>
  <si>
    <t>Blanco 2 LM</t>
  </si>
  <si>
    <t>Blanco 3 LM</t>
  </si>
  <si>
    <t>Prueba con geringa (volume variable)</t>
  </si>
  <si>
    <t xml:space="preserve">Nitrogeno </t>
  </si>
  <si>
    <t>Dia 1</t>
  </si>
  <si>
    <t xml:space="preserve">Dia 2 </t>
  </si>
  <si>
    <t>Ziplock</t>
  </si>
  <si>
    <t>Desviacion</t>
  </si>
  <si>
    <t>P</t>
  </si>
  <si>
    <t>RNT/V</t>
  </si>
  <si>
    <t xml:space="preserve">atm </t>
  </si>
  <si>
    <t>c1</t>
  </si>
  <si>
    <t>p2</t>
  </si>
  <si>
    <t>c2</t>
  </si>
  <si>
    <t>N</t>
  </si>
  <si>
    <t>PV/RT</t>
  </si>
  <si>
    <t>p-p2</t>
  </si>
  <si>
    <t>RT/V *(n1-n2)</t>
  </si>
  <si>
    <t>RT/V* PV_red /RT</t>
  </si>
  <si>
    <t>1-p2/p</t>
  </si>
  <si>
    <t>Vred/V</t>
  </si>
  <si>
    <t>P2</t>
  </si>
  <si>
    <t>P(1-Vred/V)</t>
  </si>
  <si>
    <t>P[atm]</t>
  </si>
  <si>
    <t xml:space="preserve">Paquete Cereal </t>
  </si>
  <si>
    <t>9:00 a.m.</t>
  </si>
  <si>
    <t>Notability</t>
  </si>
  <si>
    <t>Bolsa Grande</t>
  </si>
  <si>
    <t xml:space="preserve">Horas </t>
  </si>
  <si>
    <t>Sellado Manual</t>
  </si>
  <si>
    <t>Sellado Maquina</t>
  </si>
  <si>
    <t>Aceite Sin Luz- Frio</t>
  </si>
  <si>
    <t>Aceite Sin Luz-Horno</t>
  </si>
  <si>
    <t>Aceite Con Luz- Frio</t>
  </si>
  <si>
    <t>Aceite Con Luz-Horno</t>
  </si>
  <si>
    <t>Capsulas Sin Luz- Frio</t>
  </si>
  <si>
    <t>Capsulas Con Luz- Frio</t>
  </si>
  <si>
    <t>Capsulas Con Luz-Horno</t>
  </si>
  <si>
    <t>Capsulas Sin Luz-Horno</t>
  </si>
  <si>
    <t>Fecha - Hora</t>
  </si>
  <si>
    <t>Nitrógeno</t>
  </si>
  <si>
    <t>N2</t>
  </si>
  <si>
    <t>Aceite Sin Luz -Frio</t>
  </si>
  <si>
    <t xml:space="preserve">Promedio </t>
  </si>
  <si>
    <t>Cápsulas Sin Luz- Frio</t>
  </si>
  <si>
    <t>Cápsulas Sin Luz-Horno</t>
  </si>
  <si>
    <t>Cápsulas Con Luz- Frio</t>
  </si>
  <si>
    <t>Cápsulas Con Luz-Horno</t>
  </si>
  <si>
    <t>Goma EPD</t>
  </si>
  <si>
    <t>-</t>
  </si>
  <si>
    <t>Nitrógeno  3</t>
  </si>
  <si>
    <t>Nitrógeno 4 (240ml)</t>
  </si>
  <si>
    <t xml:space="preserve">Tiempo </t>
  </si>
  <si>
    <t>1A</t>
  </si>
  <si>
    <t>1B</t>
  </si>
  <si>
    <t>1C</t>
  </si>
  <si>
    <t>AC 1A</t>
  </si>
  <si>
    <t>AC1B</t>
  </si>
  <si>
    <t xml:space="preserve">Grupo 1 </t>
  </si>
  <si>
    <t>Grupo 2</t>
  </si>
  <si>
    <t>Grupo 3</t>
  </si>
  <si>
    <t>Grupo 4</t>
  </si>
  <si>
    <t>Grupo 5</t>
  </si>
  <si>
    <t>% O2</t>
  </si>
  <si>
    <t>2A</t>
  </si>
  <si>
    <t>2B</t>
  </si>
  <si>
    <t>2C</t>
  </si>
  <si>
    <t>AC2A</t>
  </si>
  <si>
    <t>AC2B</t>
  </si>
  <si>
    <t>3A</t>
  </si>
  <si>
    <t>3B</t>
  </si>
  <si>
    <t>3C</t>
  </si>
  <si>
    <t>4A</t>
  </si>
  <si>
    <t>4B</t>
  </si>
  <si>
    <t>4C</t>
  </si>
  <si>
    <t>AC3A</t>
  </si>
  <si>
    <t>AC3B</t>
  </si>
  <si>
    <t xml:space="preserve">Desviación </t>
  </si>
  <si>
    <t>5A</t>
  </si>
  <si>
    <t>5B</t>
  </si>
  <si>
    <t>5C</t>
  </si>
  <si>
    <t>AC4A</t>
  </si>
  <si>
    <t>6A</t>
  </si>
  <si>
    <t>6B</t>
  </si>
  <si>
    <t>6C</t>
  </si>
  <si>
    <t xml:space="preserve">Volumen </t>
  </si>
  <si>
    <t>AC4B</t>
  </si>
  <si>
    <t>B1A</t>
  </si>
  <si>
    <t>B1B</t>
  </si>
  <si>
    <t>B2A</t>
  </si>
  <si>
    <t>B2B</t>
  </si>
  <si>
    <t>B3A</t>
  </si>
  <si>
    <t>B3B</t>
  </si>
  <si>
    <t>B4A</t>
  </si>
  <si>
    <t>B4B</t>
  </si>
  <si>
    <t>B5A</t>
  </si>
  <si>
    <t>B5B</t>
  </si>
  <si>
    <t>B6A</t>
  </si>
  <si>
    <t>B6B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</si>
</sst>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0" fillId="2" borderId="1" xfId="0" applyNumberForma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1" xfId="0" applyNumberForma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8" fontId="0" fillId="0" borderId="1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2" fontId="0" fillId="0" borderId="3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66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plus>
            <c:min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Succión'!$K$4:$K$11</c:f>
              <c:numCache>
                <c:formatCode>0.00</c:formatCode>
                <c:ptCount val="8"/>
                <c:pt idx="0">
                  <c:v>18.3</c:v>
                </c:pt>
                <c:pt idx="1">
                  <c:v>18.5</c:v>
                </c:pt>
                <c:pt idx="2">
                  <c:v>18.366666666666667</c:v>
                </c:pt>
                <c:pt idx="3">
                  <c:v>18.333333333333332</c:v>
                </c:pt>
                <c:pt idx="4">
                  <c:v>18.633333333333333</c:v>
                </c:pt>
                <c:pt idx="5">
                  <c:v>18.200000000000003</c:v>
                </c:pt>
                <c:pt idx="6">
                  <c:v>18.366666666666664</c:v>
                </c:pt>
                <c:pt idx="7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D-4467-B771-EB7B533E5C0E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plus>
            <c:min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Succión'!$L$4:$L$11</c:f>
              <c:numCache>
                <c:formatCode>0.00</c:formatCode>
                <c:ptCount val="8"/>
                <c:pt idx="0">
                  <c:v>18.3</c:v>
                </c:pt>
                <c:pt idx="1">
                  <c:v>18.533333333333335</c:v>
                </c:pt>
                <c:pt idx="2">
                  <c:v>18.566666666666666</c:v>
                </c:pt>
                <c:pt idx="3">
                  <c:v>18.633333333333336</c:v>
                </c:pt>
                <c:pt idx="4">
                  <c:v>18.733333333333334</c:v>
                </c:pt>
                <c:pt idx="5">
                  <c:v>18.5</c:v>
                </c:pt>
                <c:pt idx="6">
                  <c:v>18.566666666666666</c:v>
                </c:pt>
                <c:pt idx="7">
                  <c:v>18.566666666666666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D-4467-B771-EB7B533E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  <c:min val="17.39999999999999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137051618547682"/>
          <c:y val="6.076334208223972E-2"/>
          <c:w val="0.1523602362204724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plus>
            <c:min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Succión'!$K$15:$K$22</c:f>
              <c:numCache>
                <c:formatCode>0.00</c:formatCode>
                <c:ptCount val="8"/>
                <c:pt idx="0">
                  <c:v>18.333333333333332</c:v>
                </c:pt>
                <c:pt idx="1">
                  <c:v>18.533333333333335</c:v>
                </c:pt>
                <c:pt idx="2">
                  <c:v>18.533333333333335</c:v>
                </c:pt>
                <c:pt idx="3">
                  <c:v>18.600000000000001</c:v>
                </c:pt>
                <c:pt idx="4">
                  <c:v>18.566666666666666</c:v>
                </c:pt>
                <c:pt idx="5">
                  <c:v>18.433333333333334</c:v>
                </c:pt>
                <c:pt idx="6">
                  <c:v>18.600000000000001</c:v>
                </c:pt>
                <c:pt idx="7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149-89DD-D812FB2AE0C4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plus>
            <c:min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Succión'!$L$15:$L$22</c:f>
              <c:numCache>
                <c:formatCode>0.00</c:formatCode>
                <c:ptCount val="8"/>
                <c:pt idx="0">
                  <c:v>18.3</c:v>
                </c:pt>
                <c:pt idx="1">
                  <c:v>18.333333333333332</c:v>
                </c:pt>
                <c:pt idx="2">
                  <c:v>18.366666666666664</c:v>
                </c:pt>
                <c:pt idx="3">
                  <c:v>18.266666666666669</c:v>
                </c:pt>
                <c:pt idx="4">
                  <c:v>18.333333333333332</c:v>
                </c:pt>
                <c:pt idx="5">
                  <c:v>18.400000000000002</c:v>
                </c:pt>
                <c:pt idx="6">
                  <c:v>18.099999999999998</c:v>
                </c:pt>
                <c:pt idx="7">
                  <c:v>18.333333333333332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B-4149-89DD-D812FB2A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859271816156742"/>
          <c:y val="6.076334208223972E-2"/>
          <c:w val="0.1586380139982502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9952191979292"/>
          <c:y val="5.0925925925925923E-2"/>
          <c:w val="0.63937184326094754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2 - Sin succión'!$V$4</c:f>
              <c:strCache>
                <c:ptCount val="1"/>
                <c:pt idx="0">
                  <c:v>Ac. Ascorb [5g]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plus>
            <c:min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succión'!$V$5:$V$13</c:f>
              <c:numCache>
                <c:formatCode>0.00</c:formatCode>
                <c:ptCount val="9"/>
                <c:pt idx="0">
                  <c:v>20.5</c:v>
                </c:pt>
                <c:pt idx="1">
                  <c:v>20.6</c:v>
                </c:pt>
                <c:pt idx="2">
                  <c:v>20.7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20.533333333333335</c:v>
                </c:pt>
                <c:pt idx="7">
                  <c:v>20.733333333333334</c:v>
                </c:pt>
                <c:pt idx="8">
                  <c:v>20.633333333333333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830-B378-75308AC4997D}"/>
            </c:ext>
          </c:extLst>
        </c:ser>
        <c:ser>
          <c:idx val="1"/>
          <c:order val="1"/>
          <c:tx>
            <c:strRef>
              <c:f>'Prueba 2 - Sin succión'!$W$4</c:f>
              <c:strCache>
                <c:ptCount val="1"/>
                <c:pt idx="0">
                  <c:v>Aceite Lin. [3mL]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succión'!$W$5:$W$13</c:f>
              <c:numCache>
                <c:formatCode>0.00</c:formatCode>
                <c:ptCount val="9"/>
                <c:pt idx="0">
                  <c:v>20.433333333333334</c:v>
                </c:pt>
                <c:pt idx="1">
                  <c:v>20.566666666666666</c:v>
                </c:pt>
                <c:pt idx="2">
                  <c:v>20.666666666666668</c:v>
                </c:pt>
                <c:pt idx="3">
                  <c:v>20.666666666666668</c:v>
                </c:pt>
                <c:pt idx="4">
                  <c:v>20.5</c:v>
                </c:pt>
                <c:pt idx="5">
                  <c:v>20.566666666666666</c:v>
                </c:pt>
                <c:pt idx="6">
                  <c:v>20.466666666666665</c:v>
                </c:pt>
                <c:pt idx="7">
                  <c:v>20.6</c:v>
                </c:pt>
                <c:pt idx="8">
                  <c:v>20.566666666666666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830-B378-75308AC4997D}"/>
            </c:ext>
          </c:extLst>
        </c:ser>
        <c:ser>
          <c:idx val="2"/>
          <c:order val="2"/>
          <c:tx>
            <c:strRef>
              <c:f>'Prueba 2 - Sin succión'!$X$4</c:f>
              <c:strCache>
                <c:ptCount val="1"/>
                <c:pt idx="0">
                  <c:v>Cap. Batch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succión'!$X$5:$X$13</c:f>
              <c:numCache>
                <c:formatCode>0.00</c:formatCode>
                <c:ptCount val="9"/>
                <c:pt idx="0">
                  <c:v>20.5</c:v>
                </c:pt>
                <c:pt idx="1">
                  <c:v>20.7</c:v>
                </c:pt>
                <c:pt idx="2">
                  <c:v>20.3</c:v>
                </c:pt>
                <c:pt idx="3">
                  <c:v>20.133333333333333</c:v>
                </c:pt>
                <c:pt idx="4">
                  <c:v>19.899999999999999</c:v>
                </c:pt>
                <c:pt idx="5">
                  <c:v>20.133333333333336</c:v>
                </c:pt>
                <c:pt idx="6">
                  <c:v>20.166666666666668</c:v>
                </c:pt>
                <c:pt idx="7">
                  <c:v>20.366666666666667</c:v>
                </c:pt>
                <c:pt idx="8">
                  <c:v>20.466666666666665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830-B378-75308AC4997D}"/>
            </c:ext>
          </c:extLst>
        </c:ser>
        <c:ser>
          <c:idx val="3"/>
          <c:order val="3"/>
          <c:tx>
            <c:strRef>
              <c:f>'Prueba 2 - Sin succión'!$Y$4</c:f>
              <c:strCache>
                <c:ptCount val="1"/>
                <c:pt idx="0">
                  <c:v>Cap. Esc. X13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plus>
            <c:min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succión'!$Y$5:$Y$13</c:f>
              <c:numCache>
                <c:formatCode>0.00</c:formatCode>
                <c:ptCount val="9"/>
                <c:pt idx="0">
                  <c:v>20.5</c:v>
                </c:pt>
                <c:pt idx="1">
                  <c:v>20.400000000000002</c:v>
                </c:pt>
                <c:pt idx="2">
                  <c:v>20.033333333333335</c:v>
                </c:pt>
                <c:pt idx="3">
                  <c:v>19.900000000000002</c:v>
                </c:pt>
                <c:pt idx="4">
                  <c:v>19.933333333333334</c:v>
                </c:pt>
                <c:pt idx="5">
                  <c:v>20.033333333333335</c:v>
                </c:pt>
                <c:pt idx="6">
                  <c:v>20.533333333333335</c:v>
                </c:pt>
                <c:pt idx="7">
                  <c:v>19.7</c:v>
                </c:pt>
                <c:pt idx="8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830-B378-75308AC4997D}"/>
            </c:ext>
          </c:extLst>
        </c:ser>
        <c:ser>
          <c:idx val="4"/>
          <c:order val="4"/>
          <c:tx>
            <c:strRef>
              <c:f>'Prueba 2 - Sin succión'!$Z$4</c:f>
              <c:strCache>
                <c:ptCount val="1"/>
                <c:pt idx="0">
                  <c:v>Cap. Esc. X13 [0.6g]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plus>
            <c:min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succión'!$Z$5:$Z$13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19.3</c:v>
                </c:pt>
                <c:pt idx="2">
                  <c:v>18.366666666666667</c:v>
                </c:pt>
                <c:pt idx="3">
                  <c:v>17.933333333333334</c:v>
                </c:pt>
                <c:pt idx="4">
                  <c:v>18.166666666666668</c:v>
                </c:pt>
                <c:pt idx="5">
                  <c:v>18.433333333333334</c:v>
                </c:pt>
                <c:pt idx="6">
                  <c:v>18.633333333333333</c:v>
                </c:pt>
                <c:pt idx="7">
                  <c:v>19.366666666666667</c:v>
                </c:pt>
                <c:pt idx="8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B-4830-B378-75308AC4997D}"/>
            </c:ext>
          </c:extLst>
        </c:ser>
        <c:ser>
          <c:idx val="5"/>
          <c:order val="5"/>
          <c:tx>
            <c:strRef>
              <c:f>'Prueba 2 - Sin succión'!$AA$4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plus>
            <c:min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succión'!$AA$5:$AA$13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20.7</c:v>
                </c:pt>
                <c:pt idx="2">
                  <c:v>20.733333333333334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20.100000000000001</c:v>
                </c:pt>
                <c:pt idx="7">
                  <c:v>20.666666666666668</c:v>
                </c:pt>
                <c:pt idx="8">
                  <c:v>20.599999999999998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B-4830-B378-75308AC4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0736"/>
        <c:axId val="35728832"/>
      </c:scatterChart>
      <c:valAx>
        <c:axId val="620050736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35728832"/>
        <c:crosses val="autoZero"/>
        <c:crossBetween val="midCat"/>
      </c:valAx>
      <c:valAx>
        <c:axId val="35728832"/>
        <c:scaling>
          <c:orientation val="minMax"/>
          <c:min val="16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200507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678189324435446"/>
          <c:y val="5.2660247517195155E-2"/>
          <c:w val="0.22013980008770537"/>
          <c:h val="0.4538802408256354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7825896762905"/>
          <c:y val="5.0925925925925923E-2"/>
          <c:w val="0.835835739282589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3 - N2'!$L$4</c:f>
              <c:strCache>
                <c:ptCount val="1"/>
                <c:pt idx="0">
                  <c:v>Sin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plus>
            <c:min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N2'!$L$5:$L$12</c:f>
              <c:numCache>
                <c:formatCode>0.00</c:formatCode>
                <c:ptCount val="8"/>
                <c:pt idx="0">
                  <c:v>20.6</c:v>
                </c:pt>
                <c:pt idx="1">
                  <c:v>18.766666666666666</c:v>
                </c:pt>
                <c:pt idx="2">
                  <c:v>17.633333333333333</c:v>
                </c:pt>
                <c:pt idx="3">
                  <c:v>17.099999999999998</c:v>
                </c:pt>
                <c:pt idx="4">
                  <c:v>16.3</c:v>
                </c:pt>
                <c:pt idx="5">
                  <c:v>15.899999999999999</c:v>
                </c:pt>
                <c:pt idx="6">
                  <c:v>15.433333333333332</c:v>
                </c:pt>
                <c:pt idx="7">
                  <c:v>15.566666666666668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2-4054-8E77-7FFE91862FCB}"/>
            </c:ext>
          </c:extLst>
        </c:ser>
        <c:ser>
          <c:idx val="1"/>
          <c:order val="1"/>
          <c:tx>
            <c:strRef>
              <c:f>'Prueba 3 - N2'!$M$4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plus>
            <c:min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N2'!$M$5:$M$12</c:f>
              <c:numCache>
                <c:formatCode>0.00</c:formatCode>
                <c:ptCount val="8"/>
                <c:pt idx="0">
                  <c:v>0.53333333333333333</c:v>
                </c:pt>
                <c:pt idx="1">
                  <c:v>1.3</c:v>
                </c:pt>
                <c:pt idx="2">
                  <c:v>2.333333333333333</c:v>
                </c:pt>
                <c:pt idx="3">
                  <c:v>3.8666666666666667</c:v>
                </c:pt>
                <c:pt idx="4">
                  <c:v>4.833333333333333</c:v>
                </c:pt>
                <c:pt idx="5">
                  <c:v>6.333333333333333</c:v>
                </c:pt>
                <c:pt idx="6">
                  <c:v>6.8999999999999995</c:v>
                </c:pt>
                <c:pt idx="7">
                  <c:v>7.8666666666666671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2-4054-8E77-7FFE91862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53136"/>
        <c:axId val="554585776"/>
      </c:scatterChart>
      <c:valAx>
        <c:axId val="56145313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54585776"/>
        <c:crosses val="autoZero"/>
        <c:crossBetween val="midCat"/>
      </c:valAx>
      <c:valAx>
        <c:axId val="554585776"/>
        <c:scaling>
          <c:orientation val="minMax"/>
          <c:max val="2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614531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1778674540682414"/>
          <c:y val="0.36631889763779529"/>
          <c:w val="0.18866579177602799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8202319157504"/>
          <c:y val="5.0925925925925923E-2"/>
          <c:w val="0.81466570213263534"/>
          <c:h val="0.78538612089983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4 - Película'!$L$5</c:f>
              <c:strCache>
                <c:ptCount val="1"/>
                <c:pt idx="0">
                  <c:v>Sin succión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plus>
            <c:min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Película'!$L$6:$L$11</c:f>
              <c:numCache>
                <c:formatCode>0.00</c:formatCode>
                <c:ptCount val="6"/>
                <c:pt idx="0">
                  <c:v>20.533333333333335</c:v>
                </c:pt>
                <c:pt idx="1">
                  <c:v>19.566666666666666</c:v>
                </c:pt>
                <c:pt idx="2">
                  <c:v>18.733333333333331</c:v>
                </c:pt>
                <c:pt idx="3">
                  <c:v>18.833333333333332</c:v>
                </c:pt>
                <c:pt idx="4">
                  <c:v>19.033333333333335</c:v>
                </c:pt>
                <c:pt idx="5">
                  <c:v>18.833333333333332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3-48E0-9CB5-0AF5DD75CCC3}"/>
            </c:ext>
          </c:extLst>
        </c:ser>
        <c:ser>
          <c:idx val="1"/>
          <c:order val="1"/>
          <c:tx>
            <c:strRef>
              <c:f>'Prueba 4 - Película'!$M$5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plus>
            <c:min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Película'!$M$6:$M$11</c:f>
              <c:numCache>
                <c:formatCode>0.00</c:formatCode>
                <c:ptCount val="6"/>
                <c:pt idx="0">
                  <c:v>18.433333333333334</c:v>
                </c:pt>
                <c:pt idx="1">
                  <c:v>17.966666666666665</c:v>
                </c:pt>
                <c:pt idx="2">
                  <c:v>17.599999999999998</c:v>
                </c:pt>
                <c:pt idx="3">
                  <c:v>17.900000000000002</c:v>
                </c:pt>
                <c:pt idx="4">
                  <c:v>17.8</c:v>
                </c:pt>
                <c:pt idx="5">
                  <c:v>17.633333333333336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3-48E0-9CB5-0AF5DD7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2607"/>
        <c:axId val="576952671"/>
      </c:scatterChart>
      <c:valAx>
        <c:axId val="28268260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6952671"/>
        <c:crosses val="autoZero"/>
        <c:crossBetween val="midCat"/>
      </c:valAx>
      <c:valAx>
        <c:axId val="576952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682607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869851170595558"/>
          <c:y val="0.63661610183044681"/>
          <c:w val="0.1651166057942724"/>
          <c:h val="0.1583124683054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1374267220658"/>
          <c:y val="5.0925925925925923E-2"/>
          <c:w val="0.81039722226051758"/>
          <c:h val="0.84688247302420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'Miscelaneo '!$D$17</c:f>
              <c:strCache>
                <c:ptCount val="1"/>
                <c:pt idx="0">
                  <c:v>Ziplock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'!$D$18:$D$19</c:f>
              <c:numCache>
                <c:formatCode>General</c:formatCode>
                <c:ptCount val="2"/>
                <c:pt idx="0">
                  <c:v>0</c:v>
                </c:pt>
                <c:pt idx="1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6-4A72-AC24-A95CEC0B1C10}"/>
            </c:ext>
          </c:extLst>
        </c:ser>
        <c:ser>
          <c:idx val="1"/>
          <c:order val="1"/>
          <c:tx>
            <c:strRef>
              <c:f>'Miscelaneo '!$E$17</c:f>
              <c:strCache>
                <c:ptCount val="1"/>
                <c:pt idx="0">
                  <c:v>Paquete Cereal 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'!$E$18:$E$19</c:f>
              <c:numCache>
                <c:formatCode>General</c:formatCode>
                <c:ptCount val="2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510-8E41-FF199FBD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18815"/>
        <c:axId val="570372559"/>
      </c:scatterChart>
      <c:valAx>
        <c:axId val="431618815"/>
        <c:scaling>
          <c:orientation val="minMax"/>
          <c:max val="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70372559"/>
        <c:crosses val="autoZero"/>
        <c:crossBetween val="midCat"/>
        <c:majorUnit val="1"/>
      </c:valAx>
      <c:valAx>
        <c:axId val="57037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3161881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15735228050319502"/>
          <c:y val="6.5392929526982835E-2"/>
          <c:w val="0.48727535750259038"/>
          <c:h val="7.684120391775002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Con succión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'!$F$4:$K$4</c:f>
              <c:numCache>
                <c:formatCode>General</c:formatCode>
                <c:ptCount val="6"/>
                <c:pt idx="0">
                  <c:v>20.100000000000001</c:v>
                </c:pt>
                <c:pt idx="1">
                  <c:v>16.3</c:v>
                </c:pt>
                <c:pt idx="2">
                  <c:v>13.5</c:v>
                </c:pt>
                <c:pt idx="3">
                  <c:v>13.6</c:v>
                </c:pt>
                <c:pt idx="4">
                  <c:v>2.6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64F-9214-73F34355BFC8}"/>
            </c:ext>
          </c:extLst>
        </c:ser>
        <c:ser>
          <c:idx val="1"/>
          <c:order val="1"/>
          <c:tx>
            <c:v>Sin succión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plus>
            <c:min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'!$F$5:$K$5</c:f>
              <c:numCache>
                <c:formatCode>General</c:formatCode>
                <c:ptCount val="6"/>
                <c:pt idx="0">
                  <c:v>20.633333333333333</c:v>
                </c:pt>
                <c:pt idx="1">
                  <c:v>20.566666666666666</c:v>
                </c:pt>
                <c:pt idx="2">
                  <c:v>20.466666666666665</c:v>
                </c:pt>
                <c:pt idx="3">
                  <c:v>19.2</c:v>
                </c:pt>
                <c:pt idx="4">
                  <c:v>19.666666666666668</c:v>
                </c:pt>
                <c:pt idx="5">
                  <c:v>20.599999999999998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64F-9214-73F34355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650880"/>
        <c:axId val="491124368"/>
      </c:barChart>
      <c:catAx>
        <c:axId val="5026508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91124368"/>
        <c:crosses val="autoZero"/>
        <c:auto val="1"/>
        <c:lblAlgn val="ctr"/>
        <c:lblOffset val="100"/>
        <c:tickMarkSkip val="1"/>
        <c:noMultiLvlLbl val="0"/>
      </c:catAx>
      <c:valAx>
        <c:axId val="4911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02650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756351797240677"/>
          <c:y val="4.212270899346672E-2"/>
          <c:w val="0.20562921998500439"/>
          <c:h val="0.1485158909591746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788057742782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E-4D69-9E91-BD08D7B67659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E-4D69-9E91-BD08D7B6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4293853893263342"/>
          <c:y val="5.6133712452610091E-2"/>
          <c:w val="0.30456146106736659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74399942072952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F-4A23-9D63-2531CAEA163C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scatterChart>
        <c:scatterStyle val="lineMarker"/>
        <c:varyColors val="0"/>
        <c:ser>
          <c:idx val="2"/>
          <c:order val="2"/>
          <c:tx>
            <c:v>Presion En Vial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Hoja1!$I$4:$I$17</c:f>
              <c:numCache>
                <c:formatCode>0.00</c:formatCode>
                <c:ptCount val="14"/>
                <c:pt idx="0">
                  <c:v>0.96666666666666667</c:v>
                </c:pt>
                <c:pt idx="1">
                  <c:v>0.93333333333333335</c:v>
                </c:pt>
                <c:pt idx="2">
                  <c:v>0.9</c:v>
                </c:pt>
                <c:pt idx="3">
                  <c:v>0.8666666666666667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0.76666666666666661</c:v>
                </c:pt>
                <c:pt idx="7">
                  <c:v>0.73333333333333339</c:v>
                </c:pt>
                <c:pt idx="8">
                  <c:v>0.7</c:v>
                </c:pt>
                <c:pt idx="9">
                  <c:v>0.66666666666666674</c:v>
                </c:pt>
                <c:pt idx="10">
                  <c:v>0.6333333333333333</c:v>
                </c:pt>
                <c:pt idx="11">
                  <c:v>0.6</c:v>
                </c:pt>
                <c:pt idx="12">
                  <c:v>0.56666666666666665</c:v>
                </c:pt>
                <c:pt idx="13">
                  <c:v>0.53333333333333333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92752"/>
        <c:axId val="491091920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valAx>
        <c:axId val="49109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Presion dentro del vial  [atm]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1092752"/>
        <c:crosses val="max"/>
        <c:crossBetween val="midCat"/>
      </c:valAx>
      <c:valAx>
        <c:axId val="49109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09192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94277932135664"/>
          <c:y val="0.56636673533053283"/>
          <c:w val="0.37406587714084527"/>
          <c:h val="0.2118679004536140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1934448818897643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Hoja2!$D$9</c:f>
              <c:strCache>
                <c:ptCount val="1"/>
                <c:pt idx="0">
                  <c:v>Sellado Maquina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Hoja2!$D$10:$D$12</c:f>
              <c:numCache>
                <c:formatCode>General</c:formatCode>
                <c:ptCount val="3"/>
                <c:pt idx="0">
                  <c:v>3.1</c:v>
                </c:pt>
                <c:pt idx="1">
                  <c:v>4.7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4-4C25-8D32-F7292F200983}"/>
            </c:ext>
          </c:extLst>
        </c:ser>
        <c:ser>
          <c:idx val="2"/>
          <c:order val="1"/>
          <c:tx>
            <c:strRef>
              <c:f>Hoja2!$E$9</c:f>
              <c:strCache>
                <c:ptCount val="1"/>
                <c:pt idx="0">
                  <c:v>Sellado Manual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Hoja2!$E$10:$E$12</c:f>
              <c:numCache>
                <c:formatCode>General</c:formatCode>
                <c:ptCount val="3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4-4C25-8D32-F7292F20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00016"/>
        <c:axId val="1046523984"/>
      </c:scatterChart>
      <c:valAx>
        <c:axId val="13462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[h]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523984"/>
        <c:crosses val="autoZero"/>
        <c:crossBetween val="midCat"/>
      </c:valAx>
      <c:valAx>
        <c:axId val="104652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2000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160608048993878"/>
          <c:y val="7.0022601341499E-2"/>
          <c:w val="0.21394947506561679"/>
          <c:h val="0.15625109361329836"/>
        </c:manualLayout>
      </c:layout>
      <c:overlay val="0"/>
      <c:spPr>
        <a:noFill/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Bolsa'!$AD$3</c:f>
              <c:strCache>
                <c:ptCount val="1"/>
                <c:pt idx="0">
                  <c:v>Aceite Sin Luz -Frio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Bolsa'!$AD$4:$AD$9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20.466666666666665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A-4217-8322-C896EDFEA13F}"/>
            </c:ext>
          </c:extLst>
        </c:ser>
        <c:ser>
          <c:idx val="1"/>
          <c:order val="1"/>
          <c:tx>
            <c:strRef>
              <c:f>'Headspace Bolsa'!$AE$3</c:f>
              <c:strCache>
                <c:ptCount val="1"/>
                <c:pt idx="0">
                  <c:v>Aceite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Bolsa'!$AE$4:$AE$9</c:f>
              <c:numCache>
                <c:formatCode>General</c:formatCode>
                <c:ptCount val="6"/>
                <c:pt idx="0">
                  <c:v>20.5</c:v>
                </c:pt>
                <c:pt idx="1">
                  <c:v>20.5</c:v>
                </c:pt>
                <c:pt idx="2" formatCode="0.00">
                  <c:v>20.533333333333335</c:v>
                </c:pt>
                <c:pt idx="3" formatCode="0.00">
                  <c:v>20.466666666666665</c:v>
                </c:pt>
                <c:pt idx="4">
                  <c:v>20.5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A-4217-8322-C896EDFEA13F}"/>
            </c:ext>
          </c:extLst>
        </c:ser>
        <c:ser>
          <c:idx val="2"/>
          <c:order val="2"/>
          <c:tx>
            <c:strRef>
              <c:f>'Headspace Bolsa'!$AF$3</c:f>
              <c:strCache>
                <c:ptCount val="1"/>
                <c:pt idx="0">
                  <c:v>Aceite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Bolsa'!$AF$4:$AF$9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20.533333333333335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A-4217-8322-C896EDFEA13F}"/>
            </c:ext>
          </c:extLst>
        </c:ser>
        <c:ser>
          <c:idx val="3"/>
          <c:order val="3"/>
          <c:tx>
            <c:strRef>
              <c:f>'Headspace Bolsa'!$AG$3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Bolsa'!$AG$4:$AG$9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20.566666666666666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A-4217-8322-C896EDFEA13F}"/>
            </c:ext>
          </c:extLst>
        </c:ser>
        <c:ser>
          <c:idx val="4"/>
          <c:order val="4"/>
          <c:tx>
            <c:strRef>
              <c:f>'Headspace Bolsa'!$AH$3</c:f>
              <c:strCache>
                <c:ptCount val="1"/>
                <c:pt idx="0">
                  <c:v>Cápsulas Sin Luz- Frio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Bolsa'!$AH$4:$AH$9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A-4217-8322-C896EDFEA13F}"/>
            </c:ext>
          </c:extLst>
        </c:ser>
        <c:ser>
          <c:idx val="5"/>
          <c:order val="5"/>
          <c:tx>
            <c:strRef>
              <c:f>'Headspace Bolsa'!$AI$3</c:f>
              <c:strCache>
                <c:ptCount val="1"/>
                <c:pt idx="0">
                  <c:v>Cápsulas Sin Luz-Horno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Bolsa'!$AI$4:$AI$9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A-4217-8322-C896EDFEA13F}"/>
            </c:ext>
          </c:extLst>
        </c:ser>
        <c:ser>
          <c:idx val="6"/>
          <c:order val="6"/>
          <c:tx>
            <c:strRef>
              <c:f>'Headspace Bolsa'!$AJ$3</c:f>
              <c:strCache>
                <c:ptCount val="1"/>
                <c:pt idx="0">
                  <c:v>Cápsulas Con Luz- Frio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Bolsa'!$AJ$4:$AJ$9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A-4217-8322-C896EDFEA13F}"/>
            </c:ext>
          </c:extLst>
        </c:ser>
        <c:ser>
          <c:idx val="7"/>
          <c:order val="7"/>
          <c:tx>
            <c:strRef>
              <c:f>'Headspace Bolsa'!$AK$3</c:f>
              <c:strCache>
                <c:ptCount val="1"/>
                <c:pt idx="0">
                  <c:v>Cápsulas Con Luz-Horno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Bolsa'!$AK$4:$AK$9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3A-4217-8322-C896EDFEA13F}"/>
            </c:ext>
          </c:extLst>
        </c:ser>
        <c:ser>
          <c:idx val="8"/>
          <c:order val="8"/>
          <c:tx>
            <c:strRef>
              <c:f>'Headspace Bolsa'!$AL$3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Bolsa'!$AL$4:$AL$9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3A-4217-8322-C896EDFE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69616"/>
        <c:axId val="1548439696"/>
      </c:scatterChart>
      <c:valAx>
        <c:axId val="1674269616"/>
        <c:scaling>
          <c:orientation val="minMax"/>
          <c:max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548439696"/>
        <c:crosses val="autoZero"/>
        <c:crossBetween val="midCat"/>
      </c:valAx>
      <c:valAx>
        <c:axId val="1548439696"/>
        <c:scaling>
          <c:orientation val="minMax"/>
          <c:max val="20.610000000000003"/>
          <c:min val="20.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674269616"/>
        <c:crosses val="autoZero"/>
        <c:crossBetween val="midCat"/>
        <c:majorUnit val="5.000000000000001E-2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3841089702628471"/>
          <c:y val="3.9499211527277658E-2"/>
          <c:w val="0.22354857918780757"/>
          <c:h val="0.5925683565758439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270341207349"/>
          <c:y val="5.0925925925925923E-2"/>
          <c:w val="0.7925990813648293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'Headspace Bolsa 2'!$X$3</c:f>
              <c:strCache>
                <c:ptCount val="1"/>
                <c:pt idx="0">
                  <c:v>Goma EPD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plus>
            <c:min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Bolsa 2'!$B$4:$B$5</c:f>
              <c:numCache>
                <c:formatCode>General</c:formatCode>
                <c:ptCount val="2"/>
                <c:pt idx="0">
                  <c:v>0</c:v>
                </c:pt>
                <c:pt idx="1">
                  <c:v>19.000000000116415</c:v>
                </c:pt>
              </c:numCache>
            </c:numRef>
          </c:xVal>
          <c:yVal>
            <c:numRef>
              <c:f>'Headspace Bolsa 2'!$X$4:$X$5</c:f>
              <c:numCache>
                <c:formatCode>0.00</c:formatCode>
                <c:ptCount val="2"/>
                <c:pt idx="0">
                  <c:v>10.699999999999998</c:v>
                </c:pt>
                <c:pt idx="1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C7-4DE7-9892-44416BD29592}"/>
            </c:ext>
          </c:extLst>
        </c:ser>
        <c:ser>
          <c:idx val="0"/>
          <c:order val="1"/>
          <c:tx>
            <c:v>Cinta PE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plus>
            <c:min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Hoja3!$G$5:$G$7</c:f>
              <c:numCache>
                <c:formatCode>General</c:formatCode>
                <c:ptCount val="3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C7-4DE7-9892-44416BD29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legend>
      <c:legendPos val="r"/>
      <c:layout>
        <c:manualLayout>
          <c:xMode val="edge"/>
          <c:yMode val="edge"/>
          <c:x val="0.7512773403324583"/>
          <c:y val="6.5392971711869349E-2"/>
          <c:w val="0.19038932633420821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01608736700927E-2"/>
          <c:y val="3.9506164460458064E-2"/>
          <c:w val="0.62127556768559311"/>
          <c:h val="0.800308357349518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Bolsa 2'!$Z$7</c:f>
              <c:strCache>
                <c:ptCount val="1"/>
                <c:pt idx="0">
                  <c:v>Capsulas Sin Luz- 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2'!$Z$8:$Z$11</c:f>
              <c:numCache>
                <c:formatCode>General</c:formatCode>
                <c:ptCount val="4"/>
                <c:pt idx="0">
                  <c:v>20.6</c:v>
                </c:pt>
                <c:pt idx="1">
                  <c:v>20.45</c:v>
                </c:pt>
                <c:pt idx="2">
                  <c:v>20.55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2-40D0-95B5-55CC2618845E}"/>
            </c:ext>
          </c:extLst>
        </c:ser>
        <c:ser>
          <c:idx val="1"/>
          <c:order val="1"/>
          <c:tx>
            <c:strRef>
              <c:f>'Headspace Bolsa 2'!$AA$7</c:f>
              <c:strCache>
                <c:ptCount val="1"/>
                <c:pt idx="0">
                  <c:v>Capsulas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2'!$AA$8:$AA$11</c:f>
              <c:numCache>
                <c:formatCode>General</c:formatCode>
                <c:ptCount val="4"/>
                <c:pt idx="0">
                  <c:v>20.6</c:v>
                </c:pt>
                <c:pt idx="1">
                  <c:v>20.466666666666665</c:v>
                </c:pt>
                <c:pt idx="2">
                  <c:v>20.566666666666666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22-40D0-95B5-55CC2618845E}"/>
            </c:ext>
          </c:extLst>
        </c:ser>
        <c:ser>
          <c:idx val="2"/>
          <c:order val="2"/>
          <c:tx>
            <c:strRef>
              <c:f>'Headspace Bolsa 2'!$AB$7</c:f>
              <c:strCache>
                <c:ptCount val="1"/>
                <c:pt idx="0">
                  <c:v>Capsulas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2'!$AB$8:$AB$11</c:f>
              <c:numCache>
                <c:formatCode>General</c:formatCode>
                <c:ptCount val="4"/>
                <c:pt idx="0">
                  <c:v>20.6</c:v>
                </c:pt>
                <c:pt idx="1">
                  <c:v>20.433333333333334</c:v>
                </c:pt>
                <c:pt idx="2">
                  <c:v>20.5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2-40D0-95B5-55CC2618845E}"/>
            </c:ext>
          </c:extLst>
        </c:ser>
        <c:ser>
          <c:idx val="3"/>
          <c:order val="3"/>
          <c:tx>
            <c:strRef>
              <c:f>'Headspace Bolsa 2'!$AC$7</c:f>
              <c:strCache>
                <c:ptCount val="1"/>
                <c:pt idx="0">
                  <c:v>Capsulas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2-40D0-95B5-55CC2618845E}"/>
            </c:ext>
          </c:extLst>
        </c:ser>
        <c:ser>
          <c:idx val="4"/>
          <c:order val="4"/>
          <c:tx>
            <c:strRef>
              <c:f>'Headspace Bolsa 2'!$AD$7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22-40D0-95B5-55CC2618845E}"/>
            </c:ext>
          </c:extLst>
        </c:ser>
        <c:ser>
          <c:idx val="5"/>
          <c:order val="5"/>
          <c:tx>
            <c:strRef>
              <c:f>'Headspace Bolsa 2'!$AE$7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2'!$AE$8:$AE$11</c:f>
              <c:numCache>
                <c:formatCode>General</c:formatCode>
                <c:ptCount val="4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2-40D0-95B5-55CC2618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56752"/>
        <c:axId val="1116061008"/>
      </c:scatterChart>
      <c:valAx>
        <c:axId val="137385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116061008"/>
        <c:crosses val="autoZero"/>
        <c:crossBetween val="midCat"/>
      </c:valAx>
      <c:valAx>
        <c:axId val="1116061008"/>
        <c:scaling>
          <c:orientation val="minMax"/>
          <c:max val="20.7"/>
          <c:min val="2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7385675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2119377158474862"/>
          <c:y val="4.0065811557575076E-2"/>
          <c:w val="0.27483297660920353"/>
          <c:h val="0.3625228338501074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Hoja3!$E$5:$E$7</c:f>
              <c:numCache>
                <c:formatCode>General</c:formatCode>
                <c:ptCount val="3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3-4832-84E6-37DE17FDB598}"/>
            </c:ext>
          </c:extLst>
        </c:ser>
        <c:ser>
          <c:idx val="0"/>
          <c:order val="1"/>
          <c:spPr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Hoja3!$F$5:$F$7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3-4832-84E6-37DE17FD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636048"/>
        <c:axId val="1538163712"/>
      </c:scatterChart>
      <c:valAx>
        <c:axId val="12346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63712"/>
        <c:crosses val="autoZero"/>
        <c:crossBetween val="midCat"/>
      </c:valAx>
      <c:valAx>
        <c:axId val="15381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46360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64020562495178968"/>
          <c:h val="0.74350320793234181"/>
        </c:manualLayout>
      </c:layout>
      <c:scatterChart>
        <c:scatterStyle val="lineMarker"/>
        <c:varyColors val="0"/>
        <c:ser>
          <c:idx val="2"/>
          <c:order val="0"/>
          <c:tx>
            <c:strRef>
              <c:f>Hoja3!$E$4</c:f>
              <c:strCache>
                <c:ptCount val="1"/>
                <c:pt idx="0">
                  <c:v>Nitrógeno 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Hoja3!$E$5:$E$10</c:f>
              <c:numCache>
                <c:formatCode>General</c:formatCode>
                <c:ptCount val="6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  <c:pt idx="3">
                  <c:v>6.9</c:v>
                </c:pt>
                <c:pt idx="4">
                  <c:v>7.4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6-4809-B177-9B681E302E9C}"/>
            </c:ext>
          </c:extLst>
        </c:ser>
        <c:ser>
          <c:idx val="3"/>
          <c:order val="1"/>
          <c:tx>
            <c:strRef>
              <c:f>Hoja3!$F$4</c:f>
              <c:strCache>
                <c:ptCount val="1"/>
                <c:pt idx="0">
                  <c:v>Nitrógeno 4 (240ml)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Hoja3!$F$5:$F$10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  <c:pt idx="3">
                  <c:v>9.6</c:v>
                </c:pt>
                <c:pt idx="4">
                  <c:v>10.9</c:v>
                </c:pt>
                <c:pt idx="5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6-4809-B177-9B681E302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906416"/>
        <c:axId val="1538146240"/>
      </c:scatterChart>
      <c:valAx>
        <c:axId val="140690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46240"/>
        <c:crosses val="autoZero"/>
        <c:crossBetween val="midCat"/>
      </c:valAx>
      <c:valAx>
        <c:axId val="153814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</a:t>
                </a:r>
                <a:r>
                  <a:rPr lang="es-CO" baseline="0"/>
                  <a:t> oxígeno en espacio de cabeza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69064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tr"/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Promedio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7-4412-878E-BB8191EB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Destructivo Nitrogeno'!$C$22</c:f>
              <c:strCache>
                <c:ptCount val="1"/>
                <c:pt idx="0">
                  <c:v>% O2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E-4C95-9D2B-DDCE17B57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1-46CA-899C-4584CCF0E6E8}"/>
            </c:ext>
          </c:extLst>
        </c:ser>
        <c:ser>
          <c:idx val="1"/>
          <c:order val="1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71-46CA-899C-4584CCF0E6E8}"/>
            </c:ext>
          </c:extLst>
        </c:ser>
        <c:ser>
          <c:idx val="2"/>
          <c:order val="2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71-46CA-899C-4584CCF0E6E8}"/>
            </c:ext>
          </c:extLst>
        </c:ser>
        <c:ser>
          <c:idx val="3"/>
          <c:order val="3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71-46CA-899C-4584CCF0E6E8}"/>
            </c:ext>
          </c:extLst>
        </c:ser>
        <c:ser>
          <c:idx val="4"/>
          <c:order val="4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71-46CA-899C-4584CCF0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1467979002624672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5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B5B-4E91-8575-0B4DA8DC28DA}"/>
            </c:ext>
          </c:extLst>
        </c:ser>
        <c:ser>
          <c:idx val="0"/>
          <c:order val="1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5B-4E91-8575-0B4DA8DC28DA}"/>
            </c:ext>
          </c:extLst>
        </c:ser>
        <c:ser>
          <c:idx val="1"/>
          <c:order val="2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B5B-4E91-8575-0B4DA8DC28DA}"/>
            </c:ext>
          </c:extLst>
        </c:ser>
        <c:ser>
          <c:idx val="2"/>
          <c:order val="3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B5B-4E91-8575-0B4DA8DC28DA}"/>
            </c:ext>
          </c:extLst>
        </c:ser>
        <c:ser>
          <c:idx val="3"/>
          <c:order val="4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B5B-4E91-8575-0B4DA8DC28DA}"/>
            </c:ext>
          </c:extLst>
        </c:ser>
        <c:ser>
          <c:idx val="4"/>
          <c:order val="5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B5B-4E91-8575-0B4DA8DC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22317017577825171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6453220801965"/>
          <c:y val="5.0538248627201007E-2"/>
          <c:w val="0.85734476363958267"/>
          <c:h val="0.74454452810407767"/>
        </c:manualLayout>
      </c:layout>
      <c:scatterChart>
        <c:scatterStyle val="lineMarker"/>
        <c:varyColors val="0"/>
        <c:ser>
          <c:idx val="1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6B-4517-870E-2740798A122B}"/>
            </c:ext>
          </c:extLst>
        </c:ser>
        <c:ser>
          <c:idx val="0"/>
          <c:order val="1"/>
          <c:tx>
            <c:v>Destructivas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plus>
            <c:min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B-4517-870E-2740798A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08329923700013"/>
          <c:y val="6.4016079628310518E-2"/>
          <c:w val="0.20114480983643346"/>
          <c:h val="0.155061620848818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Control Aceite (1.5mL)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('Headspace Destructivo capsulas '!$B$2:$B$4,'Headspace Destructivo capsulas '!$B$6)</c:f>
              <c:numCache>
                <c:formatCode>General</c:formatCode>
                <c:ptCount val="4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</c:numCache>
            </c:numRef>
          </c:xVal>
          <c:yVal>
            <c:numRef>
              <c:f>('Headspace Destructivo capsulas '!$I$2:$I$3,'Headspace Destructivo capsulas '!$Q$4,'Headspace Destructivo capsulas '!$AE$6)</c:f>
              <c:numCache>
                <c:formatCode>General</c:formatCode>
                <c:ptCount val="4"/>
                <c:pt idx="0">
                  <c:v>20.6</c:v>
                </c:pt>
                <c:pt idx="1">
                  <c:v>19.899999999999999</c:v>
                </c:pt>
                <c:pt idx="2">
                  <c:v>18.399999999999999</c:v>
                </c:pt>
                <c:pt idx="3">
                  <c:v>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A-4CD0-8D06-06A2E645E327}"/>
            </c:ext>
          </c:extLst>
        </c:ser>
        <c:ser>
          <c:idx val="1"/>
          <c:order val="1"/>
          <c:tx>
            <c:v>Capsulas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'!$B$2:$B$6</c:f>
              <c:numCache>
                <c:formatCode>General</c:formatCode>
                <c:ptCount val="5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'!$AB$6)</c:f>
              <c:numCache>
                <c:formatCode>General</c:formatCode>
                <c:ptCount val="5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A-4CD0-8D06-06A2E645E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</a:t>
                </a:r>
                <a:r>
                  <a:rPr lang="es-CO" baseline="0"/>
                  <a:t> espacio de cabeza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058223972003496"/>
          <c:y val="0.620948527267425"/>
          <c:w val="0.31163998250218722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51355754842196E-2"/>
          <c:y val="5.0925925925925923E-2"/>
          <c:w val="0.87415315341162192"/>
          <c:h val="0.85770046855755833"/>
        </c:manualLayout>
      </c:layout>
      <c:scatterChart>
        <c:scatterStyle val="lineMarker"/>
        <c:varyColors val="0"/>
        <c:ser>
          <c:idx val="2"/>
          <c:order val="0"/>
          <c:tx>
            <c:v>Capsulas Prueba 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BA-43A7-86C2-1E45DAD5B9CD}"/>
            </c:ext>
          </c:extLst>
        </c:ser>
        <c:ser>
          <c:idx val="1"/>
          <c:order val="1"/>
          <c:tx>
            <c:v>Capsulas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'!$B$2:$B$6</c:f>
              <c:numCache>
                <c:formatCode>General</c:formatCode>
                <c:ptCount val="5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'!$AB$6)</c:f>
              <c:numCache>
                <c:formatCode>General</c:formatCode>
                <c:ptCount val="5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BA-43A7-86C2-1E45DAD5B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0688651281764767"/>
          <c:y val="0.72171087377772913"/>
          <c:w val="0.31163998250218722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825177550051054E-2"/>
          <c:y val="5.0925925925925923E-2"/>
          <c:w val="0.89484144929762144"/>
          <c:h val="0.83651321737426332"/>
        </c:manualLayout>
      </c:layout>
      <c:scatterChart>
        <c:scatterStyle val="lineMarker"/>
        <c:varyColors val="0"/>
        <c:ser>
          <c:idx val="1"/>
          <c:order val="0"/>
          <c:tx>
            <c:v>Aceite No Destructivo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DE-4E93-91A7-7CB524115A2D}"/>
            </c:ext>
          </c:extLst>
        </c:ser>
        <c:ser>
          <c:idx val="0"/>
          <c:order val="1"/>
          <c:tx>
            <c:v>Aceite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capsulas '!$B$2:$B$4,'Headspace Destructivo capsulas '!$B$6)</c:f>
              <c:numCache>
                <c:formatCode>General</c:formatCode>
                <c:ptCount val="4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</c:numCache>
            </c:numRef>
          </c:xVal>
          <c:yVal>
            <c:numRef>
              <c:f>('Headspace Destructivo capsulas '!$I$2:$I$3,'Headspace Destructivo capsulas '!$R$4,'Headspace Destructivo capsulas '!$AF$6)</c:f>
              <c:numCache>
                <c:formatCode>General</c:formatCode>
                <c:ptCount val="4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DE-4E93-91A7-7CB52411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8.2787102058926421E-2"/>
          <c:y val="0.75093262568602159"/>
          <c:w val="0.32454695625389379"/>
          <c:h val="0.1150347509449502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619115353958561E-2"/>
          <c:y val="5.0925925925925923E-2"/>
          <c:w val="0.87604755717280192"/>
          <c:h val="0.8146249008703944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'!$AB$6,'Headspace Destructivo capsulas '!$AK$7,'Headspace Destructivo capsulas 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>
                  <c:v>19.95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A6-431E-B5E1-23C0845D3E9D}"/>
            </c:ext>
          </c:extLst>
        </c:ser>
        <c:ser>
          <c:idx val="0"/>
          <c:order val="1"/>
          <c:tx>
            <c:v>Grupo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plus>
            <c:minus>
              <c:numRef>
                <c:f>'Headspace Destructivo capsulas 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'!$B$2:$B$7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</c:numCache>
            </c:numRef>
          </c:xVal>
          <c:yVal>
            <c:numRef>
              <c:f>'Headspace Destructivo capsulas '!$F$2:$F$7</c:f>
              <c:numCache>
                <c:formatCode>General</c:formatCode>
                <c:ptCount val="6"/>
                <c:pt idx="0">
                  <c:v>20.6</c:v>
                </c:pt>
                <c:pt idx="1">
                  <c:v>20.6</c:v>
                </c:pt>
                <c:pt idx="2" formatCode="0.000">
                  <c:v>20.466666666666665</c:v>
                </c:pt>
                <c:pt idx="3" formatCode="0.000">
                  <c:v>20.366666666666667</c:v>
                </c:pt>
                <c:pt idx="4" formatCode="0.000">
                  <c:v>20.166666666666668</c:v>
                </c:pt>
                <c:pt idx="5" formatCode="0.000">
                  <c:v>20.266666666666669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A6-431E-B5E1-23C0845D3E9D}"/>
            </c:ext>
          </c:extLst>
        </c:ser>
        <c:ser>
          <c:idx val="2"/>
          <c:order val="2"/>
          <c:tx>
            <c:v>Grupo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'!$O$4:$O$6</c:f>
                <c:numCache>
                  <c:formatCode>General</c:formatCode>
                  <c:ptCount val="3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</c:numCache>
              </c:numRef>
            </c:plus>
            <c:minus>
              <c:numRef>
                <c:f>'Headspace Destructivo capsulas '!$O$4:$O$6</c:f>
                <c:numCache>
                  <c:formatCode>General</c:formatCode>
                  <c:ptCount val="3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'!$B$4:$B$7</c:f>
              <c:numCache>
                <c:formatCode>General</c:formatCode>
                <c:ptCount val="4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  <c:pt idx="3">
                  <c:v>287.49999999994179</c:v>
                </c:pt>
              </c:numCache>
            </c:numRef>
          </c:xVal>
          <c:yVal>
            <c:numRef>
              <c:f>'Headspace Destructivo capsulas '!$N$4:$N$7</c:f>
              <c:numCache>
                <c:formatCode>0.00</c:formatCode>
                <c:ptCount val="4"/>
                <c:pt idx="0">
                  <c:v>20.533333333333335</c:v>
                </c:pt>
                <c:pt idx="1">
                  <c:v>20.533333333333335</c:v>
                </c:pt>
                <c:pt idx="2">
                  <c:v>20.3</c:v>
                </c:pt>
                <c:pt idx="3">
                  <c:v>20.366666666666664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A6-431E-B5E1-23C0845D3E9D}"/>
            </c:ext>
          </c:extLst>
        </c:ser>
        <c:ser>
          <c:idx val="3"/>
          <c:order val="3"/>
          <c:tx>
            <c:v>Grupo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plus>
            <c:minus>
              <c:numRef>
                <c:f>'Headspace Destructivo capsulas 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'!$B$5:$B$7</c:f>
              <c:numCache>
                <c:formatCode>General</c:formatCode>
                <c:ptCount val="3"/>
                <c:pt idx="0">
                  <c:v>167.49999999994179</c:v>
                </c:pt>
                <c:pt idx="1">
                  <c:v>215.49999999994179</c:v>
                </c:pt>
                <c:pt idx="2">
                  <c:v>287.49999999994179</c:v>
                </c:pt>
              </c:numCache>
            </c:numRef>
          </c:xVal>
          <c:yVal>
            <c:numRef>
              <c:f>'Headspace Destructivo capsulas '!$W$5:$W$7</c:f>
              <c:numCache>
                <c:formatCode>General</c:formatCode>
                <c:ptCount val="3"/>
                <c:pt idx="0">
                  <c:v>20.400000000000002</c:v>
                </c:pt>
                <c:pt idx="1">
                  <c:v>20.399999999999999</c:v>
                </c:pt>
                <c:pt idx="2" formatCode="0.0">
                  <c:v>20.366666666666664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A6-431E-B5E1-23C0845D3E9D}"/>
            </c:ext>
          </c:extLst>
        </c:ser>
        <c:ser>
          <c:idx val="4"/>
          <c:order val="4"/>
          <c:tx>
            <c:v>Grupo 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'!$AC$6:$AC$7</c:f>
                <c:numCache>
                  <c:formatCode>General</c:formatCode>
                  <c:ptCount val="2"/>
                  <c:pt idx="0">
                    <c:v>5.7735026918961346E-2</c:v>
                  </c:pt>
                  <c:pt idx="1">
                    <c:v>0.15275252316519489</c:v>
                  </c:pt>
                </c:numCache>
              </c:numRef>
            </c:plus>
            <c:minus>
              <c:numRef>
                <c:f>'Headspace Destructivo capsulas '!$AC$6:$AC$7</c:f>
                <c:numCache>
                  <c:formatCode>General</c:formatCode>
                  <c:ptCount val="2"/>
                  <c:pt idx="0">
                    <c:v>5.7735026918961346E-2</c:v>
                  </c:pt>
                  <c:pt idx="1">
                    <c:v>0.15275252316519489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'!$B$6:$B$7</c:f>
              <c:numCache>
                <c:formatCode>General</c:formatCode>
                <c:ptCount val="2"/>
                <c:pt idx="0">
                  <c:v>215.49999999994179</c:v>
                </c:pt>
                <c:pt idx="1">
                  <c:v>287.49999999994179</c:v>
                </c:pt>
              </c:numCache>
            </c:numRef>
          </c:xVal>
          <c:yVal>
            <c:numRef>
              <c:f>'Headspace Destructivo capsulas '!$AB$6:$AB$7</c:f>
              <c:numCache>
                <c:formatCode>General</c:formatCode>
                <c:ptCount val="2"/>
                <c:pt idx="0">
                  <c:v>20.166666666666668</c:v>
                </c:pt>
                <c:pt idx="1">
                  <c:v>20.133333333333333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A6-431E-B5E1-23C0845D3E9D}"/>
            </c:ext>
          </c:extLst>
        </c:ser>
        <c:ser>
          <c:idx val="5"/>
          <c:order val="5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capsulas '!$B$7:$B$8</c:f>
              <c:numCache>
                <c:formatCode>General</c:formatCode>
                <c:ptCount val="2"/>
                <c:pt idx="0">
                  <c:v>287.49999999994179</c:v>
                </c:pt>
                <c:pt idx="1">
                  <c:v>339</c:v>
                </c:pt>
              </c:numCache>
            </c:numRef>
          </c:xVal>
          <c:yVal>
            <c:numRef>
              <c:f>'Headspace Destructivo capsulas '!$AK$7:$AK$8</c:f>
              <c:numCache>
                <c:formatCode>General</c:formatCode>
                <c:ptCount val="2"/>
                <c:pt idx="0">
                  <c:v>19.95</c:v>
                </c:pt>
                <c:pt idx="1">
                  <c:v>20.533333333333335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DA6-431E-B5E1-23C0845D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9959833284503169E-2"/>
          <c:y val="0.60867218198790196"/>
          <c:w val="0.15966016202456285"/>
          <c:h val="0.2484655501794465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Capsulas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'!$B$2:$B$6</c:f>
              <c:numCache>
                <c:formatCode>General</c:formatCode>
                <c:ptCount val="5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'!$AB$6)</c:f>
              <c:numCache>
                <c:formatCode>General</c:formatCode>
                <c:ptCount val="5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C7-4C3B-9936-8C7043261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80412177982445288"/>
          <c:y val="6.2236176609949262E-2"/>
          <c:w val="0.15966016202456285"/>
          <c:h val="0.1150347509449502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66768899776828"/>
          <c:y val="5.0925925925925923E-2"/>
          <c:w val="0.8688886499217942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capsulas '!$B$2:$B$4,'Headspace Destructivo capsulas '!$B$6)</c:f>
              <c:numCache>
                <c:formatCode>General</c:formatCode>
                <c:ptCount val="4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</c:numCache>
            </c:numRef>
          </c:xVal>
          <c:yVal>
            <c:numRef>
              <c:f>('Headspace Destructivo capsulas '!$I$2:$I$3,'Headspace Destructivo capsulas '!$R$4,'Headspace Destructivo capsulas '!$AF$6)</c:f>
              <c:numCache>
                <c:formatCode>General</c:formatCode>
                <c:ptCount val="4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A5-4336-BD2F-79D55AE21F6D}"/>
            </c:ext>
          </c:extLst>
        </c:ser>
        <c:ser>
          <c:idx val="1"/>
          <c:order val="1"/>
          <c:tx>
            <c:v>Capsulas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'!$B$2:$B$6</c:f>
              <c:numCache>
                <c:formatCode>General</c:formatCode>
                <c:ptCount val="5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'!$AB$6)</c:f>
              <c:numCache>
                <c:formatCode>General</c:formatCode>
                <c:ptCount val="5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A5-4336-BD2F-79D55AE21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41330004611865"/>
          <c:y val="0.6562571712969798"/>
          <c:w val="0.32454695625389379"/>
          <c:h val="0.1150347509449502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capsulas '!$B$2:$B$4,'Headspace Destructivo capsulas '!$B$6,'Headspace Destructivo capsulas '!$B$7,'Headspace Destructivo capsulas 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capsulas '!$I$2:$I$3,'Headspace Destructivo capsulas '!$R$4,'Headspace Destructivo capsulas '!$AF$6,'Headspace Destructivo capsulas '!$AN$7,'Headspace Destructivo capsulas 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9-47B1-8289-D0A6B2F2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544636252876474"/>
          <c:y val="7.0997282919258137E-2"/>
          <c:w val="0.32454695625389379"/>
          <c:h val="7.841199957754058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errBars>
          <c:xVal>
            <c:numRef>
              <c:f>('Headspace Destructivo capsulas '!$B$2:$B$4,'Headspace Destructivo capsulas '!$B$6)</c:f>
              <c:numCache>
                <c:formatCode>General</c:formatCode>
                <c:ptCount val="4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</c:numCache>
            </c:numRef>
          </c:xVal>
          <c:yVal>
            <c:numRef>
              <c:f>('Headspace Destructivo capsulas '!$I$2:$I$3,'Headspace Destructivo capsulas '!$R$4,'Headspace Destructivo capsulas '!$AF$6)</c:f>
              <c:numCache>
                <c:formatCode>General</c:formatCode>
                <c:ptCount val="4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51-4ED4-9046-02B9B59568D9}"/>
            </c:ext>
          </c:extLst>
        </c:ser>
        <c:ser>
          <c:idx val="1"/>
          <c:order val="1"/>
          <c:tx>
            <c:v>Grupo 1 Aceite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Destructivo capsulas '!$B$2:$B$6</c:f>
              <c:numCache>
                <c:formatCode>General</c:formatCode>
                <c:ptCount val="5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</c:numCache>
            </c:numRef>
          </c:xVal>
          <c:yVal>
            <c:numRef>
              <c:f>'Headspace Destructivo capsulas '!$I$2:$I$6</c:f>
              <c:numCache>
                <c:formatCode>General</c:formatCode>
                <c:ptCount val="5"/>
                <c:pt idx="0">
                  <c:v>20.6</c:v>
                </c:pt>
                <c:pt idx="1">
                  <c:v>19.899999999999999</c:v>
                </c:pt>
                <c:pt idx="2">
                  <c:v>19.899999999999999</c:v>
                </c:pt>
                <c:pt idx="3">
                  <c:v>20.100000000000001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51-4ED4-9046-02B9B59568D9}"/>
            </c:ext>
          </c:extLst>
        </c:ser>
        <c:ser>
          <c:idx val="2"/>
          <c:order val="2"/>
          <c:tx>
            <c:v>Grupo 2 Aceite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'!$S$4:$S$6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0.25</c:v>
                  </c:pt>
                  <c:pt idx="2">
                    <c:v>0.40000000000000036</c:v>
                  </c:pt>
                </c:numCache>
              </c:numRef>
            </c:plus>
            <c:minus>
              <c:numRef>
                <c:f>'Headspace Destructivo capsulas '!$S$4:$S$6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0.25</c:v>
                  </c:pt>
                  <c:pt idx="2">
                    <c:v>0.40000000000000036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'!$B$4:$B$6</c:f>
              <c:numCache>
                <c:formatCode>General</c:formatCode>
                <c:ptCount val="3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</c:numCache>
            </c:numRef>
          </c:xVal>
          <c:yVal>
            <c:numRef>
              <c:f>'Headspace Destructivo capsulas '!$R$4:$R$6</c:f>
              <c:numCache>
                <c:formatCode>General</c:formatCode>
                <c:ptCount val="3"/>
                <c:pt idx="0">
                  <c:v>19.149999999999999</c:v>
                </c:pt>
                <c:pt idx="1">
                  <c:v>20.350000000000001</c:v>
                </c:pt>
                <c:pt idx="2">
                  <c:v>20.200000000000003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51-4ED4-9046-02B9B59568D9}"/>
            </c:ext>
          </c:extLst>
        </c:ser>
        <c:ser>
          <c:idx val="3"/>
          <c:order val="3"/>
          <c:tx>
            <c:v>Grupo 3 Aceite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capsulas '!$AG$6</c:f>
                <c:numCache>
                  <c:formatCode>General</c:formatCode>
                  <c:ptCount val="1"/>
                  <c:pt idx="0">
                    <c:v>0.75</c:v>
                  </c:pt>
                </c:numCache>
              </c:numRef>
            </c:plus>
            <c:minus>
              <c:numRef>
                <c:f>'Headspace Destructivo capsulas '!$AG$6</c:f>
                <c:numCache>
                  <c:formatCode>General</c:formatCode>
                  <c:ptCount val="1"/>
                  <c:pt idx="0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'!$B$6</c:f>
              <c:numCache>
                <c:formatCode>General</c:formatCode>
                <c:ptCount val="1"/>
                <c:pt idx="0">
                  <c:v>215.49999999994179</c:v>
                </c:pt>
              </c:numCache>
            </c:numRef>
          </c:xVal>
          <c:yVal>
            <c:numRef>
              <c:f>'Headspace Destructivo capsulas '!$AF$6</c:f>
              <c:numCache>
                <c:formatCode>General</c:formatCode>
                <c:ptCount val="1"/>
                <c:pt idx="0">
                  <c:v>17.55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51-4ED4-9046-02B9B5956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677766649810747"/>
          <c:y val="0.56726745393509992"/>
          <c:w val="0.42450199068180328"/>
          <c:h val="0.2069365638403107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619115353958561E-2"/>
          <c:y val="5.0925925925925923E-2"/>
          <c:w val="0.87604755717280192"/>
          <c:h val="0.8146249008703944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'!$AB$6,'Headspace Destructivo capsulas '!$AK$7,'Headspace Destructivo capsulas 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>
                  <c:v>19.95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6-447F-B66F-582B2AD4A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7965429305424928E-2"/>
          <c:y val="0.76596287131105534"/>
          <c:w val="0.15966016202456285"/>
          <c:h val="7.1993020850450937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619115353958561E-2"/>
          <c:y val="5.0925925925925923E-2"/>
          <c:w val="0.87604755717280192"/>
          <c:h val="0.8146249008703944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capsulas '!$J$2:$J$3,'Headspace Destructivo capsulas '!$S$4,'Headspace Destructivo capsulas 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capsulas '!$B$2:$B$4,'Headspace Destructivo capsulas '!$B$6,'Headspace Destructivo capsulas '!$B$7,'Headspace Destructivo capsulas 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capsulas '!$I$2:$I$3,'Headspace Destructivo capsulas '!$R$4,'Headspace Destructivo capsulas '!$AF$6,'Headspace Destructivo capsulas '!$AN$7,'Headspace Destructivo capsulas 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0D-452D-B3CF-DC7513CDD609}"/>
            </c:ext>
          </c:extLst>
        </c:ser>
        <c:ser>
          <c:idx val="1"/>
          <c:order val="1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plus>
            <c:minus>
              <c:numRef>
                <c:f>('Headspace Destructivo capsulas '!$G$2:$G$3,'Headspace Destructivo capsulas '!$O$4,'Headspace Destructivo capsulas '!$X$5,'Headspace Destructivo capsulas '!$AC$6)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capsulas 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capsulas '!$F$2:$F$3,'Headspace Destructivo capsulas '!$N$4,'Headspace Destructivo capsulas '!$W$5,'Headspace Destructivo capsulas '!$AB$6,'Headspace Destructivo capsulas '!$AK$7,'Headspace Destructivo capsulas 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>
                  <c:v>19.95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0D-452D-B3CF-DC7513CD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7965429305424928E-2"/>
          <c:y val="0.70620687318395625"/>
          <c:w val="0.29249906562619482"/>
          <c:h val="0.1317489423195112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6775621356819"/>
          <c:y val="5.0925925925925923E-2"/>
          <c:w val="0.8566989504640014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Cápsulas Prueba 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0-40AD-8679-768F53FEFC9D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 (2)'!$F$2:$F$3,'Headspace Destructivo capsu (2)'!$N$4,'Headspace Destructivo capsu (2)'!$W$5,'Headspace Destructivo capsu (2)'!$AB$6,'Headspace Destructivo capsu (2)'!$AK$7,'Headspace Destructivo capsu (2)'!$AQ$8)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0-40AD-8679-768F53FEFC9D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 (2)'!$AV$2:$AV$8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30-40AD-8679-768F53FE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32966233298573"/>
          <c:y val="0.64041941726651497"/>
          <c:w val="0.30129860386955443"/>
          <c:h val="0.1408949446979209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Aceite No Destructivo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CD-4F7E-A07F-2D793A310E68}"/>
            </c:ext>
          </c:extLst>
        </c:ser>
        <c:ser>
          <c:idx val="0"/>
          <c:order val="1"/>
          <c:tx>
            <c:v>Aceite Prueba Destructiva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xVal>
            <c:numRef>
              <c:f>('Headspace Destructivo capsu (2)'!$B$2:$B$4,'Headspace Destructivo capsu (2)'!$B$6,'Headspace Destructivo capsu (2)'!$B$7,'Headspace Destructivo capsu (2)'!$B$8)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 (2)'!$I$2:$I$3,'Headspace Destructivo capsu (2)'!$R$4,'Headspace Destructivo capsu (2)'!$AF$6,'Headspace Destructivo capsu (2)'!$AN$7,'Headspace Destructivo capsu (2)'!$AN$8)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D-4F7E-A07F-2D793A310E68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 (2)'!$AV$2:$AV$8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D-4F7E-A07F-2D793A31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778667826900591"/>
          <c:y val="0.63950600796115131"/>
          <c:w val="0.25344057403345088"/>
          <c:h val="0.1401652328432736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48286556527036E-2"/>
          <c:y val="5.85655685685222E-2"/>
          <c:w val="0.8797183888486552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 (2)'!$F$2:$F$3,'Headspace Destructivo capsu (2)'!$N$4,'Headspace Destructivo capsu (2)'!$W$5,'Headspace Destructivo capsu (2)'!$AB$6,'Headspace Destructivo capsu (2)'!$AK$7,'Headspace Destructivo capsu (2)'!$AQ$8)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F1-4E14-8D67-2D34EC5AE6A6}"/>
            </c:ext>
          </c:extLst>
        </c:ser>
        <c:ser>
          <c:idx val="0"/>
          <c:order val="1"/>
          <c:tx>
            <c:v>Grupo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 (2)'!$G$2:$G$6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plus>
            <c:minus>
              <c:numRef>
                <c:f>'Headspace Destructivo capsu (2)'!$G$2:$G$6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 (2)'!$F$2:$F$8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0">
                  <c:v>20.466666666666665</c:v>
                </c:pt>
                <c:pt idx="3" formatCode="0.000">
                  <c:v>20.366666666666667</c:v>
                </c:pt>
                <c:pt idx="4" formatCode="0.000">
                  <c:v>20.166666666666668</c:v>
                </c:pt>
                <c:pt idx="5" formatCode="0.000">
                  <c:v>20.266666666666669</c:v>
                </c:pt>
                <c:pt idx="6" formatCode="0.000">
                  <c:v>20.433333333333334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F1-4E14-8D67-2D34EC5AE6A6}"/>
            </c:ext>
          </c:extLst>
        </c:ser>
        <c:ser>
          <c:idx val="2"/>
          <c:order val="2"/>
          <c:tx>
            <c:v>Grupo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 (2)'!$O$4:$O$8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plus>
            <c:minus>
              <c:numRef>
                <c:f>'Headspace Destructivo capsu (2)'!$O$4:$O$8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(2)'!$B$4:$B$8</c:f>
              <c:numCache>
                <c:formatCode>General</c:formatCode>
                <c:ptCount val="5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  <c:pt idx="3">
                  <c:v>287.49999999994179</c:v>
                </c:pt>
                <c:pt idx="4">
                  <c:v>339</c:v>
                </c:pt>
              </c:numCache>
            </c:numRef>
          </c:xVal>
          <c:yVal>
            <c:numRef>
              <c:f>'Headspace Destructivo capsu (2)'!$N$4:$N$8</c:f>
              <c:numCache>
                <c:formatCode>0.00</c:formatCode>
                <c:ptCount val="5"/>
                <c:pt idx="0">
                  <c:v>20.533333333333335</c:v>
                </c:pt>
                <c:pt idx="1">
                  <c:v>20.533333333333335</c:v>
                </c:pt>
                <c:pt idx="2">
                  <c:v>20.3</c:v>
                </c:pt>
                <c:pt idx="3">
                  <c:v>20.366666666666664</c:v>
                </c:pt>
                <c:pt idx="4">
                  <c:v>20.400000000000002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F1-4E14-8D67-2D34EC5AE6A6}"/>
            </c:ext>
          </c:extLst>
        </c:ser>
        <c:ser>
          <c:idx val="3"/>
          <c:order val="3"/>
          <c:tx>
            <c:v>Grupo 3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 (2)'!$X$5:$X$7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plus>
            <c:minus>
              <c:numRef>
                <c:f>'Headspace Destructivo capsu (2)'!$X$5:$X$7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(2)'!$B$5:$B$8</c:f>
              <c:numCache>
                <c:formatCode>General</c:formatCode>
                <c:ptCount val="4"/>
                <c:pt idx="0">
                  <c:v>167.49999999994179</c:v>
                </c:pt>
                <c:pt idx="1">
                  <c:v>215.49999999994179</c:v>
                </c:pt>
                <c:pt idx="2">
                  <c:v>287.49999999994179</c:v>
                </c:pt>
                <c:pt idx="3">
                  <c:v>339</c:v>
                </c:pt>
              </c:numCache>
            </c:numRef>
          </c:xVal>
          <c:yVal>
            <c:numRef>
              <c:f>'Headspace Destructivo capsu (2)'!$W$5:$W$8</c:f>
              <c:numCache>
                <c:formatCode>General</c:formatCode>
                <c:ptCount val="4"/>
                <c:pt idx="0">
                  <c:v>20.400000000000002</c:v>
                </c:pt>
                <c:pt idx="1">
                  <c:v>20.399999999999999</c:v>
                </c:pt>
                <c:pt idx="2" formatCode="0.0">
                  <c:v>20.366666666666664</c:v>
                </c:pt>
                <c:pt idx="3" formatCode="0.0">
                  <c:v>20.266666666666666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F1-4E14-8D67-2D34EC5AE6A6}"/>
            </c:ext>
          </c:extLst>
        </c:ser>
        <c:ser>
          <c:idx val="4"/>
          <c:order val="4"/>
          <c:tx>
            <c:v>Grupo 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 (2)'!$AC$6:$AC$8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plus>
            <c:minus>
              <c:numRef>
                <c:f>'Headspace Destructivo capsu (2)'!$AC$6:$AC$8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(2)'!$B$6:$B$8</c:f>
              <c:numCache>
                <c:formatCode>General</c:formatCode>
                <c:ptCount val="3"/>
                <c:pt idx="0">
                  <c:v>215.49999999994179</c:v>
                </c:pt>
                <c:pt idx="1">
                  <c:v>287.49999999994179</c:v>
                </c:pt>
                <c:pt idx="2">
                  <c:v>339</c:v>
                </c:pt>
              </c:numCache>
            </c:numRef>
          </c:xVal>
          <c:yVal>
            <c:numRef>
              <c:f>'Headspace Destructivo capsu (2)'!$AB$6:$AB$8</c:f>
              <c:numCache>
                <c:formatCode>General</c:formatCode>
                <c:ptCount val="3"/>
                <c:pt idx="0">
                  <c:v>20.166666666666668</c:v>
                </c:pt>
                <c:pt idx="1">
                  <c:v>20.133333333333333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F1-4E14-8D67-2D34EC5AE6A6}"/>
            </c:ext>
          </c:extLst>
        </c:ser>
        <c:ser>
          <c:idx val="5"/>
          <c:order val="5"/>
          <c:tx>
            <c:v>Grupo 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 (2)'!$AL$7:$AL$8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plus>
            <c:minus>
              <c:numRef>
                <c:f>'Headspace Destructivo capsu (2)'!$AL$7:$AL$8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(2)'!$B$7:$B$8</c:f>
              <c:numCache>
                <c:formatCode>General</c:formatCode>
                <c:ptCount val="2"/>
                <c:pt idx="0">
                  <c:v>287.49999999994179</c:v>
                </c:pt>
                <c:pt idx="1">
                  <c:v>339</c:v>
                </c:pt>
              </c:numCache>
            </c:numRef>
          </c:xVal>
          <c:yVal>
            <c:numRef>
              <c:f>'Headspace Destructivo capsu (2)'!$AK$7:$AK$8</c:f>
              <c:numCache>
                <c:formatCode>0.00</c:formatCode>
                <c:ptCount val="2"/>
                <c:pt idx="0">
                  <c:v>19.933333333333334</c:v>
                </c:pt>
                <c:pt idx="1">
                  <c:v>19.933333333333334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DF1-4E14-8D67-2D34EC5AE6A6}"/>
            </c:ext>
          </c:extLst>
        </c:ser>
        <c:ser>
          <c:idx val="6"/>
          <c:order val="6"/>
          <c:tx>
            <c:v>Blanco 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 (2)'!$AV$2:$AV$8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3-436F-9A40-E0BEB38A6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650000000000002"/>
          <c:min val="19.60000000000000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5559414026347558E-2"/>
          <c:y val="0.50143521012646619"/>
          <c:w val="0.17316726408465374"/>
          <c:h val="0.2806122356640365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 (2)'!$B$2:$B$4,'Headspace Destructivo capsu (2)'!$B$6,'Headspace Destructivo capsu (2)'!$B$7,'Headspace Destructivo capsu (2)'!$B$8)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 (2)'!$I$2:$I$3,'Headspace Destructivo capsu (2)'!$R$4,'Headspace Destructivo capsu (2)'!$AF$6,'Headspace Destructivo capsu (2)'!$AN$7,'Headspace Destructivo capsu (2)'!$AN$8)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2-4C0C-8459-22074DD2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8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544636252876474"/>
          <c:y val="7.0997282919258137E-2"/>
          <c:w val="0.32454695625389379"/>
          <c:h val="7.841199957754058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Capsulas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 (2)'!$F$2:$F$3,'Headspace Destructivo capsu (2)'!$N$4,'Headspace Destructivo capsu (2)'!$W$5,'Headspace Destructivo capsu (2)'!$AB$6,'Headspace Destructivo capsu (2)'!$AK$7,'Headspace Destructivo capsu (2)'!$AQ$8)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2C-479F-BBDB-F0094CAA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7330547795574713"/>
          <c:w val="0.22744015638197984"/>
          <c:h val="0.1052666238122396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 (2)'!$J$2:$J$3,'Headspace Destructivo capsu (2)'!$S$4,'Headspace Destructivo capsu (2)'!$AG$6)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 (2)'!$B$2:$B$4,'Headspace Destructivo capsu (2)'!$B$6,'Headspace Destructivo capsu (2)'!$B$7,'Headspace Destructivo capsu (2)'!$B$8)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 (2)'!$I$2:$I$3,'Headspace Destructivo capsu (2)'!$R$4,'Headspace Destructivo capsu (2)'!$AF$6,'Headspace Destructivo capsu (2)'!$AN$7,'Headspace Destructivo capsu (2)'!$AN$8)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0-4E15-B012-A5D471026783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 (2)'!$G$2:$G$3,'Headspace Destructivo capsu (2)'!$O$4,'Headspace Destructivo capsu (2)'!$X$5,'Headspace Destructivo capsu (2)'!$AC$6,'Headspace Destructivo capsu (2)'!$AL$7,'Headspace Destructivo capsu (2)'!$AU$8)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 (2)'!$B$2:$B$8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 (2)'!$F$2:$F$3,'Headspace Destructivo capsu (2)'!$N$4,'Headspace Destructivo capsu (2)'!$W$5,'Headspace Destructivo capsu (2)'!$AB$6,'Headspace Destructivo capsu (2)'!$AK$7,'Headspace Destructivo capsu (2)'!$AQ$8)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0-4E15-B012-A5D47102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1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5028733410020201"/>
          <c:w val="0.28689327198271153"/>
          <c:h val="0.1282847676677847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324583</xdr:colOff>
      <xdr:row>0</xdr:row>
      <xdr:rowOff>113201</xdr:rowOff>
    </xdr:from>
    <xdr:to>
      <xdr:col>22</xdr:col>
      <xdr:colOff>19783</xdr:colOff>
      <xdr:row>14</xdr:row>
      <xdr:rowOff>189401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29563-8D22-4325-B84E-AE267DFD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308463</xdr:colOff>
      <xdr:row>14</xdr:row>
      <xdr:rowOff>161925</xdr:rowOff>
    </xdr:from>
    <xdr:to>
      <xdr:col>22</xdr:col>
      <xdr:colOff>14654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534C1-D83B-4B89-BEE1-493DD142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315686</xdr:colOff>
      <xdr:row>13</xdr:row>
      <xdr:rowOff>168047</xdr:rowOff>
    </xdr:from>
    <xdr:to>
      <xdr:col>26</xdr:col>
      <xdr:colOff>390525</xdr:colOff>
      <xdr:row>28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F4769-DD8E-458B-95F0-CA1C5E6F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14</xdr:row>
      <xdr:rowOff>147636</xdr:rowOff>
    </xdr:from>
    <xdr:to>
      <xdr:col>13</xdr:col>
      <xdr:colOff>404813</xdr:colOff>
      <xdr:row>29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9B76E0-8FEE-4516-853B-039AC2BA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409179</xdr:colOff>
      <xdr:row>17</xdr:row>
      <xdr:rowOff>82551</xdr:rowOff>
    </xdr:from>
    <xdr:to>
      <xdr:col>13</xdr:col>
      <xdr:colOff>409179</xdr:colOff>
      <xdr:row>32</xdr:row>
      <xdr:rowOff>111125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C04EE3-2535-477A-AD3D-0DCF0EE8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692523</xdr:colOff>
      <xdr:row>19</xdr:row>
      <xdr:rowOff>43141</xdr:rowOff>
    </xdr:from>
    <xdr:to>
      <xdr:col>7</xdr:col>
      <xdr:colOff>578223</xdr:colOff>
      <xdr:row>34</xdr:row>
      <xdr:rowOff>81241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F47B7-2D92-403F-A286-801465C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267222</xdr:colOff>
      <xdr:row>19</xdr:row>
      <xdr:rowOff>144115</xdr:rowOff>
    </xdr:from>
    <xdr:to>
      <xdr:col>13</xdr:col>
      <xdr:colOff>257958</xdr:colOff>
      <xdr:row>34</xdr:row>
      <xdr:rowOff>172690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8BCA75-DA53-4B3C-9702-52A0D541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695521</xdr:colOff>
      <xdr:row>18</xdr:row>
      <xdr:rowOff>69522</xdr:rowOff>
    </xdr:from>
    <xdr:to>
      <xdr:col>7</xdr:col>
      <xdr:colOff>695521</xdr:colOff>
      <xdr:row>33</xdr:row>
      <xdr:rowOff>98097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2B5B7-8D64-4F09-AB68-EC2E20D6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488461</xdr:colOff>
      <xdr:row>18</xdr:row>
      <xdr:rowOff>134326</xdr:rowOff>
    </xdr:from>
    <xdr:to>
      <xdr:col>15</xdr:col>
      <xdr:colOff>517036</xdr:colOff>
      <xdr:row>33</xdr:row>
      <xdr:rowOff>162901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EE17D6-721F-4E83-8446-396EB241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721518</xdr:colOff>
      <xdr:row>6</xdr:row>
      <xdr:rowOff>78581</xdr:rowOff>
    </xdr:from>
    <xdr:to>
      <xdr:col>10</xdr:col>
      <xdr:colOff>483393</xdr:colOff>
      <xdr:row>21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01210-A5DA-4189-96BD-0F755C1EC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94162</xdr:colOff>
      <xdr:row>9</xdr:row>
      <xdr:rowOff>142633</xdr:rowOff>
    </xdr:from>
    <xdr:to>
      <xdr:col>21</xdr:col>
      <xdr:colOff>14287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FFCE3B-7092-4DA1-8B73-55FD76054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416719</xdr:colOff>
      <xdr:row>12</xdr:row>
      <xdr:rowOff>50006</xdr:rowOff>
    </xdr:from>
    <xdr:to>
      <xdr:col>9</xdr:col>
      <xdr:colOff>416719</xdr:colOff>
      <xdr:row>27</xdr:row>
      <xdr:rowOff>78581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09143-7FA3-4FFA-B778-84FB57A1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726029</xdr:colOff>
      <xdr:row>13</xdr:row>
      <xdr:rowOff>155532</xdr:rowOff>
    </xdr:from>
    <xdr:to>
      <xdr:col>29</xdr:col>
      <xdr:colOff>156660</xdr:colOff>
      <xdr:row>33</xdr:row>
      <xdr:rowOff>72189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E769D2-CA85-4BE8-BAA7-47A7F1F92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665353</xdr:colOff>
      <xdr:row>7</xdr:row>
      <xdr:rowOff>161312</xdr:rowOff>
    </xdr:from>
    <xdr:to>
      <xdr:col>14</xdr:col>
      <xdr:colOff>661831</xdr:colOff>
      <xdr:row>23</xdr:row>
      <xdr:rowOff>9489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40E6B4-2554-40B3-A80B-8FF2BDB51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215900</xdr:colOff>
      <xdr:row>25</xdr:row>
      <xdr:rowOff>103592</xdr:rowOff>
    </xdr:from>
    <xdr:to>
      <xdr:col>10</xdr:col>
      <xdr:colOff>368558</xdr:colOff>
      <xdr:row>40</xdr:row>
      <xdr:rowOff>105587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125519-82A9-4B8A-BB3C-7AC6AE519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751404</xdr:colOff>
      <xdr:row>10</xdr:row>
      <xdr:rowOff>86980</xdr:rowOff>
    </xdr:from>
    <xdr:to>
      <xdr:col>12</xdr:col>
      <xdr:colOff>738113</xdr:colOff>
      <xdr:row>25</xdr:row>
      <xdr:rowOff>88972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3DBA59F-DDD8-4B5F-9188-0056BE93C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116681</xdr:colOff>
      <xdr:row>10</xdr:row>
      <xdr:rowOff>154782</xdr:rowOff>
    </xdr:from>
    <xdr:to>
      <xdr:col>19</xdr:col>
      <xdr:colOff>116681</xdr:colOff>
      <xdr:row>26</xdr:row>
      <xdr:rowOff>2382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8BFF99-0134-4D1C-9984-526CC6CB2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531021</xdr:colOff>
      <xdr:row>12</xdr:row>
      <xdr:rowOff>130969</xdr:rowOff>
    </xdr:from>
    <xdr:to>
      <xdr:col>11</xdr:col>
      <xdr:colOff>531021</xdr:colOff>
      <xdr:row>27</xdr:row>
      <xdr:rowOff>159544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87B35BD-C6B8-4A54-8F62-E86FD2690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25</xdr:row>
      <xdr:rowOff>104775</xdr:rowOff>
    </xdr:from>
    <xdr:to>
      <xdr:col>19</xdr:col>
      <xdr:colOff>233363</xdr:colOff>
      <xdr:row>41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BC557D-B434-4503-8051-CDC343E0A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314324</xdr:colOff>
      <xdr:row>9</xdr:row>
      <xdr:rowOff>142874</xdr:rowOff>
    </xdr:from>
    <xdr:to>
      <xdr:col>20</xdr:col>
      <xdr:colOff>301033</xdr:colOff>
      <xdr:row>25</xdr:row>
      <xdr:rowOff>11517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2AAF15-62C3-487B-88D4-05E58113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598345</xdr:colOff>
      <xdr:row>9</xdr:row>
      <xdr:rowOff>13327</xdr:rowOff>
    </xdr:from>
    <xdr:to>
      <xdr:col>7</xdr:col>
      <xdr:colOff>275725</xdr:colOff>
      <xdr:row>24</xdr:row>
      <xdr:rowOff>45283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45597A2D-188F-4BDA-8C4C-15E011250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705597</xdr:colOff>
      <xdr:row>23</xdr:row>
      <xdr:rowOff>65501</xdr:rowOff>
    </xdr:from>
    <xdr:to>
      <xdr:col>10</xdr:col>
      <xdr:colOff>439490</xdr:colOff>
      <xdr:row>44</xdr:row>
      <xdr:rowOff>96211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923B4C-B750-4A7A-9277-3BB3688C1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683649</xdr:colOff>
      <xdr:row>22</xdr:row>
      <xdr:rowOff>145948</xdr:rowOff>
    </xdr:from>
    <xdr:to>
      <xdr:col>20</xdr:col>
      <xdr:colOff>61452</xdr:colOff>
      <xdr:row>44</xdr:row>
      <xdr:rowOff>176674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2848EB6-36C7-4AB6-B8D6-3D45D6CC3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20623</xdr:colOff>
      <xdr:row>7</xdr:row>
      <xdr:rowOff>4926</xdr:rowOff>
    </xdr:from>
    <xdr:to>
      <xdr:col>43</xdr:col>
      <xdr:colOff>268183</xdr:colOff>
      <xdr:row>25</xdr:row>
      <xdr:rowOff>32273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082028-3477-4832-894B-413F34602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192026</xdr:colOff>
      <xdr:row>9</xdr:row>
      <xdr:rowOff>1436</xdr:rowOff>
    </xdr:from>
    <xdr:to>
      <xdr:col>15</xdr:col>
      <xdr:colOff>190599</xdr:colOff>
      <xdr:row>24</xdr:row>
      <xdr:rowOff>33392</xdr:rowOff>
    </xdr:to>
    <xdr:graphicFrame macro="">
      <xdr:nvGraphicFramePr>
        <xdr:cNvPr id="9" name="Gráfico 1">
          <a:extLst>
            <a:ext uri="{FF2B5EF4-FFF2-40B4-BE49-F238E27FC236}">
              <a16:creationId xmlns:a16="http://schemas.microsoft.com/office/drawing/2014/main" id="{5EC41ABD-0504-4E21-9AF0-A99D6C866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198304</xdr:colOff>
      <xdr:row>9</xdr:row>
      <xdr:rowOff>42275</xdr:rowOff>
    </xdr:from>
    <xdr:to>
      <xdr:col>22</xdr:col>
      <xdr:colOff>196877</xdr:colOff>
      <xdr:row>24</xdr:row>
      <xdr:rowOff>75839</xdr:rowOff>
    </xdr:to>
    <xdr:graphicFrame macro="">
      <xdr:nvGraphicFramePr>
        <xdr:cNvPr id="10" name="Gráfico 1">
          <a:extLst>
            <a:ext uri="{FF2B5EF4-FFF2-40B4-BE49-F238E27FC236}">
              <a16:creationId xmlns:a16="http://schemas.microsoft.com/office/drawing/2014/main" id="{E8D8B933-9206-4C6F-89E3-707861A83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583248</xdr:colOff>
      <xdr:row>13</xdr:row>
      <xdr:rowOff>162671</xdr:rowOff>
    </xdr:from>
    <xdr:to>
      <xdr:col>33</xdr:col>
      <xdr:colOff>581822</xdr:colOff>
      <xdr:row>29</xdr:row>
      <xdr:rowOff>18604</xdr:rowOff>
    </xdr:to>
    <xdr:graphicFrame macro="">
      <xdr:nvGraphicFramePr>
        <xdr:cNvPr id="12" name="Gráfico 1">
          <a:extLst>
            <a:ext uri="{FF2B5EF4-FFF2-40B4-BE49-F238E27FC236}">
              <a16:creationId xmlns:a16="http://schemas.microsoft.com/office/drawing/2014/main" id="{B7A4F23A-23F4-4F0E-9860-78B449DC9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390071</xdr:colOff>
      <xdr:row>48</xdr:row>
      <xdr:rowOff>62817</xdr:rowOff>
    </xdr:from>
    <xdr:to>
      <xdr:col>13</xdr:col>
      <xdr:colOff>403678</xdr:colOff>
      <xdr:row>63</xdr:row>
      <xdr:rowOff>84589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79904BE-A27B-4CCF-9C5E-83A77F6EE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0</xdr:colOff>
      <xdr:row>16</xdr:row>
      <xdr:rowOff>0</xdr:rowOff>
    </xdr:from>
    <xdr:to>
      <xdr:col>40</xdr:col>
      <xdr:colOff>247560</xdr:colOff>
      <xdr:row>34</xdr:row>
      <xdr:rowOff>27347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972162B-C99C-49F3-BE00-59826E4BC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526916</xdr:colOff>
      <xdr:row>34</xdr:row>
      <xdr:rowOff>141862</xdr:rowOff>
    </xdr:from>
    <xdr:to>
      <xdr:col>39</xdr:col>
      <xdr:colOff>520422</xdr:colOff>
      <xdr:row>49</xdr:row>
      <xdr:rowOff>180189</xdr:rowOff>
    </xdr:to>
    <xdr:graphicFrame macro="">
      <xdr:nvGraphicFramePr>
        <xdr:cNvPr id="13" name="Gráfico 1">
          <a:extLst>
            <a:ext uri="{FF2B5EF4-FFF2-40B4-BE49-F238E27FC236}">
              <a16:creationId xmlns:a16="http://schemas.microsoft.com/office/drawing/2014/main" id="{1A50DC94-6B9E-4548-88ED-72678821F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1050119</xdr:colOff>
      <xdr:row>8</xdr:row>
      <xdr:rowOff>136432</xdr:rowOff>
    </xdr:from>
    <xdr:to>
      <xdr:col>9</xdr:col>
      <xdr:colOff>388825</xdr:colOff>
      <xdr:row>29</xdr:row>
      <xdr:rowOff>167142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AAC53-2C47-4581-A8B8-91AB51174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779608</xdr:colOff>
      <xdr:row>28</xdr:row>
      <xdr:rowOff>39247</xdr:rowOff>
    </xdr:from>
    <xdr:to>
      <xdr:col>9</xdr:col>
      <xdr:colOff>541855</xdr:colOff>
      <xdr:row>50</xdr:row>
      <xdr:rowOff>74734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6CA148-E681-4A87-8E34-5756D5C19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567196</xdr:colOff>
      <xdr:row>9</xdr:row>
      <xdr:rowOff>171205</xdr:rowOff>
    </xdr:from>
    <xdr:to>
      <xdr:col>26</xdr:col>
      <xdr:colOff>44650</xdr:colOff>
      <xdr:row>28</xdr:row>
      <xdr:rowOff>30445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5838D8-6DB6-4605-9B3C-AAB439D70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19045</xdr:colOff>
      <xdr:row>28</xdr:row>
      <xdr:rowOff>99504</xdr:rowOff>
    </xdr:from>
    <xdr:to>
      <xdr:col>17</xdr:col>
      <xdr:colOff>389206</xdr:colOff>
      <xdr:row>46</xdr:row>
      <xdr:rowOff>166890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F9BEE90A-7692-4693-8F2C-7698B074C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85827</xdr:colOff>
      <xdr:row>9</xdr:row>
      <xdr:rowOff>131119</xdr:rowOff>
    </xdr:from>
    <xdr:to>
      <xdr:col>17</xdr:col>
      <xdr:colOff>333387</xdr:colOff>
      <xdr:row>27</xdr:row>
      <xdr:rowOff>158466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6AC3331-D9C0-4898-A869-63B92F9D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126358</xdr:colOff>
      <xdr:row>44</xdr:row>
      <xdr:rowOff>151995</xdr:rowOff>
    </xdr:from>
    <xdr:to>
      <xdr:col>17</xdr:col>
      <xdr:colOff>373918</xdr:colOff>
      <xdr:row>62</xdr:row>
      <xdr:rowOff>179342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3FAF5F5-19D5-4D5D-83B7-9444780D0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showGridLines="0" topLeftCell="H1" zoomScale="81" zoomScaleNormal="100" workbookViewId="0">
      <selection activeCell="M43" sqref="M43"/>
    </sheetView>
  </sheetViews>
  <sheetFormatPr baseColWidth="10" defaultColWidth="9.1328125" defaultRowHeight="14.25" x14ac:dyDescent="0.45"/>
  <cols>
    <col min="2" max="2" width="21.265625" bestFit="1" customWidth="1"/>
    <col min="9" max="9" width="10.19921875" bestFit="1" customWidth="1"/>
    <col min="10" max="10" width="10.73046875" bestFit="1" customWidth="1"/>
    <col min="11" max="11" width="9.1328125" bestFit="1" customWidth="1"/>
    <col min="12" max="12" width="7.6640625" bestFit="1" customWidth="1"/>
    <col min="13" max="13" width="18.796875" bestFit="1" customWidth="1"/>
    <col min="14" max="14" width="17.86328125" bestFit="1" customWidth="1"/>
  </cols>
  <sheetData>
    <row r="2" spans="2:14" x14ac:dyDescent="0.45">
      <c r="B2" s="3"/>
      <c r="C2" s="128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</row>
    <row r="3" spans="2:14" x14ac:dyDescent="0.45">
      <c r="B3" s="3" t="s">
        <v>15</v>
      </c>
      <c r="C3" s="3">
        <v>1</v>
      </c>
      <c r="D3" s="3">
        <v>2</v>
      </c>
      <c r="E3" s="3">
        <v>3</v>
      </c>
      <c r="F3" s="3" t="s">
        <v>1</v>
      </c>
      <c r="G3" s="3" t="s">
        <v>2</v>
      </c>
      <c r="H3" s="3" t="s">
        <v>3</v>
      </c>
      <c r="I3" s="3" t="s">
        <v>13</v>
      </c>
      <c r="J3" s="3" t="s">
        <v>14</v>
      </c>
      <c r="K3" s="13" t="s">
        <v>25</v>
      </c>
      <c r="L3" s="3" t="s">
        <v>26</v>
      </c>
      <c r="M3" s="3" t="s">
        <v>19</v>
      </c>
      <c r="N3" s="3" t="s">
        <v>21</v>
      </c>
    </row>
    <row r="4" spans="2:14" x14ac:dyDescent="0.45">
      <c r="B4" s="3" t="s">
        <v>4</v>
      </c>
      <c r="C4" s="4">
        <v>18.3</v>
      </c>
      <c r="D4" s="4">
        <v>18.3</v>
      </c>
      <c r="E4" s="4">
        <v>18.3</v>
      </c>
      <c r="F4" s="4">
        <v>18.3</v>
      </c>
      <c r="G4" s="4">
        <v>18.3</v>
      </c>
      <c r="H4" s="4">
        <v>18.3</v>
      </c>
      <c r="I4" s="8">
        <v>0.66666666666666663</v>
      </c>
      <c r="J4" s="9">
        <f>0</f>
        <v>0</v>
      </c>
      <c r="K4" s="10">
        <f>AVERAGE(C4:E4)</f>
        <v>18.3</v>
      </c>
      <c r="L4" s="10">
        <f>AVERAGE(F4:H4)</f>
        <v>18.3</v>
      </c>
      <c r="M4" s="10">
        <f>_xlfn.STDEV.S(C4:E4)</f>
        <v>0</v>
      </c>
      <c r="N4" s="10">
        <f>_xlfn.STDEV.S(F4:H4)</f>
        <v>0</v>
      </c>
    </row>
    <row r="5" spans="2:14" x14ac:dyDescent="0.45">
      <c r="B5" s="3" t="s">
        <v>5</v>
      </c>
      <c r="C5" s="5">
        <v>18.5</v>
      </c>
      <c r="D5" s="5">
        <v>18.5</v>
      </c>
      <c r="E5" s="5">
        <v>18.5</v>
      </c>
      <c r="F5" s="5">
        <v>18.600000000000001</v>
      </c>
      <c r="G5" s="5">
        <v>18.399999999999999</v>
      </c>
      <c r="H5" s="5">
        <v>18.600000000000001</v>
      </c>
      <c r="I5" s="8">
        <v>0.4375</v>
      </c>
      <c r="J5" s="9">
        <f>(24-16)+48+10+0.5</f>
        <v>66.5</v>
      </c>
      <c r="K5" s="10">
        <f t="shared" ref="K5:K11" si="0">AVERAGE(C5:E5)</f>
        <v>18.5</v>
      </c>
      <c r="L5" s="10">
        <f t="shared" ref="L5:L11" si="1">AVERAGE(F5:H5)</f>
        <v>18.533333333333335</v>
      </c>
      <c r="M5" s="10">
        <f t="shared" ref="M5:M11" si="2">_xlfn.STDEV.S(C5:E5)</f>
        <v>0</v>
      </c>
      <c r="N5" s="10">
        <f t="shared" ref="N5:N10" si="3">_xlfn.STDEV.S(F5:H5)</f>
        <v>0.1154700538379268</v>
      </c>
    </row>
    <row r="6" spans="2:14" x14ac:dyDescent="0.45">
      <c r="B6" s="3" t="s">
        <v>6</v>
      </c>
      <c r="C6" s="4">
        <v>18.3</v>
      </c>
      <c r="D6" s="4">
        <v>18.399999999999999</v>
      </c>
      <c r="E6" s="4">
        <v>18.399999999999999</v>
      </c>
      <c r="F6" s="4">
        <v>18.5</v>
      </c>
      <c r="G6" s="4">
        <v>18.600000000000001</v>
      </c>
      <c r="H6" s="4">
        <v>18.600000000000001</v>
      </c>
      <c r="I6" s="8">
        <v>0.625</v>
      </c>
      <c r="J6" s="9">
        <f>(24-10-0.5)+24+12+3+J5</f>
        <v>119</v>
      </c>
      <c r="K6" s="10">
        <f t="shared" si="0"/>
        <v>18.366666666666667</v>
      </c>
      <c r="L6" s="10">
        <f t="shared" si="1"/>
        <v>18.566666666666666</v>
      </c>
      <c r="M6" s="10">
        <f t="shared" si="2"/>
        <v>5.7735026918961346E-2</v>
      </c>
      <c r="N6" s="10">
        <f t="shared" si="3"/>
        <v>5.77350269189634E-2</v>
      </c>
    </row>
    <row r="7" spans="2:14" x14ac:dyDescent="0.45">
      <c r="B7" s="3" t="s">
        <v>7</v>
      </c>
      <c r="C7" s="4">
        <v>18.3</v>
      </c>
      <c r="D7" s="4">
        <v>18.3</v>
      </c>
      <c r="E7" s="4">
        <v>18.399999999999999</v>
      </c>
      <c r="F7" s="4">
        <v>18.600000000000001</v>
      </c>
      <c r="G7" s="4">
        <v>18.600000000000001</v>
      </c>
      <c r="H7" s="4">
        <v>18.7</v>
      </c>
      <c r="I7" s="8">
        <v>0.625</v>
      </c>
      <c r="J7" s="9">
        <f>(24-3-12)+24+12+3+J6</f>
        <v>167</v>
      </c>
      <c r="K7" s="10">
        <f t="shared" si="0"/>
        <v>18.333333333333332</v>
      </c>
      <c r="L7" s="10">
        <f t="shared" si="1"/>
        <v>18.633333333333336</v>
      </c>
      <c r="M7" s="10">
        <f t="shared" si="2"/>
        <v>5.7735026918961346E-2</v>
      </c>
      <c r="N7" s="10">
        <f t="shared" si="3"/>
        <v>5.7735026918961339E-2</v>
      </c>
    </row>
    <row r="8" spans="2:14" x14ac:dyDescent="0.45">
      <c r="B8" s="3" t="s">
        <v>8</v>
      </c>
      <c r="C8" s="4">
        <v>18.600000000000001</v>
      </c>
      <c r="D8" s="4">
        <v>18.7</v>
      </c>
      <c r="E8" s="4">
        <v>18.600000000000001</v>
      </c>
      <c r="F8" s="4">
        <v>18.7</v>
      </c>
      <c r="G8" s="4">
        <v>18.8</v>
      </c>
      <c r="H8" s="4">
        <v>18.7</v>
      </c>
      <c r="I8" s="8">
        <v>0.4236111111111111</v>
      </c>
      <c r="J8" s="9">
        <f>J7+(24-3-12)+48+10+10/60</f>
        <v>234.16666666666666</v>
      </c>
      <c r="K8" s="10">
        <f t="shared" si="0"/>
        <v>18.633333333333333</v>
      </c>
      <c r="L8" s="10">
        <f t="shared" si="1"/>
        <v>18.733333333333334</v>
      </c>
      <c r="M8" s="10">
        <f t="shared" si="2"/>
        <v>5.7735026918961346E-2</v>
      </c>
      <c r="N8" s="10">
        <f t="shared" si="3"/>
        <v>5.77350269189634E-2</v>
      </c>
    </row>
    <row r="9" spans="2:14" x14ac:dyDescent="0.45">
      <c r="B9" s="3" t="s">
        <v>9</v>
      </c>
      <c r="C9" s="4">
        <v>18.100000000000001</v>
      </c>
      <c r="D9" s="4">
        <v>18.3</v>
      </c>
      <c r="E9" s="4">
        <v>18.2</v>
      </c>
      <c r="F9" s="4">
        <v>18.5</v>
      </c>
      <c r="G9" s="4">
        <v>18.5</v>
      </c>
      <c r="H9" s="4">
        <v>18.5</v>
      </c>
      <c r="I9" s="8">
        <v>0.68958333333333333</v>
      </c>
      <c r="J9" s="10">
        <f>J8+(24-10-10/60)+24+12+4+33/60</f>
        <v>288.55</v>
      </c>
      <c r="K9" s="10">
        <f t="shared" si="0"/>
        <v>18.200000000000003</v>
      </c>
      <c r="L9" s="10">
        <f t="shared" si="1"/>
        <v>18.5</v>
      </c>
      <c r="M9" s="10">
        <f t="shared" si="2"/>
        <v>9.9999999999999645E-2</v>
      </c>
      <c r="N9" s="10">
        <f t="shared" si="3"/>
        <v>0</v>
      </c>
    </row>
    <row r="10" spans="2:14" x14ac:dyDescent="0.45">
      <c r="B10" s="3" t="s">
        <v>10</v>
      </c>
      <c r="C10" s="4">
        <v>18.5</v>
      </c>
      <c r="D10" s="4">
        <v>18.3</v>
      </c>
      <c r="E10" s="4">
        <v>18.3</v>
      </c>
      <c r="F10" s="4">
        <v>18.600000000000001</v>
      </c>
      <c r="G10" s="4">
        <v>18.5</v>
      </c>
      <c r="H10" s="4">
        <v>18.600000000000001</v>
      </c>
      <c r="I10" s="8">
        <v>0.45833333333333331</v>
      </c>
      <c r="J10" s="10">
        <f>J9+(24-4-12-33/60)+24+11</f>
        <v>331</v>
      </c>
      <c r="K10" s="10">
        <f t="shared" si="0"/>
        <v>18.366666666666664</v>
      </c>
      <c r="L10" s="10">
        <f t="shared" si="1"/>
        <v>18.566666666666666</v>
      </c>
      <c r="M10" s="10">
        <f t="shared" si="2"/>
        <v>0.11547005383792475</v>
      </c>
      <c r="N10" s="10">
        <f t="shared" si="3"/>
        <v>5.77350269189634E-2</v>
      </c>
    </row>
    <row r="11" spans="2:14" x14ac:dyDescent="0.45">
      <c r="B11" s="3" t="s">
        <v>11</v>
      </c>
      <c r="C11" s="4">
        <v>18.399999999999999</v>
      </c>
      <c r="D11" s="4">
        <v>18</v>
      </c>
      <c r="E11" s="4">
        <v>18.3</v>
      </c>
      <c r="F11" s="4">
        <v>18.5</v>
      </c>
      <c r="G11" s="4">
        <v>18.600000000000001</v>
      </c>
      <c r="H11" s="4">
        <v>18.600000000000001</v>
      </c>
      <c r="I11" s="8">
        <v>0.54166666666666663</v>
      </c>
      <c r="J11" s="10">
        <f>J10+(24-11)+48+12+1</f>
        <v>405</v>
      </c>
      <c r="K11" s="10">
        <f t="shared" si="0"/>
        <v>18.233333333333334</v>
      </c>
      <c r="L11" s="10">
        <f t="shared" si="1"/>
        <v>18.566666666666666</v>
      </c>
      <c r="M11" s="10">
        <f t="shared" si="2"/>
        <v>0.20816659994661282</v>
      </c>
      <c r="N11" s="10">
        <f>_xlfn.STDEV.S(F11:H11)</f>
        <v>5.77350269189634E-2</v>
      </c>
    </row>
    <row r="12" spans="2:14" x14ac:dyDescent="0.45">
      <c r="B12" s="2"/>
      <c r="C12" s="2"/>
      <c r="D12" s="2"/>
      <c r="E12" s="2"/>
      <c r="F12" s="2"/>
      <c r="G12" s="2"/>
      <c r="H12" s="2"/>
      <c r="I12" s="2"/>
    </row>
    <row r="13" spans="2:14" x14ac:dyDescent="0.45">
      <c r="B13" s="1"/>
      <c r="C13" s="128" t="s">
        <v>12</v>
      </c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</row>
    <row r="14" spans="2:14" x14ac:dyDescent="0.45">
      <c r="B14" s="3" t="s">
        <v>15</v>
      </c>
      <c r="C14" s="3">
        <v>1</v>
      </c>
      <c r="D14" s="3">
        <v>2</v>
      </c>
      <c r="E14" s="3">
        <v>3</v>
      </c>
      <c r="F14" s="3" t="s">
        <v>1</v>
      </c>
      <c r="G14" s="3" t="s">
        <v>2</v>
      </c>
      <c r="H14" s="3" t="s">
        <v>3</v>
      </c>
      <c r="I14" s="3" t="s">
        <v>13</v>
      </c>
      <c r="J14" s="3" t="s">
        <v>14</v>
      </c>
      <c r="K14" s="13" t="s">
        <v>23</v>
      </c>
      <c r="L14" s="3" t="s">
        <v>24</v>
      </c>
      <c r="M14" s="3" t="s">
        <v>19</v>
      </c>
      <c r="N14" s="3" t="s">
        <v>20</v>
      </c>
    </row>
    <row r="15" spans="2:14" x14ac:dyDescent="0.45">
      <c r="B15" s="3" t="s">
        <v>4</v>
      </c>
      <c r="C15" s="4">
        <v>18.3</v>
      </c>
      <c r="D15" s="4">
        <v>18.399999999999999</v>
      </c>
      <c r="E15" s="4">
        <v>18.3</v>
      </c>
      <c r="F15" s="4">
        <v>18.3</v>
      </c>
      <c r="G15" s="4">
        <v>18.3</v>
      </c>
      <c r="H15" s="4">
        <v>18.3</v>
      </c>
      <c r="I15" s="8">
        <v>0.66666666666666663</v>
      </c>
      <c r="J15" s="9">
        <f>0</f>
        <v>0</v>
      </c>
      <c r="K15" s="10">
        <f>AVERAGE(C15:E15)</f>
        <v>18.333333333333332</v>
      </c>
      <c r="L15" s="10">
        <f>AVERAGE(F15:H15)</f>
        <v>18.3</v>
      </c>
      <c r="M15" s="10">
        <f>_xlfn.STDEV.S(C15:E15)</f>
        <v>5.7735026918961346E-2</v>
      </c>
      <c r="N15" s="10">
        <f>_xlfn.STDEV.S(F15:H15)</f>
        <v>0</v>
      </c>
    </row>
    <row r="16" spans="2:14" x14ac:dyDescent="0.45">
      <c r="B16" s="3" t="s">
        <v>5</v>
      </c>
      <c r="C16" s="5">
        <v>18.5</v>
      </c>
      <c r="D16" s="5">
        <v>18.600000000000001</v>
      </c>
      <c r="E16" s="5">
        <v>18.5</v>
      </c>
      <c r="F16" s="5">
        <v>18.2</v>
      </c>
      <c r="G16" s="5">
        <v>18.600000000000001</v>
      </c>
      <c r="H16" s="5">
        <v>18.2</v>
      </c>
      <c r="I16" s="8">
        <v>0.4375</v>
      </c>
      <c r="J16" s="9">
        <f>(24-16)+48+10+0.5</f>
        <v>66.5</v>
      </c>
      <c r="K16" s="10">
        <f t="shared" ref="K16:K22" si="4">AVERAGE(C16:E16)</f>
        <v>18.533333333333335</v>
      </c>
      <c r="L16" s="10">
        <f t="shared" ref="L16:L22" si="5">AVERAGE(F16:H16)</f>
        <v>18.333333333333332</v>
      </c>
      <c r="M16" s="10">
        <f t="shared" ref="M16:M22" si="6">_xlfn.STDEV.S(C16:E16)</f>
        <v>5.77350269189634E-2</v>
      </c>
      <c r="N16" s="10">
        <f t="shared" ref="N16:N22" si="7">_xlfn.STDEV.S(F16:H16)</f>
        <v>0.23094010767585155</v>
      </c>
    </row>
    <row r="17" spans="2:14" x14ac:dyDescent="0.45">
      <c r="B17" s="3" t="s">
        <v>6</v>
      </c>
      <c r="C17" s="6">
        <v>18.5</v>
      </c>
      <c r="D17" s="6">
        <v>18.600000000000001</v>
      </c>
      <c r="E17" s="6">
        <v>18.5</v>
      </c>
      <c r="F17" s="6">
        <v>18.2</v>
      </c>
      <c r="G17" s="6">
        <v>18.600000000000001</v>
      </c>
      <c r="H17" s="6">
        <v>18.3</v>
      </c>
      <c r="I17" s="8">
        <v>0.625</v>
      </c>
      <c r="J17" s="9">
        <f>(24-10-0.5)+24+12+3+J16</f>
        <v>119</v>
      </c>
      <c r="K17" s="10">
        <f t="shared" si="4"/>
        <v>18.533333333333335</v>
      </c>
      <c r="L17" s="10">
        <f t="shared" si="5"/>
        <v>18.366666666666664</v>
      </c>
      <c r="M17" s="10">
        <f t="shared" si="6"/>
        <v>5.77350269189634E-2</v>
      </c>
      <c r="N17" s="10">
        <f t="shared" si="7"/>
        <v>0.20816659994661424</v>
      </c>
    </row>
    <row r="18" spans="2:14" x14ac:dyDescent="0.45">
      <c r="B18" s="3" t="s">
        <v>7</v>
      </c>
      <c r="C18" s="4">
        <v>18.5</v>
      </c>
      <c r="D18" s="4">
        <v>18.7</v>
      </c>
      <c r="E18" s="4">
        <v>18.600000000000001</v>
      </c>
      <c r="F18" s="4">
        <v>18</v>
      </c>
      <c r="G18" s="4">
        <v>18.7</v>
      </c>
      <c r="H18" s="4">
        <v>18.100000000000001</v>
      </c>
      <c r="I18" s="8">
        <v>0.625</v>
      </c>
      <c r="J18" s="9">
        <f>(24-3-12)+24+12+3+J17</f>
        <v>167</v>
      </c>
      <c r="K18" s="10">
        <f t="shared" si="4"/>
        <v>18.600000000000001</v>
      </c>
      <c r="L18" s="10">
        <f t="shared" si="5"/>
        <v>18.266666666666669</v>
      </c>
      <c r="M18" s="10">
        <f t="shared" si="6"/>
        <v>9.9999999999999645E-2</v>
      </c>
      <c r="N18" s="10">
        <f t="shared" si="7"/>
        <v>0.37859388972001751</v>
      </c>
    </row>
    <row r="19" spans="2:14" x14ac:dyDescent="0.45">
      <c r="B19" s="3" t="s">
        <v>8</v>
      </c>
      <c r="C19" s="4">
        <v>18.5</v>
      </c>
      <c r="D19" s="4">
        <v>18.600000000000001</v>
      </c>
      <c r="E19" s="4">
        <v>18.600000000000001</v>
      </c>
      <c r="F19" s="4">
        <v>18.2</v>
      </c>
      <c r="G19" s="4">
        <v>18.600000000000001</v>
      </c>
      <c r="H19" s="4">
        <v>18.2</v>
      </c>
      <c r="I19" s="8">
        <v>0.4236111111111111</v>
      </c>
      <c r="J19" s="9">
        <f>J18+(24-3-12)+48+10+10/60</f>
        <v>234.16666666666666</v>
      </c>
      <c r="K19" s="10">
        <f t="shared" si="4"/>
        <v>18.566666666666666</v>
      </c>
      <c r="L19" s="10">
        <f t="shared" si="5"/>
        <v>18.333333333333332</v>
      </c>
      <c r="M19" s="10">
        <f t="shared" si="6"/>
        <v>5.77350269189634E-2</v>
      </c>
      <c r="N19" s="10">
        <f t="shared" si="7"/>
        <v>0.23094010767585155</v>
      </c>
    </row>
    <row r="20" spans="2:14" x14ac:dyDescent="0.45">
      <c r="B20" s="3" t="s">
        <v>9</v>
      </c>
      <c r="C20" s="4">
        <v>18.399999999999999</v>
      </c>
      <c r="D20" s="4">
        <v>18.5</v>
      </c>
      <c r="E20" s="4">
        <v>18.399999999999999</v>
      </c>
      <c r="F20" s="4">
        <v>18.600000000000001</v>
      </c>
      <c r="G20" s="4">
        <v>18.600000000000001</v>
      </c>
      <c r="H20" s="4">
        <v>18</v>
      </c>
      <c r="I20" s="8">
        <v>0.68958333333333333</v>
      </c>
      <c r="J20" s="10">
        <f>J19+(24-10-10/60)+24+12+4+33/60</f>
        <v>288.55</v>
      </c>
      <c r="K20" s="10">
        <f t="shared" si="4"/>
        <v>18.433333333333334</v>
      </c>
      <c r="L20" s="10">
        <f t="shared" si="5"/>
        <v>18.400000000000002</v>
      </c>
      <c r="M20" s="10">
        <f t="shared" si="6"/>
        <v>5.77350269189634E-2</v>
      </c>
      <c r="N20" s="10">
        <f t="shared" si="7"/>
        <v>0.34641016151377629</v>
      </c>
    </row>
    <row r="21" spans="2:14" x14ac:dyDescent="0.45">
      <c r="B21" s="3" t="s">
        <v>10</v>
      </c>
      <c r="C21" s="4">
        <v>18.5</v>
      </c>
      <c r="D21" s="4">
        <v>18.7</v>
      </c>
      <c r="E21" s="4">
        <v>18.600000000000001</v>
      </c>
      <c r="F21" s="4">
        <v>18</v>
      </c>
      <c r="G21" s="4">
        <v>18.600000000000001</v>
      </c>
      <c r="H21" s="4">
        <v>17.7</v>
      </c>
      <c r="I21" s="8">
        <v>0.45833333333333331</v>
      </c>
      <c r="J21" s="10">
        <f>J20+(24-4-12-33/60)+24+11</f>
        <v>331</v>
      </c>
      <c r="K21" s="10">
        <f t="shared" si="4"/>
        <v>18.600000000000001</v>
      </c>
      <c r="L21" s="10">
        <f t="shared" si="5"/>
        <v>18.099999999999998</v>
      </c>
      <c r="M21" s="10">
        <f t="shared" si="6"/>
        <v>9.9999999999999645E-2</v>
      </c>
      <c r="N21" s="10">
        <f t="shared" si="7"/>
        <v>0.4582575694955851</v>
      </c>
    </row>
    <row r="22" spans="2:14" x14ac:dyDescent="0.45">
      <c r="B22" s="3" t="s">
        <v>11</v>
      </c>
      <c r="C22" s="4">
        <v>18.399999999999999</v>
      </c>
      <c r="D22" s="4">
        <v>18.600000000000001</v>
      </c>
      <c r="E22" s="4">
        <v>18.5</v>
      </c>
      <c r="F22" s="4">
        <v>18.2</v>
      </c>
      <c r="G22" s="4">
        <v>18.600000000000001</v>
      </c>
      <c r="H22" s="4">
        <v>18.2</v>
      </c>
      <c r="I22" s="8">
        <v>0.54166666666666663</v>
      </c>
      <c r="J22" s="10">
        <f>J21+(24-11)+48+12+1</f>
        <v>405</v>
      </c>
      <c r="K22" s="10">
        <f t="shared" si="4"/>
        <v>18.5</v>
      </c>
      <c r="L22" s="10">
        <f t="shared" si="5"/>
        <v>18.333333333333332</v>
      </c>
      <c r="M22" s="10">
        <f t="shared" si="6"/>
        <v>0.10000000000000142</v>
      </c>
      <c r="N22" s="10">
        <f t="shared" si="7"/>
        <v>0.23094010767585155</v>
      </c>
    </row>
    <row r="24" spans="2:14" x14ac:dyDescent="0.45">
      <c r="B24" s="127" t="s">
        <v>28</v>
      </c>
      <c r="C24" s="127"/>
    </row>
    <row r="25" spans="2:14" x14ac:dyDescent="0.45">
      <c r="B25" s="3" t="s">
        <v>16</v>
      </c>
      <c r="C25" s="12">
        <v>2</v>
      </c>
    </row>
    <row r="26" spans="2:14" x14ac:dyDescent="0.45">
      <c r="B26" s="12" t="s">
        <v>17</v>
      </c>
      <c r="C26" s="12">
        <v>5</v>
      </c>
    </row>
    <row r="27" spans="2:14" x14ac:dyDescent="0.45">
      <c r="B27" s="11" t="s">
        <v>22</v>
      </c>
      <c r="C27" s="12">
        <v>0.2</v>
      </c>
    </row>
    <row r="28" spans="2:14" x14ac:dyDescent="0.45">
      <c r="B28" s="14" t="s">
        <v>27</v>
      </c>
      <c r="C28" s="14">
        <v>60</v>
      </c>
    </row>
  </sheetData>
  <mergeCells count="3">
    <mergeCell ref="B24:C24"/>
    <mergeCell ref="C13:N13"/>
    <mergeCell ref="C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DA9-1B2B-4526-AFEE-29F91D5C3789}">
  <dimension ref="A1:AG13"/>
  <sheetViews>
    <sheetView showGridLines="0" topLeftCell="U5" zoomScaleNormal="100" workbookViewId="0">
      <selection activeCell="W37" sqref="W37"/>
    </sheetView>
  </sheetViews>
  <sheetFormatPr baseColWidth="10" defaultColWidth="11.3984375" defaultRowHeight="14.25" x14ac:dyDescent="0.45"/>
  <cols>
    <col min="1" max="1" width="9.1328125" style="7" bestFit="1" customWidth="1"/>
    <col min="2" max="2" width="10.19921875" style="7" bestFit="1" customWidth="1"/>
    <col min="3" max="3" width="10.73046875" style="7" bestFit="1" customWidth="1"/>
    <col min="4" max="21" width="5" style="7" bestFit="1" customWidth="1"/>
    <col min="22" max="22" width="14" style="7" bestFit="1" customWidth="1"/>
    <col min="23" max="23" width="15.73046875" style="7" bestFit="1" customWidth="1"/>
    <col min="24" max="24" width="15.59765625" style="7" bestFit="1" customWidth="1"/>
    <col min="25" max="26" width="17.73046875" style="7" bestFit="1" customWidth="1"/>
    <col min="27" max="27" width="6.86328125" style="7" bestFit="1" customWidth="1"/>
    <col min="28" max="28" width="14" style="7" bestFit="1" customWidth="1"/>
    <col min="29" max="29" width="15.73046875" style="7" bestFit="1" customWidth="1"/>
    <col min="30" max="30" width="15.59765625" style="7" bestFit="1" customWidth="1"/>
    <col min="31" max="32" width="17.73046875" style="7" bestFit="1" customWidth="1"/>
    <col min="33" max="33" width="6.86328125" style="7" bestFit="1" customWidth="1"/>
    <col min="34" max="16384" width="11.3984375" style="7"/>
  </cols>
  <sheetData>
    <row r="1" spans="1:33" ht="14.65" thickBot="1" x14ac:dyDescent="0.5"/>
    <row r="2" spans="1:33" ht="14.65" thickBot="1" x14ac:dyDescent="0.5">
      <c r="D2" s="131" t="s">
        <v>50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3"/>
    </row>
    <row r="3" spans="1:33" ht="30" customHeight="1" x14ac:dyDescent="0.45">
      <c r="A3" s="39" t="s">
        <v>44</v>
      </c>
      <c r="B3" s="129"/>
      <c r="C3" s="130"/>
      <c r="D3" s="137" t="s">
        <v>29</v>
      </c>
      <c r="E3" s="138"/>
      <c r="F3" s="138"/>
      <c r="G3" s="138" t="s">
        <v>30</v>
      </c>
      <c r="H3" s="138"/>
      <c r="I3" s="138"/>
      <c r="J3" s="138" t="s">
        <v>31</v>
      </c>
      <c r="K3" s="138"/>
      <c r="L3" s="138"/>
      <c r="M3" s="139" t="s">
        <v>32</v>
      </c>
      <c r="N3" s="139"/>
      <c r="O3" s="139"/>
      <c r="P3" s="139" t="s">
        <v>33</v>
      </c>
      <c r="Q3" s="139"/>
      <c r="R3" s="139"/>
      <c r="S3" s="138" t="s">
        <v>34</v>
      </c>
      <c r="T3" s="138"/>
      <c r="U3" s="140"/>
      <c r="V3" s="134" t="s">
        <v>18</v>
      </c>
      <c r="W3" s="135"/>
      <c r="X3" s="135"/>
      <c r="Y3" s="135"/>
      <c r="Z3" s="135"/>
      <c r="AA3" s="136"/>
      <c r="AB3" s="134" t="s">
        <v>51</v>
      </c>
      <c r="AC3" s="135"/>
      <c r="AD3" s="135"/>
      <c r="AE3" s="135"/>
      <c r="AF3" s="135"/>
      <c r="AG3" s="136"/>
    </row>
    <row r="4" spans="1:33" s="20" customFormat="1" ht="21.75" customHeight="1" x14ac:dyDescent="0.45">
      <c r="A4" s="23" t="s">
        <v>15</v>
      </c>
      <c r="B4" s="19" t="s">
        <v>13</v>
      </c>
      <c r="C4" s="33" t="s">
        <v>14</v>
      </c>
      <c r="D4" s="23">
        <v>1</v>
      </c>
      <c r="E4" s="18">
        <v>2</v>
      </c>
      <c r="F4" s="18">
        <v>3</v>
      </c>
      <c r="G4" s="18">
        <v>1</v>
      </c>
      <c r="H4" s="18">
        <v>2</v>
      </c>
      <c r="I4" s="18">
        <v>3</v>
      </c>
      <c r="J4" s="18">
        <v>1</v>
      </c>
      <c r="K4" s="18">
        <v>2</v>
      </c>
      <c r="L4" s="18">
        <v>3</v>
      </c>
      <c r="M4" s="18">
        <v>1</v>
      </c>
      <c r="N4" s="18">
        <v>2</v>
      </c>
      <c r="O4" s="18">
        <v>3</v>
      </c>
      <c r="P4" s="18">
        <v>1</v>
      </c>
      <c r="Q4" s="18">
        <v>2</v>
      </c>
      <c r="R4" s="18">
        <v>3</v>
      </c>
      <c r="S4" s="18">
        <v>1</v>
      </c>
      <c r="T4" s="18">
        <v>2</v>
      </c>
      <c r="U4" s="24">
        <v>3</v>
      </c>
      <c r="V4" s="23" t="s">
        <v>45</v>
      </c>
      <c r="W4" s="18" t="s">
        <v>46</v>
      </c>
      <c r="X4" s="18" t="s">
        <v>47</v>
      </c>
      <c r="Y4" s="18" t="s">
        <v>48</v>
      </c>
      <c r="Z4" s="18" t="s">
        <v>49</v>
      </c>
      <c r="AA4" s="24" t="s">
        <v>34</v>
      </c>
      <c r="AB4" s="23" t="s">
        <v>45</v>
      </c>
      <c r="AC4" s="18" t="s">
        <v>46</v>
      </c>
      <c r="AD4" s="18" t="s">
        <v>47</v>
      </c>
      <c r="AE4" s="18" t="s">
        <v>48</v>
      </c>
      <c r="AF4" s="18" t="s">
        <v>49</v>
      </c>
      <c r="AG4" s="24" t="s">
        <v>34</v>
      </c>
    </row>
    <row r="5" spans="1:33" x14ac:dyDescent="0.45">
      <c r="A5" s="34" t="s">
        <v>35</v>
      </c>
      <c r="B5" s="17">
        <v>0.43333333333333335</v>
      </c>
      <c r="C5" s="22">
        <v>0</v>
      </c>
      <c r="D5" s="34">
        <v>20.5</v>
      </c>
      <c r="E5" s="12">
        <v>20.5</v>
      </c>
      <c r="F5" s="12">
        <v>20.5</v>
      </c>
      <c r="G5" s="12">
        <v>20.399999999999999</v>
      </c>
      <c r="H5" s="12">
        <v>20.399999999999999</v>
      </c>
      <c r="I5" s="12">
        <v>20.5</v>
      </c>
      <c r="J5" s="12">
        <v>20.5</v>
      </c>
      <c r="K5" s="12">
        <v>20.5</v>
      </c>
      <c r="L5" s="12">
        <v>20.5</v>
      </c>
      <c r="M5" s="12">
        <v>20.5</v>
      </c>
      <c r="N5" s="12">
        <v>20.5</v>
      </c>
      <c r="O5" s="12">
        <v>20.5</v>
      </c>
      <c r="P5" s="12">
        <v>20.399999999999999</v>
      </c>
      <c r="Q5" s="12">
        <v>20.399999999999999</v>
      </c>
      <c r="R5" s="12">
        <v>20.399999999999999</v>
      </c>
      <c r="S5" s="12">
        <v>20.399999999999999</v>
      </c>
      <c r="T5" s="12">
        <v>20.399999999999999</v>
      </c>
      <c r="U5" s="35">
        <v>20.399999999999999</v>
      </c>
      <c r="V5" s="25">
        <f>AVERAGE(D5:F5)</f>
        <v>20.5</v>
      </c>
      <c r="W5" s="21">
        <f>AVERAGE(G5:I5)</f>
        <v>20.433333333333334</v>
      </c>
      <c r="X5" s="21">
        <f>AVERAGE(J5:L5)</f>
        <v>20.5</v>
      </c>
      <c r="Y5" s="21">
        <f>AVERAGE(M5:O5)</f>
        <v>20.5</v>
      </c>
      <c r="Z5" s="21">
        <f>AVERAGE(P5:R5)</f>
        <v>20.399999999999999</v>
      </c>
      <c r="AA5" s="26">
        <f>AVERAGE(S5:U5)</f>
        <v>20.399999999999999</v>
      </c>
      <c r="AB5" s="23">
        <f>_xlfn.STDEV.S(D5:F5)</f>
        <v>0</v>
      </c>
      <c r="AC5" s="21">
        <f>_xlfn.STDEV.S(G5:I5)</f>
        <v>5.77350269189634E-2</v>
      </c>
      <c r="AD5" s="21">
        <f>_xlfn.STDEV.S(J5:L5)</f>
        <v>0</v>
      </c>
      <c r="AE5" s="21">
        <f>_xlfn.STDEV.S(M5:O5)</f>
        <v>0</v>
      </c>
      <c r="AF5" s="21">
        <f>_xlfn.STDEV.S(P5:R5)</f>
        <v>0</v>
      </c>
      <c r="AG5" s="26">
        <f>_xlfn.STDEV.S(S5:U5)</f>
        <v>0</v>
      </c>
    </row>
    <row r="6" spans="1:33" x14ac:dyDescent="0.45">
      <c r="A6" s="34" t="s">
        <v>36</v>
      </c>
      <c r="B6" s="16">
        <v>0.625</v>
      </c>
      <c r="C6" s="22">
        <f>(24-10-24/60)+24+12+3</f>
        <v>52.6</v>
      </c>
      <c r="D6" s="34">
        <v>20.6</v>
      </c>
      <c r="E6" s="12">
        <v>20.6</v>
      </c>
      <c r="F6" s="12">
        <v>20.6</v>
      </c>
      <c r="G6" s="12">
        <v>20.5</v>
      </c>
      <c r="H6" s="12">
        <v>20.6</v>
      </c>
      <c r="I6" s="12">
        <v>20.6</v>
      </c>
      <c r="J6" s="12">
        <v>20.7</v>
      </c>
      <c r="K6" s="12">
        <v>20.7</v>
      </c>
      <c r="L6" s="12">
        <v>20.7</v>
      </c>
      <c r="M6" s="12">
        <v>20.3</v>
      </c>
      <c r="N6" s="12">
        <v>20.399999999999999</v>
      </c>
      <c r="O6" s="12">
        <v>20.5</v>
      </c>
      <c r="P6" s="12">
        <v>19.2</v>
      </c>
      <c r="Q6" s="12">
        <v>19.5</v>
      </c>
      <c r="R6" s="12">
        <v>19.2</v>
      </c>
      <c r="S6" s="12">
        <v>20.7</v>
      </c>
      <c r="T6" s="12">
        <v>20.7</v>
      </c>
      <c r="U6" s="35">
        <v>20.7</v>
      </c>
      <c r="V6" s="25">
        <f t="shared" ref="V6:V13" si="0">AVERAGE(D6:F6)</f>
        <v>20.6</v>
      </c>
      <c r="W6" s="21">
        <f t="shared" ref="W6:W13" si="1">AVERAGE(G6:I6)</f>
        <v>20.566666666666666</v>
      </c>
      <c r="X6" s="21">
        <f t="shared" ref="X6:X13" si="2">AVERAGE(J6:L6)</f>
        <v>20.7</v>
      </c>
      <c r="Y6" s="21">
        <f t="shared" ref="Y6:Y13" si="3">AVERAGE(M6:O6)</f>
        <v>20.400000000000002</v>
      </c>
      <c r="Z6" s="21">
        <f t="shared" ref="Z6:Z13" si="4">AVERAGE(P6:R6)</f>
        <v>19.3</v>
      </c>
      <c r="AA6" s="26">
        <f t="shared" ref="AA6:AA13" si="5">AVERAGE(S6:U6)</f>
        <v>20.7</v>
      </c>
      <c r="AB6" s="23">
        <f t="shared" ref="AB6:AB13" si="6">_xlfn.STDEV.S(D6:F6)</f>
        <v>0</v>
      </c>
      <c r="AC6" s="21">
        <f t="shared" ref="AC6:AC13" si="7">_xlfn.STDEV.S(G6:I6)</f>
        <v>5.77350269189634E-2</v>
      </c>
      <c r="AD6" s="21">
        <f t="shared" ref="AD6:AD13" si="8">_xlfn.STDEV.S(J6:L6)</f>
        <v>0</v>
      </c>
      <c r="AE6" s="21">
        <f t="shared" ref="AE6:AE13" si="9">_xlfn.STDEV.S(M6:O6)</f>
        <v>9.9999999999999645E-2</v>
      </c>
      <c r="AF6" s="21">
        <f t="shared" ref="AF6:AF13" si="10">_xlfn.STDEV.S(P6:R6)</f>
        <v>0.17320508075688815</v>
      </c>
      <c r="AG6" s="26">
        <f t="shared" ref="AG6:AG13" si="11">_xlfn.STDEV.S(S6:U6)</f>
        <v>0</v>
      </c>
    </row>
    <row r="7" spans="1:33" x14ac:dyDescent="0.45">
      <c r="A7" s="34" t="s">
        <v>37</v>
      </c>
      <c r="B7" s="16">
        <v>0.45833333333333331</v>
      </c>
      <c r="C7" s="22">
        <f>(24-12-3)+24+11+C6</f>
        <v>96.6</v>
      </c>
      <c r="D7" s="34">
        <v>20.7</v>
      </c>
      <c r="E7" s="12">
        <v>20.7</v>
      </c>
      <c r="F7" s="12">
        <v>20.7</v>
      </c>
      <c r="G7" s="12">
        <v>20.7</v>
      </c>
      <c r="H7" s="12">
        <v>20.7</v>
      </c>
      <c r="I7" s="12">
        <v>20.6</v>
      </c>
      <c r="J7" s="12">
        <v>20.3</v>
      </c>
      <c r="K7" s="12">
        <v>20.3</v>
      </c>
      <c r="L7" s="12">
        <v>20.3</v>
      </c>
      <c r="M7" s="15">
        <v>20</v>
      </c>
      <c r="N7" s="15">
        <v>20</v>
      </c>
      <c r="O7" s="12">
        <v>20.100000000000001</v>
      </c>
      <c r="P7" s="12">
        <v>18.100000000000001</v>
      </c>
      <c r="Q7" s="12">
        <v>18.899999999999999</v>
      </c>
      <c r="R7" s="12">
        <v>18.100000000000001</v>
      </c>
      <c r="S7" s="12">
        <v>20.8</v>
      </c>
      <c r="T7" s="12">
        <v>20.7</v>
      </c>
      <c r="U7" s="35">
        <v>20.7</v>
      </c>
      <c r="V7" s="25">
        <f t="shared" si="0"/>
        <v>20.7</v>
      </c>
      <c r="W7" s="21">
        <f t="shared" si="1"/>
        <v>20.666666666666668</v>
      </c>
      <c r="X7" s="21">
        <f t="shared" si="2"/>
        <v>20.3</v>
      </c>
      <c r="Y7" s="21">
        <f t="shared" si="3"/>
        <v>20.033333333333335</v>
      </c>
      <c r="Z7" s="21">
        <f t="shared" si="4"/>
        <v>18.366666666666667</v>
      </c>
      <c r="AA7" s="26">
        <f t="shared" si="5"/>
        <v>20.733333333333334</v>
      </c>
      <c r="AB7" s="23">
        <f t="shared" si="6"/>
        <v>0</v>
      </c>
      <c r="AC7" s="21">
        <f t="shared" si="7"/>
        <v>5.7735026918961346E-2</v>
      </c>
      <c r="AD7" s="21">
        <f t="shared" si="8"/>
        <v>0</v>
      </c>
      <c r="AE7" s="21">
        <f t="shared" si="9"/>
        <v>5.77350269189634E-2</v>
      </c>
      <c r="AF7" s="21">
        <f t="shared" si="10"/>
        <v>0.46188021535169899</v>
      </c>
      <c r="AG7" s="26">
        <f t="shared" si="11"/>
        <v>5.77350269189634E-2</v>
      </c>
    </row>
    <row r="8" spans="1:33" x14ac:dyDescent="0.45">
      <c r="A8" s="34" t="s">
        <v>38</v>
      </c>
      <c r="B8" s="16">
        <v>0.55208333333333337</v>
      </c>
      <c r="C8" s="22">
        <f>(24-11)+48+12+1+15/60+C7</f>
        <v>170.85</v>
      </c>
      <c r="D8" s="34">
        <v>20.7</v>
      </c>
      <c r="E8" s="12">
        <v>20.7</v>
      </c>
      <c r="F8" s="12">
        <v>20.7</v>
      </c>
      <c r="G8" s="12">
        <v>20.7</v>
      </c>
      <c r="H8" s="12">
        <v>20.7</v>
      </c>
      <c r="I8" s="12">
        <v>20.6</v>
      </c>
      <c r="J8" s="12">
        <v>20.100000000000001</v>
      </c>
      <c r="K8" s="12">
        <v>20.2</v>
      </c>
      <c r="L8" s="12">
        <v>20.100000000000001</v>
      </c>
      <c r="M8" s="12">
        <v>19.899999999999999</v>
      </c>
      <c r="N8" s="12">
        <v>19.8</v>
      </c>
      <c r="O8" s="12">
        <v>20</v>
      </c>
      <c r="P8" s="12">
        <v>17.3</v>
      </c>
      <c r="Q8" s="12">
        <v>18.899999999999999</v>
      </c>
      <c r="R8" s="12">
        <v>17.600000000000001</v>
      </c>
      <c r="S8" s="12">
        <v>20.7</v>
      </c>
      <c r="T8" s="12">
        <v>20.7</v>
      </c>
      <c r="U8" s="35">
        <v>20.7</v>
      </c>
      <c r="V8" s="25">
        <f t="shared" si="0"/>
        <v>20.7</v>
      </c>
      <c r="W8" s="21">
        <f t="shared" si="1"/>
        <v>20.666666666666668</v>
      </c>
      <c r="X8" s="21">
        <f t="shared" si="2"/>
        <v>20.133333333333333</v>
      </c>
      <c r="Y8" s="21">
        <f t="shared" si="3"/>
        <v>19.900000000000002</v>
      </c>
      <c r="Z8" s="21">
        <f t="shared" si="4"/>
        <v>17.933333333333334</v>
      </c>
      <c r="AA8" s="26">
        <f t="shared" si="5"/>
        <v>20.7</v>
      </c>
      <c r="AB8" s="23">
        <f t="shared" si="6"/>
        <v>0</v>
      </c>
      <c r="AC8" s="21">
        <f t="shared" si="7"/>
        <v>5.7735026918961346E-2</v>
      </c>
      <c r="AD8" s="21">
        <f t="shared" si="8"/>
        <v>5.7735026918961346E-2</v>
      </c>
      <c r="AE8" s="21">
        <f t="shared" si="9"/>
        <v>9.9999999999999645E-2</v>
      </c>
      <c r="AF8" s="21">
        <f t="shared" si="10"/>
        <v>0.85049005481153683</v>
      </c>
      <c r="AG8" s="26">
        <f t="shared" si="11"/>
        <v>0</v>
      </c>
    </row>
    <row r="9" spans="1:33" x14ac:dyDescent="0.45">
      <c r="A9" s="34" t="s">
        <v>39</v>
      </c>
      <c r="B9" s="16">
        <v>0.54166666666666663</v>
      </c>
      <c r="C9" s="22">
        <f>(24-12-1-15/60)+24+12+1+C8</f>
        <v>218.6</v>
      </c>
      <c r="D9" s="34">
        <v>20.6</v>
      </c>
      <c r="E9" s="12">
        <v>20.6</v>
      </c>
      <c r="F9" s="12">
        <v>20.6</v>
      </c>
      <c r="G9" s="12">
        <v>20.5</v>
      </c>
      <c r="H9" s="12">
        <v>20.5</v>
      </c>
      <c r="I9" s="12">
        <v>20.5</v>
      </c>
      <c r="J9" s="12">
        <v>19.899999999999999</v>
      </c>
      <c r="K9" s="12">
        <v>19.899999999999999</v>
      </c>
      <c r="L9" s="12">
        <v>19.899999999999999</v>
      </c>
      <c r="M9" s="12">
        <v>19.899999999999999</v>
      </c>
      <c r="N9" s="12">
        <v>19.8</v>
      </c>
      <c r="O9" s="12">
        <v>20.100000000000001</v>
      </c>
      <c r="P9" s="12">
        <v>17.399999999999999</v>
      </c>
      <c r="Q9" s="12">
        <v>19.3</v>
      </c>
      <c r="R9" s="12">
        <v>17.8</v>
      </c>
      <c r="S9" s="12">
        <v>20.6</v>
      </c>
      <c r="T9" s="12">
        <v>20.6</v>
      </c>
      <c r="U9" s="35">
        <v>20.6</v>
      </c>
      <c r="V9" s="25">
        <f t="shared" si="0"/>
        <v>20.6</v>
      </c>
      <c r="W9" s="21">
        <f t="shared" si="1"/>
        <v>20.5</v>
      </c>
      <c r="X9" s="21">
        <f t="shared" si="2"/>
        <v>19.899999999999999</v>
      </c>
      <c r="Y9" s="21">
        <f t="shared" si="3"/>
        <v>19.933333333333334</v>
      </c>
      <c r="Z9" s="21">
        <f t="shared" si="4"/>
        <v>18.166666666666668</v>
      </c>
      <c r="AA9" s="26">
        <f t="shared" si="5"/>
        <v>20.6</v>
      </c>
      <c r="AB9" s="23">
        <f t="shared" si="6"/>
        <v>0</v>
      </c>
      <c r="AC9" s="21">
        <f t="shared" si="7"/>
        <v>0</v>
      </c>
      <c r="AD9" s="21">
        <f t="shared" si="8"/>
        <v>0</v>
      </c>
      <c r="AE9" s="21">
        <f t="shared" si="9"/>
        <v>0.1527525231651953</v>
      </c>
      <c r="AF9" s="21">
        <f t="shared" si="10"/>
        <v>1.0016652800877821</v>
      </c>
      <c r="AG9" s="26">
        <f t="shared" si="11"/>
        <v>0</v>
      </c>
    </row>
    <row r="10" spans="1:33" x14ac:dyDescent="0.45">
      <c r="A10" s="34" t="s">
        <v>40</v>
      </c>
      <c r="B10" s="16">
        <v>0.54166666666666663</v>
      </c>
      <c r="C10" s="22">
        <f>(24-12-1-15/60)+24+12+1+C9</f>
        <v>266.35000000000002</v>
      </c>
      <c r="D10" s="34">
        <v>20.6</v>
      </c>
      <c r="E10" s="12">
        <v>20.6</v>
      </c>
      <c r="F10" s="12">
        <v>20.6</v>
      </c>
      <c r="G10" s="12">
        <v>20.5</v>
      </c>
      <c r="H10" s="12">
        <v>20.6</v>
      </c>
      <c r="I10" s="12">
        <v>20.6</v>
      </c>
      <c r="J10" s="12">
        <v>20</v>
      </c>
      <c r="K10" s="12">
        <v>20.2</v>
      </c>
      <c r="L10" s="12">
        <v>20.2</v>
      </c>
      <c r="M10" s="12">
        <v>20.100000000000001</v>
      </c>
      <c r="N10" s="12">
        <v>19.899999999999999</v>
      </c>
      <c r="O10" s="12">
        <v>20.100000000000001</v>
      </c>
      <c r="P10" s="12">
        <v>17.7</v>
      </c>
      <c r="Q10" s="12">
        <v>19.7</v>
      </c>
      <c r="R10" s="12">
        <v>17.899999999999999</v>
      </c>
      <c r="S10" s="12">
        <v>20.6</v>
      </c>
      <c r="T10" s="12">
        <v>20.6</v>
      </c>
      <c r="U10" s="35">
        <v>20.6</v>
      </c>
      <c r="V10" s="25">
        <f t="shared" si="0"/>
        <v>20.6</v>
      </c>
      <c r="W10" s="21">
        <f t="shared" si="1"/>
        <v>20.566666666666666</v>
      </c>
      <c r="X10" s="21">
        <f t="shared" si="2"/>
        <v>20.133333333333336</v>
      </c>
      <c r="Y10" s="21">
        <f t="shared" si="3"/>
        <v>20.033333333333335</v>
      </c>
      <c r="Z10" s="21">
        <f t="shared" si="4"/>
        <v>18.433333333333334</v>
      </c>
      <c r="AA10" s="26">
        <f t="shared" si="5"/>
        <v>20.6</v>
      </c>
      <c r="AB10" s="23">
        <f t="shared" si="6"/>
        <v>0</v>
      </c>
      <c r="AC10" s="21">
        <f t="shared" si="7"/>
        <v>5.77350269189634E-2</v>
      </c>
      <c r="AD10" s="21">
        <f t="shared" si="8"/>
        <v>0.11547005383792475</v>
      </c>
      <c r="AE10" s="21">
        <f t="shared" si="9"/>
        <v>0.1154700538379268</v>
      </c>
      <c r="AF10" s="21">
        <f t="shared" si="10"/>
        <v>1.1015141094572207</v>
      </c>
      <c r="AG10" s="26">
        <f t="shared" si="11"/>
        <v>0</v>
      </c>
    </row>
    <row r="11" spans="1:33" x14ac:dyDescent="0.45">
      <c r="A11" s="34" t="s">
        <v>41</v>
      </c>
      <c r="B11" s="16">
        <v>0.64583333333333337</v>
      </c>
      <c r="C11" s="22">
        <f>(24-1-12)+48+12+3+0.5+C10</f>
        <v>340.85</v>
      </c>
      <c r="D11" s="34">
        <v>20.5</v>
      </c>
      <c r="E11" s="12">
        <v>20.6</v>
      </c>
      <c r="F11" s="12">
        <v>20.5</v>
      </c>
      <c r="G11" s="12">
        <v>20.5</v>
      </c>
      <c r="H11" s="12">
        <v>20.399999999999999</v>
      </c>
      <c r="I11" s="12">
        <v>20.5</v>
      </c>
      <c r="J11" s="12">
        <v>20.100000000000001</v>
      </c>
      <c r="K11" s="12">
        <v>20.2</v>
      </c>
      <c r="L11" s="12">
        <v>20.2</v>
      </c>
      <c r="M11" s="12">
        <v>20.5</v>
      </c>
      <c r="N11" s="12">
        <v>20.6</v>
      </c>
      <c r="O11" s="12">
        <v>20.5</v>
      </c>
      <c r="P11" s="12">
        <v>17.7</v>
      </c>
      <c r="Q11" s="12">
        <v>20.100000000000001</v>
      </c>
      <c r="R11" s="12">
        <v>18.100000000000001</v>
      </c>
      <c r="S11" s="12">
        <v>20.100000000000001</v>
      </c>
      <c r="T11" s="12">
        <v>20.100000000000001</v>
      </c>
      <c r="U11" s="35">
        <v>20.100000000000001</v>
      </c>
      <c r="V11" s="25">
        <f t="shared" si="0"/>
        <v>20.533333333333335</v>
      </c>
      <c r="W11" s="21">
        <f t="shared" si="1"/>
        <v>20.466666666666665</v>
      </c>
      <c r="X11" s="21">
        <f t="shared" si="2"/>
        <v>20.166666666666668</v>
      </c>
      <c r="Y11" s="21">
        <f t="shared" si="3"/>
        <v>20.533333333333335</v>
      </c>
      <c r="Z11" s="21">
        <f t="shared" si="4"/>
        <v>18.633333333333333</v>
      </c>
      <c r="AA11" s="26">
        <f t="shared" si="5"/>
        <v>20.100000000000001</v>
      </c>
      <c r="AB11" s="25">
        <f t="shared" si="6"/>
        <v>5.77350269189634E-2</v>
      </c>
      <c r="AC11" s="21">
        <f t="shared" si="7"/>
        <v>5.77350269189634E-2</v>
      </c>
      <c r="AD11" s="21">
        <f t="shared" si="8"/>
        <v>5.7735026918961346E-2</v>
      </c>
      <c r="AE11" s="21">
        <f t="shared" si="9"/>
        <v>5.77350269189634E-2</v>
      </c>
      <c r="AF11" s="21">
        <f t="shared" si="10"/>
        <v>1.285820101465728</v>
      </c>
      <c r="AG11" s="26">
        <f t="shared" si="11"/>
        <v>0</v>
      </c>
    </row>
    <row r="12" spans="1:33" x14ac:dyDescent="0.45">
      <c r="A12" s="34" t="s">
        <v>42</v>
      </c>
      <c r="B12" s="16">
        <v>0.38541666666666669</v>
      </c>
      <c r="C12" s="22">
        <f>(24-12-3-0.5)+24+9+15/60+C11</f>
        <v>382.6</v>
      </c>
      <c r="D12" s="34">
        <v>20.7</v>
      </c>
      <c r="E12" s="12">
        <v>20.7</v>
      </c>
      <c r="F12" s="12">
        <v>20.8</v>
      </c>
      <c r="G12" s="12">
        <v>20.6</v>
      </c>
      <c r="H12" s="12">
        <v>20.6</v>
      </c>
      <c r="I12" s="12">
        <v>20.6</v>
      </c>
      <c r="J12" s="12">
        <v>20.3</v>
      </c>
      <c r="K12" s="12">
        <v>20.399999999999999</v>
      </c>
      <c r="L12" s="12">
        <v>20.399999999999999</v>
      </c>
      <c r="M12" s="12">
        <v>20.3</v>
      </c>
      <c r="N12" s="12">
        <v>18.2</v>
      </c>
      <c r="O12" s="12">
        <v>20.6</v>
      </c>
      <c r="P12" s="12">
        <v>19.3</v>
      </c>
      <c r="Q12" s="12">
        <v>20.399999999999999</v>
      </c>
      <c r="R12" s="12">
        <v>18.399999999999999</v>
      </c>
      <c r="S12" s="12">
        <v>20.8</v>
      </c>
      <c r="T12" s="12">
        <v>20.7</v>
      </c>
      <c r="U12" s="35">
        <v>20.5</v>
      </c>
      <c r="V12" s="25">
        <f t="shared" si="0"/>
        <v>20.733333333333334</v>
      </c>
      <c r="W12" s="21">
        <f t="shared" si="1"/>
        <v>20.6</v>
      </c>
      <c r="X12" s="21">
        <f t="shared" si="2"/>
        <v>20.366666666666667</v>
      </c>
      <c r="Y12" s="21">
        <f t="shared" si="3"/>
        <v>19.7</v>
      </c>
      <c r="Z12" s="21">
        <f t="shared" si="4"/>
        <v>19.366666666666667</v>
      </c>
      <c r="AA12" s="26">
        <f t="shared" si="5"/>
        <v>20.666666666666668</v>
      </c>
      <c r="AB12" s="25">
        <f t="shared" si="6"/>
        <v>5.77350269189634E-2</v>
      </c>
      <c r="AC12" s="21">
        <f t="shared" si="7"/>
        <v>0</v>
      </c>
      <c r="AD12" s="21">
        <f t="shared" si="8"/>
        <v>5.7735026918961346E-2</v>
      </c>
      <c r="AE12" s="21">
        <f t="shared" si="9"/>
        <v>1.307669683062203</v>
      </c>
      <c r="AF12" s="21">
        <f t="shared" si="10"/>
        <v>1.0016652800877812</v>
      </c>
      <c r="AG12" s="26">
        <f t="shared" si="11"/>
        <v>0.15275252316519489</v>
      </c>
    </row>
    <row r="13" spans="1:33" ht="14.65" thickBot="1" x14ac:dyDescent="0.5">
      <c r="A13" s="36" t="s">
        <v>43</v>
      </c>
      <c r="B13" s="40">
        <v>0.48958333333333331</v>
      </c>
      <c r="C13" s="41">
        <f>(24-9-15/60)+24+11+45/60+C12</f>
        <v>433.1</v>
      </c>
      <c r="D13" s="36">
        <v>20.6</v>
      </c>
      <c r="E13" s="37">
        <v>20.7</v>
      </c>
      <c r="F13" s="37">
        <v>20.6</v>
      </c>
      <c r="G13" s="37">
        <v>20.6</v>
      </c>
      <c r="H13" s="37">
        <v>20.6</v>
      </c>
      <c r="I13" s="37">
        <v>20.5</v>
      </c>
      <c r="J13" s="37">
        <v>20.399999999999999</v>
      </c>
      <c r="K13" s="37">
        <v>20.5</v>
      </c>
      <c r="L13" s="37">
        <v>20.5</v>
      </c>
      <c r="M13" s="37">
        <v>20.100000000000001</v>
      </c>
      <c r="N13" s="37">
        <v>18.399999999999999</v>
      </c>
      <c r="O13" s="37">
        <v>19.100000000000001</v>
      </c>
      <c r="P13" s="37">
        <v>19.899999999999999</v>
      </c>
      <c r="Q13" s="37">
        <v>20.5</v>
      </c>
      <c r="R13" s="37">
        <v>18.600000000000001</v>
      </c>
      <c r="S13" s="37">
        <v>20.7</v>
      </c>
      <c r="T13" s="37">
        <v>20.6</v>
      </c>
      <c r="U13" s="38">
        <v>20.5</v>
      </c>
      <c r="V13" s="27">
        <f t="shared" si="0"/>
        <v>20.633333333333333</v>
      </c>
      <c r="W13" s="28">
        <f t="shared" si="1"/>
        <v>20.566666666666666</v>
      </c>
      <c r="X13" s="28">
        <f t="shared" si="2"/>
        <v>20.466666666666665</v>
      </c>
      <c r="Y13" s="28">
        <f t="shared" si="3"/>
        <v>19.2</v>
      </c>
      <c r="Z13" s="28">
        <f t="shared" si="4"/>
        <v>19.666666666666668</v>
      </c>
      <c r="AA13" s="29">
        <f t="shared" si="5"/>
        <v>20.599999999999998</v>
      </c>
      <c r="AB13" s="27">
        <f t="shared" si="6"/>
        <v>5.7735026918961346E-2</v>
      </c>
      <c r="AC13" s="28">
        <f t="shared" si="7"/>
        <v>5.77350269189634E-2</v>
      </c>
      <c r="AD13" s="28">
        <f t="shared" si="8"/>
        <v>5.77350269189634E-2</v>
      </c>
      <c r="AE13" s="28">
        <f t="shared" si="9"/>
        <v>0.85440037453175444</v>
      </c>
      <c r="AF13" s="28">
        <f t="shared" si="10"/>
        <v>0.97125348562223002</v>
      </c>
      <c r="AG13" s="29">
        <f t="shared" si="11"/>
        <v>9.9999999999999645E-2</v>
      </c>
    </row>
  </sheetData>
  <mergeCells count="10">
    <mergeCell ref="B3:C3"/>
    <mergeCell ref="D2:U2"/>
    <mergeCell ref="V3:AA3"/>
    <mergeCell ref="AB3:AG3"/>
    <mergeCell ref="D3:F3"/>
    <mergeCell ref="G3:I3"/>
    <mergeCell ref="J3:L3"/>
    <mergeCell ref="M3:O3"/>
    <mergeCell ref="P3:R3"/>
    <mergeCell ref="S3:U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05A-0F85-42DA-89B3-F1E81E6CF3BD}">
  <dimension ref="B2:O12"/>
  <sheetViews>
    <sheetView showGridLines="0" workbookViewId="0">
      <selection activeCell="B21" sqref="B21"/>
    </sheetView>
  </sheetViews>
  <sheetFormatPr baseColWidth="10" defaultColWidth="11.3984375" defaultRowHeight="14.25" x14ac:dyDescent="0.45"/>
  <cols>
    <col min="1" max="1" width="11.3984375" style="20"/>
    <col min="2" max="2" width="9.1328125" style="20" bestFit="1" customWidth="1"/>
    <col min="3" max="3" width="11" style="20" bestFit="1" customWidth="1"/>
    <col min="4" max="4" width="10.33203125" style="20" bestFit="1" customWidth="1"/>
    <col min="5" max="5" width="10.73046875" style="20" bestFit="1" customWidth="1"/>
    <col min="6" max="8" width="5" style="20" bestFit="1" customWidth="1"/>
    <col min="9" max="11" width="4" style="20" bestFit="1" customWidth="1"/>
    <col min="12" max="12" width="10.73046875" style="20" bestFit="1" customWidth="1"/>
    <col min="13" max="13" width="11.53125" style="20" bestFit="1" customWidth="1"/>
    <col min="14" max="14" width="10.73046875" style="20" bestFit="1" customWidth="1"/>
    <col min="15" max="15" width="11.53125" style="20" bestFit="1" customWidth="1"/>
    <col min="16" max="16384" width="11.3984375" style="20"/>
  </cols>
  <sheetData>
    <row r="2" spans="2:15" ht="14.65" thickBot="1" x14ac:dyDescent="0.5"/>
    <row r="3" spans="2:15" ht="14.65" thickBot="1" x14ac:dyDescent="0.5">
      <c r="F3" s="141" t="s">
        <v>54</v>
      </c>
      <c r="G3" s="142"/>
      <c r="H3" s="142"/>
      <c r="I3" s="142" t="s">
        <v>55</v>
      </c>
      <c r="J3" s="142"/>
      <c r="K3" s="143"/>
      <c r="L3" s="141" t="s">
        <v>18</v>
      </c>
      <c r="M3" s="143"/>
      <c r="N3" s="141" t="s">
        <v>18</v>
      </c>
      <c r="O3" s="143"/>
    </row>
    <row r="4" spans="2:15" x14ac:dyDescent="0.45">
      <c r="B4" s="42"/>
      <c r="C4" s="68" t="s">
        <v>52</v>
      </c>
      <c r="D4" s="68" t="s">
        <v>53</v>
      </c>
      <c r="E4" s="69" t="s">
        <v>14</v>
      </c>
      <c r="F4" s="67">
        <v>1</v>
      </c>
      <c r="G4" s="68">
        <v>2</v>
      </c>
      <c r="H4" s="68">
        <v>3</v>
      </c>
      <c r="I4" s="68">
        <v>1</v>
      </c>
      <c r="J4" s="68">
        <v>2</v>
      </c>
      <c r="K4" s="69">
        <v>3</v>
      </c>
      <c r="L4" s="67" t="s">
        <v>54</v>
      </c>
      <c r="M4" s="69" t="s">
        <v>55</v>
      </c>
      <c r="N4" s="67" t="s">
        <v>54</v>
      </c>
      <c r="O4" s="69" t="s">
        <v>55</v>
      </c>
    </row>
    <row r="5" spans="2:15" x14ac:dyDescent="0.45">
      <c r="B5" s="45" t="s">
        <v>35</v>
      </c>
      <c r="C5" s="46">
        <v>44109</v>
      </c>
      <c r="D5" s="47">
        <v>0.64583333333333337</v>
      </c>
      <c r="E5" s="26">
        <v>0</v>
      </c>
      <c r="F5" s="23">
        <v>20.6</v>
      </c>
      <c r="G5" s="18">
        <v>20.6</v>
      </c>
      <c r="H5" s="18">
        <v>20.6</v>
      </c>
      <c r="I5" s="18">
        <v>0.4</v>
      </c>
      <c r="J5" s="18">
        <v>0.1</v>
      </c>
      <c r="K5" s="24">
        <v>1.1000000000000001</v>
      </c>
      <c r="L5" s="25">
        <f t="shared" ref="L5:L12" si="0">AVERAGE(F5:H5)</f>
        <v>20.6</v>
      </c>
      <c r="M5" s="26">
        <f t="shared" ref="M5:M12" si="1">AVERAGE(I5:K5)</f>
        <v>0.53333333333333333</v>
      </c>
      <c r="N5" s="25">
        <f t="shared" ref="N5:N12" si="2">_xlfn.STDEV.S(F5:H5)</f>
        <v>0</v>
      </c>
      <c r="O5" s="26">
        <f t="shared" ref="O5:O12" si="3">_xlfn.STDEV.S(I5:K5)</f>
        <v>0.51316014394468845</v>
      </c>
    </row>
    <row r="6" spans="2:15" x14ac:dyDescent="0.45">
      <c r="B6" s="45" t="s">
        <v>36</v>
      </c>
      <c r="C6" s="46">
        <v>44111</v>
      </c>
      <c r="D6" s="47">
        <v>0.45833333333333331</v>
      </c>
      <c r="E6" s="26">
        <f>(24-12-3-0.5)+24+11</f>
        <v>43.5</v>
      </c>
      <c r="F6" s="23">
        <v>19</v>
      </c>
      <c r="G6" s="18">
        <v>18.600000000000001</v>
      </c>
      <c r="H6" s="18">
        <v>18.7</v>
      </c>
      <c r="I6" s="18">
        <v>1.3</v>
      </c>
      <c r="J6" s="18">
        <v>0.7</v>
      </c>
      <c r="K6" s="24">
        <v>1.9</v>
      </c>
      <c r="L6" s="25">
        <f t="shared" si="0"/>
        <v>18.766666666666666</v>
      </c>
      <c r="M6" s="26">
        <f t="shared" si="1"/>
        <v>1.3</v>
      </c>
      <c r="N6" s="25">
        <f t="shared" si="2"/>
        <v>0.20816659994661282</v>
      </c>
      <c r="O6" s="26">
        <f t="shared" si="3"/>
        <v>0.60000000000000031</v>
      </c>
    </row>
    <row r="7" spans="2:15" x14ac:dyDescent="0.45">
      <c r="B7" s="45" t="s">
        <v>37</v>
      </c>
      <c r="C7" s="46">
        <v>44113</v>
      </c>
      <c r="D7" s="47">
        <v>0.52083333333333337</v>
      </c>
      <c r="E7" s="26">
        <f>E6+(24-11)+24+12+0.5</f>
        <v>93</v>
      </c>
      <c r="F7" s="23">
        <v>18.2</v>
      </c>
      <c r="G7" s="18">
        <v>17.100000000000001</v>
      </c>
      <c r="H7" s="18">
        <v>17.600000000000001</v>
      </c>
      <c r="I7" s="18">
        <v>2.8</v>
      </c>
      <c r="J7" s="18">
        <v>1.4</v>
      </c>
      <c r="K7" s="24">
        <v>2.8</v>
      </c>
      <c r="L7" s="25">
        <f t="shared" si="0"/>
        <v>17.633333333333333</v>
      </c>
      <c r="M7" s="26">
        <f t="shared" si="1"/>
        <v>2.333333333333333</v>
      </c>
      <c r="N7" s="25">
        <f t="shared" si="2"/>
        <v>0.55075705472860914</v>
      </c>
      <c r="O7" s="26">
        <f t="shared" si="3"/>
        <v>0.80829037686547667</v>
      </c>
    </row>
    <row r="8" spans="2:15" x14ac:dyDescent="0.45">
      <c r="B8" s="45" t="s">
        <v>38</v>
      </c>
      <c r="C8" s="46">
        <v>44117</v>
      </c>
      <c r="D8" s="47">
        <v>0.54166666666666663</v>
      </c>
      <c r="E8" s="26">
        <f>E7+(24-12-0.5)+72+12+1</f>
        <v>189.5</v>
      </c>
      <c r="F8" s="23">
        <v>18.2</v>
      </c>
      <c r="G8" s="18">
        <v>16.2</v>
      </c>
      <c r="H8" s="18">
        <v>16.899999999999999</v>
      </c>
      <c r="I8" s="18">
        <v>5.0999999999999996</v>
      </c>
      <c r="J8" s="18">
        <v>2.2999999999999998</v>
      </c>
      <c r="K8" s="24">
        <v>4.2</v>
      </c>
      <c r="L8" s="25">
        <f t="shared" si="0"/>
        <v>17.099999999999998</v>
      </c>
      <c r="M8" s="26">
        <f t="shared" si="1"/>
        <v>3.8666666666666667</v>
      </c>
      <c r="N8" s="25">
        <f t="shared" si="2"/>
        <v>1.014889156509222</v>
      </c>
      <c r="O8" s="26">
        <f t="shared" si="3"/>
        <v>1.429452109492771</v>
      </c>
    </row>
    <row r="9" spans="2:15" x14ac:dyDescent="0.45">
      <c r="B9" s="45" t="s">
        <v>39</v>
      </c>
      <c r="C9" s="46">
        <v>44118</v>
      </c>
      <c r="D9" s="47">
        <v>0.4375</v>
      </c>
      <c r="E9" s="26">
        <f>E8+(24-12-1)+10+0.5</f>
        <v>211</v>
      </c>
      <c r="F9" s="23">
        <v>17.2</v>
      </c>
      <c r="G9" s="18">
        <v>15.4</v>
      </c>
      <c r="H9" s="18">
        <v>16.3</v>
      </c>
      <c r="I9" s="18">
        <v>6.2</v>
      </c>
      <c r="J9" s="18">
        <v>3.7</v>
      </c>
      <c r="K9" s="24">
        <v>4.5999999999999996</v>
      </c>
      <c r="L9" s="25">
        <f t="shared" si="0"/>
        <v>16.3</v>
      </c>
      <c r="M9" s="26">
        <f t="shared" si="1"/>
        <v>4.833333333333333</v>
      </c>
      <c r="N9" s="25">
        <f t="shared" si="2"/>
        <v>0.89999999999999947</v>
      </c>
      <c r="O9" s="26">
        <f t="shared" si="3"/>
        <v>1.2662279942148407</v>
      </c>
    </row>
    <row r="10" spans="2:15" x14ac:dyDescent="0.45">
      <c r="B10" s="45" t="s">
        <v>40</v>
      </c>
      <c r="C10" s="46">
        <v>44120</v>
      </c>
      <c r="D10" s="47" t="s">
        <v>101</v>
      </c>
      <c r="E10" s="26">
        <f>E9+(24-10-0.5)+24+9</f>
        <v>257.5</v>
      </c>
      <c r="F10" s="23">
        <v>17</v>
      </c>
      <c r="G10" s="18">
        <v>15.3</v>
      </c>
      <c r="H10" s="18">
        <v>15.4</v>
      </c>
      <c r="I10" s="18">
        <v>7.7</v>
      </c>
      <c r="J10" s="18">
        <v>4.8</v>
      </c>
      <c r="K10" s="24">
        <v>6.5</v>
      </c>
      <c r="L10" s="25">
        <f t="shared" si="0"/>
        <v>15.899999999999999</v>
      </c>
      <c r="M10" s="26">
        <f t="shared" si="1"/>
        <v>6.333333333333333</v>
      </c>
      <c r="N10" s="25">
        <f t="shared" si="2"/>
        <v>0.95393920141694533</v>
      </c>
      <c r="O10" s="26">
        <f t="shared" si="3"/>
        <v>1.4571661996262959</v>
      </c>
    </row>
    <row r="11" spans="2:15" x14ac:dyDescent="0.45">
      <c r="B11" s="45" t="s">
        <v>41</v>
      </c>
      <c r="C11" s="46">
        <v>44123</v>
      </c>
      <c r="D11" s="47">
        <v>0.64583333333333337</v>
      </c>
      <c r="E11" s="26">
        <f>(24-9)+48+15+0.5+E10</f>
        <v>336</v>
      </c>
      <c r="F11" s="23">
        <v>15.3</v>
      </c>
      <c r="G11" s="18">
        <v>15</v>
      </c>
      <c r="H11" s="18">
        <v>16</v>
      </c>
      <c r="I11" s="18">
        <v>8.1</v>
      </c>
      <c r="J11" s="18">
        <v>5.3</v>
      </c>
      <c r="K11" s="24">
        <v>7.3</v>
      </c>
      <c r="L11" s="25">
        <f t="shared" si="0"/>
        <v>15.433333333333332</v>
      </c>
      <c r="M11" s="26">
        <f t="shared" si="1"/>
        <v>6.8999999999999995</v>
      </c>
      <c r="N11" s="25">
        <f t="shared" si="2"/>
        <v>0.51316014394468823</v>
      </c>
      <c r="O11" s="26">
        <f t="shared" si="3"/>
        <v>1.4422205101856</v>
      </c>
    </row>
    <row r="12" spans="2:15" ht="14.65" thickBot="1" x14ac:dyDescent="0.5">
      <c r="B12" s="48" t="s">
        <v>42</v>
      </c>
      <c r="C12" s="49">
        <v>44126</v>
      </c>
      <c r="D12" s="50">
        <v>0.35416666666666669</v>
      </c>
      <c r="E12" s="29">
        <f>(24-12-3-0.5)+24+8+0.5+E11</f>
        <v>377</v>
      </c>
      <c r="F12" s="30">
        <v>15.7</v>
      </c>
      <c r="G12" s="31">
        <v>14.9</v>
      </c>
      <c r="H12" s="31">
        <v>16.100000000000001</v>
      </c>
      <c r="I12" s="31">
        <v>9.4</v>
      </c>
      <c r="J12" s="31">
        <v>6</v>
      </c>
      <c r="K12" s="32">
        <v>8.1999999999999993</v>
      </c>
      <c r="L12" s="27">
        <f t="shared" si="0"/>
        <v>15.566666666666668</v>
      </c>
      <c r="M12" s="29">
        <f t="shared" si="1"/>
        <v>7.8666666666666671</v>
      </c>
      <c r="N12" s="27">
        <f t="shared" si="2"/>
        <v>0.61101009266077899</v>
      </c>
      <c r="O12" s="29">
        <f t="shared" si="3"/>
        <v>1.7243356208503446</v>
      </c>
    </row>
  </sheetData>
  <mergeCells count="4">
    <mergeCell ref="F3:H3"/>
    <mergeCell ref="I3:K3"/>
    <mergeCell ref="L3:M3"/>
    <mergeCell ref="N3:O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DBE8-B731-453D-9237-4B31BC596AD3}">
  <dimension ref="B3:O15"/>
  <sheetViews>
    <sheetView topLeftCell="C4" zoomScale="96" zoomScaleNormal="96" workbookViewId="0">
      <selection activeCell="F16" sqref="F16"/>
    </sheetView>
  </sheetViews>
  <sheetFormatPr baseColWidth="10" defaultColWidth="10.73046875" defaultRowHeight="14.25" x14ac:dyDescent="0.45"/>
  <sheetData>
    <row r="3" spans="2:15" ht="14.65" thickBot="1" x14ac:dyDescent="0.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4.65" thickBot="1" x14ac:dyDescent="0.5">
      <c r="B4" s="20"/>
      <c r="C4" s="20"/>
      <c r="D4" s="20"/>
      <c r="E4" s="20"/>
      <c r="F4" s="141" t="s">
        <v>54</v>
      </c>
      <c r="G4" s="142"/>
      <c r="H4" s="143"/>
      <c r="I4" s="141" t="s">
        <v>55</v>
      </c>
      <c r="J4" s="142"/>
      <c r="K4" s="143"/>
      <c r="L4" s="141" t="s">
        <v>18</v>
      </c>
      <c r="M4" s="143"/>
      <c r="N4" s="141" t="s">
        <v>83</v>
      </c>
      <c r="O4" s="143"/>
    </row>
    <row r="5" spans="2:15" x14ac:dyDescent="0.45">
      <c r="B5" s="60"/>
      <c r="C5" s="61" t="s">
        <v>52</v>
      </c>
      <c r="D5" s="61" t="s">
        <v>53</v>
      </c>
      <c r="E5" s="73" t="s">
        <v>14</v>
      </c>
      <c r="F5" s="51">
        <v>1</v>
      </c>
      <c r="G5" s="66">
        <v>2</v>
      </c>
      <c r="H5" s="76">
        <v>3</v>
      </c>
      <c r="I5" s="51">
        <v>1</v>
      </c>
      <c r="J5" s="66">
        <v>2</v>
      </c>
      <c r="K5" s="76">
        <v>3</v>
      </c>
      <c r="L5" s="67" t="s">
        <v>54</v>
      </c>
      <c r="M5" s="69" t="s">
        <v>55</v>
      </c>
      <c r="N5" s="67" t="s">
        <v>54</v>
      </c>
      <c r="O5" s="69" t="s">
        <v>55</v>
      </c>
    </row>
    <row r="6" spans="2:15" x14ac:dyDescent="0.45">
      <c r="B6" s="23" t="s">
        <v>35</v>
      </c>
      <c r="C6" s="46">
        <v>44113</v>
      </c>
      <c r="D6" s="47">
        <v>0.52083333333333337</v>
      </c>
      <c r="E6" s="74">
        <v>0</v>
      </c>
      <c r="F6" s="23">
        <v>20.399999999999999</v>
      </c>
      <c r="G6" s="18">
        <v>20.6</v>
      </c>
      <c r="H6" s="24">
        <v>20.6</v>
      </c>
      <c r="I6" s="23">
        <v>18.399999999999999</v>
      </c>
      <c r="J6" s="18">
        <v>18.399999999999999</v>
      </c>
      <c r="K6" s="24">
        <v>18.5</v>
      </c>
      <c r="L6" s="25">
        <f t="shared" ref="L6:L11" si="0">AVERAGE(F6:H6)</f>
        <v>20.533333333333335</v>
      </c>
      <c r="M6" s="26">
        <f t="shared" ref="M6:M11" si="1">AVERAGE(I6:K6)</f>
        <v>18.433333333333334</v>
      </c>
      <c r="N6" s="25">
        <f t="shared" ref="N6:N11" si="2">_xlfn.STDEV.S(F6:H6)</f>
        <v>0.1154700538379268</v>
      </c>
      <c r="O6" s="26">
        <f t="shared" ref="O6:O11" si="3">_xlfn.STDEV.S(I6:K6)</f>
        <v>5.77350269189634E-2</v>
      </c>
    </row>
    <row r="7" spans="2:15" x14ac:dyDescent="0.45">
      <c r="B7" s="23" t="s">
        <v>36</v>
      </c>
      <c r="C7" s="46">
        <v>44117</v>
      </c>
      <c r="D7" s="47">
        <v>0.55208333333333337</v>
      </c>
      <c r="E7" s="22">
        <f>E6+(24-12-0.5)+72+1+12+15/60</f>
        <v>96.75</v>
      </c>
      <c r="F7" s="34">
        <v>18.5</v>
      </c>
      <c r="G7" s="65">
        <v>20.5</v>
      </c>
      <c r="H7" s="35">
        <v>19.7</v>
      </c>
      <c r="I7" s="23">
        <v>17.100000000000001</v>
      </c>
      <c r="J7" s="65">
        <v>18.7</v>
      </c>
      <c r="K7" s="35">
        <v>18.100000000000001</v>
      </c>
      <c r="L7" s="25">
        <f t="shared" si="0"/>
        <v>19.566666666666666</v>
      </c>
      <c r="M7" s="26">
        <f t="shared" si="1"/>
        <v>17.966666666666665</v>
      </c>
      <c r="N7" s="25">
        <f t="shared" si="2"/>
        <v>1.0066445913694333</v>
      </c>
      <c r="O7" s="26">
        <f t="shared" si="3"/>
        <v>0.808290376865475</v>
      </c>
    </row>
    <row r="8" spans="2:15" x14ac:dyDescent="0.45">
      <c r="B8" s="23" t="s">
        <v>37</v>
      </c>
      <c r="C8" s="46">
        <v>44118</v>
      </c>
      <c r="D8" s="47">
        <v>0.4375</v>
      </c>
      <c r="E8" s="74">
        <f>E7+(24-12-1)+10+0.5</f>
        <v>118.25</v>
      </c>
      <c r="F8" s="34">
        <v>17.399999999999999</v>
      </c>
      <c r="G8" s="65">
        <v>19.899999999999999</v>
      </c>
      <c r="H8" s="35">
        <v>18.899999999999999</v>
      </c>
      <c r="I8" s="34">
        <v>16.600000000000001</v>
      </c>
      <c r="J8" s="65">
        <v>18.5</v>
      </c>
      <c r="K8" s="35">
        <v>17.7</v>
      </c>
      <c r="L8" s="25">
        <f t="shared" si="0"/>
        <v>18.733333333333331</v>
      </c>
      <c r="M8" s="26">
        <f t="shared" si="1"/>
        <v>17.599999999999998</v>
      </c>
      <c r="N8" s="25">
        <f t="shared" si="2"/>
        <v>1.2583057392117916</v>
      </c>
      <c r="O8" s="26">
        <f t="shared" si="3"/>
        <v>0.95393920141694488</v>
      </c>
    </row>
    <row r="9" spans="2:15" x14ac:dyDescent="0.45">
      <c r="B9" s="23" t="s">
        <v>38</v>
      </c>
      <c r="C9" s="46">
        <v>44120</v>
      </c>
      <c r="D9" s="47" t="s">
        <v>101</v>
      </c>
      <c r="E9" s="22">
        <f>E8+(24-10-0.5)+24+9</f>
        <v>164.75</v>
      </c>
      <c r="F9" s="34">
        <v>16.600000000000001</v>
      </c>
      <c r="G9" s="65">
        <v>20.100000000000001</v>
      </c>
      <c r="H9" s="35">
        <v>19.8</v>
      </c>
      <c r="I9" s="23">
        <v>16</v>
      </c>
      <c r="J9" s="65">
        <v>19.100000000000001</v>
      </c>
      <c r="K9" s="35">
        <v>18.600000000000001</v>
      </c>
      <c r="L9" s="25">
        <f t="shared" si="0"/>
        <v>18.833333333333332</v>
      </c>
      <c r="M9" s="26">
        <f t="shared" si="1"/>
        <v>17.900000000000002</v>
      </c>
      <c r="N9" s="25">
        <f t="shared" si="2"/>
        <v>1.9399312702601947</v>
      </c>
      <c r="O9" s="26">
        <f t="shared" si="3"/>
        <v>1.6643316977093248</v>
      </c>
    </row>
    <row r="10" spans="2:15" x14ac:dyDescent="0.45">
      <c r="B10" s="23" t="s">
        <v>39</v>
      </c>
      <c r="C10" s="46">
        <v>44123</v>
      </c>
      <c r="D10" s="47">
        <v>0.64583333333333337</v>
      </c>
      <c r="E10" s="22">
        <f>E9+(24-9)+48+15+30</f>
        <v>272.75</v>
      </c>
      <c r="F10" s="34">
        <v>16.100000000000001</v>
      </c>
      <c r="G10" s="65">
        <v>20.5</v>
      </c>
      <c r="H10" s="35">
        <v>20.5</v>
      </c>
      <c r="I10" s="23">
        <v>15.6</v>
      </c>
      <c r="J10" s="65">
        <v>18.899999999999999</v>
      </c>
      <c r="K10" s="35">
        <v>18.899999999999999</v>
      </c>
      <c r="L10" s="25">
        <f t="shared" si="0"/>
        <v>19.033333333333335</v>
      </c>
      <c r="M10" s="26">
        <f t="shared" si="1"/>
        <v>17.8</v>
      </c>
      <c r="N10" s="25">
        <f t="shared" si="2"/>
        <v>2.5403411844343395</v>
      </c>
      <c r="O10" s="26">
        <f t="shared" si="3"/>
        <v>1.9052558883257644</v>
      </c>
    </row>
    <row r="11" spans="2:15" ht="14.65" thickBot="1" x14ac:dyDescent="0.5">
      <c r="B11" s="72" t="s">
        <v>40</v>
      </c>
      <c r="C11" s="49">
        <v>44126</v>
      </c>
      <c r="D11" s="50">
        <v>0.35416666666666669</v>
      </c>
      <c r="E11" s="75">
        <f>(24-12-3-0.5)+24+8+0.5+E10</f>
        <v>313.75</v>
      </c>
      <c r="F11" s="77">
        <v>15.7</v>
      </c>
      <c r="G11" s="78">
        <v>20.7</v>
      </c>
      <c r="H11" s="79">
        <v>20.100000000000001</v>
      </c>
      <c r="I11" s="80">
        <v>15.2</v>
      </c>
      <c r="J11" s="78">
        <v>19</v>
      </c>
      <c r="K11" s="79">
        <v>18.7</v>
      </c>
      <c r="L11" s="81">
        <f t="shared" si="0"/>
        <v>18.833333333333332</v>
      </c>
      <c r="M11" s="82">
        <f t="shared" si="1"/>
        <v>17.633333333333336</v>
      </c>
      <c r="N11" s="81">
        <f t="shared" si="2"/>
        <v>2.730079363925777</v>
      </c>
      <c r="O11" s="82">
        <f t="shared" si="3"/>
        <v>2.1126602503321101</v>
      </c>
    </row>
    <row r="15" spans="2:15" x14ac:dyDescent="0.45">
      <c r="L15" t="s">
        <v>102</v>
      </c>
    </row>
  </sheetData>
  <mergeCells count="4">
    <mergeCell ref="F4:H4"/>
    <mergeCell ref="I4:K4"/>
    <mergeCell ref="L4:M4"/>
    <mergeCell ref="N4:O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8B8-2A45-48D0-A30F-B4732075A255}">
  <dimension ref="B1:Q19"/>
  <sheetViews>
    <sheetView showGridLines="0" zoomScale="83" zoomScaleNormal="310" workbookViewId="0">
      <selection activeCell="K12" sqref="K12"/>
    </sheetView>
  </sheetViews>
  <sheetFormatPr baseColWidth="10" defaultColWidth="10.73046875" defaultRowHeight="14.25" x14ac:dyDescent="0.45"/>
  <cols>
    <col min="2" max="2" width="9.53125" bestFit="1" customWidth="1"/>
    <col min="3" max="3" width="9.6640625" bestFit="1" customWidth="1"/>
    <col min="4" max="4" width="10.33203125" bestFit="1" customWidth="1"/>
    <col min="5" max="5" width="7.6640625" bestFit="1" customWidth="1"/>
    <col min="6" max="6" width="7.1328125" bestFit="1" customWidth="1"/>
    <col min="7" max="7" width="10.19921875" bestFit="1" customWidth="1"/>
    <col min="8" max="8" width="14.9296875" bestFit="1" customWidth="1"/>
    <col min="9" max="10" width="17.73046875" bestFit="1" customWidth="1"/>
    <col min="11" max="11" width="6.86328125" bestFit="1" customWidth="1"/>
  </cols>
  <sheetData>
    <row r="1" spans="2:17" ht="14.65" thickBot="1" x14ac:dyDescent="0.5"/>
    <row r="2" spans="2:17" ht="14.65" thickBot="1" x14ac:dyDescent="0.5">
      <c r="F2" s="144" t="s">
        <v>60</v>
      </c>
      <c r="G2" s="145"/>
      <c r="H2" s="145"/>
      <c r="I2" s="145"/>
      <c r="J2" s="145"/>
      <c r="K2" s="146"/>
    </row>
    <row r="3" spans="2:17" x14ac:dyDescent="0.45">
      <c r="B3" s="51"/>
      <c r="C3" s="43" t="s">
        <v>52</v>
      </c>
      <c r="D3" s="43" t="s">
        <v>53</v>
      </c>
      <c r="E3" s="44" t="s">
        <v>61</v>
      </c>
      <c r="F3" s="23" t="s">
        <v>57</v>
      </c>
      <c r="G3" s="18" t="s">
        <v>58</v>
      </c>
      <c r="H3" s="18" t="s">
        <v>59</v>
      </c>
      <c r="I3" s="18" t="s">
        <v>48</v>
      </c>
      <c r="J3" s="18" t="s">
        <v>49</v>
      </c>
      <c r="K3" s="24" t="s">
        <v>34</v>
      </c>
      <c r="L3" s="54" t="s">
        <v>83</v>
      </c>
    </row>
    <row r="4" spans="2:17" ht="14.65" thickBot="1" x14ac:dyDescent="0.5">
      <c r="B4" s="52" t="s">
        <v>56</v>
      </c>
      <c r="C4" s="49">
        <v>44113</v>
      </c>
      <c r="D4" s="50">
        <v>0.52083333333333337</v>
      </c>
      <c r="E4" s="55">
        <v>433.1</v>
      </c>
      <c r="F4" s="56">
        <v>20.100000000000001</v>
      </c>
      <c r="G4" s="57">
        <v>16.3</v>
      </c>
      <c r="H4" s="57">
        <v>13.5</v>
      </c>
      <c r="I4" s="57">
        <v>13.6</v>
      </c>
      <c r="J4" s="57">
        <v>2.6</v>
      </c>
      <c r="K4" s="58">
        <v>18.5</v>
      </c>
    </row>
    <row r="5" spans="2:17" ht="14.65" thickBot="1" x14ac:dyDescent="0.5">
      <c r="E5" s="59">
        <v>433</v>
      </c>
      <c r="F5" s="57">
        <v>20.633333333333333</v>
      </c>
      <c r="G5" s="57">
        <v>20.566666666666666</v>
      </c>
      <c r="H5" s="57">
        <v>20.466666666666665</v>
      </c>
      <c r="I5" s="57">
        <v>19.2</v>
      </c>
      <c r="J5" s="57">
        <v>19.666666666666668</v>
      </c>
      <c r="K5" s="57">
        <v>20.599999999999998</v>
      </c>
      <c r="L5" s="37">
        <v>5.7735026918961346E-2</v>
      </c>
      <c r="M5" s="37">
        <v>5.77350269189634E-2</v>
      </c>
      <c r="N5" s="37">
        <v>5.77350269189634E-2</v>
      </c>
      <c r="O5" s="37">
        <v>0.85440037453175444</v>
      </c>
      <c r="P5" s="37">
        <v>0.97125348562223002</v>
      </c>
      <c r="Q5" s="37">
        <v>9.9999999999999645E-2</v>
      </c>
    </row>
    <row r="6" spans="2:17" x14ac:dyDescent="0.45">
      <c r="B6" t="s">
        <v>75</v>
      </c>
      <c r="C6">
        <v>15</v>
      </c>
    </row>
    <row r="7" spans="2:17" x14ac:dyDescent="0.45">
      <c r="B7" t="s">
        <v>74</v>
      </c>
      <c r="C7">
        <v>13</v>
      </c>
      <c r="H7" s="64">
        <f>K4-H4</f>
        <v>5</v>
      </c>
      <c r="I7">
        <f>K4-I4</f>
        <v>4.9000000000000004</v>
      </c>
      <c r="J7">
        <f>K4-J4</f>
        <v>15.9</v>
      </c>
    </row>
    <row r="8" spans="2:17" x14ac:dyDescent="0.45">
      <c r="B8" t="s">
        <v>71</v>
      </c>
      <c r="C8">
        <v>16</v>
      </c>
    </row>
    <row r="9" spans="2:17" x14ac:dyDescent="0.45">
      <c r="B9" t="s">
        <v>72</v>
      </c>
      <c r="C9">
        <v>9</v>
      </c>
    </row>
    <row r="10" spans="2:17" x14ac:dyDescent="0.45">
      <c r="B10" t="s">
        <v>76</v>
      </c>
      <c r="C10">
        <v>15</v>
      </c>
    </row>
    <row r="11" spans="2:17" x14ac:dyDescent="0.45">
      <c r="B11" t="s">
        <v>77</v>
      </c>
      <c r="C11">
        <v>15</v>
      </c>
    </row>
    <row r="12" spans="2:17" x14ac:dyDescent="0.45">
      <c r="B12" t="s">
        <v>73</v>
      </c>
      <c r="C12">
        <v>25</v>
      </c>
    </row>
    <row r="17" spans="2:5" x14ac:dyDescent="0.45">
      <c r="D17" s="63" t="s">
        <v>82</v>
      </c>
      <c r="E17" t="s">
        <v>100</v>
      </c>
    </row>
    <row r="18" spans="2:5" x14ac:dyDescent="0.45">
      <c r="B18" t="s">
        <v>79</v>
      </c>
      <c r="C18" t="s">
        <v>80</v>
      </c>
      <c r="D18">
        <v>0</v>
      </c>
      <c r="E18">
        <v>13.5</v>
      </c>
    </row>
    <row r="19" spans="2:5" x14ac:dyDescent="0.45">
      <c r="C19" t="s">
        <v>81</v>
      </c>
      <c r="D19">
        <v>19.2</v>
      </c>
      <c r="E19">
        <v>20.100000000000001</v>
      </c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F2D-7BB5-4AE1-8B57-FD3C889119A5}">
  <dimension ref="A2:I36"/>
  <sheetViews>
    <sheetView topLeftCell="A6" zoomScale="97" workbookViewId="0">
      <selection activeCell="F36" sqref="F36"/>
    </sheetView>
  </sheetViews>
  <sheetFormatPr baseColWidth="10" defaultColWidth="10.73046875" defaultRowHeight="14.25" x14ac:dyDescent="0.45"/>
  <cols>
    <col min="5" max="5" width="11.86328125" bestFit="1" customWidth="1"/>
  </cols>
  <sheetData>
    <row r="2" spans="1:9" x14ac:dyDescent="0.45">
      <c r="A2" t="s">
        <v>62</v>
      </c>
      <c r="C2">
        <v>2</v>
      </c>
    </row>
    <row r="3" spans="1:9" x14ac:dyDescent="0.45">
      <c r="F3" t="s">
        <v>70</v>
      </c>
      <c r="I3" s="53" t="s">
        <v>99</v>
      </c>
    </row>
    <row r="4" spans="1:9" x14ac:dyDescent="0.45">
      <c r="A4" t="s">
        <v>63</v>
      </c>
      <c r="B4">
        <v>1</v>
      </c>
      <c r="C4">
        <v>19.600000000000001</v>
      </c>
      <c r="F4">
        <v>19.7</v>
      </c>
      <c r="I4" s="62">
        <f>(1-2*B4/60)</f>
        <v>0.96666666666666667</v>
      </c>
    </row>
    <row r="5" spans="1:9" x14ac:dyDescent="0.45">
      <c r="A5" t="s">
        <v>36</v>
      </c>
      <c r="B5">
        <v>2</v>
      </c>
      <c r="C5">
        <v>18.8</v>
      </c>
      <c r="D5">
        <f t="shared" ref="D5:D17" si="0">C4-C5</f>
        <v>0.80000000000000071</v>
      </c>
      <c r="F5">
        <v>18.7</v>
      </c>
      <c r="G5">
        <f>F4-F5</f>
        <v>1</v>
      </c>
      <c r="I5" s="62">
        <f t="shared" ref="I5:I17" si="1">(1-2*B5/60)</f>
        <v>0.93333333333333335</v>
      </c>
    </row>
    <row r="6" spans="1:9" x14ac:dyDescent="0.45">
      <c r="A6" t="s">
        <v>37</v>
      </c>
      <c r="B6">
        <v>3</v>
      </c>
      <c r="C6">
        <v>18.100000000000001</v>
      </c>
      <c r="D6">
        <f t="shared" si="0"/>
        <v>0.69999999999999929</v>
      </c>
      <c r="F6">
        <v>17.600000000000001</v>
      </c>
      <c r="G6">
        <f t="shared" ref="G6:G17" si="2">F5-F6</f>
        <v>1.0999999999999979</v>
      </c>
      <c r="I6" s="62">
        <f t="shared" si="1"/>
        <v>0.9</v>
      </c>
    </row>
    <row r="7" spans="1:9" x14ac:dyDescent="0.45">
      <c r="A7" t="s">
        <v>38</v>
      </c>
      <c r="B7">
        <v>4</v>
      </c>
      <c r="C7">
        <v>17.399999999999999</v>
      </c>
      <c r="D7">
        <f t="shared" si="0"/>
        <v>0.70000000000000284</v>
      </c>
      <c r="F7">
        <v>16.899999999999999</v>
      </c>
      <c r="G7">
        <f t="shared" si="2"/>
        <v>0.70000000000000284</v>
      </c>
      <c r="I7" s="62">
        <f t="shared" si="1"/>
        <v>0.8666666666666667</v>
      </c>
    </row>
    <row r="8" spans="1:9" x14ac:dyDescent="0.45">
      <c r="A8" t="s">
        <v>39</v>
      </c>
      <c r="B8">
        <v>5</v>
      </c>
      <c r="C8">
        <v>16.8</v>
      </c>
      <c r="D8">
        <f t="shared" si="0"/>
        <v>0.59999999999999787</v>
      </c>
      <c r="F8">
        <v>16.100000000000001</v>
      </c>
      <c r="G8">
        <f t="shared" si="2"/>
        <v>0.79999999999999716</v>
      </c>
      <c r="I8" s="62">
        <f t="shared" si="1"/>
        <v>0.83333333333333337</v>
      </c>
    </row>
    <row r="9" spans="1:9" x14ac:dyDescent="0.45">
      <c r="A9" t="s">
        <v>40</v>
      </c>
      <c r="B9">
        <v>6</v>
      </c>
      <c r="C9">
        <v>17</v>
      </c>
      <c r="D9">
        <f t="shared" si="0"/>
        <v>-0.19999999999999929</v>
      </c>
      <c r="F9">
        <v>15.4</v>
      </c>
      <c r="G9">
        <f t="shared" si="2"/>
        <v>0.70000000000000107</v>
      </c>
      <c r="I9" s="62">
        <f t="shared" si="1"/>
        <v>0.8</v>
      </c>
    </row>
    <row r="10" spans="1:9" x14ac:dyDescent="0.45">
      <c r="A10" t="s">
        <v>41</v>
      </c>
      <c r="B10">
        <v>7</v>
      </c>
      <c r="C10">
        <v>16.3</v>
      </c>
      <c r="D10">
        <f t="shared" si="0"/>
        <v>0.69999999999999929</v>
      </c>
      <c r="F10">
        <v>14.7</v>
      </c>
      <c r="G10">
        <f t="shared" si="2"/>
        <v>0.70000000000000107</v>
      </c>
      <c r="I10" s="62">
        <f t="shared" si="1"/>
        <v>0.76666666666666661</v>
      </c>
    </row>
    <row r="11" spans="1:9" x14ac:dyDescent="0.45">
      <c r="A11" t="s">
        <v>42</v>
      </c>
      <c r="B11">
        <v>8</v>
      </c>
      <c r="C11">
        <v>15.8</v>
      </c>
      <c r="D11">
        <f t="shared" si="0"/>
        <v>0.5</v>
      </c>
      <c r="F11">
        <v>14.2</v>
      </c>
      <c r="G11">
        <f t="shared" si="2"/>
        <v>0.5</v>
      </c>
      <c r="I11" s="62">
        <f t="shared" si="1"/>
        <v>0.73333333333333339</v>
      </c>
    </row>
    <row r="12" spans="1:9" x14ac:dyDescent="0.45">
      <c r="A12" t="s">
        <v>43</v>
      </c>
      <c r="B12">
        <v>9</v>
      </c>
      <c r="C12">
        <v>15.3</v>
      </c>
      <c r="D12">
        <f t="shared" si="0"/>
        <v>0.5</v>
      </c>
      <c r="F12">
        <v>13.8</v>
      </c>
      <c r="G12">
        <f t="shared" si="2"/>
        <v>0.39999999999999858</v>
      </c>
      <c r="I12" s="62">
        <f t="shared" si="1"/>
        <v>0.7</v>
      </c>
    </row>
    <row r="13" spans="1:9" x14ac:dyDescent="0.45">
      <c r="A13" t="s">
        <v>64</v>
      </c>
      <c r="B13">
        <v>10</v>
      </c>
      <c r="C13">
        <v>14.8</v>
      </c>
      <c r="D13">
        <f t="shared" si="0"/>
        <v>0.5</v>
      </c>
      <c r="F13">
        <v>13.3</v>
      </c>
      <c r="G13">
        <f t="shared" si="2"/>
        <v>0.5</v>
      </c>
      <c r="I13" s="62">
        <f t="shared" si="1"/>
        <v>0.66666666666666674</v>
      </c>
    </row>
    <row r="14" spans="1:9" x14ac:dyDescent="0.45">
      <c r="A14" t="s">
        <v>65</v>
      </c>
      <c r="B14">
        <v>11</v>
      </c>
      <c r="C14">
        <v>14.4</v>
      </c>
      <c r="D14">
        <f t="shared" si="0"/>
        <v>0.40000000000000036</v>
      </c>
      <c r="F14">
        <v>12.9</v>
      </c>
      <c r="G14">
        <f t="shared" si="2"/>
        <v>0.40000000000000036</v>
      </c>
      <c r="I14" s="62">
        <f t="shared" si="1"/>
        <v>0.6333333333333333</v>
      </c>
    </row>
    <row r="15" spans="1:9" x14ac:dyDescent="0.45">
      <c r="A15" t="s">
        <v>66</v>
      </c>
      <c r="B15">
        <v>12</v>
      </c>
      <c r="C15">
        <v>14.4</v>
      </c>
      <c r="D15">
        <f t="shared" si="0"/>
        <v>0</v>
      </c>
      <c r="F15">
        <v>12.6</v>
      </c>
      <c r="G15">
        <f t="shared" si="2"/>
        <v>0.30000000000000071</v>
      </c>
      <c r="I15" s="62">
        <f t="shared" si="1"/>
        <v>0.6</v>
      </c>
    </row>
    <row r="16" spans="1:9" x14ac:dyDescent="0.45">
      <c r="A16" t="s">
        <v>67</v>
      </c>
      <c r="B16">
        <v>13</v>
      </c>
      <c r="C16">
        <v>14.2</v>
      </c>
      <c r="D16">
        <f t="shared" si="0"/>
        <v>0.20000000000000107</v>
      </c>
      <c r="F16">
        <v>12.4</v>
      </c>
      <c r="G16">
        <f t="shared" si="2"/>
        <v>0.19999999999999929</v>
      </c>
      <c r="I16" s="62">
        <f t="shared" si="1"/>
        <v>0.56666666666666665</v>
      </c>
    </row>
    <row r="17" spans="1:9" x14ac:dyDescent="0.45">
      <c r="A17" t="s">
        <v>68</v>
      </c>
      <c r="B17">
        <v>14</v>
      </c>
      <c r="C17">
        <v>14</v>
      </c>
      <c r="D17">
        <f t="shared" si="0"/>
        <v>0.19999999999999929</v>
      </c>
      <c r="F17">
        <v>12.1</v>
      </c>
      <c r="G17">
        <f t="shared" si="2"/>
        <v>0.30000000000000071</v>
      </c>
      <c r="I17" s="62">
        <f t="shared" si="1"/>
        <v>0.53333333333333333</v>
      </c>
    </row>
    <row r="19" spans="1:9" x14ac:dyDescent="0.45">
      <c r="A19" t="s">
        <v>69</v>
      </c>
      <c r="C19">
        <v>20</v>
      </c>
      <c r="F19" t="s">
        <v>69</v>
      </c>
      <c r="G19">
        <v>20</v>
      </c>
    </row>
    <row r="26" spans="1:9" x14ac:dyDescent="0.45">
      <c r="D26" t="s">
        <v>84</v>
      </c>
      <c r="E26" t="s">
        <v>85</v>
      </c>
    </row>
    <row r="27" spans="1:9" x14ac:dyDescent="0.45">
      <c r="D27" t="s">
        <v>86</v>
      </c>
      <c r="E27" t="s">
        <v>87</v>
      </c>
    </row>
    <row r="28" spans="1:9" x14ac:dyDescent="0.45">
      <c r="D28" t="s">
        <v>88</v>
      </c>
      <c r="E28" t="s">
        <v>89</v>
      </c>
    </row>
    <row r="30" spans="1:9" x14ac:dyDescent="0.45">
      <c r="D30" t="s">
        <v>90</v>
      </c>
      <c r="E30" t="s">
        <v>91</v>
      </c>
    </row>
    <row r="32" spans="1:9" x14ac:dyDescent="0.45">
      <c r="D32" t="s">
        <v>92</v>
      </c>
      <c r="E32" t="s">
        <v>93</v>
      </c>
    </row>
    <row r="33" spans="4:5" x14ac:dyDescent="0.45">
      <c r="E33" t="s">
        <v>94</v>
      </c>
    </row>
    <row r="34" spans="4:5" x14ac:dyDescent="0.45">
      <c r="D34" t="s">
        <v>92</v>
      </c>
      <c r="E34" t="e" cm="1">
        <f t="array" ref="E34">V/V_re *P</f>
        <v>#NAME?</v>
      </c>
    </row>
    <row r="35" spans="4:5" x14ac:dyDescent="0.45">
      <c r="D35" t="s">
        <v>95</v>
      </c>
      <c r="E35" t="s">
        <v>96</v>
      </c>
    </row>
    <row r="36" spans="4:5" x14ac:dyDescent="0.45">
      <c r="D36" t="s">
        <v>97</v>
      </c>
      <c r="E36" t="s">
        <v>98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9D06-940C-4CD9-A7CA-017B5BE5D83B}">
  <dimension ref="A2:F12"/>
  <sheetViews>
    <sheetView workbookViewId="0">
      <selection activeCell="D16" sqref="D16"/>
    </sheetView>
  </sheetViews>
  <sheetFormatPr baseColWidth="10" defaultColWidth="10.73046875" defaultRowHeight="14.25" x14ac:dyDescent="0.45"/>
  <cols>
    <col min="4" max="4" width="14" bestFit="1" customWidth="1"/>
    <col min="5" max="5" width="14" customWidth="1"/>
  </cols>
  <sheetData>
    <row r="2" spans="1:6" x14ac:dyDescent="0.45">
      <c r="A2" t="s">
        <v>78</v>
      </c>
    </row>
    <row r="4" spans="1:6" x14ac:dyDescent="0.45">
      <c r="A4" t="s">
        <v>35</v>
      </c>
      <c r="B4">
        <v>20</v>
      </c>
    </row>
    <row r="5" spans="1:6" x14ac:dyDescent="0.45">
      <c r="A5" t="s">
        <v>36</v>
      </c>
      <c r="B5">
        <v>20</v>
      </c>
    </row>
    <row r="6" spans="1:6" x14ac:dyDescent="0.45">
      <c r="A6" t="s">
        <v>37</v>
      </c>
      <c r="B6">
        <v>20</v>
      </c>
    </row>
    <row r="9" spans="1:6" x14ac:dyDescent="0.45">
      <c r="A9" s="53"/>
      <c r="B9" s="53"/>
      <c r="C9" s="53" t="s">
        <v>104</v>
      </c>
      <c r="D9" s="53" t="s">
        <v>106</v>
      </c>
      <c r="E9" s="53" t="s">
        <v>105</v>
      </c>
      <c r="F9" s="53" t="s">
        <v>103</v>
      </c>
    </row>
    <row r="10" spans="1:6" x14ac:dyDescent="0.45">
      <c r="A10" s="70">
        <v>44124</v>
      </c>
      <c r="B10" s="71">
        <v>0.4375</v>
      </c>
      <c r="C10" s="53">
        <v>0</v>
      </c>
      <c r="D10" s="53">
        <v>3.1</v>
      </c>
      <c r="E10" s="53">
        <v>13.5</v>
      </c>
      <c r="F10" s="53">
        <v>6.4</v>
      </c>
    </row>
    <row r="11" spans="1:6" x14ac:dyDescent="0.45">
      <c r="A11" s="70">
        <v>44126</v>
      </c>
      <c r="B11" s="71">
        <v>0.33333333333333331</v>
      </c>
      <c r="C11" s="53">
        <f>(24-10-0.5)+24+8</f>
        <v>45.5</v>
      </c>
      <c r="D11" s="53">
        <v>4.7</v>
      </c>
      <c r="E11" s="53">
        <v>20.100000000000001</v>
      </c>
      <c r="F11" s="53">
        <v>14.8</v>
      </c>
    </row>
    <row r="12" spans="1:6" x14ac:dyDescent="0.45">
      <c r="A12" s="70">
        <v>44127</v>
      </c>
      <c r="B12" s="71">
        <v>0.625</v>
      </c>
      <c r="C12" s="53">
        <f>(24-8)+12+3+C11</f>
        <v>76.5</v>
      </c>
      <c r="D12" s="53">
        <v>5.2</v>
      </c>
      <c r="E12" s="53"/>
      <c r="F12" s="53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3BF-D5D7-4386-9A75-AB641F79C58D}">
  <dimension ref="A2:AL9"/>
  <sheetViews>
    <sheetView topLeftCell="A3" zoomScale="93" zoomScaleNormal="40" workbookViewId="0">
      <selection activeCell="T31" sqref="T31"/>
    </sheetView>
  </sheetViews>
  <sheetFormatPr baseColWidth="10" defaultColWidth="10.73046875" defaultRowHeight="14.25" x14ac:dyDescent="0.45"/>
  <cols>
    <col min="1" max="1" width="15.19921875" bestFit="1" customWidth="1"/>
    <col min="2" max="2" width="11.53125" bestFit="1" customWidth="1"/>
    <col min="3" max="29" width="5.6640625" bestFit="1" customWidth="1"/>
    <col min="30" max="30" width="20.46484375" bestFit="1" customWidth="1"/>
    <col min="31" max="31" width="21.9296875" bestFit="1" customWidth="1"/>
    <col min="32" max="32" width="21" bestFit="1" customWidth="1"/>
    <col min="33" max="33" width="22.46484375" bestFit="1" customWidth="1"/>
    <col min="34" max="34" width="23.796875" bestFit="1" customWidth="1"/>
    <col min="35" max="35" width="25.265625" bestFit="1" customWidth="1"/>
    <col min="36" max="36" width="24.33203125" bestFit="1" customWidth="1"/>
    <col min="37" max="37" width="25.796875" bestFit="1" customWidth="1"/>
    <col min="38" max="38" width="7.796875" bestFit="1" customWidth="1"/>
  </cols>
  <sheetData>
    <row r="2" spans="1:38" s="93" customFormat="1" ht="47.85" customHeight="1" x14ac:dyDescent="0.45">
      <c r="A2" s="19"/>
      <c r="B2" s="19"/>
      <c r="C2" s="147" t="s">
        <v>107</v>
      </c>
      <c r="D2" s="147"/>
      <c r="E2" s="147"/>
      <c r="F2" s="147" t="s">
        <v>108</v>
      </c>
      <c r="G2" s="147"/>
      <c r="H2" s="147"/>
      <c r="I2" s="147" t="s">
        <v>109</v>
      </c>
      <c r="J2" s="147"/>
      <c r="K2" s="147"/>
      <c r="L2" s="147" t="s">
        <v>110</v>
      </c>
      <c r="M2" s="147"/>
      <c r="N2" s="147"/>
      <c r="O2" s="147" t="s">
        <v>111</v>
      </c>
      <c r="P2" s="147"/>
      <c r="Q2" s="147"/>
      <c r="R2" s="147" t="s">
        <v>114</v>
      </c>
      <c r="S2" s="147"/>
      <c r="T2" s="147"/>
      <c r="U2" s="147" t="s">
        <v>112</v>
      </c>
      <c r="V2" s="147"/>
      <c r="W2" s="147"/>
      <c r="X2" s="147" t="s">
        <v>113</v>
      </c>
      <c r="Y2" s="147"/>
      <c r="Z2" s="147"/>
      <c r="AA2" s="147" t="s">
        <v>34</v>
      </c>
      <c r="AB2" s="147"/>
      <c r="AC2" s="147"/>
      <c r="AD2" s="147" t="s">
        <v>119</v>
      </c>
      <c r="AE2" s="147"/>
      <c r="AF2" s="147"/>
      <c r="AG2" s="147"/>
      <c r="AH2" s="147"/>
      <c r="AI2" s="147"/>
      <c r="AJ2" s="147"/>
      <c r="AK2" s="147"/>
      <c r="AL2" s="147"/>
    </row>
    <row r="3" spans="1:38" x14ac:dyDescent="0.45">
      <c r="A3" s="84" t="s">
        <v>115</v>
      </c>
      <c r="B3" s="84" t="s">
        <v>14</v>
      </c>
      <c r="C3" s="84">
        <v>1</v>
      </c>
      <c r="D3" s="84">
        <v>2</v>
      </c>
      <c r="E3" s="84">
        <v>3</v>
      </c>
      <c r="F3" s="84">
        <v>1</v>
      </c>
      <c r="G3" s="84">
        <v>2</v>
      </c>
      <c r="H3" s="84">
        <v>3</v>
      </c>
      <c r="I3" s="84">
        <v>1</v>
      </c>
      <c r="J3" s="84">
        <v>2</v>
      </c>
      <c r="K3" s="84">
        <v>3</v>
      </c>
      <c r="L3" s="84">
        <v>1</v>
      </c>
      <c r="M3" s="84">
        <v>2</v>
      </c>
      <c r="N3" s="84">
        <v>3</v>
      </c>
      <c r="O3" s="84">
        <v>1</v>
      </c>
      <c r="P3" s="84">
        <v>2</v>
      </c>
      <c r="Q3" s="84">
        <v>3</v>
      </c>
      <c r="R3" s="84">
        <v>1</v>
      </c>
      <c r="S3" s="84">
        <v>2</v>
      </c>
      <c r="T3" s="84">
        <v>3</v>
      </c>
      <c r="U3" s="84">
        <v>1</v>
      </c>
      <c r="V3" s="84">
        <v>2</v>
      </c>
      <c r="W3" s="84">
        <v>3</v>
      </c>
      <c r="X3" s="84">
        <v>1</v>
      </c>
      <c r="Y3" s="84">
        <v>2</v>
      </c>
      <c r="Z3" s="84">
        <v>3</v>
      </c>
      <c r="AA3" s="84">
        <v>1</v>
      </c>
      <c r="AB3" s="84">
        <v>2</v>
      </c>
      <c r="AC3" s="84">
        <v>3</v>
      </c>
      <c r="AD3" s="84" t="s">
        <v>118</v>
      </c>
      <c r="AE3" s="84" t="s">
        <v>108</v>
      </c>
      <c r="AF3" s="84" t="s">
        <v>109</v>
      </c>
      <c r="AG3" s="84" t="s">
        <v>110</v>
      </c>
      <c r="AH3" s="84" t="s">
        <v>120</v>
      </c>
      <c r="AI3" s="84" t="s">
        <v>121</v>
      </c>
      <c r="AJ3" s="84" t="s">
        <v>122</v>
      </c>
      <c r="AK3" s="84" t="s">
        <v>123</v>
      </c>
      <c r="AL3" s="84" t="s">
        <v>34</v>
      </c>
    </row>
    <row r="4" spans="1:38" x14ac:dyDescent="0.45">
      <c r="A4" s="94">
        <v>44134.71875</v>
      </c>
      <c r="B4" s="84">
        <v>0</v>
      </c>
      <c r="C4" s="84">
        <v>20.5</v>
      </c>
      <c r="D4" s="84">
        <v>20.5</v>
      </c>
      <c r="E4" s="84">
        <v>20.5</v>
      </c>
      <c r="F4" s="84">
        <v>20.5</v>
      </c>
      <c r="G4" s="84">
        <v>20.5</v>
      </c>
      <c r="H4" s="84">
        <v>20.5</v>
      </c>
      <c r="I4" s="84">
        <v>20.5</v>
      </c>
      <c r="J4" s="84">
        <v>20.5</v>
      </c>
      <c r="K4" s="84">
        <v>20.5</v>
      </c>
      <c r="L4" s="84">
        <v>20.5</v>
      </c>
      <c r="M4" s="84">
        <v>20.5</v>
      </c>
      <c r="N4" s="84">
        <v>20.5</v>
      </c>
      <c r="O4" s="84">
        <v>20.5</v>
      </c>
      <c r="P4" s="84">
        <v>20.5</v>
      </c>
      <c r="Q4" s="84">
        <v>20.5</v>
      </c>
      <c r="R4" s="84">
        <v>20.5</v>
      </c>
      <c r="S4" s="84">
        <v>20.5</v>
      </c>
      <c r="T4" s="84">
        <v>20.5</v>
      </c>
      <c r="U4" s="84">
        <v>20.5</v>
      </c>
      <c r="V4" s="84">
        <v>20.5</v>
      </c>
      <c r="W4" s="84">
        <v>20.5</v>
      </c>
      <c r="X4" s="84">
        <v>20.5</v>
      </c>
      <c r="Y4" s="84">
        <v>20.5</v>
      </c>
      <c r="Z4" s="84">
        <v>20.5</v>
      </c>
      <c r="AA4" s="84">
        <v>20.5</v>
      </c>
      <c r="AB4" s="84">
        <v>20.5</v>
      </c>
      <c r="AC4" s="84">
        <v>20.5</v>
      </c>
      <c r="AD4" s="84">
        <f>AVERAGE(C4:E4)</f>
        <v>20.5</v>
      </c>
      <c r="AE4" s="84">
        <f>AVERAGE(F4:H4)</f>
        <v>20.5</v>
      </c>
      <c r="AF4" s="84">
        <f>AVERAGE(I4:K4)</f>
        <v>20.5</v>
      </c>
      <c r="AG4" s="84">
        <f>AVERAGE(L4:N4)</f>
        <v>20.5</v>
      </c>
      <c r="AH4" s="84">
        <f>AVERAGE(O4:Q4)</f>
        <v>20.5</v>
      </c>
      <c r="AI4" s="84">
        <f>AVERAGE(R4:T4)</f>
        <v>20.5</v>
      </c>
      <c r="AJ4" s="84">
        <f>AVERAGE(U4:W4)</f>
        <v>20.5</v>
      </c>
      <c r="AK4" s="84">
        <f>AVERAGE(X4:Z4)</f>
        <v>20.5</v>
      </c>
      <c r="AL4" s="84">
        <f>AVERAGE(AA4:AC4)</f>
        <v>20.5</v>
      </c>
    </row>
    <row r="5" spans="1:38" x14ac:dyDescent="0.45">
      <c r="A5" s="94">
        <v>44138.375</v>
      </c>
      <c r="B5" s="84">
        <f>(A5-$A$4)*24</f>
        <v>87.75</v>
      </c>
      <c r="C5" s="84">
        <v>20.6</v>
      </c>
      <c r="D5" s="84">
        <v>20.399999999999999</v>
      </c>
      <c r="E5" s="84">
        <v>20.399999999999999</v>
      </c>
      <c r="F5" s="84">
        <v>20.5</v>
      </c>
      <c r="G5" s="84">
        <v>20.399999999999999</v>
      </c>
      <c r="H5" s="84">
        <v>20.6</v>
      </c>
      <c r="I5" s="84">
        <v>20.399999999999999</v>
      </c>
      <c r="J5" s="84">
        <v>20.6</v>
      </c>
      <c r="K5" s="84">
        <v>20.6</v>
      </c>
      <c r="L5" s="84">
        <v>20.6</v>
      </c>
      <c r="M5" s="84">
        <v>20.5</v>
      </c>
      <c r="N5" s="84">
        <v>20.6</v>
      </c>
      <c r="O5" s="84">
        <v>20.6</v>
      </c>
      <c r="P5" s="84">
        <v>20.6</v>
      </c>
      <c r="Q5" s="84">
        <v>20.6</v>
      </c>
      <c r="R5" s="84">
        <v>20.6</v>
      </c>
      <c r="S5" s="84">
        <v>20.6</v>
      </c>
      <c r="T5" s="84">
        <v>20.6</v>
      </c>
      <c r="U5" s="84">
        <v>20.6</v>
      </c>
      <c r="V5" s="84">
        <v>20.6</v>
      </c>
      <c r="W5" s="84">
        <v>20.6</v>
      </c>
      <c r="X5" s="84">
        <v>20.6</v>
      </c>
      <c r="Y5" s="84">
        <v>20.6</v>
      </c>
      <c r="Z5" s="84">
        <v>20.6</v>
      </c>
      <c r="AA5" s="84">
        <v>20.6</v>
      </c>
      <c r="AB5" s="84">
        <v>20.6</v>
      </c>
      <c r="AC5" s="84">
        <v>20.6</v>
      </c>
      <c r="AD5" s="10">
        <f t="shared" ref="AD5:AD9" si="0">AVERAGE(C5:E5)</f>
        <v>20.466666666666665</v>
      </c>
      <c r="AE5" s="84">
        <f t="shared" ref="AE5:AE9" si="1">AVERAGE(F5:H5)</f>
        <v>20.5</v>
      </c>
      <c r="AF5" s="10">
        <f t="shared" ref="AF5:AF9" si="2">AVERAGE(I5:K5)</f>
        <v>20.533333333333335</v>
      </c>
      <c r="AG5" s="10">
        <f t="shared" ref="AG5:AG9" si="3">AVERAGE(L5:N5)</f>
        <v>20.566666666666666</v>
      </c>
      <c r="AH5" s="84">
        <f t="shared" ref="AH5:AH9" si="4">AVERAGE(O5:Q5)</f>
        <v>20.6</v>
      </c>
      <c r="AI5" s="84">
        <f t="shared" ref="AI5:AI9" si="5">AVERAGE(R5:T5)</f>
        <v>20.6</v>
      </c>
      <c r="AJ5" s="84">
        <f t="shared" ref="AJ5:AJ9" si="6">AVERAGE(X5:Z5)</f>
        <v>20.6</v>
      </c>
      <c r="AK5" s="84">
        <f t="shared" ref="AK5:AK9" si="7">AVERAGE(AA5:AC5)</f>
        <v>20.6</v>
      </c>
      <c r="AL5" s="84">
        <f t="shared" ref="AL5:AL9" si="8">AVERAGE(AA5:AC5)</f>
        <v>20.6</v>
      </c>
    </row>
    <row r="6" spans="1:38" x14ac:dyDescent="0.45">
      <c r="A6" s="94">
        <v>44139.354166666664</v>
      </c>
      <c r="B6" s="84">
        <f>(A6-$A$4)*24</f>
        <v>111.24999999994179</v>
      </c>
      <c r="C6" s="84">
        <v>20.6</v>
      </c>
      <c r="D6" s="84">
        <v>20.6</v>
      </c>
      <c r="E6" s="84">
        <v>20.6</v>
      </c>
      <c r="F6" s="84">
        <v>20.6</v>
      </c>
      <c r="G6" s="84">
        <v>20.399999999999999</v>
      </c>
      <c r="H6" s="84">
        <v>20.6</v>
      </c>
      <c r="I6" s="84">
        <v>20.6</v>
      </c>
      <c r="J6" s="84">
        <v>20.6</v>
      </c>
      <c r="K6" s="84">
        <v>20.6</v>
      </c>
      <c r="L6" s="84">
        <v>20.6</v>
      </c>
      <c r="M6" s="84">
        <v>20.6</v>
      </c>
      <c r="N6" s="84">
        <v>20.6</v>
      </c>
      <c r="O6" s="84">
        <v>20.6</v>
      </c>
      <c r="P6" s="84">
        <v>20.6</v>
      </c>
      <c r="Q6" s="84">
        <v>20.6</v>
      </c>
      <c r="R6" s="84">
        <v>20.6</v>
      </c>
      <c r="S6" s="84">
        <v>20.6</v>
      </c>
      <c r="T6" s="84">
        <v>20.6</v>
      </c>
      <c r="U6" s="84">
        <v>20.6</v>
      </c>
      <c r="V6" s="84">
        <v>20.6</v>
      </c>
      <c r="W6" s="84">
        <v>20.6</v>
      </c>
      <c r="X6" s="84">
        <v>20.6</v>
      </c>
      <c r="Y6" s="84">
        <v>20.6</v>
      </c>
      <c r="Z6" s="84">
        <v>20.6</v>
      </c>
      <c r="AA6" s="84">
        <v>20.6</v>
      </c>
      <c r="AB6" s="84">
        <v>20.6</v>
      </c>
      <c r="AC6" s="84">
        <v>20.6</v>
      </c>
      <c r="AD6" s="84">
        <f t="shared" si="0"/>
        <v>20.6</v>
      </c>
      <c r="AE6" s="10">
        <f t="shared" si="1"/>
        <v>20.533333333333335</v>
      </c>
      <c r="AF6" s="84">
        <f t="shared" si="2"/>
        <v>20.6</v>
      </c>
      <c r="AG6" s="84">
        <f t="shared" si="3"/>
        <v>20.6</v>
      </c>
      <c r="AH6" s="84">
        <f t="shared" si="4"/>
        <v>20.6</v>
      </c>
      <c r="AI6" s="84">
        <f t="shared" si="5"/>
        <v>20.6</v>
      </c>
      <c r="AJ6" s="84">
        <f t="shared" si="6"/>
        <v>20.6</v>
      </c>
      <c r="AK6" s="84">
        <f t="shared" si="7"/>
        <v>20.6</v>
      </c>
      <c r="AL6" s="84">
        <f t="shared" si="8"/>
        <v>20.6</v>
      </c>
    </row>
    <row r="7" spans="1:38" x14ac:dyDescent="0.45">
      <c r="A7" s="94">
        <v>44141.5</v>
      </c>
      <c r="B7" s="84">
        <f>(A7-$A$4)*24</f>
        <v>162.75</v>
      </c>
      <c r="C7" s="84">
        <v>20.6</v>
      </c>
      <c r="D7" s="84">
        <v>20.6</v>
      </c>
      <c r="E7" s="84">
        <v>20.6</v>
      </c>
      <c r="F7" s="84">
        <v>20.5</v>
      </c>
      <c r="G7" s="84">
        <v>20.399999999999999</v>
      </c>
      <c r="H7" s="84">
        <v>20.5</v>
      </c>
      <c r="I7" s="84">
        <v>20.6</v>
      </c>
      <c r="J7" s="84">
        <v>20.6</v>
      </c>
      <c r="K7" s="84">
        <v>20.6</v>
      </c>
      <c r="L7" s="84">
        <v>20.6</v>
      </c>
      <c r="M7" s="84">
        <v>20.6</v>
      </c>
      <c r="N7" s="84">
        <v>20.6</v>
      </c>
      <c r="O7" s="84">
        <v>20.6</v>
      </c>
      <c r="P7" s="84">
        <v>20.6</v>
      </c>
      <c r="Q7" s="84">
        <v>20.6</v>
      </c>
      <c r="R7" s="84">
        <v>20.6</v>
      </c>
      <c r="S7" s="84">
        <v>20.6</v>
      </c>
      <c r="T7" s="84">
        <v>20.6</v>
      </c>
      <c r="U7" s="84">
        <v>20.6</v>
      </c>
      <c r="V7" s="84">
        <v>20.6</v>
      </c>
      <c r="W7" s="84">
        <v>20.6</v>
      </c>
      <c r="X7" s="84">
        <v>20.6</v>
      </c>
      <c r="Y7" s="84">
        <v>20.6</v>
      </c>
      <c r="Z7" s="84">
        <v>20.6</v>
      </c>
      <c r="AA7" s="84">
        <v>20.6</v>
      </c>
      <c r="AB7" s="84">
        <v>20.6</v>
      </c>
      <c r="AC7" s="84">
        <v>20.6</v>
      </c>
      <c r="AD7" s="84">
        <f t="shared" si="0"/>
        <v>20.6</v>
      </c>
      <c r="AE7" s="10">
        <f t="shared" si="1"/>
        <v>20.466666666666665</v>
      </c>
      <c r="AF7" s="84">
        <f t="shared" si="2"/>
        <v>20.6</v>
      </c>
      <c r="AG7" s="84">
        <f t="shared" si="3"/>
        <v>20.6</v>
      </c>
      <c r="AH7" s="84">
        <f t="shared" si="4"/>
        <v>20.6</v>
      </c>
      <c r="AI7" s="84">
        <f t="shared" si="5"/>
        <v>20.6</v>
      </c>
      <c r="AJ7" s="84">
        <f t="shared" si="6"/>
        <v>20.6</v>
      </c>
      <c r="AK7" s="84">
        <f t="shared" si="7"/>
        <v>20.6</v>
      </c>
      <c r="AL7" s="84">
        <f t="shared" si="8"/>
        <v>20.6</v>
      </c>
    </row>
    <row r="8" spans="1:38" x14ac:dyDescent="0.45">
      <c r="A8" s="94">
        <v>44144.416666666664</v>
      </c>
      <c r="B8" s="10">
        <f>(A8-$A$4)*24</f>
        <v>232.74999999994179</v>
      </c>
      <c r="C8" s="84">
        <v>20.6</v>
      </c>
      <c r="D8" s="84">
        <v>20.6</v>
      </c>
      <c r="E8" s="84">
        <v>20.6</v>
      </c>
      <c r="F8" s="84">
        <v>20.5</v>
      </c>
      <c r="G8" s="84">
        <v>20.5</v>
      </c>
      <c r="H8" s="84">
        <v>20.5</v>
      </c>
      <c r="I8" s="84">
        <v>20.6</v>
      </c>
      <c r="J8" s="84">
        <v>20.6</v>
      </c>
      <c r="K8" s="84">
        <v>20.6</v>
      </c>
      <c r="L8" s="84">
        <v>20.6</v>
      </c>
      <c r="M8" s="84">
        <v>20.6</v>
      </c>
      <c r="N8" s="84">
        <v>20.6</v>
      </c>
      <c r="O8" s="84">
        <v>20.6</v>
      </c>
      <c r="P8" s="84">
        <v>20.6</v>
      </c>
      <c r="Q8" s="84">
        <v>20.6</v>
      </c>
      <c r="R8" s="84">
        <v>20.6</v>
      </c>
      <c r="S8" s="84">
        <v>20.6</v>
      </c>
      <c r="T8" s="84">
        <v>20.6</v>
      </c>
      <c r="U8" s="84">
        <v>20.6</v>
      </c>
      <c r="V8" s="84">
        <v>20.6</v>
      </c>
      <c r="W8" s="84">
        <v>20.6</v>
      </c>
      <c r="X8" s="84">
        <v>20.6</v>
      </c>
      <c r="Y8" s="84">
        <v>20.6</v>
      </c>
      <c r="Z8" s="84">
        <v>20.6</v>
      </c>
      <c r="AA8" s="84">
        <v>20.6</v>
      </c>
      <c r="AB8" s="84">
        <v>20.6</v>
      </c>
      <c r="AC8" s="84">
        <v>20.6</v>
      </c>
      <c r="AD8" s="84">
        <f t="shared" si="0"/>
        <v>20.6</v>
      </c>
      <c r="AE8" s="84">
        <f t="shared" si="1"/>
        <v>20.5</v>
      </c>
      <c r="AF8" s="84">
        <f t="shared" si="2"/>
        <v>20.6</v>
      </c>
      <c r="AG8" s="84">
        <f t="shared" si="3"/>
        <v>20.6</v>
      </c>
      <c r="AH8" s="84">
        <f t="shared" si="4"/>
        <v>20.6</v>
      </c>
      <c r="AI8" s="84">
        <f t="shared" si="5"/>
        <v>20.6</v>
      </c>
      <c r="AJ8" s="84">
        <f t="shared" si="6"/>
        <v>20.6</v>
      </c>
      <c r="AK8" s="84">
        <f t="shared" si="7"/>
        <v>20.6</v>
      </c>
      <c r="AL8" s="84">
        <f t="shared" si="8"/>
        <v>20.6</v>
      </c>
    </row>
    <row r="9" spans="1:38" x14ac:dyDescent="0.45">
      <c r="A9" s="94">
        <v>44146.666666666664</v>
      </c>
      <c r="B9" s="84">
        <f>(A9-$A$4)*24</f>
        <v>286.74999999994179</v>
      </c>
      <c r="C9" s="84">
        <v>20.6</v>
      </c>
      <c r="D9" s="84">
        <v>20.6</v>
      </c>
      <c r="E9" s="84">
        <v>20.6</v>
      </c>
      <c r="F9" s="84">
        <v>20.6</v>
      </c>
      <c r="G9" s="84">
        <v>20.6</v>
      </c>
      <c r="H9" s="84">
        <v>20.6</v>
      </c>
      <c r="I9" s="84">
        <v>20.6</v>
      </c>
      <c r="J9" s="84">
        <v>20.6</v>
      </c>
      <c r="K9" s="84">
        <v>20.6</v>
      </c>
      <c r="L9" s="84">
        <v>20.6</v>
      </c>
      <c r="M9" s="84">
        <v>20.6</v>
      </c>
      <c r="N9" s="84">
        <v>20.6</v>
      </c>
      <c r="O9" s="84">
        <v>20.6</v>
      </c>
      <c r="P9" s="84">
        <v>20.6</v>
      </c>
      <c r="Q9" s="84">
        <v>20.6</v>
      </c>
      <c r="R9" s="84">
        <v>20.6</v>
      </c>
      <c r="S9" s="84">
        <v>20.6</v>
      </c>
      <c r="T9" s="84">
        <v>20.6</v>
      </c>
      <c r="U9" s="84">
        <v>20.6</v>
      </c>
      <c r="V9" s="84">
        <v>20.6</v>
      </c>
      <c r="W9" s="84">
        <v>20.6</v>
      </c>
      <c r="X9" s="84">
        <v>20.6</v>
      </c>
      <c r="Y9" s="84">
        <v>20.6</v>
      </c>
      <c r="Z9" s="84">
        <v>20.6</v>
      </c>
      <c r="AA9" s="84">
        <v>20.6</v>
      </c>
      <c r="AB9" s="84">
        <v>20.6</v>
      </c>
      <c r="AC9" s="84">
        <v>20.6</v>
      </c>
      <c r="AD9" s="84">
        <f t="shared" si="0"/>
        <v>20.6</v>
      </c>
      <c r="AE9" s="84">
        <f t="shared" si="1"/>
        <v>20.6</v>
      </c>
      <c r="AF9" s="84">
        <f t="shared" si="2"/>
        <v>20.6</v>
      </c>
      <c r="AG9" s="84">
        <f t="shared" si="3"/>
        <v>20.6</v>
      </c>
      <c r="AH9" s="84">
        <f t="shared" si="4"/>
        <v>20.6</v>
      </c>
      <c r="AI9" s="84">
        <f t="shared" si="5"/>
        <v>20.6</v>
      </c>
      <c r="AJ9" s="84">
        <f t="shared" si="6"/>
        <v>20.6</v>
      </c>
      <c r="AK9" s="84">
        <f t="shared" si="7"/>
        <v>20.6</v>
      </c>
      <c r="AL9" s="84">
        <f t="shared" si="8"/>
        <v>20.6</v>
      </c>
    </row>
  </sheetData>
  <mergeCells count="10">
    <mergeCell ref="AD2:AL2"/>
    <mergeCell ref="U2:W2"/>
    <mergeCell ref="X2:Z2"/>
    <mergeCell ref="AA2:AC2"/>
    <mergeCell ref="F2:H2"/>
    <mergeCell ref="C2:E2"/>
    <mergeCell ref="I2:K2"/>
    <mergeCell ref="L2:N2"/>
    <mergeCell ref="O2:Q2"/>
    <mergeCell ref="R2:T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EC85-0050-4E74-AE2E-0B639007DED4}">
  <dimension ref="A2:AF11"/>
  <sheetViews>
    <sheetView topLeftCell="V1" zoomScale="76" workbookViewId="0">
      <selection activeCell="AF16" sqref="AF16"/>
    </sheetView>
  </sheetViews>
  <sheetFormatPr baseColWidth="10" defaultColWidth="10.73046875" defaultRowHeight="14.25" x14ac:dyDescent="0.45"/>
  <cols>
    <col min="1" max="1" width="15.19921875" bestFit="1" customWidth="1"/>
    <col min="26" max="26" width="17.46484375" bestFit="1" customWidth="1"/>
    <col min="27" max="27" width="18.796875" bestFit="1" customWidth="1"/>
    <col min="28" max="28" width="18.1328125" bestFit="1" customWidth="1"/>
    <col min="29" max="29" width="19.53125" bestFit="1" customWidth="1"/>
    <col min="30" max="30" width="17.59765625" bestFit="1" customWidth="1"/>
  </cols>
  <sheetData>
    <row r="2" spans="1:32" x14ac:dyDescent="0.45">
      <c r="C2" s="148" t="s">
        <v>111</v>
      </c>
      <c r="D2" s="148"/>
      <c r="E2" s="148"/>
      <c r="F2" s="148" t="s">
        <v>114</v>
      </c>
      <c r="G2" s="148"/>
      <c r="H2" s="148"/>
      <c r="I2" s="148" t="s">
        <v>112</v>
      </c>
      <c r="J2" s="148"/>
      <c r="K2" s="148"/>
      <c r="L2" s="148" t="s">
        <v>113</v>
      </c>
      <c r="M2" s="148"/>
      <c r="N2" s="148"/>
      <c r="O2" s="148" t="s">
        <v>110</v>
      </c>
      <c r="P2" s="148"/>
      <c r="Q2" s="148"/>
      <c r="R2" s="148" t="s">
        <v>34</v>
      </c>
      <c r="S2" s="148"/>
      <c r="T2" s="148"/>
      <c r="U2" s="148" t="s">
        <v>116</v>
      </c>
      <c r="V2" s="148"/>
      <c r="W2" s="148"/>
      <c r="Z2" t="s">
        <v>18</v>
      </c>
    </row>
    <row r="3" spans="1:32" x14ac:dyDescent="0.45">
      <c r="A3" s="85" t="s">
        <v>115</v>
      </c>
      <c r="B3" s="85" t="s">
        <v>14</v>
      </c>
      <c r="C3">
        <v>1</v>
      </c>
      <c r="D3">
        <v>2</v>
      </c>
      <c r="E3">
        <v>3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 t="s">
        <v>124</v>
      </c>
      <c r="Y3" t="s">
        <v>51</v>
      </c>
    </row>
    <row r="4" spans="1:32" x14ac:dyDescent="0.45">
      <c r="A4" s="83">
        <v>44145.666666666664</v>
      </c>
      <c r="B4" s="85">
        <v>0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10.1</v>
      </c>
      <c r="V4">
        <v>12.2</v>
      </c>
      <c r="W4">
        <v>9.8000000000000007</v>
      </c>
      <c r="X4" s="92">
        <f>AVERAGE(U4:W4)</f>
        <v>10.699999999999998</v>
      </c>
      <c r="Y4" s="92">
        <f>_xlfn.STDEV.S(U4:W4)</f>
        <v>1.3076696830622014</v>
      </c>
    </row>
    <row r="5" spans="1:32" x14ac:dyDescent="0.45">
      <c r="A5" s="83">
        <v>44146.458333333336</v>
      </c>
      <c r="B5" s="85">
        <f>(A5-$A$4)*24</f>
        <v>19.000000000116415</v>
      </c>
      <c r="L5">
        <v>20.6</v>
      </c>
      <c r="M5">
        <v>20.6</v>
      </c>
      <c r="N5">
        <v>20.6</v>
      </c>
      <c r="P5">
        <v>20.6</v>
      </c>
      <c r="Q5">
        <v>20.6</v>
      </c>
      <c r="U5">
        <v>17.899999999999999</v>
      </c>
      <c r="V5">
        <v>20.5</v>
      </c>
      <c r="W5">
        <v>16.3</v>
      </c>
      <c r="X5" s="92">
        <f>AVERAGE(U5:W5)</f>
        <v>18.233333333333334</v>
      </c>
      <c r="Y5" s="92">
        <f>_xlfn.STDEV.S(U5:W5)</f>
        <v>2.1197484127446193</v>
      </c>
    </row>
    <row r="6" spans="1:32" x14ac:dyDescent="0.45">
      <c r="A6" s="83">
        <v>44147.458333333336</v>
      </c>
      <c r="B6" s="85">
        <f>(A6-$A$4)*24</f>
        <v>43.000000000116415</v>
      </c>
      <c r="C6">
        <v>20.6</v>
      </c>
      <c r="D6">
        <v>20.6</v>
      </c>
      <c r="F6">
        <v>20.6</v>
      </c>
      <c r="G6">
        <v>20.6</v>
      </c>
      <c r="H6">
        <v>20.6</v>
      </c>
      <c r="I6">
        <v>20.6</v>
      </c>
      <c r="J6">
        <v>20.6</v>
      </c>
      <c r="K6">
        <v>20.6</v>
      </c>
      <c r="L6">
        <v>20.6</v>
      </c>
      <c r="M6">
        <v>20.6</v>
      </c>
      <c r="N6">
        <v>20.6</v>
      </c>
      <c r="O6">
        <v>20.6</v>
      </c>
      <c r="P6">
        <v>20.6</v>
      </c>
      <c r="Q6">
        <v>20.6</v>
      </c>
    </row>
    <row r="7" spans="1:32" x14ac:dyDescent="0.45">
      <c r="A7" s="83"/>
      <c r="B7" s="97" t="s">
        <v>14</v>
      </c>
      <c r="Z7" s="63" t="s">
        <v>111</v>
      </c>
      <c r="AA7" s="63" t="s">
        <v>114</v>
      </c>
      <c r="AB7" s="63" t="s">
        <v>112</v>
      </c>
      <c r="AC7" s="63" t="s">
        <v>113</v>
      </c>
      <c r="AD7" s="63" t="s">
        <v>110</v>
      </c>
      <c r="AE7" s="63" t="s">
        <v>34</v>
      </c>
      <c r="AF7" s="63" t="s">
        <v>116</v>
      </c>
    </row>
    <row r="8" spans="1:32" x14ac:dyDescent="0.45">
      <c r="A8" s="88">
        <v>44148.458333333336</v>
      </c>
      <c r="B8" s="89">
        <f>(A8-$A$8)*24</f>
        <v>0</v>
      </c>
      <c r="C8">
        <v>20.6</v>
      </c>
      <c r="D8">
        <v>20.6</v>
      </c>
      <c r="F8">
        <v>20.6</v>
      </c>
      <c r="G8">
        <v>20.6</v>
      </c>
      <c r="H8">
        <v>20.6</v>
      </c>
      <c r="I8">
        <v>20.6</v>
      </c>
      <c r="J8">
        <v>20.6</v>
      </c>
      <c r="K8">
        <v>20.6</v>
      </c>
      <c r="L8">
        <v>20.6</v>
      </c>
      <c r="M8">
        <v>20.6</v>
      </c>
      <c r="N8">
        <v>20.6</v>
      </c>
      <c r="O8">
        <v>20.6</v>
      </c>
      <c r="P8">
        <v>20.6</v>
      </c>
      <c r="Q8">
        <v>20.6</v>
      </c>
      <c r="R8">
        <v>20.6</v>
      </c>
      <c r="S8">
        <v>20.6</v>
      </c>
      <c r="T8">
        <v>20.6</v>
      </c>
      <c r="U8" t="s">
        <v>125</v>
      </c>
      <c r="V8" s="89">
        <v>6.7</v>
      </c>
      <c r="W8" s="89">
        <v>5.2</v>
      </c>
      <c r="Z8" s="63">
        <f>AVERAGE(C8:D8)</f>
        <v>20.6</v>
      </c>
      <c r="AA8" s="63">
        <f>AVERAGE(F8:H8)</f>
        <v>20.6</v>
      </c>
      <c r="AB8" s="63">
        <f>AVERAGE(I8:K8)</f>
        <v>20.6</v>
      </c>
      <c r="AC8" s="63">
        <f>AVERAGE(L8:N8)</f>
        <v>20.6</v>
      </c>
      <c r="AD8" s="63">
        <f>AVERAGE(O8:Q8)</f>
        <v>20.6</v>
      </c>
      <c r="AE8" s="63">
        <f>AVERAGE(R8:T8)</f>
        <v>20.6</v>
      </c>
      <c r="AF8" s="63">
        <f>AVERAGE(U8:W8)</f>
        <v>5.95</v>
      </c>
    </row>
    <row r="9" spans="1:32" x14ac:dyDescent="0.45">
      <c r="A9" s="88">
        <v>44152.395833333336</v>
      </c>
      <c r="B9" s="89">
        <f>(A9-$A$8)*24</f>
        <v>94.5</v>
      </c>
      <c r="C9">
        <v>20.5</v>
      </c>
      <c r="D9">
        <v>20.399999999999999</v>
      </c>
      <c r="F9">
        <v>20.5</v>
      </c>
      <c r="G9">
        <v>20.399999999999999</v>
      </c>
      <c r="H9">
        <v>20.5</v>
      </c>
      <c r="I9">
        <v>20.5</v>
      </c>
      <c r="J9">
        <v>20.399999999999999</v>
      </c>
      <c r="K9">
        <v>20.399999999999999</v>
      </c>
      <c r="L9">
        <v>20.6</v>
      </c>
      <c r="M9">
        <v>20.5</v>
      </c>
      <c r="N9">
        <v>20.6</v>
      </c>
      <c r="O9">
        <v>20.5</v>
      </c>
      <c r="P9">
        <v>20.399999999999999</v>
      </c>
      <c r="Q9">
        <v>20.3</v>
      </c>
      <c r="R9">
        <v>20.6</v>
      </c>
      <c r="S9">
        <v>20.6</v>
      </c>
      <c r="T9">
        <v>20.6</v>
      </c>
      <c r="U9" t="s">
        <v>125</v>
      </c>
      <c r="V9" s="89">
        <v>6.9</v>
      </c>
      <c r="W9" s="89">
        <v>9.6</v>
      </c>
      <c r="Z9" s="63">
        <f t="shared" ref="Z9:Z11" si="0">AVERAGE(C9:D9)</f>
        <v>20.45</v>
      </c>
      <c r="AA9" s="63">
        <f t="shared" ref="AA9:AA11" si="1">AVERAGE(F9:H9)</f>
        <v>20.466666666666665</v>
      </c>
      <c r="AB9" s="63">
        <f t="shared" ref="AB9:AB11" si="2">AVERAGE(I9:K9)</f>
        <v>20.433333333333334</v>
      </c>
      <c r="AC9" s="63">
        <f t="shared" ref="AC9:AC11" si="3">AVERAGE(L9:N9)</f>
        <v>20.566666666666666</v>
      </c>
      <c r="AD9" s="63">
        <f t="shared" ref="AD9:AD11" si="4">AVERAGE(O9:Q9)</f>
        <v>20.400000000000002</v>
      </c>
      <c r="AE9" s="63">
        <f t="shared" ref="AE9:AE11" si="5">AVERAGE(R9:T9)</f>
        <v>20.6</v>
      </c>
      <c r="AF9" s="63">
        <f t="shared" ref="AF9:AF11" si="6">AVERAGE(U9:W9)</f>
        <v>8.25</v>
      </c>
    </row>
    <row r="10" spans="1:32" x14ac:dyDescent="0.45">
      <c r="A10" s="88">
        <v>44153.458333333336</v>
      </c>
      <c r="B10" s="95">
        <f>(A10-$A$8)*24</f>
        <v>120</v>
      </c>
      <c r="C10">
        <v>20.6</v>
      </c>
      <c r="D10">
        <v>20.5</v>
      </c>
      <c r="F10">
        <v>20.6</v>
      </c>
      <c r="G10">
        <v>20.5</v>
      </c>
      <c r="H10">
        <v>20.6</v>
      </c>
      <c r="I10">
        <v>20.5</v>
      </c>
      <c r="J10">
        <v>20.5</v>
      </c>
      <c r="K10">
        <v>20.5</v>
      </c>
      <c r="L10">
        <v>20.6</v>
      </c>
      <c r="M10">
        <v>20.6</v>
      </c>
      <c r="N10">
        <v>20.6</v>
      </c>
      <c r="O10">
        <v>20.5</v>
      </c>
      <c r="P10">
        <v>20.6</v>
      </c>
      <c r="Q10">
        <v>20.399999999999999</v>
      </c>
      <c r="R10">
        <v>20.6</v>
      </c>
      <c r="S10">
        <v>20.6</v>
      </c>
      <c r="T10">
        <v>20.6</v>
      </c>
      <c r="U10" s="89"/>
      <c r="V10" s="97">
        <v>7.4</v>
      </c>
      <c r="W10" s="97">
        <v>10.9</v>
      </c>
      <c r="Z10" s="63">
        <f t="shared" si="0"/>
        <v>20.55</v>
      </c>
      <c r="AA10" s="63">
        <f t="shared" si="1"/>
        <v>20.566666666666666</v>
      </c>
      <c r="AB10" s="63">
        <f t="shared" si="2"/>
        <v>20.5</v>
      </c>
      <c r="AC10" s="63">
        <f t="shared" si="3"/>
        <v>20.6</v>
      </c>
      <c r="AD10" s="63">
        <f t="shared" si="4"/>
        <v>20.5</v>
      </c>
      <c r="AE10" s="63">
        <f t="shared" si="5"/>
        <v>20.6</v>
      </c>
      <c r="AF10" s="63">
        <f t="shared" si="6"/>
        <v>9.15</v>
      </c>
    </row>
    <row r="11" spans="1:32" x14ac:dyDescent="0.45">
      <c r="A11" s="88">
        <v>44155.4375</v>
      </c>
      <c r="B11" s="96">
        <f>(A11-$A$8)*24</f>
        <v>167.49999999994179</v>
      </c>
      <c r="C11">
        <v>20.6</v>
      </c>
      <c r="D11">
        <v>20.6</v>
      </c>
      <c r="F11">
        <v>20.6</v>
      </c>
      <c r="G11">
        <v>20.6</v>
      </c>
      <c r="I11">
        <v>20.6</v>
      </c>
      <c r="J11">
        <v>20.6</v>
      </c>
      <c r="K11">
        <v>20.6</v>
      </c>
      <c r="L11">
        <v>20.6</v>
      </c>
      <c r="M11">
        <v>20.6</v>
      </c>
      <c r="N11">
        <v>20.6</v>
      </c>
      <c r="O11">
        <v>20.5</v>
      </c>
      <c r="P11">
        <v>20.6</v>
      </c>
      <c r="Q11">
        <v>20.399999999999999</v>
      </c>
      <c r="R11">
        <v>20.6</v>
      </c>
      <c r="S11">
        <v>20.6</v>
      </c>
      <c r="T11">
        <v>20.6</v>
      </c>
      <c r="V11" s="97">
        <v>11</v>
      </c>
      <c r="W11" s="97">
        <v>12.9</v>
      </c>
      <c r="Z11" s="63">
        <f t="shared" si="0"/>
        <v>20.6</v>
      </c>
      <c r="AA11" s="63">
        <f t="shared" si="1"/>
        <v>20.6</v>
      </c>
      <c r="AB11" s="63">
        <f t="shared" si="2"/>
        <v>20.6</v>
      </c>
      <c r="AC11" s="63">
        <f t="shared" si="3"/>
        <v>20.6</v>
      </c>
      <c r="AD11" s="63">
        <f t="shared" si="4"/>
        <v>20.5</v>
      </c>
      <c r="AE11" s="63">
        <f t="shared" si="5"/>
        <v>20.6</v>
      </c>
      <c r="AF11" s="63">
        <f t="shared" si="6"/>
        <v>11.95</v>
      </c>
    </row>
  </sheetData>
  <mergeCells count="7">
    <mergeCell ref="U2:W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7A12-95DD-4A52-AD12-D43F5852C589}">
  <dimension ref="A3:H10"/>
  <sheetViews>
    <sheetView zoomScale="75" workbookViewId="0">
      <selection activeCell="C22" sqref="C22"/>
    </sheetView>
  </sheetViews>
  <sheetFormatPr baseColWidth="10" defaultColWidth="10.73046875" defaultRowHeight="14.25" x14ac:dyDescent="0.45"/>
  <cols>
    <col min="1" max="1" width="15.19921875" bestFit="1" customWidth="1"/>
    <col min="2" max="2" width="15.19921875" customWidth="1"/>
  </cols>
  <sheetData>
    <row r="3" spans="1:8" x14ac:dyDescent="0.45">
      <c r="A3" s="20"/>
      <c r="B3" s="86"/>
      <c r="C3" s="149" t="s">
        <v>117</v>
      </c>
      <c r="D3" s="149"/>
      <c r="E3" s="149"/>
      <c r="F3" s="149"/>
    </row>
    <row r="4" spans="1:8" x14ac:dyDescent="0.45">
      <c r="A4" s="20"/>
      <c r="B4" s="86" t="s">
        <v>61</v>
      </c>
      <c r="C4" s="86">
        <v>1</v>
      </c>
      <c r="D4" s="86">
        <v>2</v>
      </c>
      <c r="E4" s="86" t="s">
        <v>126</v>
      </c>
      <c r="F4" s="86" t="s">
        <v>127</v>
      </c>
    </row>
    <row r="5" spans="1:8" x14ac:dyDescent="0.45">
      <c r="A5" s="87">
        <v>44146.625</v>
      </c>
      <c r="B5" s="91">
        <f t="shared" ref="B5:B10" si="0">(A5-$A$5)*24</f>
        <v>0</v>
      </c>
      <c r="C5" s="86">
        <v>4.5999999999999996</v>
      </c>
      <c r="D5" s="86">
        <v>3</v>
      </c>
      <c r="E5" s="90">
        <v>2.4</v>
      </c>
      <c r="F5" s="86">
        <v>2.2999999999999998</v>
      </c>
      <c r="G5">
        <f>AVERAGE(E5:F5)</f>
        <v>2.3499999999999996</v>
      </c>
      <c r="H5">
        <f>_xlfn.STDEV.P(E5:F5)</f>
        <v>5.0000000000000044E-2</v>
      </c>
    </row>
    <row r="6" spans="1:8" x14ac:dyDescent="0.45">
      <c r="A6" s="88">
        <v>44147.458333333336</v>
      </c>
      <c r="B6" s="91">
        <f t="shared" si="0"/>
        <v>20.000000000058208</v>
      </c>
      <c r="C6" s="85">
        <v>18.8</v>
      </c>
      <c r="D6" s="85">
        <v>20.6</v>
      </c>
      <c r="E6" s="89">
        <v>6.7</v>
      </c>
      <c r="F6" s="85">
        <v>2.2999999999999998</v>
      </c>
      <c r="G6">
        <f t="shared" ref="G6" si="1">AVERAGE(E6:F6)</f>
        <v>4.5</v>
      </c>
      <c r="H6">
        <f t="shared" ref="H6:H10" si="2">_xlfn.STDEV.P(E6:F6)</f>
        <v>2.2000000000000002</v>
      </c>
    </row>
    <row r="7" spans="1:8" x14ac:dyDescent="0.45">
      <c r="A7" s="88">
        <v>44148.458333333336</v>
      </c>
      <c r="B7" s="91">
        <f t="shared" si="0"/>
        <v>44.000000000058208</v>
      </c>
      <c r="C7" s="85">
        <v>20.6</v>
      </c>
      <c r="D7" s="85">
        <v>20.6</v>
      </c>
      <c r="E7" s="89">
        <v>6.7</v>
      </c>
      <c r="F7" s="85">
        <v>5.2</v>
      </c>
      <c r="G7">
        <f>AVERAGE(E7:F7)</f>
        <v>5.95</v>
      </c>
      <c r="H7">
        <f t="shared" si="2"/>
        <v>0.75</v>
      </c>
    </row>
    <row r="8" spans="1:8" x14ac:dyDescent="0.45">
      <c r="A8" s="88">
        <v>44152.395833333336</v>
      </c>
      <c r="B8" s="91">
        <f t="shared" si="0"/>
        <v>138.50000000005821</v>
      </c>
      <c r="C8">
        <v>20.6</v>
      </c>
      <c r="D8">
        <v>20.6</v>
      </c>
      <c r="E8" s="89">
        <v>6.9</v>
      </c>
      <c r="F8" s="89">
        <v>9.6</v>
      </c>
      <c r="G8">
        <f>AVERAGE(E8:F8)</f>
        <v>8.25</v>
      </c>
      <c r="H8">
        <f t="shared" si="2"/>
        <v>1.3500000000000019</v>
      </c>
    </row>
    <row r="9" spans="1:8" x14ac:dyDescent="0.45">
      <c r="A9" s="88">
        <v>44153.458333333336</v>
      </c>
      <c r="B9" s="91">
        <f t="shared" si="0"/>
        <v>164.00000000005821</v>
      </c>
      <c r="C9">
        <v>20.6</v>
      </c>
      <c r="D9">
        <v>20.6</v>
      </c>
      <c r="E9" s="95">
        <v>7.4</v>
      </c>
      <c r="F9" s="95">
        <v>10.9</v>
      </c>
      <c r="G9">
        <f>AVERAGE(E9:F9)</f>
        <v>9.15</v>
      </c>
      <c r="H9">
        <f t="shared" si="2"/>
        <v>1.749999999999996</v>
      </c>
    </row>
    <row r="10" spans="1:8" x14ac:dyDescent="0.45">
      <c r="A10" s="88">
        <v>44155.4375</v>
      </c>
      <c r="B10" s="91">
        <f t="shared" si="0"/>
        <v>211.5</v>
      </c>
      <c r="C10">
        <v>20.6</v>
      </c>
      <c r="D10">
        <v>20.6</v>
      </c>
      <c r="E10" s="96">
        <v>11</v>
      </c>
      <c r="F10" s="96">
        <v>12.9</v>
      </c>
      <c r="G10">
        <f>AVERAGE(E10:F10)</f>
        <v>11.95</v>
      </c>
      <c r="H10">
        <f t="shared" si="2"/>
        <v>0.95000000000000018</v>
      </c>
    </row>
  </sheetData>
  <mergeCells count="1">
    <mergeCell ref="C3: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6579-E88F-4A35-93B3-2CA1C84B3D64}">
  <dimension ref="A2:Y27"/>
  <sheetViews>
    <sheetView zoomScale="71" zoomScaleNormal="100" workbookViewId="0">
      <selection activeCell="B10" sqref="B10"/>
    </sheetView>
  </sheetViews>
  <sheetFormatPr baseColWidth="10" defaultColWidth="10.73046875" defaultRowHeight="14.25" x14ac:dyDescent="0.45"/>
  <cols>
    <col min="1" max="1" width="15.19921875" bestFit="1" customWidth="1"/>
  </cols>
  <sheetData>
    <row r="2" spans="1:25" ht="14.65" thickBot="1" x14ac:dyDescent="0.5"/>
    <row r="3" spans="1:25" x14ac:dyDescent="0.45">
      <c r="A3" s="18"/>
      <c r="B3" s="104" t="s">
        <v>61</v>
      </c>
      <c r="C3" s="51">
        <v>1</v>
      </c>
      <c r="D3" s="100">
        <v>2</v>
      </c>
      <c r="E3" s="76">
        <v>3</v>
      </c>
      <c r="F3" s="109" t="s">
        <v>119</v>
      </c>
      <c r="G3" s="109" t="s">
        <v>83</v>
      </c>
      <c r="H3" s="51">
        <v>4</v>
      </c>
      <c r="I3" s="100">
        <v>5</v>
      </c>
      <c r="J3" s="76">
        <v>6</v>
      </c>
      <c r="K3" s="109" t="s">
        <v>119</v>
      </c>
      <c r="L3" s="109" t="s">
        <v>83</v>
      </c>
      <c r="M3" s="51">
        <v>7</v>
      </c>
      <c r="N3" s="100">
        <v>8</v>
      </c>
      <c r="O3" s="76">
        <v>9</v>
      </c>
      <c r="P3" s="109" t="s">
        <v>18</v>
      </c>
      <c r="Q3" s="109" t="s">
        <v>83</v>
      </c>
      <c r="R3" s="51">
        <v>10</v>
      </c>
      <c r="S3" s="100">
        <v>11</v>
      </c>
      <c r="T3" s="76">
        <v>12</v>
      </c>
      <c r="U3" s="109" t="s">
        <v>18</v>
      </c>
      <c r="V3" s="109" t="s">
        <v>83</v>
      </c>
      <c r="W3" s="51">
        <v>13</v>
      </c>
      <c r="X3" s="76">
        <v>14</v>
      </c>
      <c r="Y3" t="s">
        <v>18</v>
      </c>
    </row>
    <row r="4" spans="1:25" x14ac:dyDescent="0.45">
      <c r="A4" s="102">
        <v>44158.583333333336</v>
      </c>
      <c r="B4" s="105">
        <f t="shared" ref="B4:B9" si="0">(A4-$A$4)*24</f>
        <v>0</v>
      </c>
      <c r="C4" s="34">
        <v>12.7</v>
      </c>
      <c r="D4" s="99">
        <v>12.2</v>
      </c>
      <c r="E4" s="35">
        <v>11.9</v>
      </c>
      <c r="F4" s="110">
        <f>AVERAGE(C4:E4)</f>
        <v>12.266666666666666</v>
      </c>
      <c r="G4" s="110">
        <f>_xlfn.STDEV.P(C4:E4)</f>
        <v>0.32998316455372179</v>
      </c>
      <c r="H4" s="34">
        <v>11.3</v>
      </c>
      <c r="I4" s="99">
        <v>12.6</v>
      </c>
      <c r="J4" s="35">
        <v>11.5</v>
      </c>
      <c r="K4" s="110">
        <f>AVERAGE(H4:J4)</f>
        <v>11.799999999999999</v>
      </c>
      <c r="L4" s="110">
        <f>_xlfn.STDEV.P(H4:J4)</f>
        <v>0.57154760664940785</v>
      </c>
      <c r="M4" s="34">
        <v>13.5</v>
      </c>
      <c r="N4" s="99">
        <v>11</v>
      </c>
      <c r="O4" s="35">
        <v>12.5</v>
      </c>
      <c r="P4" s="110" t="s">
        <v>125</v>
      </c>
      <c r="Q4" s="110" t="s">
        <v>125</v>
      </c>
      <c r="R4" s="34">
        <v>13.2</v>
      </c>
      <c r="S4" s="99">
        <v>14</v>
      </c>
      <c r="T4" s="35">
        <v>12.7</v>
      </c>
      <c r="U4" s="110" t="s">
        <v>125</v>
      </c>
      <c r="V4" s="110"/>
      <c r="W4" s="107">
        <v>8.6999999999999993</v>
      </c>
      <c r="X4" s="108">
        <v>12.3</v>
      </c>
    </row>
    <row r="5" spans="1:25" x14ac:dyDescent="0.45">
      <c r="A5" s="102">
        <v>44160.4375</v>
      </c>
      <c r="B5" s="106">
        <f t="shared" si="0"/>
        <v>44.499999999941792</v>
      </c>
      <c r="C5" s="34">
        <v>3</v>
      </c>
      <c r="D5" s="99">
        <v>1.6</v>
      </c>
      <c r="E5" s="35">
        <v>2.2999999999999998</v>
      </c>
      <c r="F5" s="110">
        <f t="shared" ref="F5:F9" si="1">AVERAGE(C5:E5)</f>
        <v>2.2999999999999998</v>
      </c>
      <c r="G5" s="110">
        <f t="shared" ref="G5:G6" si="2">_xlfn.STDEV.P(C5:E5)</f>
        <v>0.5715476066494094</v>
      </c>
      <c r="H5" s="34" t="s">
        <v>125</v>
      </c>
      <c r="I5" s="99" t="s">
        <v>125</v>
      </c>
      <c r="J5" s="35" t="s">
        <v>125</v>
      </c>
      <c r="K5" s="110" t="s">
        <v>125</v>
      </c>
      <c r="L5" s="110" t="s">
        <v>125</v>
      </c>
      <c r="M5" s="34" t="s">
        <v>125</v>
      </c>
      <c r="N5" s="99" t="s">
        <v>125</v>
      </c>
      <c r="O5" s="35" t="s">
        <v>125</v>
      </c>
      <c r="P5" s="110" t="s">
        <v>125</v>
      </c>
      <c r="Q5" s="110" t="s">
        <v>125</v>
      </c>
      <c r="R5" s="34" t="s">
        <v>125</v>
      </c>
      <c r="S5" s="99" t="s">
        <v>125</v>
      </c>
      <c r="T5" s="35" t="s">
        <v>125</v>
      </c>
      <c r="U5" s="110" t="s">
        <v>125</v>
      </c>
      <c r="V5" s="110"/>
      <c r="W5" s="34" t="s">
        <v>125</v>
      </c>
      <c r="X5" s="35" t="s">
        <v>125</v>
      </c>
    </row>
    <row r="6" spans="1:25" x14ac:dyDescent="0.45">
      <c r="A6" s="103">
        <v>44162.40625</v>
      </c>
      <c r="B6" s="106">
        <f t="shared" si="0"/>
        <v>91.749999999941792</v>
      </c>
      <c r="C6" s="34">
        <v>3.3</v>
      </c>
      <c r="D6" s="99">
        <v>1.8</v>
      </c>
      <c r="E6" s="35">
        <v>3</v>
      </c>
      <c r="F6" s="110">
        <f t="shared" si="1"/>
        <v>2.6999999999999997</v>
      </c>
      <c r="G6" s="110">
        <f t="shared" si="2"/>
        <v>0.64807406984078619</v>
      </c>
      <c r="H6" s="34">
        <v>1.5</v>
      </c>
      <c r="I6" s="99" t="s">
        <v>125</v>
      </c>
      <c r="J6" s="35">
        <v>3.7</v>
      </c>
      <c r="K6" s="110">
        <f t="shared" ref="K6:K9" si="3">AVERAGE(H6:J6)</f>
        <v>2.6</v>
      </c>
      <c r="L6" s="110">
        <f t="shared" ref="L6" si="4">_xlfn.STDEV.P(H6:J6)</f>
        <v>1.1000000000000001</v>
      </c>
      <c r="M6" s="34" t="s">
        <v>125</v>
      </c>
      <c r="N6" s="99" t="s">
        <v>125</v>
      </c>
      <c r="O6" s="35" t="s">
        <v>125</v>
      </c>
      <c r="P6" s="110" t="s">
        <v>125</v>
      </c>
      <c r="Q6" s="110" t="s">
        <v>125</v>
      </c>
      <c r="R6" s="34" t="s">
        <v>125</v>
      </c>
      <c r="S6" s="99" t="s">
        <v>125</v>
      </c>
      <c r="T6" s="35" t="s">
        <v>125</v>
      </c>
      <c r="U6" s="110" t="s">
        <v>125</v>
      </c>
      <c r="V6" s="110"/>
      <c r="W6" s="34" t="s">
        <v>125</v>
      </c>
      <c r="X6" s="35" t="s">
        <v>125</v>
      </c>
    </row>
    <row r="7" spans="1:25" x14ac:dyDescent="0.45">
      <c r="A7" s="103">
        <v>44165.458333333336</v>
      </c>
      <c r="B7" s="106">
        <f t="shared" si="0"/>
        <v>165</v>
      </c>
      <c r="C7" s="34">
        <v>3.4</v>
      </c>
      <c r="D7" s="99">
        <v>19.399999999999999</v>
      </c>
      <c r="E7" s="35">
        <v>3</v>
      </c>
      <c r="F7" s="110">
        <f t="shared" si="1"/>
        <v>8.6</v>
      </c>
      <c r="G7" s="110">
        <f>_xlfn.STDEV.P(C7,E7)</f>
        <v>0.19999999999999996</v>
      </c>
      <c r="H7" s="34">
        <v>1.6</v>
      </c>
      <c r="I7" s="99" t="s">
        <v>125</v>
      </c>
      <c r="J7" s="35">
        <v>3.8</v>
      </c>
      <c r="K7" s="110">
        <f t="shared" si="3"/>
        <v>2.7</v>
      </c>
      <c r="L7" s="110">
        <f>_xlfn.STDEV.P(H7,J7)</f>
        <v>1.0999999999999996</v>
      </c>
      <c r="M7" s="34">
        <v>20.5</v>
      </c>
      <c r="N7" s="99">
        <v>4.3</v>
      </c>
      <c r="O7" s="35">
        <v>2.8</v>
      </c>
      <c r="P7" s="110">
        <f>AVERAGE(N7:O7)</f>
        <v>3.55</v>
      </c>
      <c r="Q7" s="110">
        <f>_xlfn.STDEV.P(N7:O7)</f>
        <v>0.75</v>
      </c>
      <c r="R7" s="34" t="s">
        <v>125</v>
      </c>
      <c r="S7" s="99" t="s">
        <v>125</v>
      </c>
      <c r="T7" s="35" t="s">
        <v>125</v>
      </c>
      <c r="U7" s="110" t="s">
        <v>125</v>
      </c>
      <c r="V7" s="110"/>
      <c r="W7" s="34" t="s">
        <v>125</v>
      </c>
      <c r="X7" s="35" t="s">
        <v>125</v>
      </c>
    </row>
    <row r="8" spans="1:25" x14ac:dyDescent="0.45">
      <c r="A8" s="103">
        <v>44168.510416666664</v>
      </c>
      <c r="B8" s="106">
        <f t="shared" si="0"/>
        <v>238.24999999988358</v>
      </c>
      <c r="C8" s="34">
        <v>4.5</v>
      </c>
      <c r="D8" s="99">
        <v>20.5</v>
      </c>
      <c r="E8" s="35">
        <v>4.2</v>
      </c>
      <c r="F8" s="110">
        <f t="shared" si="1"/>
        <v>9.7333333333333325</v>
      </c>
      <c r="G8" s="110">
        <f>_xlfn.STDEV.P(C8,E8)</f>
        <v>0.14999999999999991</v>
      </c>
      <c r="H8" s="34">
        <v>5.9</v>
      </c>
      <c r="I8" s="99" t="s">
        <v>125</v>
      </c>
      <c r="J8" s="35">
        <v>4.0999999999999996</v>
      </c>
      <c r="K8" s="110">
        <f t="shared" si="3"/>
        <v>5</v>
      </c>
      <c r="L8" s="110">
        <f>_xlfn.STDEV.P(H8,J8)</f>
        <v>0.90000000000000124</v>
      </c>
      <c r="M8" s="34">
        <v>20.6</v>
      </c>
      <c r="N8" s="99">
        <v>13</v>
      </c>
      <c r="O8" s="35">
        <v>3.1</v>
      </c>
      <c r="P8" s="110">
        <f t="shared" ref="P8" si="5">AVERAGE(N8:O8)</f>
        <v>8.0500000000000007</v>
      </c>
      <c r="Q8" s="110">
        <f t="shared" ref="Q8:Q9" si="6">_xlfn.STDEV.P(N8:O8)</f>
        <v>4.95</v>
      </c>
      <c r="R8" s="34">
        <v>2</v>
      </c>
      <c r="S8" s="99">
        <v>5.0999999999999996</v>
      </c>
      <c r="T8" s="35">
        <v>4.8</v>
      </c>
      <c r="U8" s="110">
        <f>AVERAGE(R8:T8)</f>
        <v>3.9666666666666663</v>
      </c>
      <c r="V8" s="110">
        <f>_xlfn.STDEV.P(R8:T8)</f>
        <v>1.3960261060914625</v>
      </c>
      <c r="W8" s="34" t="s">
        <v>125</v>
      </c>
      <c r="X8" s="35" t="s">
        <v>125</v>
      </c>
    </row>
    <row r="9" spans="1:25" ht="14.65" thickBot="1" x14ac:dyDescent="0.5">
      <c r="A9" s="103">
        <v>44169.5</v>
      </c>
      <c r="B9" s="106">
        <f>(A9-$A$4)*24</f>
        <v>261.99999999994179</v>
      </c>
      <c r="C9" s="36">
        <v>7.8</v>
      </c>
      <c r="D9" s="37">
        <v>20.6</v>
      </c>
      <c r="E9" s="38">
        <v>4.4000000000000004</v>
      </c>
      <c r="F9" s="110">
        <f t="shared" si="1"/>
        <v>10.933333333333335</v>
      </c>
      <c r="G9" s="110">
        <f>_xlfn.STDEV.P(C9,E9)</f>
        <v>1.7000000000000022</v>
      </c>
      <c r="H9" s="36">
        <v>6.3</v>
      </c>
      <c r="I9" s="37" t="s">
        <v>125</v>
      </c>
      <c r="J9" s="38">
        <v>5.7</v>
      </c>
      <c r="K9" s="110">
        <f t="shared" si="3"/>
        <v>6</v>
      </c>
      <c r="L9" s="110">
        <f>_xlfn.STDEV.P(H9,J9)</f>
        <v>0.29999999999999982</v>
      </c>
      <c r="M9" s="36">
        <v>20.6</v>
      </c>
      <c r="N9" s="37">
        <v>15.9</v>
      </c>
      <c r="O9" s="38">
        <v>3.4</v>
      </c>
      <c r="P9" s="110">
        <f>AVERAGE(N9:O9)</f>
        <v>9.65</v>
      </c>
      <c r="Q9" s="110">
        <f t="shared" si="6"/>
        <v>6.25</v>
      </c>
      <c r="R9" s="36">
        <v>2.2000000000000002</v>
      </c>
      <c r="S9" s="37">
        <v>19.399999999999999</v>
      </c>
      <c r="T9" s="38">
        <v>13.4</v>
      </c>
      <c r="U9" s="111">
        <f>AVERAGE(R9:T9)</f>
        <v>11.666666666666666</v>
      </c>
      <c r="V9" s="111">
        <f>_xlfn.STDEV.P(R9:T9)</f>
        <v>7.1280354157992853</v>
      </c>
      <c r="W9" s="36">
        <v>14.3</v>
      </c>
      <c r="X9" s="38">
        <v>1.8</v>
      </c>
      <c r="Y9" s="113">
        <v>1.8</v>
      </c>
    </row>
    <row r="10" spans="1:25" x14ac:dyDescent="0.45">
      <c r="B10" s="150"/>
      <c r="C10" s="132"/>
      <c r="D10" s="132"/>
      <c r="E10" s="132"/>
      <c r="F10" s="112"/>
      <c r="G10" s="112"/>
    </row>
    <row r="11" spans="1:25" x14ac:dyDescent="0.45">
      <c r="B11" s="150"/>
    </row>
    <row r="12" spans="1:25" x14ac:dyDescent="0.45">
      <c r="B12" s="98"/>
    </row>
    <row r="13" spans="1:25" x14ac:dyDescent="0.45">
      <c r="B13" s="99" t="s">
        <v>128</v>
      </c>
      <c r="C13" s="99" t="s">
        <v>134</v>
      </c>
      <c r="D13" s="99" t="s">
        <v>135</v>
      </c>
      <c r="E13" s="99" t="s">
        <v>136</v>
      </c>
      <c r="F13" s="99" t="s">
        <v>137</v>
      </c>
      <c r="G13" s="99"/>
      <c r="H13" s="99" t="s">
        <v>138</v>
      </c>
    </row>
    <row r="14" spans="1:25" x14ac:dyDescent="0.45">
      <c r="A14" s="114">
        <v>44160.4375</v>
      </c>
      <c r="B14" s="99">
        <f>(A14-$A$23)*24</f>
        <v>0</v>
      </c>
      <c r="C14" s="99">
        <v>2.2999999999999998</v>
      </c>
      <c r="D14" s="99" t="s">
        <v>125</v>
      </c>
      <c r="E14" s="99" t="s">
        <v>125</v>
      </c>
      <c r="F14" s="99" t="s">
        <v>125</v>
      </c>
      <c r="G14" s="99"/>
      <c r="H14" s="14" t="s">
        <v>125</v>
      </c>
    </row>
    <row r="15" spans="1:25" x14ac:dyDescent="0.45">
      <c r="A15" s="115">
        <v>44162.40625</v>
      </c>
      <c r="B15" s="99">
        <f t="shared" ref="B15:B18" si="7">(A15-$A$23)*24</f>
        <v>47.25</v>
      </c>
      <c r="C15" s="99">
        <v>2.6999999999999997</v>
      </c>
      <c r="D15" s="99">
        <v>2.6</v>
      </c>
      <c r="E15" s="99" t="s">
        <v>125</v>
      </c>
      <c r="F15" s="99" t="s">
        <v>125</v>
      </c>
      <c r="G15" s="99"/>
      <c r="H15" s="99" t="s">
        <v>125</v>
      </c>
    </row>
    <row r="16" spans="1:25" x14ac:dyDescent="0.45">
      <c r="A16" s="115">
        <v>44165.458333333336</v>
      </c>
      <c r="B16" s="99">
        <f t="shared" si="7"/>
        <v>120.50000000005821</v>
      </c>
      <c r="C16" s="99">
        <v>8.6</v>
      </c>
      <c r="D16" s="99">
        <v>2.7</v>
      </c>
      <c r="E16" s="99">
        <v>3.55</v>
      </c>
      <c r="F16" s="99" t="s">
        <v>125</v>
      </c>
      <c r="G16" s="99"/>
      <c r="H16" s="99" t="s">
        <v>125</v>
      </c>
    </row>
    <row r="17" spans="1:8" x14ac:dyDescent="0.45">
      <c r="A17" s="115">
        <v>44168.510416666664</v>
      </c>
      <c r="B17" s="99">
        <f t="shared" si="7"/>
        <v>193.74999999994179</v>
      </c>
      <c r="C17" s="99">
        <v>9.7333333333333325</v>
      </c>
      <c r="D17" s="99">
        <v>5</v>
      </c>
      <c r="E17" s="99">
        <v>8.0500000000000007</v>
      </c>
      <c r="F17" s="99">
        <v>3.9666666666666663</v>
      </c>
      <c r="G17" s="99"/>
      <c r="H17" s="99" t="s">
        <v>125</v>
      </c>
    </row>
    <row r="18" spans="1:8" x14ac:dyDescent="0.45">
      <c r="A18" s="115">
        <v>44169.5</v>
      </c>
      <c r="B18" s="99">
        <f t="shared" si="7"/>
        <v>217.5</v>
      </c>
      <c r="C18" s="99">
        <v>10.933333333333335</v>
      </c>
      <c r="D18" s="99">
        <v>6</v>
      </c>
      <c r="E18" s="99">
        <v>9.65</v>
      </c>
      <c r="F18" s="99">
        <v>11.666666666666666</v>
      </c>
      <c r="G18" s="99"/>
      <c r="H18" s="14">
        <v>1.8</v>
      </c>
    </row>
    <row r="22" spans="1:8" x14ac:dyDescent="0.45">
      <c r="B22" s="99" t="s">
        <v>128</v>
      </c>
      <c r="C22" s="99" t="s">
        <v>139</v>
      </c>
      <c r="D22" s="99" t="s">
        <v>83</v>
      </c>
    </row>
    <row r="23" spans="1:8" x14ac:dyDescent="0.45">
      <c r="A23" s="114">
        <v>44160.4375</v>
      </c>
      <c r="B23" s="99">
        <f>(A23-$A$23)*24</f>
        <v>0</v>
      </c>
      <c r="C23" s="99">
        <f>C14</f>
        <v>2.2999999999999998</v>
      </c>
      <c r="D23" s="99">
        <f>G4</f>
        <v>0.32998316455372179</v>
      </c>
    </row>
    <row r="24" spans="1:8" x14ac:dyDescent="0.45">
      <c r="A24" s="115">
        <v>44162.40625</v>
      </c>
      <c r="B24" s="99">
        <f t="shared" ref="B24:B27" si="8">(A24-$A$23)*24</f>
        <v>47.25</v>
      </c>
      <c r="C24" s="99">
        <f>D15</f>
        <v>2.6</v>
      </c>
      <c r="D24" s="99">
        <f>L6</f>
        <v>1.1000000000000001</v>
      </c>
    </row>
    <row r="25" spans="1:8" x14ac:dyDescent="0.45">
      <c r="A25" s="115">
        <v>44165.458333333336</v>
      </c>
      <c r="B25" s="99">
        <f t="shared" si="8"/>
        <v>120.50000000005821</v>
      </c>
      <c r="C25" s="99">
        <f>E16</f>
        <v>3.55</v>
      </c>
      <c r="D25" s="99">
        <f>Q7</f>
        <v>0.75</v>
      </c>
    </row>
    <row r="26" spans="1:8" x14ac:dyDescent="0.45">
      <c r="A26" s="115">
        <v>44168.510416666664</v>
      </c>
      <c r="B26" s="99">
        <f t="shared" si="8"/>
        <v>193.74999999994179</v>
      </c>
      <c r="C26" s="10">
        <f>F17</f>
        <v>3.9666666666666663</v>
      </c>
      <c r="D26" s="99">
        <f>V8</f>
        <v>1.3960261060914625</v>
      </c>
    </row>
    <row r="27" spans="1:8" x14ac:dyDescent="0.45">
      <c r="A27" s="115">
        <v>44169.5</v>
      </c>
      <c r="B27" s="99">
        <f t="shared" si="8"/>
        <v>217.5</v>
      </c>
      <c r="C27" s="99">
        <f>H18</f>
        <v>1.8</v>
      </c>
      <c r="D27" s="99">
        <v>0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5931-0952-4813-A36E-B11965B3FFB3}">
  <dimension ref="A1:AW19"/>
  <sheetViews>
    <sheetView topLeftCell="D24" zoomScale="94" zoomScaleNormal="85" workbookViewId="0">
      <selection activeCell="A28" sqref="A28:B28"/>
    </sheetView>
  </sheetViews>
  <sheetFormatPr baseColWidth="10" defaultColWidth="10.73046875" defaultRowHeight="14.25" x14ac:dyDescent="0.45"/>
  <cols>
    <col min="1" max="1" width="16.265625" bestFit="1" customWidth="1"/>
  </cols>
  <sheetData>
    <row r="1" spans="1:49" x14ac:dyDescent="0.45">
      <c r="A1" s="101"/>
      <c r="B1" s="101" t="s">
        <v>128</v>
      </c>
      <c r="C1" s="101" t="s">
        <v>129</v>
      </c>
      <c r="D1" s="101" t="s">
        <v>130</v>
      </c>
      <c r="E1" s="101" t="s">
        <v>131</v>
      </c>
      <c r="F1" s="101" t="s">
        <v>18</v>
      </c>
      <c r="G1" s="120" t="s">
        <v>83</v>
      </c>
      <c r="H1" s="101" t="s">
        <v>132</v>
      </c>
      <c r="I1" s="101" t="s">
        <v>133</v>
      </c>
      <c r="J1" s="120" t="s">
        <v>83</v>
      </c>
      <c r="K1" s="116" t="s">
        <v>140</v>
      </c>
      <c r="L1" s="116" t="s">
        <v>141</v>
      </c>
      <c r="M1" s="116" t="s">
        <v>142</v>
      </c>
      <c r="N1" s="116" t="s">
        <v>18</v>
      </c>
      <c r="O1" s="120" t="s">
        <v>83</v>
      </c>
      <c r="P1" s="116" t="s">
        <v>143</v>
      </c>
      <c r="Q1" s="116" t="s">
        <v>144</v>
      </c>
      <c r="R1" s="120" t="s">
        <v>18</v>
      </c>
      <c r="S1" s="120" t="s">
        <v>51</v>
      </c>
      <c r="T1" s="118" t="s">
        <v>145</v>
      </c>
      <c r="U1" s="118" t="s">
        <v>146</v>
      </c>
      <c r="V1" s="118" t="s">
        <v>147</v>
      </c>
      <c r="W1" s="118" t="s">
        <v>18</v>
      </c>
      <c r="X1" s="120" t="s">
        <v>51</v>
      </c>
      <c r="Y1" s="118" t="s">
        <v>148</v>
      </c>
      <c r="Z1" s="118" t="s">
        <v>149</v>
      </c>
      <c r="AA1" s="120" t="s">
        <v>150</v>
      </c>
      <c r="AB1" s="120" t="s">
        <v>119</v>
      </c>
      <c r="AC1" s="120" t="s">
        <v>153</v>
      </c>
      <c r="AD1" s="120" t="s">
        <v>151</v>
      </c>
      <c r="AE1" s="120" t="s">
        <v>152</v>
      </c>
      <c r="AF1" s="120" t="s">
        <v>119</v>
      </c>
      <c r="AG1" s="120" t="s">
        <v>83</v>
      </c>
      <c r="AH1" s="120" t="s">
        <v>154</v>
      </c>
      <c r="AI1" s="120" t="s">
        <v>155</v>
      </c>
      <c r="AJ1" s="120" t="s">
        <v>156</v>
      </c>
      <c r="AK1" s="120" t="s">
        <v>119</v>
      </c>
      <c r="AL1" s="120" t="s">
        <v>153</v>
      </c>
      <c r="AM1" s="120" t="s">
        <v>157</v>
      </c>
      <c r="AN1" s="120" t="s">
        <v>162</v>
      </c>
      <c r="AO1" s="122" t="s">
        <v>119</v>
      </c>
      <c r="AP1" s="122" t="s">
        <v>51</v>
      </c>
      <c r="AQ1" t="s">
        <v>158</v>
      </c>
      <c r="AR1" t="s">
        <v>159</v>
      </c>
      <c r="AS1" t="s">
        <v>160</v>
      </c>
      <c r="AT1" t="s">
        <v>18</v>
      </c>
      <c r="AU1" t="s">
        <v>83</v>
      </c>
      <c r="AW1" t="s">
        <v>161</v>
      </c>
    </row>
    <row r="2" spans="1:49" x14ac:dyDescent="0.45">
      <c r="A2" s="83">
        <v>44167.5</v>
      </c>
      <c r="B2" s="101">
        <v>0</v>
      </c>
      <c r="C2" s="101">
        <v>20.6</v>
      </c>
      <c r="D2" s="101">
        <v>20.6</v>
      </c>
      <c r="E2" s="101">
        <v>20.6</v>
      </c>
      <c r="F2" s="101">
        <f t="shared" ref="F2:F8" si="0">AVERAGE(C2:E2)</f>
        <v>20.6</v>
      </c>
      <c r="G2" s="120">
        <f>_xlfn.STDEV.P(C2:E2)</f>
        <v>0</v>
      </c>
      <c r="H2" s="101" t="s">
        <v>125</v>
      </c>
      <c r="I2" s="101">
        <v>20.6</v>
      </c>
      <c r="J2" s="120">
        <v>0</v>
      </c>
      <c r="K2" s="116" t="s">
        <v>125</v>
      </c>
      <c r="L2" s="116" t="s">
        <v>125</v>
      </c>
      <c r="M2" s="116" t="s">
        <v>125</v>
      </c>
      <c r="N2" s="116" t="s">
        <v>125</v>
      </c>
      <c r="O2" s="120" t="s">
        <v>125</v>
      </c>
      <c r="P2" s="116" t="s">
        <v>125</v>
      </c>
      <c r="Q2" s="116" t="s">
        <v>125</v>
      </c>
      <c r="R2" s="120" t="s">
        <v>125</v>
      </c>
      <c r="S2" s="120" t="s">
        <v>125</v>
      </c>
      <c r="T2" s="118" t="s">
        <v>125</v>
      </c>
      <c r="U2" s="118" t="s">
        <v>125</v>
      </c>
      <c r="V2" s="118" t="s">
        <v>125</v>
      </c>
      <c r="W2" s="118" t="s">
        <v>125</v>
      </c>
      <c r="X2" s="120" t="s">
        <v>125</v>
      </c>
      <c r="Y2" s="118" t="s">
        <v>125</v>
      </c>
      <c r="Z2" s="118" t="s">
        <v>125</v>
      </c>
      <c r="AA2" s="120" t="s">
        <v>125</v>
      </c>
      <c r="AB2" s="120" t="s">
        <v>125</v>
      </c>
      <c r="AC2" s="120"/>
      <c r="AD2" s="120" t="s">
        <v>125</v>
      </c>
      <c r="AE2" s="120" t="s">
        <v>125</v>
      </c>
      <c r="AF2" s="120" t="s">
        <v>125</v>
      </c>
      <c r="AG2" s="120" t="s">
        <v>125</v>
      </c>
      <c r="AH2" s="120" t="s">
        <v>125</v>
      </c>
      <c r="AI2" s="120" t="s">
        <v>125</v>
      </c>
      <c r="AJ2" s="120" t="s">
        <v>125</v>
      </c>
      <c r="AK2" s="120" t="s">
        <v>125</v>
      </c>
      <c r="AL2" s="120" t="s">
        <v>125</v>
      </c>
      <c r="AM2" s="122" t="s">
        <v>125</v>
      </c>
      <c r="AN2" s="122" t="s">
        <v>125</v>
      </c>
      <c r="AO2" s="122"/>
      <c r="AP2" s="122"/>
      <c r="AQ2" t="s">
        <v>125</v>
      </c>
      <c r="AR2" t="s">
        <v>125</v>
      </c>
      <c r="AS2" t="s">
        <v>125</v>
      </c>
      <c r="AV2" t="s">
        <v>133</v>
      </c>
      <c r="AW2">
        <v>89</v>
      </c>
    </row>
    <row r="3" spans="1:49" x14ac:dyDescent="0.45">
      <c r="A3" s="83">
        <v>44169.5</v>
      </c>
      <c r="B3" s="101">
        <f>(A3-$A$2)*24</f>
        <v>48</v>
      </c>
      <c r="C3" s="101">
        <v>20.6</v>
      </c>
      <c r="D3" s="101">
        <v>20.6</v>
      </c>
      <c r="E3" s="101">
        <v>20.6</v>
      </c>
      <c r="F3" s="101">
        <f t="shared" si="0"/>
        <v>20.6</v>
      </c>
      <c r="G3" s="120">
        <f t="shared" ref="G3:G7" si="1">_xlfn.STDEV.P(C3:E3)</f>
        <v>0</v>
      </c>
      <c r="H3" s="101" t="s">
        <v>125</v>
      </c>
      <c r="I3" s="101">
        <v>19.899999999999999</v>
      </c>
      <c r="J3" s="120">
        <v>0</v>
      </c>
      <c r="K3" s="116" t="s">
        <v>125</v>
      </c>
      <c r="L3" s="116" t="s">
        <v>125</v>
      </c>
      <c r="M3" s="116" t="s">
        <v>125</v>
      </c>
      <c r="N3" s="116" t="s">
        <v>125</v>
      </c>
      <c r="O3" s="120" t="s">
        <v>125</v>
      </c>
      <c r="P3" s="116" t="s">
        <v>125</v>
      </c>
      <c r="Q3" s="116" t="s">
        <v>125</v>
      </c>
      <c r="R3" s="120" t="s">
        <v>125</v>
      </c>
      <c r="S3" s="120" t="s">
        <v>125</v>
      </c>
      <c r="T3" s="118" t="s">
        <v>125</v>
      </c>
      <c r="U3" s="118" t="s">
        <v>125</v>
      </c>
      <c r="V3" s="118" t="s">
        <v>125</v>
      </c>
      <c r="W3" s="118" t="s">
        <v>125</v>
      </c>
      <c r="X3" s="120" t="s">
        <v>125</v>
      </c>
      <c r="Y3" s="118" t="s">
        <v>125</v>
      </c>
      <c r="Z3" s="118" t="s">
        <v>125</v>
      </c>
      <c r="AA3" s="120" t="s">
        <v>125</v>
      </c>
      <c r="AB3" s="120" t="s">
        <v>125</v>
      </c>
      <c r="AC3" s="120"/>
      <c r="AD3" s="120" t="s">
        <v>125</v>
      </c>
      <c r="AE3" s="120" t="s">
        <v>125</v>
      </c>
      <c r="AF3" s="120" t="s">
        <v>125</v>
      </c>
      <c r="AG3" s="120" t="s">
        <v>125</v>
      </c>
      <c r="AH3" s="120" t="s">
        <v>125</v>
      </c>
      <c r="AI3" s="120" t="s">
        <v>125</v>
      </c>
      <c r="AJ3" s="120" t="s">
        <v>125</v>
      </c>
      <c r="AK3" s="120" t="s">
        <v>125</v>
      </c>
      <c r="AL3" s="120" t="s">
        <v>125</v>
      </c>
      <c r="AM3" s="122" t="s">
        <v>125</v>
      </c>
      <c r="AN3" s="122" t="s">
        <v>125</v>
      </c>
      <c r="AO3" s="122"/>
      <c r="AP3" s="122"/>
      <c r="AQ3" t="s">
        <v>125</v>
      </c>
      <c r="AR3" t="s">
        <v>125</v>
      </c>
      <c r="AS3" t="s">
        <v>125</v>
      </c>
      <c r="AV3" t="s">
        <v>143</v>
      </c>
      <c r="AW3">
        <v>120</v>
      </c>
    </row>
    <row r="4" spans="1:49" x14ac:dyDescent="0.45">
      <c r="A4" s="83">
        <v>44172.375</v>
      </c>
      <c r="B4" s="116">
        <f>(A4-$A$2)*24</f>
        <v>117</v>
      </c>
      <c r="C4" s="117">
        <v>20.5</v>
      </c>
      <c r="D4" s="117">
        <v>20.399999999999999</v>
      </c>
      <c r="E4" s="117">
        <v>20.5</v>
      </c>
      <c r="F4" s="119">
        <f t="shared" si="0"/>
        <v>20.466666666666665</v>
      </c>
      <c r="G4" s="120">
        <f t="shared" si="1"/>
        <v>4.7140452079103841E-2</v>
      </c>
      <c r="H4" s="117" t="s">
        <v>125</v>
      </c>
      <c r="I4" s="117">
        <v>19.899999999999999</v>
      </c>
      <c r="J4" s="120">
        <v>0</v>
      </c>
      <c r="K4" s="116">
        <v>20.6</v>
      </c>
      <c r="L4" s="116">
        <v>20.6</v>
      </c>
      <c r="M4" s="116">
        <v>20.399999999999999</v>
      </c>
      <c r="N4" s="62">
        <f t="shared" ref="N4:N7" si="2">AVERAGE(K4:M4)</f>
        <v>20.533333333333335</v>
      </c>
      <c r="O4" s="120">
        <f>_xlfn.STDEV.P(K4:M4)</f>
        <v>9.4280904158207682E-2</v>
      </c>
      <c r="P4" s="120">
        <v>19.899999999999999</v>
      </c>
      <c r="Q4" s="120">
        <v>18.399999999999999</v>
      </c>
      <c r="R4" s="120">
        <f>AVERAGE(P4:Q4)</f>
        <v>19.149999999999999</v>
      </c>
      <c r="S4" s="120">
        <f>_xlfn.STDEV.P(P4:Q4)</f>
        <v>0.75</v>
      </c>
      <c r="T4" s="118" t="s">
        <v>125</v>
      </c>
      <c r="U4" s="118" t="s">
        <v>125</v>
      </c>
      <c r="V4" s="118" t="s">
        <v>125</v>
      </c>
      <c r="W4" s="62" t="s">
        <v>125</v>
      </c>
      <c r="X4" s="62" t="s">
        <v>125</v>
      </c>
      <c r="Y4" s="120" t="s">
        <v>125</v>
      </c>
      <c r="Z4" s="118" t="s">
        <v>125</v>
      </c>
      <c r="AA4" s="120" t="s">
        <v>125</v>
      </c>
      <c r="AB4" s="120" t="s">
        <v>125</v>
      </c>
      <c r="AC4" s="120"/>
      <c r="AD4" s="120" t="s">
        <v>125</v>
      </c>
      <c r="AE4" s="120" t="s">
        <v>125</v>
      </c>
      <c r="AF4" s="120" t="s">
        <v>125</v>
      </c>
      <c r="AG4" s="120" t="s">
        <v>125</v>
      </c>
      <c r="AH4" s="120" t="s">
        <v>125</v>
      </c>
      <c r="AI4" s="120" t="s">
        <v>125</v>
      </c>
      <c r="AJ4" s="120" t="s">
        <v>125</v>
      </c>
      <c r="AK4" s="120" t="s">
        <v>125</v>
      </c>
      <c r="AL4" s="120" t="s">
        <v>125</v>
      </c>
      <c r="AM4" s="122" t="s">
        <v>125</v>
      </c>
      <c r="AN4" s="122" t="s">
        <v>125</v>
      </c>
      <c r="AO4" s="122"/>
      <c r="AP4" s="122"/>
      <c r="AQ4" t="s">
        <v>125</v>
      </c>
      <c r="AR4" t="s">
        <v>125</v>
      </c>
      <c r="AS4" t="s">
        <v>125</v>
      </c>
      <c r="AV4" t="s">
        <v>144</v>
      </c>
      <c r="AW4">
        <f>60+50</f>
        <v>110</v>
      </c>
    </row>
    <row r="5" spans="1:49" x14ac:dyDescent="0.45">
      <c r="A5" s="83">
        <v>44174.479166666664</v>
      </c>
      <c r="B5" s="118">
        <f>(A5-$A$2)*24</f>
        <v>167.49999999994179</v>
      </c>
      <c r="C5" s="118">
        <v>20.399999999999999</v>
      </c>
      <c r="D5" s="118">
        <v>20.3</v>
      </c>
      <c r="E5" s="118">
        <v>20.399999999999999</v>
      </c>
      <c r="F5" s="119">
        <f t="shared" si="0"/>
        <v>20.366666666666667</v>
      </c>
      <c r="G5" s="120">
        <f t="shared" si="1"/>
        <v>4.7140452079102169E-2</v>
      </c>
      <c r="H5" s="118" t="s">
        <v>125</v>
      </c>
      <c r="I5" s="118">
        <v>20.100000000000001</v>
      </c>
      <c r="J5" s="120">
        <v>0</v>
      </c>
      <c r="K5" s="118">
        <v>20.6</v>
      </c>
      <c r="L5" s="118">
        <v>20.6</v>
      </c>
      <c r="M5" s="118">
        <v>20.399999999999999</v>
      </c>
      <c r="N5" s="62">
        <f t="shared" si="2"/>
        <v>20.533333333333335</v>
      </c>
      <c r="O5" s="120">
        <f t="shared" ref="O5:O7" si="3">_xlfn.STDEV.P(K5:M5)</f>
        <v>9.4280904158207682E-2</v>
      </c>
      <c r="P5" s="120">
        <v>20.6</v>
      </c>
      <c r="Q5" s="120">
        <v>20.100000000000001</v>
      </c>
      <c r="R5" s="120">
        <f t="shared" ref="R5:R6" si="4">AVERAGE(P5:Q5)</f>
        <v>20.350000000000001</v>
      </c>
      <c r="S5" s="120">
        <f t="shared" ref="S5:S6" si="5">_xlfn.STDEV.P(P5:Q5)</f>
        <v>0.25</v>
      </c>
      <c r="T5">
        <v>20.399999999999999</v>
      </c>
      <c r="U5">
        <v>20.5</v>
      </c>
      <c r="V5">
        <v>20.3</v>
      </c>
      <c r="W5">
        <f>AVERAGE(T5:V5)</f>
        <v>20.400000000000002</v>
      </c>
      <c r="X5">
        <f>_xlfn.STDEV.P(T5:V5)</f>
        <v>8.1649658092772318E-2</v>
      </c>
      <c r="Y5" s="120" t="s">
        <v>125</v>
      </c>
      <c r="Z5" s="120" t="s">
        <v>125</v>
      </c>
      <c r="AA5" s="120" t="s">
        <v>125</v>
      </c>
      <c r="AB5" t="s">
        <v>125</v>
      </c>
      <c r="AD5" s="120" t="s">
        <v>125</v>
      </c>
      <c r="AE5" s="120" t="s">
        <v>125</v>
      </c>
      <c r="AF5" s="120" t="s">
        <v>125</v>
      </c>
      <c r="AG5" s="120" t="s">
        <v>125</v>
      </c>
      <c r="AH5" s="120" t="s">
        <v>125</v>
      </c>
      <c r="AI5" s="120" t="s">
        <v>125</v>
      </c>
      <c r="AJ5" s="120" t="s">
        <v>125</v>
      </c>
      <c r="AK5" s="120" t="s">
        <v>125</v>
      </c>
      <c r="AL5" s="120" t="s">
        <v>125</v>
      </c>
      <c r="AM5" s="122" t="s">
        <v>125</v>
      </c>
      <c r="AN5" s="122" t="s">
        <v>125</v>
      </c>
      <c r="AO5" s="122"/>
      <c r="AP5" s="122"/>
      <c r="AQ5" t="s">
        <v>125</v>
      </c>
      <c r="AR5" t="s">
        <v>125</v>
      </c>
      <c r="AS5" t="s">
        <v>125</v>
      </c>
      <c r="AV5" t="s">
        <v>151</v>
      </c>
      <c r="AW5">
        <f>60+40</f>
        <v>100</v>
      </c>
    </row>
    <row r="6" spans="1:49" x14ac:dyDescent="0.45">
      <c r="A6" s="88">
        <v>44176.479166666664</v>
      </c>
      <c r="B6" s="121">
        <f t="shared" ref="B6:B8" si="6">(A6-$A$2)*24</f>
        <v>215.49999999994179</v>
      </c>
      <c r="C6" s="120">
        <v>20.2</v>
      </c>
      <c r="D6" s="120">
        <v>20</v>
      </c>
      <c r="E6" s="120">
        <v>20.3</v>
      </c>
      <c r="F6" s="119">
        <f t="shared" si="0"/>
        <v>20.166666666666668</v>
      </c>
      <c r="G6" s="120">
        <f t="shared" si="1"/>
        <v>0.12472191289246491</v>
      </c>
      <c r="H6" s="120" t="s">
        <v>125</v>
      </c>
      <c r="I6" s="120">
        <v>20</v>
      </c>
      <c r="J6" s="120">
        <v>0</v>
      </c>
      <c r="K6" s="120">
        <v>20.399999999999999</v>
      </c>
      <c r="L6" s="120">
        <v>20.3</v>
      </c>
      <c r="M6" s="120">
        <v>20.2</v>
      </c>
      <c r="N6" s="62">
        <f t="shared" si="2"/>
        <v>20.3</v>
      </c>
      <c r="O6" s="120">
        <f t="shared" si="3"/>
        <v>8.1649658092772318E-2</v>
      </c>
      <c r="P6" s="120">
        <v>20.6</v>
      </c>
      <c r="Q6" s="120">
        <v>19.8</v>
      </c>
      <c r="R6" s="120">
        <f t="shared" si="4"/>
        <v>20.200000000000003</v>
      </c>
      <c r="S6" s="120">
        <f t="shared" si="5"/>
        <v>0.40000000000000036</v>
      </c>
      <c r="T6" s="63">
        <v>20.3</v>
      </c>
      <c r="U6">
        <v>20.5</v>
      </c>
      <c r="V6">
        <v>20.399999999999999</v>
      </c>
      <c r="W6">
        <f>AVERAGE(T6:V6)</f>
        <v>20.399999999999999</v>
      </c>
      <c r="X6">
        <f>_xlfn.STDEV.P(T6:V6)</f>
        <v>8.1649658092772318E-2</v>
      </c>
      <c r="Y6" s="120">
        <v>20.100000000000001</v>
      </c>
      <c r="Z6" s="120">
        <v>20.2</v>
      </c>
      <c r="AA6" s="120">
        <v>20.2</v>
      </c>
      <c r="AB6">
        <f>AVERAGE(Y6:AA6)</f>
        <v>20.166666666666668</v>
      </c>
      <c r="AC6">
        <f>_xlfn.STDEV.S(Y6:AA6)</f>
        <v>5.7735026918961346E-2</v>
      </c>
      <c r="AD6" s="120">
        <v>18.3</v>
      </c>
      <c r="AE6" s="120">
        <v>16.8</v>
      </c>
      <c r="AF6" s="120">
        <f>AVERAGE(AD6:AE6)</f>
        <v>17.55</v>
      </c>
      <c r="AG6" s="120">
        <f>_xlfn.STDEV.P(AD6:AE6)</f>
        <v>0.75</v>
      </c>
      <c r="AH6" s="120" t="s">
        <v>125</v>
      </c>
      <c r="AI6" s="120" t="s">
        <v>125</v>
      </c>
      <c r="AJ6" s="120" t="s">
        <v>125</v>
      </c>
      <c r="AK6" s="120" t="s">
        <v>125</v>
      </c>
      <c r="AL6" s="120" t="s">
        <v>125</v>
      </c>
      <c r="AM6" s="122" t="s">
        <v>125</v>
      </c>
      <c r="AN6" s="122" t="s">
        <v>125</v>
      </c>
      <c r="AO6" s="122"/>
      <c r="AP6" s="122"/>
      <c r="AQ6" t="s">
        <v>125</v>
      </c>
      <c r="AR6" t="s">
        <v>125</v>
      </c>
      <c r="AS6" t="s">
        <v>125</v>
      </c>
      <c r="AV6" t="s">
        <v>152</v>
      </c>
      <c r="AW6">
        <f>60+23</f>
        <v>83</v>
      </c>
    </row>
    <row r="7" spans="1:49" x14ac:dyDescent="0.45">
      <c r="A7" s="88">
        <v>44179.479166666664</v>
      </c>
      <c r="B7" s="121">
        <f t="shared" si="6"/>
        <v>287.49999999994179</v>
      </c>
      <c r="C7" s="120">
        <v>20.2</v>
      </c>
      <c r="D7" s="120">
        <v>20</v>
      </c>
      <c r="E7" s="120">
        <v>20.6</v>
      </c>
      <c r="F7" s="119">
        <f t="shared" si="0"/>
        <v>20.266666666666669</v>
      </c>
      <c r="G7" s="120">
        <f t="shared" si="1"/>
        <v>0.24944382578493013</v>
      </c>
      <c r="H7" s="120" t="s">
        <v>125</v>
      </c>
      <c r="I7" s="120">
        <v>20.100000000000001</v>
      </c>
      <c r="J7" s="121">
        <v>0</v>
      </c>
      <c r="K7" s="120">
        <v>20.399999999999999</v>
      </c>
      <c r="L7" s="120">
        <v>20.399999999999999</v>
      </c>
      <c r="M7" s="120">
        <v>20.3</v>
      </c>
      <c r="N7" s="62">
        <f t="shared" si="2"/>
        <v>20.366666666666664</v>
      </c>
      <c r="O7" s="120">
        <f t="shared" si="3"/>
        <v>4.7140452079102162E-2</v>
      </c>
      <c r="P7" s="120">
        <v>20.6</v>
      </c>
      <c r="Q7" s="120">
        <v>19.7</v>
      </c>
      <c r="R7" s="120">
        <f t="shared" ref="R7:R8" si="7">AVERAGE(P7:Q7)</f>
        <v>20.149999999999999</v>
      </c>
      <c r="S7" s="120">
        <f t="shared" ref="S7:S8" si="8">_xlfn.STDEV.P(P7:Q7)</f>
        <v>0.45000000000000107</v>
      </c>
      <c r="T7" s="63">
        <v>20.2</v>
      </c>
      <c r="U7">
        <v>20.6</v>
      </c>
      <c r="V7" s="120">
        <v>20.3</v>
      </c>
      <c r="W7" s="64">
        <f>AVERAGE(T7:V7)</f>
        <v>20.366666666666664</v>
      </c>
      <c r="X7">
        <f>_xlfn.STDEV.P(T7:V7)</f>
        <v>0.16996731711976029</v>
      </c>
      <c r="Y7" s="120">
        <v>20.3</v>
      </c>
      <c r="Z7" s="120">
        <v>20</v>
      </c>
      <c r="AA7" s="120">
        <v>20.100000000000001</v>
      </c>
      <c r="AB7">
        <f>AVERAGE(Y7:AA7)</f>
        <v>20.133333333333333</v>
      </c>
      <c r="AC7">
        <f>_xlfn.STDEV.S(Y7:AA7)</f>
        <v>0.15275252316519489</v>
      </c>
      <c r="AD7" s="120">
        <v>18.5</v>
      </c>
      <c r="AE7" s="120">
        <v>17.100000000000001</v>
      </c>
      <c r="AF7" s="120">
        <f>AVERAGE(AD7:AE7)</f>
        <v>17.8</v>
      </c>
      <c r="AG7" s="120">
        <f>_xlfn.STDEV.P(AD7:AE7)</f>
        <v>0.69999999999999929</v>
      </c>
      <c r="AH7">
        <v>20.5</v>
      </c>
      <c r="AI7">
        <v>20.6</v>
      </c>
      <c r="AJ7">
        <v>20.5</v>
      </c>
      <c r="AK7">
        <v>19.95</v>
      </c>
      <c r="AL7">
        <f>_xlfn.STDEV.S(AH7:AJ7)</f>
        <v>5.77350269189634E-2</v>
      </c>
      <c r="AM7" s="122">
        <v>20.100000000000001</v>
      </c>
      <c r="AN7" s="122">
        <v>14.1</v>
      </c>
      <c r="AO7" s="122">
        <f>AVERAGE(AM7:AN7)</f>
        <v>17.100000000000001</v>
      </c>
      <c r="AP7" s="122">
        <f>_xlfn.STDEV.P(AM7:AN7)</f>
        <v>3</v>
      </c>
      <c r="AQ7" t="s">
        <v>125</v>
      </c>
      <c r="AR7" t="s">
        <v>125</v>
      </c>
      <c r="AS7" t="s">
        <v>125</v>
      </c>
      <c r="AV7" t="s">
        <v>157</v>
      </c>
      <c r="AW7">
        <f>60+60</f>
        <v>120</v>
      </c>
    </row>
    <row r="8" spans="1:49" x14ac:dyDescent="0.45">
      <c r="A8" s="88">
        <v>44181.625</v>
      </c>
      <c r="B8" s="121">
        <f t="shared" si="6"/>
        <v>339</v>
      </c>
      <c r="C8">
        <v>20.3</v>
      </c>
      <c r="D8">
        <v>20.399999999999999</v>
      </c>
      <c r="E8">
        <v>20.6</v>
      </c>
      <c r="F8" s="119">
        <f t="shared" si="0"/>
        <v>20.433333333333334</v>
      </c>
      <c r="G8" s="121">
        <f t="shared" ref="G8" si="9">_xlfn.STDEV.P(C8:E8)</f>
        <v>0.12472191289246523</v>
      </c>
      <c r="H8" s="121" t="s">
        <v>125</v>
      </c>
      <c r="I8">
        <v>20.3</v>
      </c>
      <c r="J8" s="121">
        <v>0</v>
      </c>
      <c r="K8">
        <v>20.6</v>
      </c>
      <c r="L8">
        <v>20.3</v>
      </c>
      <c r="M8">
        <v>20.3</v>
      </c>
      <c r="N8" s="62">
        <f t="shared" ref="N8" si="10">AVERAGE(K8:M8)</f>
        <v>20.400000000000002</v>
      </c>
      <c r="O8" s="121">
        <f t="shared" ref="O8" si="11">_xlfn.STDEV.P(K8:M8)</f>
        <v>0.14142135623730984</v>
      </c>
      <c r="P8">
        <v>20.6</v>
      </c>
      <c r="Q8">
        <v>19.600000000000001</v>
      </c>
      <c r="R8" s="121">
        <f t="shared" si="7"/>
        <v>20.100000000000001</v>
      </c>
      <c r="S8" s="121">
        <f t="shared" si="8"/>
        <v>0.5</v>
      </c>
      <c r="T8">
        <v>20</v>
      </c>
      <c r="U8">
        <v>20.6</v>
      </c>
      <c r="V8">
        <v>20.2</v>
      </c>
      <c r="W8" s="64">
        <f>AVERAGE(T8:V8)</f>
        <v>20.266666666666666</v>
      </c>
      <c r="X8">
        <f>_xlfn.STDEV.P(T8:V8)</f>
        <v>0.24944382578493013</v>
      </c>
      <c r="Y8">
        <v>20.100000000000001</v>
      </c>
      <c r="Z8">
        <v>19.899999999999999</v>
      </c>
      <c r="AA8">
        <v>20</v>
      </c>
      <c r="AB8">
        <f>AVERAGE(Y8:AA8)</f>
        <v>20</v>
      </c>
      <c r="AC8">
        <f>_xlfn.STDEV.S(Y8:AA8)</f>
        <v>0.10000000000000142</v>
      </c>
      <c r="AD8">
        <v>18.399999999999999</v>
      </c>
      <c r="AE8">
        <v>16.7</v>
      </c>
      <c r="AF8" s="121">
        <f>AVERAGE(AD8:AE8)</f>
        <v>17.549999999999997</v>
      </c>
      <c r="AG8" s="121">
        <f>_xlfn.STDEV.P(AD8:AE8)</f>
        <v>0.84999999999999964</v>
      </c>
      <c r="AH8">
        <v>20.399999999999999</v>
      </c>
      <c r="AI8">
        <f>20.6</f>
        <v>20.6</v>
      </c>
      <c r="AJ8">
        <v>20.6</v>
      </c>
      <c r="AK8">
        <f>AVERAGE(AH8:AJ8)</f>
        <v>20.533333333333335</v>
      </c>
      <c r="AL8">
        <f>_xlfn.STDEV.S(AH8:AJ8)</f>
        <v>0.1154700538379268</v>
      </c>
      <c r="AM8" s="122">
        <v>20.3</v>
      </c>
      <c r="AN8" s="122">
        <v>12</v>
      </c>
      <c r="AO8" s="122">
        <f>AVERAGE(AM8:AN8)</f>
        <v>16.149999999999999</v>
      </c>
      <c r="AP8" s="122">
        <f>_xlfn.STDEV.P(AM8:AN8)</f>
        <v>4.1500000000000101</v>
      </c>
      <c r="AQ8">
        <v>19.8</v>
      </c>
      <c r="AR8">
        <v>20.5</v>
      </c>
      <c r="AS8">
        <v>20.6</v>
      </c>
      <c r="AV8" t="s">
        <v>162</v>
      </c>
      <c r="AW8">
        <f>60+44</f>
        <v>104</v>
      </c>
    </row>
    <row r="19" spans="45:45" x14ac:dyDescent="0.45">
      <c r="AS19" s="124">
        <f>(20.6-19.8)/20.6</f>
        <v>3.8834951456310711E-2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E31-77BF-44B9-BC0A-2AC5E7C64BB4}">
  <dimension ref="A1:BI19"/>
  <sheetViews>
    <sheetView tabSelected="1" zoomScale="94" zoomScaleNormal="85" workbookViewId="0">
      <selection activeCell="Q65" sqref="Q65"/>
    </sheetView>
  </sheetViews>
  <sheetFormatPr baseColWidth="10" defaultColWidth="10.73046875" defaultRowHeight="14.25" x14ac:dyDescent="0.45"/>
  <cols>
    <col min="1" max="1" width="16.265625" bestFit="1" customWidth="1"/>
    <col min="53" max="57" width="10.73046875" customWidth="1"/>
  </cols>
  <sheetData>
    <row r="1" spans="1:61" x14ac:dyDescent="0.45">
      <c r="A1" s="123"/>
      <c r="B1" s="123" t="s">
        <v>128</v>
      </c>
      <c r="C1" s="123" t="s">
        <v>129</v>
      </c>
      <c r="D1" s="123" t="s">
        <v>130</v>
      </c>
      <c r="E1" s="123" t="s">
        <v>131</v>
      </c>
      <c r="F1" s="123" t="s">
        <v>18</v>
      </c>
      <c r="G1" s="123" t="s">
        <v>83</v>
      </c>
      <c r="H1" s="123" t="s">
        <v>132</v>
      </c>
      <c r="I1" s="123" t="s">
        <v>133</v>
      </c>
      <c r="J1" s="123" t="s">
        <v>83</v>
      </c>
      <c r="K1" s="123" t="s">
        <v>140</v>
      </c>
      <c r="L1" s="123" t="s">
        <v>141</v>
      </c>
      <c r="M1" s="123" t="s">
        <v>142</v>
      </c>
      <c r="N1" s="123" t="s">
        <v>18</v>
      </c>
      <c r="O1" s="123" t="s">
        <v>83</v>
      </c>
      <c r="P1" s="123" t="s">
        <v>143</v>
      </c>
      <c r="Q1" s="123" t="s">
        <v>144</v>
      </c>
      <c r="R1" s="123" t="s">
        <v>18</v>
      </c>
      <c r="S1" s="123" t="s">
        <v>51</v>
      </c>
      <c r="T1" s="123" t="s">
        <v>145</v>
      </c>
      <c r="U1" s="123" t="s">
        <v>146</v>
      </c>
      <c r="V1" s="123" t="s">
        <v>147</v>
      </c>
      <c r="W1" s="123" t="s">
        <v>18</v>
      </c>
      <c r="X1" s="123" t="s">
        <v>51</v>
      </c>
      <c r="Y1" s="123" t="s">
        <v>148</v>
      </c>
      <c r="Z1" s="123" t="s">
        <v>149</v>
      </c>
      <c r="AA1" s="123" t="s">
        <v>150</v>
      </c>
      <c r="AB1" s="123" t="s">
        <v>119</v>
      </c>
      <c r="AC1" s="123" t="s">
        <v>153</v>
      </c>
      <c r="AD1" s="123" t="s">
        <v>151</v>
      </c>
      <c r="AE1" s="123" t="s">
        <v>152</v>
      </c>
      <c r="AF1" s="123" t="s">
        <v>119</v>
      </c>
      <c r="AG1" s="123" t="s">
        <v>83</v>
      </c>
      <c r="AH1" s="123" t="s">
        <v>154</v>
      </c>
      <c r="AI1" s="123" t="s">
        <v>155</v>
      </c>
      <c r="AJ1" s="123" t="s">
        <v>156</v>
      </c>
      <c r="AK1" s="123" t="s">
        <v>119</v>
      </c>
      <c r="AL1" s="123" t="s">
        <v>153</v>
      </c>
      <c r="AM1" s="123" t="s">
        <v>157</v>
      </c>
      <c r="AN1" s="123" t="s">
        <v>162</v>
      </c>
      <c r="AO1" s="123" t="s">
        <v>119</v>
      </c>
      <c r="AP1" s="123" t="s">
        <v>51</v>
      </c>
      <c r="AQ1" s="123" t="s">
        <v>158</v>
      </c>
      <c r="AR1" s="123" t="s">
        <v>159</v>
      </c>
      <c r="AS1" s="123" t="s">
        <v>160</v>
      </c>
      <c r="AT1" s="123" t="s">
        <v>18</v>
      </c>
      <c r="AU1" s="123" t="s">
        <v>83</v>
      </c>
      <c r="AV1" s="123" t="s">
        <v>163</v>
      </c>
      <c r="AW1" s="125" t="s">
        <v>164</v>
      </c>
      <c r="AX1" s="125" t="s">
        <v>165</v>
      </c>
      <c r="AY1" s="125" t="s">
        <v>166</v>
      </c>
      <c r="AZ1" s="125" t="s">
        <v>167</v>
      </c>
      <c r="BA1" s="125" t="s">
        <v>168</v>
      </c>
      <c r="BB1" s="125" t="s">
        <v>169</v>
      </c>
      <c r="BC1" s="125" t="s">
        <v>170</v>
      </c>
      <c r="BD1" s="125" t="s">
        <v>171</v>
      </c>
      <c r="BE1" s="125" t="s">
        <v>172</v>
      </c>
      <c r="BF1" s="125" t="s">
        <v>173</v>
      </c>
      <c r="BG1" s="125" t="s">
        <v>174</v>
      </c>
      <c r="BI1" t="s">
        <v>161</v>
      </c>
    </row>
    <row r="2" spans="1:61" x14ac:dyDescent="0.45">
      <c r="A2" s="83">
        <v>44167.5</v>
      </c>
      <c r="B2" s="123">
        <v>0</v>
      </c>
      <c r="C2" s="123">
        <v>20.6</v>
      </c>
      <c r="D2" s="123">
        <v>20.6</v>
      </c>
      <c r="E2" s="123">
        <v>20.6</v>
      </c>
      <c r="F2" s="123">
        <f t="shared" ref="F2:F8" si="0">AVERAGE(C2:E2)</f>
        <v>20.6</v>
      </c>
      <c r="G2" s="123">
        <f>_xlfn.STDEV.P(C2:E2)</f>
        <v>0</v>
      </c>
      <c r="H2" s="123" t="s">
        <v>125</v>
      </c>
      <c r="I2" s="123">
        <v>20.6</v>
      </c>
      <c r="J2" s="123">
        <v>0</v>
      </c>
      <c r="K2" s="123" t="s">
        <v>125</v>
      </c>
      <c r="L2" s="123" t="s">
        <v>125</v>
      </c>
      <c r="M2" s="123" t="s">
        <v>125</v>
      </c>
      <c r="N2" s="123" t="s">
        <v>125</v>
      </c>
      <c r="O2" s="123" t="s">
        <v>125</v>
      </c>
      <c r="P2" s="123" t="s">
        <v>125</v>
      </c>
      <c r="Q2" s="123" t="s">
        <v>125</v>
      </c>
      <c r="R2" s="123" t="s">
        <v>125</v>
      </c>
      <c r="S2" s="123" t="s">
        <v>125</v>
      </c>
      <c r="T2" s="123" t="s">
        <v>125</v>
      </c>
      <c r="U2" s="123" t="s">
        <v>125</v>
      </c>
      <c r="V2" s="123" t="s">
        <v>125</v>
      </c>
      <c r="W2" s="123" t="s">
        <v>125</v>
      </c>
      <c r="X2" s="123" t="s">
        <v>125</v>
      </c>
      <c r="Y2" s="123" t="s">
        <v>125</v>
      </c>
      <c r="Z2" s="123" t="s">
        <v>125</v>
      </c>
      <c r="AA2" s="123" t="s">
        <v>125</v>
      </c>
      <c r="AB2" s="123" t="s">
        <v>125</v>
      </c>
      <c r="AC2" s="123"/>
      <c r="AD2" s="123" t="s">
        <v>125</v>
      </c>
      <c r="AE2" s="123" t="s">
        <v>125</v>
      </c>
      <c r="AF2" s="123" t="s">
        <v>125</v>
      </c>
      <c r="AG2" s="123" t="s">
        <v>125</v>
      </c>
      <c r="AH2" s="123" t="s">
        <v>125</v>
      </c>
      <c r="AI2" s="123" t="s">
        <v>125</v>
      </c>
      <c r="AJ2" s="123" t="s">
        <v>125</v>
      </c>
      <c r="AK2" s="123" t="s">
        <v>125</v>
      </c>
      <c r="AL2" s="123" t="s">
        <v>125</v>
      </c>
      <c r="AM2" s="123" t="s">
        <v>125</v>
      </c>
      <c r="AN2" s="123" t="s">
        <v>125</v>
      </c>
      <c r="AO2" s="123"/>
      <c r="AP2" s="123"/>
      <c r="AQ2" s="123" t="s">
        <v>125</v>
      </c>
      <c r="AR2" s="123" t="s">
        <v>125</v>
      </c>
      <c r="AS2" s="123" t="s">
        <v>125</v>
      </c>
      <c r="AT2" s="123" t="s">
        <v>125</v>
      </c>
      <c r="AU2" s="123" t="s">
        <v>125</v>
      </c>
      <c r="AV2" s="126">
        <v>20.6</v>
      </c>
      <c r="AW2" s="126">
        <v>20.6</v>
      </c>
      <c r="AX2" s="125" t="s">
        <v>125</v>
      </c>
      <c r="AY2" s="125" t="s">
        <v>125</v>
      </c>
      <c r="AZ2" s="125" t="s">
        <v>125</v>
      </c>
      <c r="BA2" s="125" t="s">
        <v>125</v>
      </c>
      <c r="BB2" s="125" t="s">
        <v>125</v>
      </c>
      <c r="BC2" s="125" t="s">
        <v>125</v>
      </c>
      <c r="BD2" s="125" t="s">
        <v>125</v>
      </c>
      <c r="BE2" s="125" t="s">
        <v>125</v>
      </c>
      <c r="BF2" s="125" t="s">
        <v>125</v>
      </c>
      <c r="BG2" s="125" t="s">
        <v>125</v>
      </c>
      <c r="BH2" t="s">
        <v>133</v>
      </c>
      <c r="BI2">
        <v>89</v>
      </c>
    </row>
    <row r="3" spans="1:61" x14ac:dyDescent="0.45">
      <c r="A3" s="83">
        <v>44169.5</v>
      </c>
      <c r="B3" s="123">
        <f>(A3-$A$2)*24</f>
        <v>48</v>
      </c>
      <c r="C3" s="123">
        <v>20.6</v>
      </c>
      <c r="D3" s="123">
        <v>20.6</v>
      </c>
      <c r="E3" s="123">
        <v>20.6</v>
      </c>
      <c r="F3" s="123">
        <f t="shared" si="0"/>
        <v>20.6</v>
      </c>
      <c r="G3" s="123">
        <f t="shared" ref="G3:G8" si="1">_xlfn.STDEV.P(C3:E3)</f>
        <v>0</v>
      </c>
      <c r="H3" s="123" t="s">
        <v>125</v>
      </c>
      <c r="I3" s="123">
        <v>19.899999999999999</v>
      </c>
      <c r="J3" s="123">
        <v>0</v>
      </c>
      <c r="K3" s="123" t="s">
        <v>125</v>
      </c>
      <c r="L3" s="123" t="s">
        <v>125</v>
      </c>
      <c r="M3" s="123" t="s">
        <v>125</v>
      </c>
      <c r="N3" s="123" t="s">
        <v>125</v>
      </c>
      <c r="O3" s="123" t="s">
        <v>125</v>
      </c>
      <c r="P3" s="123" t="s">
        <v>125</v>
      </c>
      <c r="Q3" s="123" t="s">
        <v>125</v>
      </c>
      <c r="R3" s="123" t="s">
        <v>125</v>
      </c>
      <c r="S3" s="123" t="s">
        <v>125</v>
      </c>
      <c r="T3" s="123" t="s">
        <v>125</v>
      </c>
      <c r="U3" s="123" t="s">
        <v>125</v>
      </c>
      <c r="V3" s="123" t="s">
        <v>125</v>
      </c>
      <c r="W3" s="123" t="s">
        <v>125</v>
      </c>
      <c r="X3" s="123" t="s">
        <v>125</v>
      </c>
      <c r="Y3" s="123" t="s">
        <v>125</v>
      </c>
      <c r="Z3" s="123" t="s">
        <v>125</v>
      </c>
      <c r="AA3" s="123" t="s">
        <v>125</v>
      </c>
      <c r="AB3" s="123" t="s">
        <v>125</v>
      </c>
      <c r="AC3" s="123"/>
      <c r="AD3" s="123" t="s">
        <v>125</v>
      </c>
      <c r="AE3" s="123" t="s">
        <v>125</v>
      </c>
      <c r="AF3" s="123" t="s">
        <v>125</v>
      </c>
      <c r="AG3" s="123" t="s">
        <v>125</v>
      </c>
      <c r="AH3" s="123" t="s">
        <v>125</v>
      </c>
      <c r="AI3" s="123" t="s">
        <v>125</v>
      </c>
      <c r="AJ3" s="123" t="s">
        <v>125</v>
      </c>
      <c r="AK3" s="123" t="s">
        <v>125</v>
      </c>
      <c r="AL3" s="123" t="s">
        <v>125</v>
      </c>
      <c r="AM3" s="123" t="s">
        <v>125</v>
      </c>
      <c r="AN3" s="123" t="s">
        <v>125</v>
      </c>
      <c r="AO3" s="123"/>
      <c r="AP3" s="123"/>
      <c r="AQ3" s="123" t="s">
        <v>125</v>
      </c>
      <c r="AR3" s="123" t="s">
        <v>125</v>
      </c>
      <c r="AS3" s="123" t="s">
        <v>125</v>
      </c>
      <c r="AT3" s="123" t="s">
        <v>125</v>
      </c>
      <c r="AU3" s="123" t="s">
        <v>125</v>
      </c>
      <c r="AV3" s="126">
        <v>20.6</v>
      </c>
      <c r="AW3" s="126">
        <v>20.6</v>
      </c>
      <c r="AX3" s="126" t="s">
        <v>125</v>
      </c>
      <c r="AY3" s="126" t="s">
        <v>125</v>
      </c>
      <c r="AZ3" s="125" t="s">
        <v>125</v>
      </c>
      <c r="BA3" s="125" t="s">
        <v>125</v>
      </c>
      <c r="BB3" s="126" t="s">
        <v>125</v>
      </c>
      <c r="BC3" s="126" t="s">
        <v>125</v>
      </c>
      <c r="BD3" s="125" t="s">
        <v>125</v>
      </c>
      <c r="BE3" s="125" t="s">
        <v>125</v>
      </c>
      <c r="BF3" s="126" t="s">
        <v>125</v>
      </c>
      <c r="BG3" s="126" t="s">
        <v>125</v>
      </c>
      <c r="BH3" t="s">
        <v>143</v>
      </c>
      <c r="BI3">
        <v>120</v>
      </c>
    </row>
    <row r="4" spans="1:61" x14ac:dyDescent="0.45">
      <c r="A4" s="83">
        <v>44172.375</v>
      </c>
      <c r="B4" s="123">
        <f>(A4-$A$2)*24</f>
        <v>117</v>
      </c>
      <c r="C4" s="123">
        <v>20.5</v>
      </c>
      <c r="D4" s="123">
        <v>20.399999999999999</v>
      </c>
      <c r="E4" s="123">
        <v>20.5</v>
      </c>
      <c r="F4" s="119">
        <f t="shared" si="0"/>
        <v>20.466666666666665</v>
      </c>
      <c r="G4" s="123">
        <f t="shared" si="1"/>
        <v>4.7140452079103841E-2</v>
      </c>
      <c r="H4" s="123" t="s">
        <v>125</v>
      </c>
      <c r="I4" s="123">
        <v>19.899999999999999</v>
      </c>
      <c r="J4" s="123">
        <v>0</v>
      </c>
      <c r="K4" s="123">
        <v>20.6</v>
      </c>
      <c r="L4" s="123">
        <v>20.6</v>
      </c>
      <c r="M4" s="123">
        <v>20.399999999999999</v>
      </c>
      <c r="N4" s="62">
        <f t="shared" ref="N4:N8" si="2">AVERAGE(K4:M4)</f>
        <v>20.533333333333335</v>
      </c>
      <c r="O4" s="123">
        <f>_xlfn.STDEV.P(K4:M4)</f>
        <v>9.4280904158207682E-2</v>
      </c>
      <c r="P4" s="123">
        <v>19.899999999999999</v>
      </c>
      <c r="Q4" s="123">
        <v>18.399999999999999</v>
      </c>
      <c r="R4" s="123">
        <f>AVERAGE(P4:Q4)</f>
        <v>19.149999999999999</v>
      </c>
      <c r="S4" s="123">
        <f>_xlfn.STDEV.P(P4:Q4)</f>
        <v>0.75</v>
      </c>
      <c r="T4" s="123" t="s">
        <v>125</v>
      </c>
      <c r="U4" s="123" t="s">
        <v>125</v>
      </c>
      <c r="V4" s="123" t="s">
        <v>125</v>
      </c>
      <c r="W4" s="62" t="s">
        <v>125</v>
      </c>
      <c r="X4" s="62" t="s">
        <v>125</v>
      </c>
      <c r="Y4" s="123" t="s">
        <v>125</v>
      </c>
      <c r="Z4" s="123" t="s">
        <v>125</v>
      </c>
      <c r="AA4" s="123" t="s">
        <v>125</v>
      </c>
      <c r="AB4" s="123" t="s">
        <v>125</v>
      </c>
      <c r="AC4" s="123"/>
      <c r="AD4" s="123" t="s">
        <v>125</v>
      </c>
      <c r="AE4" s="123" t="s">
        <v>125</v>
      </c>
      <c r="AF4" s="123" t="s">
        <v>125</v>
      </c>
      <c r="AG4" s="123" t="s">
        <v>125</v>
      </c>
      <c r="AH4" s="123" t="s">
        <v>125</v>
      </c>
      <c r="AI4" s="123" t="s">
        <v>125</v>
      </c>
      <c r="AJ4" s="123" t="s">
        <v>125</v>
      </c>
      <c r="AK4" s="123" t="s">
        <v>125</v>
      </c>
      <c r="AL4" s="123" t="s">
        <v>125</v>
      </c>
      <c r="AM4" s="123" t="s">
        <v>125</v>
      </c>
      <c r="AN4" s="123" t="s">
        <v>125</v>
      </c>
      <c r="AO4" s="123"/>
      <c r="AP4" s="123"/>
      <c r="AQ4" s="123" t="s">
        <v>125</v>
      </c>
      <c r="AR4" s="123" t="s">
        <v>125</v>
      </c>
      <c r="AS4" s="123" t="s">
        <v>125</v>
      </c>
      <c r="AT4" s="123" t="s">
        <v>125</v>
      </c>
      <c r="AU4" s="123" t="s">
        <v>125</v>
      </c>
      <c r="AV4" s="126">
        <v>20.6</v>
      </c>
      <c r="AW4" s="126">
        <v>20.6</v>
      </c>
      <c r="AX4" s="126">
        <v>20.6</v>
      </c>
      <c r="AY4" s="126">
        <v>20.6</v>
      </c>
      <c r="AZ4" s="125" t="s">
        <v>125</v>
      </c>
      <c r="BA4" s="125" t="s">
        <v>125</v>
      </c>
      <c r="BB4" s="125" t="s">
        <v>125</v>
      </c>
      <c r="BC4" s="125" t="s">
        <v>125</v>
      </c>
      <c r="BD4" s="125" t="s">
        <v>125</v>
      </c>
      <c r="BE4" s="125" t="s">
        <v>125</v>
      </c>
      <c r="BF4" s="125" t="s">
        <v>125</v>
      </c>
      <c r="BG4" s="125" t="s">
        <v>125</v>
      </c>
      <c r="BH4" t="s">
        <v>144</v>
      </c>
      <c r="BI4">
        <f>60+50</f>
        <v>110</v>
      </c>
    </row>
    <row r="5" spans="1:61" x14ac:dyDescent="0.45">
      <c r="A5" s="83">
        <v>44174.479166666664</v>
      </c>
      <c r="B5" s="123">
        <f>(A5-$A$2)*24</f>
        <v>167.49999999994179</v>
      </c>
      <c r="C5" s="123">
        <v>20.399999999999999</v>
      </c>
      <c r="D5" s="123">
        <v>20.3</v>
      </c>
      <c r="E5" s="123">
        <v>20.399999999999999</v>
      </c>
      <c r="F5" s="119">
        <f t="shared" si="0"/>
        <v>20.366666666666667</v>
      </c>
      <c r="G5" s="123">
        <f t="shared" si="1"/>
        <v>4.7140452079102169E-2</v>
      </c>
      <c r="H5" s="123" t="s">
        <v>125</v>
      </c>
      <c r="I5" s="123">
        <v>20.100000000000001</v>
      </c>
      <c r="J5" s="123">
        <v>0</v>
      </c>
      <c r="K5" s="123">
        <v>20.6</v>
      </c>
      <c r="L5" s="123">
        <v>20.6</v>
      </c>
      <c r="M5" s="123">
        <v>20.399999999999999</v>
      </c>
      <c r="N5" s="62">
        <f t="shared" si="2"/>
        <v>20.533333333333335</v>
      </c>
      <c r="O5" s="123">
        <f t="shared" ref="O5:O8" si="3">_xlfn.STDEV.P(K5:M5)</f>
        <v>9.4280904158207682E-2</v>
      </c>
      <c r="P5" s="123">
        <v>20.6</v>
      </c>
      <c r="Q5" s="123">
        <v>20.100000000000001</v>
      </c>
      <c r="R5" s="123">
        <f t="shared" ref="R5:R8" si="4">AVERAGE(P5:Q5)</f>
        <v>20.350000000000001</v>
      </c>
      <c r="S5" s="123">
        <f t="shared" ref="S5:S8" si="5">_xlfn.STDEV.P(P5:Q5)</f>
        <v>0.25</v>
      </c>
      <c r="T5">
        <v>20.399999999999999</v>
      </c>
      <c r="U5">
        <v>20.5</v>
      </c>
      <c r="V5">
        <v>20.3</v>
      </c>
      <c r="W5">
        <f>AVERAGE(T5:V5)</f>
        <v>20.400000000000002</v>
      </c>
      <c r="X5">
        <f>_xlfn.STDEV.P(T5:V5)</f>
        <v>8.1649658092772318E-2</v>
      </c>
      <c r="Y5" s="123" t="s">
        <v>125</v>
      </c>
      <c r="Z5" s="123" t="s">
        <v>125</v>
      </c>
      <c r="AA5" s="123" t="s">
        <v>125</v>
      </c>
      <c r="AB5" t="s">
        <v>125</v>
      </c>
      <c r="AD5" s="123" t="s">
        <v>125</v>
      </c>
      <c r="AE5" s="123" t="s">
        <v>125</v>
      </c>
      <c r="AF5" s="123" t="s">
        <v>125</v>
      </c>
      <c r="AG5" s="123" t="s">
        <v>125</v>
      </c>
      <c r="AH5" s="123" t="s">
        <v>125</v>
      </c>
      <c r="AI5" s="123" t="s">
        <v>125</v>
      </c>
      <c r="AJ5" s="123" t="s">
        <v>125</v>
      </c>
      <c r="AK5" s="123" t="s">
        <v>125</v>
      </c>
      <c r="AL5" s="123" t="s">
        <v>125</v>
      </c>
      <c r="AM5" s="123" t="s">
        <v>125</v>
      </c>
      <c r="AN5" s="123" t="s">
        <v>125</v>
      </c>
      <c r="AO5" s="123"/>
      <c r="AP5" s="123"/>
      <c r="AQ5" s="123" t="s">
        <v>125</v>
      </c>
      <c r="AR5" s="123" t="s">
        <v>125</v>
      </c>
      <c r="AS5" s="123" t="s">
        <v>125</v>
      </c>
      <c r="AT5" s="123" t="s">
        <v>125</v>
      </c>
      <c r="AU5" s="123" t="s">
        <v>125</v>
      </c>
      <c r="AV5" s="126">
        <v>20.6</v>
      </c>
      <c r="AW5" s="126">
        <v>20.6</v>
      </c>
      <c r="AX5" s="126">
        <v>20.6</v>
      </c>
      <c r="AY5" s="126">
        <v>20.6</v>
      </c>
      <c r="AZ5" s="126">
        <v>20.6</v>
      </c>
      <c r="BA5" s="126">
        <v>20.6</v>
      </c>
      <c r="BB5" s="125" t="s">
        <v>125</v>
      </c>
      <c r="BC5" s="125" t="s">
        <v>125</v>
      </c>
      <c r="BD5" s="125" t="s">
        <v>125</v>
      </c>
      <c r="BE5" s="125" t="s">
        <v>125</v>
      </c>
      <c r="BF5" s="125" t="s">
        <v>125</v>
      </c>
      <c r="BG5" s="125" t="s">
        <v>125</v>
      </c>
      <c r="BH5" t="s">
        <v>151</v>
      </c>
      <c r="BI5">
        <f>60+40</f>
        <v>100</v>
      </c>
    </row>
    <row r="6" spans="1:61" x14ac:dyDescent="0.45">
      <c r="A6" s="88">
        <v>44176.479166666664</v>
      </c>
      <c r="B6" s="123">
        <f t="shared" ref="B6:B8" si="6">(A6-$A$2)*24</f>
        <v>215.49999999994179</v>
      </c>
      <c r="C6" s="123">
        <v>20.2</v>
      </c>
      <c r="D6" s="123">
        <v>20</v>
      </c>
      <c r="E6" s="123">
        <v>20.3</v>
      </c>
      <c r="F6" s="119">
        <f t="shared" si="0"/>
        <v>20.166666666666668</v>
      </c>
      <c r="G6" s="123">
        <f t="shared" si="1"/>
        <v>0.12472191289246491</v>
      </c>
      <c r="H6" s="123" t="s">
        <v>125</v>
      </c>
      <c r="I6" s="123">
        <v>20</v>
      </c>
      <c r="J6" s="123">
        <v>0</v>
      </c>
      <c r="K6" s="123">
        <v>20.399999999999999</v>
      </c>
      <c r="L6" s="123">
        <v>20.3</v>
      </c>
      <c r="M6" s="123">
        <v>20.2</v>
      </c>
      <c r="N6" s="62">
        <f t="shared" si="2"/>
        <v>20.3</v>
      </c>
      <c r="O6" s="123">
        <f t="shared" si="3"/>
        <v>8.1649658092772318E-2</v>
      </c>
      <c r="P6" s="123">
        <v>20.6</v>
      </c>
      <c r="Q6" s="123">
        <v>19.8</v>
      </c>
      <c r="R6" s="123">
        <f t="shared" si="4"/>
        <v>20.200000000000003</v>
      </c>
      <c r="S6" s="123">
        <f t="shared" si="5"/>
        <v>0.40000000000000036</v>
      </c>
      <c r="T6" s="63">
        <v>20.3</v>
      </c>
      <c r="U6">
        <v>20.5</v>
      </c>
      <c r="V6">
        <v>20.399999999999999</v>
      </c>
      <c r="W6">
        <f>AVERAGE(T6:V6)</f>
        <v>20.399999999999999</v>
      </c>
      <c r="X6">
        <f>_xlfn.STDEV.P(T6:V6)</f>
        <v>8.1649658092772318E-2</v>
      </c>
      <c r="Y6" s="123">
        <v>20.100000000000001</v>
      </c>
      <c r="Z6" s="123">
        <v>20.2</v>
      </c>
      <c r="AA6" s="123">
        <v>20.2</v>
      </c>
      <c r="AB6">
        <f>AVERAGE(Y6:AA6)</f>
        <v>20.166666666666668</v>
      </c>
      <c r="AC6">
        <f>_xlfn.STDEV.S(Y6:AA6)</f>
        <v>5.7735026918961346E-2</v>
      </c>
      <c r="AD6" s="123">
        <v>18.3</v>
      </c>
      <c r="AE6" s="123">
        <v>16.8</v>
      </c>
      <c r="AF6" s="123">
        <f>AVERAGE(AD6:AE6)</f>
        <v>17.55</v>
      </c>
      <c r="AG6" s="123">
        <f>_xlfn.STDEV.P(AD6:AE6)</f>
        <v>0.75</v>
      </c>
      <c r="AH6" s="123" t="s">
        <v>125</v>
      </c>
      <c r="AI6" s="123" t="s">
        <v>125</v>
      </c>
      <c r="AJ6" s="123" t="s">
        <v>125</v>
      </c>
      <c r="AK6" s="123" t="s">
        <v>125</v>
      </c>
      <c r="AL6" s="123" t="s">
        <v>125</v>
      </c>
      <c r="AM6" s="123" t="s">
        <v>125</v>
      </c>
      <c r="AN6" s="123" t="s">
        <v>125</v>
      </c>
      <c r="AO6" s="123"/>
      <c r="AP6" s="123"/>
      <c r="AQ6" s="123" t="s">
        <v>125</v>
      </c>
      <c r="AR6" s="123" t="s">
        <v>125</v>
      </c>
      <c r="AS6" s="123" t="s">
        <v>125</v>
      </c>
      <c r="AT6" s="123" t="s">
        <v>125</v>
      </c>
      <c r="AU6" s="123" t="s">
        <v>125</v>
      </c>
      <c r="AV6" s="126">
        <v>20.6</v>
      </c>
      <c r="AW6" s="126">
        <v>20.6</v>
      </c>
      <c r="AX6" s="126">
        <v>20.6</v>
      </c>
      <c r="AY6" s="126">
        <v>20.6</v>
      </c>
      <c r="AZ6" s="126">
        <v>20.6</v>
      </c>
      <c r="BA6" s="126">
        <v>20.6</v>
      </c>
      <c r="BB6" s="126">
        <v>20.6</v>
      </c>
      <c r="BC6" s="126">
        <v>20.6</v>
      </c>
      <c r="BD6" s="125" t="s">
        <v>125</v>
      </c>
      <c r="BE6" s="125" t="s">
        <v>125</v>
      </c>
      <c r="BF6" s="125" t="s">
        <v>125</v>
      </c>
      <c r="BG6" s="125" t="s">
        <v>125</v>
      </c>
      <c r="BH6" t="s">
        <v>152</v>
      </c>
      <c r="BI6">
        <f>60+23</f>
        <v>83</v>
      </c>
    </row>
    <row r="7" spans="1:61" x14ac:dyDescent="0.45">
      <c r="A7" s="88">
        <v>44179.479166666664</v>
      </c>
      <c r="B7" s="123">
        <f t="shared" si="6"/>
        <v>287.49999999994179</v>
      </c>
      <c r="C7" s="123">
        <v>20.2</v>
      </c>
      <c r="D7" s="123">
        <v>20</v>
      </c>
      <c r="E7" s="123">
        <v>20.6</v>
      </c>
      <c r="F7" s="119">
        <f t="shared" si="0"/>
        <v>20.266666666666669</v>
      </c>
      <c r="G7" s="123">
        <f t="shared" si="1"/>
        <v>0.24944382578493013</v>
      </c>
      <c r="H7" s="123" t="s">
        <v>125</v>
      </c>
      <c r="I7" s="123">
        <v>20.100000000000001</v>
      </c>
      <c r="J7" s="123">
        <v>0</v>
      </c>
      <c r="K7" s="123">
        <v>20.399999999999999</v>
      </c>
      <c r="L7" s="123">
        <v>20.399999999999999</v>
      </c>
      <c r="M7" s="123">
        <v>20.3</v>
      </c>
      <c r="N7" s="62">
        <f t="shared" si="2"/>
        <v>20.366666666666664</v>
      </c>
      <c r="O7" s="123">
        <f t="shared" si="3"/>
        <v>4.7140452079102162E-2</v>
      </c>
      <c r="P7" s="123">
        <v>20.6</v>
      </c>
      <c r="Q7" s="123">
        <v>19.7</v>
      </c>
      <c r="R7" s="123">
        <f t="shared" si="4"/>
        <v>20.149999999999999</v>
      </c>
      <c r="S7" s="123">
        <f t="shared" si="5"/>
        <v>0.45000000000000107</v>
      </c>
      <c r="T7" s="63">
        <v>20.2</v>
      </c>
      <c r="U7">
        <v>20.6</v>
      </c>
      <c r="V7" s="123">
        <v>20.3</v>
      </c>
      <c r="W7" s="64">
        <f>AVERAGE(T7:V7)</f>
        <v>20.366666666666664</v>
      </c>
      <c r="X7">
        <f>_xlfn.STDEV.P(T7:V7)</f>
        <v>0.16996731711976029</v>
      </c>
      <c r="Y7" s="123">
        <v>20.3</v>
      </c>
      <c r="Z7" s="123">
        <v>20</v>
      </c>
      <c r="AA7" s="123">
        <v>20.100000000000001</v>
      </c>
      <c r="AB7">
        <f>AVERAGE(Y7:AA7)</f>
        <v>20.133333333333333</v>
      </c>
      <c r="AC7">
        <f>_xlfn.STDEV.S(Y7:AA7)</f>
        <v>0.15275252316519489</v>
      </c>
      <c r="AD7" s="123">
        <v>18.5</v>
      </c>
      <c r="AE7" s="123">
        <v>17.100000000000001</v>
      </c>
      <c r="AF7" s="123">
        <f>AVERAGE(AD7:AE7)</f>
        <v>17.8</v>
      </c>
      <c r="AG7" s="123">
        <f>_xlfn.STDEV.P(AD7:AE7)</f>
        <v>0.69999999999999929</v>
      </c>
      <c r="AH7" s="123">
        <v>19.899999999999999</v>
      </c>
      <c r="AI7" s="123">
        <v>19.8</v>
      </c>
      <c r="AJ7" s="123">
        <v>20.100000000000001</v>
      </c>
      <c r="AK7" s="62">
        <f>AVERAGE(AH7:AJ7)</f>
        <v>19.933333333333334</v>
      </c>
      <c r="AL7" s="62">
        <f>_xlfn.STDEV.S(AH7:AJ7)</f>
        <v>0.1527525231651953</v>
      </c>
      <c r="AM7" s="123">
        <v>20.100000000000001</v>
      </c>
      <c r="AN7" s="123">
        <v>14.1</v>
      </c>
      <c r="AO7" s="123">
        <f>AVERAGE(AM7:AN7)</f>
        <v>17.100000000000001</v>
      </c>
      <c r="AP7" s="123">
        <f>_xlfn.STDEV.P(AM7:AN7)</f>
        <v>3</v>
      </c>
      <c r="AQ7" s="123" t="s">
        <v>125</v>
      </c>
      <c r="AR7" s="123" t="s">
        <v>125</v>
      </c>
      <c r="AS7" s="123" t="s">
        <v>125</v>
      </c>
      <c r="AT7" s="123" t="s">
        <v>125</v>
      </c>
      <c r="AU7" s="123" t="s">
        <v>125</v>
      </c>
      <c r="AV7" s="126">
        <v>20.6</v>
      </c>
      <c r="AW7" s="126">
        <v>20.6</v>
      </c>
      <c r="AX7" s="126">
        <v>20.6</v>
      </c>
      <c r="AY7" s="126">
        <v>20.6</v>
      </c>
      <c r="AZ7" s="126">
        <v>20.6</v>
      </c>
      <c r="BA7" s="126">
        <v>20.6</v>
      </c>
      <c r="BB7" s="126">
        <v>20.6</v>
      </c>
      <c r="BC7" s="126">
        <v>20.6</v>
      </c>
      <c r="BD7" s="126">
        <v>20.6</v>
      </c>
      <c r="BE7" s="126">
        <v>20.6</v>
      </c>
      <c r="BF7" s="125" t="s">
        <v>125</v>
      </c>
      <c r="BG7" s="125" t="s">
        <v>125</v>
      </c>
      <c r="BH7" t="s">
        <v>157</v>
      </c>
      <c r="BI7">
        <f>60+60</f>
        <v>120</v>
      </c>
    </row>
    <row r="8" spans="1:61" x14ac:dyDescent="0.45">
      <c r="A8" s="88">
        <v>44181.625</v>
      </c>
      <c r="B8" s="123">
        <f t="shared" si="6"/>
        <v>339</v>
      </c>
      <c r="C8">
        <v>20.3</v>
      </c>
      <c r="D8">
        <v>20.399999999999999</v>
      </c>
      <c r="E8">
        <v>20.6</v>
      </c>
      <c r="F8" s="119">
        <f t="shared" si="0"/>
        <v>20.433333333333334</v>
      </c>
      <c r="G8" s="123">
        <f t="shared" si="1"/>
        <v>0.12472191289246523</v>
      </c>
      <c r="H8" s="123" t="s">
        <v>125</v>
      </c>
      <c r="I8">
        <v>20.3</v>
      </c>
      <c r="J8" s="123">
        <v>0</v>
      </c>
      <c r="K8">
        <v>20.6</v>
      </c>
      <c r="L8">
        <v>20.3</v>
      </c>
      <c r="M8">
        <v>20.3</v>
      </c>
      <c r="N8" s="62">
        <f t="shared" si="2"/>
        <v>20.400000000000002</v>
      </c>
      <c r="O8" s="123">
        <f t="shared" si="3"/>
        <v>0.14142135623730984</v>
      </c>
      <c r="P8">
        <v>20.6</v>
      </c>
      <c r="Q8">
        <v>19.600000000000001</v>
      </c>
      <c r="R8" s="123">
        <f t="shared" si="4"/>
        <v>20.100000000000001</v>
      </c>
      <c r="S8" s="123">
        <f t="shared" si="5"/>
        <v>0.5</v>
      </c>
      <c r="T8">
        <v>20</v>
      </c>
      <c r="U8">
        <v>20.6</v>
      </c>
      <c r="V8">
        <v>20.2</v>
      </c>
      <c r="W8" s="64">
        <f>AVERAGE(T8:V8)</f>
        <v>20.266666666666666</v>
      </c>
      <c r="X8">
        <f>_xlfn.STDEV.P(T8:V8)</f>
        <v>0.24944382578493013</v>
      </c>
      <c r="Y8">
        <v>20.100000000000001</v>
      </c>
      <c r="Z8">
        <v>19.899999999999999</v>
      </c>
      <c r="AA8">
        <v>20</v>
      </c>
      <c r="AB8">
        <f>AVERAGE(Y8:AA8)</f>
        <v>20</v>
      </c>
      <c r="AC8">
        <f>_xlfn.STDEV.S(Y8:AA8)</f>
        <v>0.10000000000000142</v>
      </c>
      <c r="AD8">
        <v>18.399999999999999</v>
      </c>
      <c r="AE8">
        <v>16.7</v>
      </c>
      <c r="AF8" s="123">
        <f>AVERAGE(AD8:AE8)</f>
        <v>17.549999999999997</v>
      </c>
      <c r="AG8" s="123">
        <f>_xlfn.STDEV.P(AD8:AE8)</f>
        <v>0.84999999999999964</v>
      </c>
      <c r="AH8" s="123">
        <v>19.8</v>
      </c>
      <c r="AI8" s="123">
        <v>20</v>
      </c>
      <c r="AJ8" s="123">
        <v>20</v>
      </c>
      <c r="AK8" s="62">
        <f>AVERAGE(AH8:AJ8)</f>
        <v>19.933333333333334</v>
      </c>
      <c r="AL8" s="62">
        <f>_xlfn.STDEV.S(AH8:AJ8)</f>
        <v>0.11547005383792475</v>
      </c>
      <c r="AM8" s="123">
        <v>20.3</v>
      </c>
      <c r="AN8" s="123">
        <v>12</v>
      </c>
      <c r="AO8" s="123">
        <f>AVERAGE(AM8:AN8)</f>
        <v>16.149999999999999</v>
      </c>
      <c r="AP8" s="123">
        <f>_xlfn.STDEV.P(AM8:AN8)</f>
        <v>4.1500000000000101</v>
      </c>
      <c r="AQ8" s="123">
        <v>19.8</v>
      </c>
      <c r="AR8" s="123">
        <v>19.7</v>
      </c>
      <c r="AS8" s="123">
        <v>20</v>
      </c>
      <c r="AT8" s="62">
        <f>AVERAGE(AQ8:AS8)</f>
        <v>19.833333333333332</v>
      </c>
      <c r="AU8" s="119">
        <f>_xlfn.STDEV.P(AQ8:AS8)</f>
        <v>0.1247219128924649</v>
      </c>
      <c r="AV8" s="126">
        <v>20.6</v>
      </c>
      <c r="AW8" s="126">
        <v>20.6</v>
      </c>
      <c r="AX8" s="126">
        <v>20.6</v>
      </c>
      <c r="AY8" s="126">
        <v>20.6</v>
      </c>
      <c r="AZ8" s="126">
        <v>20.6</v>
      </c>
      <c r="BA8" s="126">
        <v>20.6</v>
      </c>
      <c r="BB8" s="126">
        <v>20.6</v>
      </c>
      <c r="BC8" s="126">
        <v>20.6</v>
      </c>
      <c r="BD8" s="126">
        <v>20.6</v>
      </c>
      <c r="BE8" s="126">
        <v>20.6</v>
      </c>
      <c r="BF8" s="126">
        <v>20.6</v>
      </c>
      <c r="BG8" s="126">
        <v>20.6</v>
      </c>
      <c r="BH8" t="s">
        <v>162</v>
      </c>
      <c r="BI8">
        <f>60+44</f>
        <v>104</v>
      </c>
    </row>
    <row r="19" spans="45:45" x14ac:dyDescent="0.45">
      <c r="AS19" s="124">
        <f>(20.6-19.83)/20.6</f>
        <v>3.7378640776699175E-2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B8A38F03-A22E-4DB2-8B79-1B7E6B581CE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d185e16-06da-45ab-8500-654d664b7dd3"/>
    <ds:schemaRef ds:uri="8f8a3fab-e0af-4131-8cc8-5f2165a4edf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0FE89-AD0C-4ABB-8D67-D409A26F7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B5318-E418-4B62-9E51-22DF6F108056}">
  <ds:schemaRefs>
    <ds:schemaRef ds:uri="http://schemas.microsoft.com/office/2006/metadata/properties"/>
    <ds:schemaRef ds:uri="http://www.w3.org/2000/xmlns/"/>
    <ds:schemaRef ds:uri="8f8a3fab-e0af-4131-8cc8-5f2165a4edfc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Prueba 1 - Con Succión</vt:lpstr>
      <vt:lpstr>Prueba 2 - Sin succión</vt:lpstr>
      <vt:lpstr>Prueba 3 - N2</vt:lpstr>
      <vt:lpstr>Prueba 4 - Película</vt:lpstr>
      <vt:lpstr>Miscelaneo </vt:lpstr>
      <vt:lpstr>Hoja1</vt:lpstr>
      <vt:lpstr>Hoja2</vt:lpstr>
      <vt:lpstr>Headspace Bolsa</vt:lpstr>
      <vt:lpstr>Headspace Bolsa 2</vt:lpstr>
      <vt:lpstr>Hoja3</vt:lpstr>
      <vt:lpstr>Headspace Destructivo Nitrogeno</vt:lpstr>
      <vt:lpstr>Headspace Destructivo capsulas </vt:lpstr>
      <vt:lpstr>Headspace Destructivo capsu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2015-06-05T18:19:34Z</dcterms:created>
  <dcterms:modified xsi:type="dcterms:W3CDTF">2021-01-24T20:04:10Z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