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Cost" sheetId="1" r:id="rId1"/>
  </sheets>
  <definedNames>
    <definedName name="BoardQty">KiCost!$I$1</definedName>
    <definedName name="digikey_part_data">KiCost!$J$5:$O$18</definedName>
    <definedName name="global_part_data">KiCost!$A$5:$I$18</definedName>
    <definedName name="local_part_data">KiCost!$AB$5:$AG$18</definedName>
    <definedName name="mouser_part_data">KiCost!$P$5:$U$18</definedName>
    <definedName name="newark_part_data">KiCost!$V$5:$AA$18</definedName>
    <definedName name="TotalCost">KiCost!$I$2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E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number for each part.</t>
        </r>
      </text>
    </comment>
    <comment ref="G6" authorId="0">
      <text>
        <r>
          <rPr>
            <sz val="8"/>
            <color indexed="81"/>
            <rFont val="Tahoma"/>
            <family val="2"/>
          </rPr>
          <t>Total number of each part needed to assemble the board.</t>
        </r>
      </text>
    </comment>
    <comment ref="H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K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L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M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N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O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P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Q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R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S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T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U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V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W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X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Y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Z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</commentList>
</comments>
</file>

<file path=xl/sharedStrings.xml><?xml version="1.0" encoding="utf-8"?>
<sst xmlns="http://schemas.openxmlformats.org/spreadsheetml/2006/main" count="119" uniqueCount="82">
  <si>
    <t>Global Part Info</t>
  </si>
  <si>
    <t>Qty</t>
  </si>
  <si>
    <t>Value</t>
  </si>
  <si>
    <t>Footprint</t>
  </si>
  <si>
    <t>Manf#</t>
  </si>
  <si>
    <t>Desc</t>
  </si>
  <si>
    <t>Refs</t>
  </si>
  <si>
    <t>Unit$</t>
  </si>
  <si>
    <t>Ext$</t>
  </si>
  <si>
    <t>Manf</t>
  </si>
  <si>
    <t>RN2,RN3</t>
  </si>
  <si>
    <t>4K7</t>
  </si>
  <si>
    <t>XESS:CTS_742C043</t>
  </si>
  <si>
    <t>742c043472</t>
  </si>
  <si>
    <t>STK1</t>
  </si>
  <si>
    <t>STICKIT2_HDR</t>
  </si>
  <si>
    <t>XESS:STICKIT2_HDR</t>
  </si>
  <si>
    <t>JP1,JP2</t>
  </si>
  <si>
    <t>JUMPER</t>
  </si>
  <si>
    <t>XESS:HDR_1x2</t>
  </si>
  <si>
    <t>C1,C2,C4,C5</t>
  </si>
  <si>
    <t>33uF</t>
  </si>
  <si>
    <t>Capacitors_SMD:c_elec_5x4.5</t>
  </si>
  <si>
    <t>UWX1A330MCL1GB</t>
  </si>
  <si>
    <t>U2</t>
  </si>
  <si>
    <t>LM4808</t>
  </si>
  <si>
    <t>XESS:MSOP8</t>
  </si>
  <si>
    <t>LM4808MM</t>
  </si>
  <si>
    <t>TI</t>
  </si>
  <si>
    <t>RN1</t>
  </si>
  <si>
    <t>XESS:CTS_742C083</t>
  </si>
  <si>
    <t>742c083472</t>
  </si>
  <si>
    <t>J1,J2</t>
  </si>
  <si>
    <t>STEREO_JACK</t>
  </si>
  <si>
    <t>XESS:PJ-313-TH</t>
  </si>
  <si>
    <t>L1</t>
  </si>
  <si>
    <t>FERRITE_BEAD</t>
  </si>
  <si>
    <t>Capacitors_SMD:C_0805_HandSoldering</t>
  </si>
  <si>
    <t>CIM21J252NE</t>
  </si>
  <si>
    <t>U1</t>
  </si>
  <si>
    <t>AK4565VF</t>
  </si>
  <si>
    <t>XESS:VSOP28</t>
  </si>
  <si>
    <t>Asahi Kasei</t>
  </si>
  <si>
    <t>C3,C7,C9</t>
  </si>
  <si>
    <t>0.1uF</t>
  </si>
  <si>
    <t>Capacitors_SMD:C_0603_HandSoldering</t>
  </si>
  <si>
    <t>CL03A104KQ3NNNH</t>
  </si>
  <si>
    <t>C6,C8</t>
  </si>
  <si>
    <t>4.7uF</t>
  </si>
  <si>
    <t>EMK107ABJ475KA-T</t>
  </si>
  <si>
    <t>PCB1</t>
  </si>
  <si>
    <t>PCB</t>
  </si>
  <si>
    <t>No Footprint</t>
  </si>
  <si>
    <t>Board Qty:</t>
  </si>
  <si>
    <t>Total Cost:</t>
  </si>
  <si>
    <t>Unit Cost:</t>
  </si>
  <si>
    <t>Digi-Key</t>
  </si>
  <si>
    <t>Purch</t>
  </si>
  <si>
    <t>Cat#</t>
  </si>
  <si>
    <t>Avail</t>
  </si>
  <si>
    <t>Doc</t>
  </si>
  <si>
    <t>Link</t>
  </si>
  <si>
    <t>742C043472JPCT-ND</t>
  </si>
  <si>
    <t>493-2093-1-ND</t>
  </si>
  <si>
    <t>296-35459-1-ND</t>
  </si>
  <si>
    <t>742C083472JPCT-ND</t>
  </si>
  <si>
    <t>1276-6377-1-ND</t>
  </si>
  <si>
    <t>1276-1013-1-ND</t>
  </si>
  <si>
    <t>587-2786-1-ND</t>
  </si>
  <si>
    <t>Mouser</t>
  </si>
  <si>
    <t>774-742C043472JP</t>
  </si>
  <si>
    <t>647-UWX1A330MCL1</t>
  </si>
  <si>
    <t>774-742C083472JP</t>
  </si>
  <si>
    <t>963-EMK107ABJ475KA-T</t>
  </si>
  <si>
    <t>Newark</t>
  </si>
  <si>
    <t>58R3616</t>
  </si>
  <si>
    <t>96M0888</t>
  </si>
  <si>
    <t>29T3547</t>
  </si>
  <si>
    <t>Local</t>
  </si>
  <si>
    <t>#33E494EB</t>
  </si>
  <si>
    <t>#5B06D5E9</t>
  </si>
  <si>
    <t>#737F8ADD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</si>
</sst>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8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digikey.com/product-detail/en/cts-resistor-products/742C043472JP/742C043472JPCT-ND/1124577" TargetMode="External"/><Relationship Id="rId2" Type="http://schemas.openxmlformats.org/officeDocument/2006/relationships/hyperlink" Target="http://www.mouser.com/Search/Refine.aspx?Keyword=742c043472%20" TargetMode="External"/><Relationship Id="rId3" Type="http://schemas.openxmlformats.org/officeDocument/2006/relationships/hyperlink" Target="http://www.digikey.com/product-detail/en/nichicon/UWX1A330MCL1GB/493-2093-1-ND/590068" TargetMode="External"/><Relationship Id="rId4" Type="http://schemas.openxmlformats.org/officeDocument/2006/relationships/hyperlink" Target="http://www.mouser.com/Search/Refine.aspx?Keyword=UWX1A330MCL1GB%20" TargetMode="External"/><Relationship Id="rId5" Type="http://schemas.openxmlformats.org/officeDocument/2006/relationships/hyperlink" Target="http://www.newark.com/webapp/wcs/stores/servlet/Search?catalogId=15003&amp;langId=-1&amp;storeId=10194&amp;gs=true&amp;st=UWX1A330MCL1GB%20" TargetMode="External"/><Relationship Id="rId6" Type="http://schemas.openxmlformats.org/officeDocument/2006/relationships/hyperlink" Target="http://www.digikey.com/product-detail/en/texas-instruments/LM4808MM-NOPB/296-35459-1-ND/364158" TargetMode="External"/><Relationship Id="rId7" Type="http://schemas.openxmlformats.org/officeDocument/2006/relationships/hyperlink" Target="http://www.digikey.com/product-detail/en/cts-resistor-products/742C083472JP/742C083472JPCT-ND/1124533" TargetMode="External"/><Relationship Id="rId8" Type="http://schemas.openxmlformats.org/officeDocument/2006/relationships/hyperlink" Target="http://www.mouser.com/Search/Refine.aspx?Keyword=742c083472%20" TargetMode="External"/><Relationship Id="rId9" Type="http://schemas.openxmlformats.org/officeDocument/2006/relationships/hyperlink" Target="http://www.newark.com/bourns/cat16-472j4lf/resistor-isolated-array-4resistor/dp/96M0888?rpsku=rel3%3A742C083472JP" TargetMode="External"/><Relationship Id="rId10" Type="http://schemas.openxmlformats.org/officeDocument/2006/relationships/hyperlink" Target="http://www.digikey.com/product-detail/en/samsung-electro-mechanics-america-inc/CIM21J252NE/1276-6377-1-ND/3973849" TargetMode="External"/><Relationship Id="rId11" Type="http://schemas.openxmlformats.org/officeDocument/2006/relationships/hyperlink" Target="http://www.digikey.com/product-detail/en/samsung-electro-mechanics-america-inc/CL03A104KQ3NNNC/1276-1013-1-ND/3889099" TargetMode="External"/><Relationship Id="rId12" Type="http://schemas.openxmlformats.org/officeDocument/2006/relationships/hyperlink" Target="http://www.digikey.com/product-detail/en/taiyo-yuden/EMK107ABJ475KA-T/587-2786-1-ND/2573980" TargetMode="External"/><Relationship Id="rId13" Type="http://schemas.openxmlformats.org/officeDocument/2006/relationships/hyperlink" Target="http://www.mouser.com/Search/Refine.aspx?Keyword=EMK107ABJ475KA-T%20" TargetMode="External"/><Relationship Id="rId14" Type="http://schemas.openxmlformats.org/officeDocument/2006/relationships/hyperlink" Target="http://www.newark.com/taiyo-yuden/emk107abj475ka-t/ceramic-capacitor-4-7uf-16v-x5r/dp/29T3547" TargetMode="External"/><Relationship Id="rId15" Type="http://schemas.openxmlformats.org/officeDocument/2006/relationships/vmlDrawing" Target="../drawings/vmlDrawing1.vml"/><Relationship Id="rId16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31"/>
  <sheetViews>
    <sheetView tabSelected="1" workbookViewId="0">
      <pane xSplit="9" ySplit="6" topLeftCell="J7" activePane="bottomRight" state="frozen"/>
      <selection pane="topRight" activeCell="J1" sqref="J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9.140625"/>
    <col min="9" max="9" width="15.7109375" customWidth="1"/>
    <col min="10" max="10" width="9.140625" outlineLevel="1"/>
    <col min="11" max="11" width="9.140625" outlineLevel="2"/>
    <col min="12" max="12" width="9.140625" outlineLevel="2"/>
    <col min="13" max="13" width="15.7109375" customWidth="1"/>
    <col min="14" max="14" width="9.140625" outlineLevel="2"/>
    <col min="15" max="15" width="9.140625" outlineLevel="2"/>
    <col min="16" max="16" width="9.140625" outlineLevel="1"/>
    <col min="17" max="17" width="9.140625" outlineLevel="2"/>
    <col min="18" max="18" width="9.140625" outlineLevel="2"/>
    <col min="19" max="19" width="15.7109375" customWidth="1"/>
    <col min="20" max="20" width="9.140625" outlineLevel="2"/>
    <col min="21" max="21" width="9.140625" outlineLevel="2"/>
    <col min="22" max="22" width="9.140625" outlineLevel="1"/>
    <col min="23" max="23" width="9.140625" outlineLevel="2"/>
    <col min="24" max="24" width="9.140625" outlineLevel="2"/>
    <col min="25" max="25" width="15.7109375" customWidth="1"/>
    <col min="26" max="26" width="9.140625" outlineLevel="2"/>
    <col min="27" max="27" width="9.140625" outlineLevel="2"/>
    <col min="28" max="28" width="9.140625" outlineLevel="1"/>
    <col min="29" max="29" width="9.140625" outlineLevel="2"/>
    <col min="30" max="30" width="9.140625" outlineLevel="2"/>
    <col min="31" max="31" width="15.7109375" customWidth="1"/>
    <col min="32" max="32" width="9.140625" outlineLevel="2"/>
    <col min="33" max="33" width="9.140625" outlineLevel="2"/>
  </cols>
  <sheetData>
    <row r="1" spans="1:33">
      <c r="H1" s="2" t="s">
        <v>53</v>
      </c>
      <c r="I1" s="2">
        <v>100</v>
      </c>
    </row>
    <row r="2" spans="1:33">
      <c r="H2" s="3" t="s">
        <v>54</v>
      </c>
      <c r="I2" s="4">
        <f>sum(I7:I18)</f>
        <v>0</v>
      </c>
      <c r="M2" s="4">
        <f>sum(M7:M18)</f>
        <v>0</v>
      </c>
      <c r="S2" s="4">
        <f>sum(S7:S18)</f>
        <v>0</v>
      </c>
      <c r="Y2" s="4">
        <f>sum(Y7:Y18)</f>
        <v>0</v>
      </c>
      <c r="AE2" s="4">
        <f>sum(AE7:AE18)</f>
        <v>0</v>
      </c>
    </row>
    <row r="3" spans="1:33">
      <c r="H3" s="3" t="s">
        <v>55</v>
      </c>
      <c r="I3" s="5">
        <f>TotalCost/BoardQty</f>
        <v>0</v>
      </c>
    </row>
    <row r="5" spans="1:33">
      <c r="A5" s="6" t="s">
        <v>0</v>
      </c>
      <c r="B5" s="6"/>
      <c r="C5" s="6"/>
      <c r="D5" s="6"/>
      <c r="E5" s="6"/>
      <c r="F5" s="6"/>
      <c r="G5" s="6"/>
      <c r="H5" s="6"/>
      <c r="I5" s="6"/>
      <c r="J5" s="7" t="s">
        <v>56</v>
      </c>
      <c r="K5" s="7"/>
      <c r="L5" s="7"/>
      <c r="M5" s="7"/>
      <c r="N5" s="7"/>
      <c r="O5" s="7"/>
      <c r="P5" s="8" t="s">
        <v>69</v>
      </c>
      <c r="Q5" s="8"/>
      <c r="R5" s="8"/>
      <c r="S5" s="8"/>
      <c r="T5" s="8"/>
      <c r="U5" s="8"/>
      <c r="V5" s="9" t="s">
        <v>74</v>
      </c>
      <c r="W5" s="9"/>
      <c r="X5" s="9"/>
      <c r="Y5" s="9"/>
      <c r="Z5" s="9"/>
      <c r="AA5" s="9"/>
      <c r="AB5" s="10" t="s">
        <v>78</v>
      </c>
      <c r="AC5" s="10"/>
      <c r="AD5" s="10"/>
      <c r="AE5" s="10"/>
      <c r="AF5" s="10"/>
      <c r="AG5" s="10"/>
    </row>
    <row r="6" spans="1:33">
      <c r="A6" s="11" t="s">
        <v>6</v>
      </c>
      <c r="B6" s="11" t="s">
        <v>2</v>
      </c>
      <c r="C6" s="11" t="s">
        <v>5</v>
      </c>
      <c r="D6" s="11" t="s">
        <v>3</v>
      </c>
      <c r="E6" s="11" t="s">
        <v>9</v>
      </c>
      <c r="F6" s="11" t="s">
        <v>4</v>
      </c>
      <c r="G6" s="11" t="s">
        <v>1</v>
      </c>
      <c r="H6" s="11" t="s">
        <v>7</v>
      </c>
      <c r="I6" s="11" t="s">
        <v>8</v>
      </c>
      <c r="J6" s="11" t="s">
        <v>59</v>
      </c>
      <c r="K6" s="11" t="s">
        <v>57</v>
      </c>
      <c r="L6" s="11" t="s">
        <v>7</v>
      </c>
      <c r="M6" s="11" t="s">
        <v>8</v>
      </c>
      <c r="N6" s="11" t="s">
        <v>58</v>
      </c>
      <c r="O6" s="11" t="s">
        <v>60</v>
      </c>
      <c r="P6" s="11" t="s">
        <v>59</v>
      </c>
      <c r="Q6" s="11" t="s">
        <v>57</v>
      </c>
      <c r="R6" s="11" t="s">
        <v>7</v>
      </c>
      <c r="S6" s="11" t="s">
        <v>8</v>
      </c>
      <c r="T6" s="11" t="s">
        <v>58</v>
      </c>
      <c r="U6" s="11" t="s">
        <v>60</v>
      </c>
      <c r="V6" s="11" t="s">
        <v>59</v>
      </c>
      <c r="W6" s="11" t="s">
        <v>57</v>
      </c>
      <c r="X6" s="11" t="s">
        <v>7</v>
      </c>
      <c r="Y6" s="11" t="s">
        <v>8</v>
      </c>
      <c r="Z6" s="11" t="s">
        <v>58</v>
      </c>
      <c r="AA6" s="11" t="s">
        <v>60</v>
      </c>
      <c r="AB6" s="11" t="s">
        <v>59</v>
      </c>
      <c r="AC6" s="11" t="s">
        <v>57</v>
      </c>
      <c r="AD6" s="11" t="s">
        <v>7</v>
      </c>
      <c r="AE6" s="11" t="s">
        <v>8</v>
      </c>
      <c r="AF6" s="11" t="s">
        <v>58</v>
      </c>
      <c r="AG6" s="11" t="s">
        <v>60</v>
      </c>
    </row>
    <row r="7" spans="1:33">
      <c r="A7" t="s">
        <v>10</v>
      </c>
      <c r="B7" t="s">
        <v>11</v>
      </c>
      <c r="D7" t="s">
        <v>12</v>
      </c>
      <c r="F7" t="s">
        <v>13</v>
      </c>
      <c r="G7">
        <f>BoardQty*2</f>
        <v>0</v>
      </c>
      <c r="H7" s="12">
        <f>MINA(INDIRECT(ADDRESS(ROW(),COLUMN(newark_part_data)+2)),INDIRECT(ADDRESS(ROW(),COLUMN(mouser_part_data)+2)),INDIRECT(ADDRESS(ROW(),COLUMN(digikey_part_data)+2)),INDIRECT(ADDRESS(ROW(),COLUMN(local_part_data)+2)))</f>
        <v>0</v>
      </c>
      <c r="I7" s="12">
        <f>iferror(G7*H7,"")</f>
        <v>0</v>
      </c>
      <c r="J7">
        <v>23905</v>
      </c>
      <c r="L7" s="12">
        <f>iferror(lookup(if(K7="",G7,K7),{0,1,10,25,50,100,250,500,1000,5000,10000,25000,50000,125000},{0.0,0.1,0.075,0.052,0.0404,0.0289,0.02252,0.0179,0.01271,0.00893,0.00801,0.00735,0.0069,0.00675}),"")</f>
        <v>0</v>
      </c>
      <c r="M7" s="12">
        <f>iferror(if(K7="",G7,K7)*L7,"")</f>
        <v>0</v>
      </c>
      <c r="N7" t="s">
        <v>62</v>
      </c>
      <c r="O7" s="13" t="s">
        <v>61</v>
      </c>
      <c r="P7">
        <v>25000</v>
      </c>
      <c r="R7" s="12">
        <f>iferror(lookup(if(Q7="",G7,Q7),{0,1,100,1000,5000,10000},{0.0,0.099,0.017,0.013,0.009,0.008}),"")</f>
        <v>0</v>
      </c>
      <c r="S7" s="12">
        <f>iferror(if(Q7="",G7,Q7)*R7,"")</f>
        <v>0</v>
      </c>
      <c r="T7" t="s">
        <v>70</v>
      </c>
      <c r="U7" s="13" t="s">
        <v>61</v>
      </c>
    </row>
    <row r="8" spans="1:33">
      <c r="A8" t="s">
        <v>14</v>
      </c>
      <c r="B8" t="s">
        <v>15</v>
      </c>
      <c r="D8" t="s">
        <v>16</v>
      </c>
      <c r="G8">
        <f>BoardQty*1</f>
        <v>0</v>
      </c>
      <c r="H8" s="12">
        <f>MINA(INDIRECT(ADDRESS(ROW(),COLUMN(newark_part_data)+2)),INDIRECT(ADDRESS(ROW(),COLUMN(mouser_part_data)+2)),INDIRECT(ADDRESS(ROW(),COLUMN(digikey_part_data)+2)),INDIRECT(ADDRESS(ROW(),COLUMN(local_part_data)+2)))</f>
        <v>0</v>
      </c>
      <c r="I8" s="12">
        <f>iferror(G8*H8,"")</f>
        <v>0</v>
      </c>
      <c r="AB8">
        <v>0</v>
      </c>
      <c r="AD8" s="12">
        <f>iferror(lookup(if(AC8="",G8,AC8),{0,1},{0.0,0.09}),"")</f>
        <v>0</v>
      </c>
      <c r="AE8" s="12">
        <f>iferror(if(AC8="",G8,AC8)*AD8,"")</f>
        <v>0</v>
      </c>
      <c r="AF8" t="s">
        <v>79</v>
      </c>
    </row>
    <row r="9" spans="1:33">
      <c r="A9" t="s">
        <v>17</v>
      </c>
      <c r="B9" t="s">
        <v>18</v>
      </c>
      <c r="D9" t="s">
        <v>19</v>
      </c>
      <c r="G9">
        <f>BoardQty*2</f>
        <v>0</v>
      </c>
      <c r="H9" s="12">
        <f>MINA(INDIRECT(ADDRESS(ROW(),COLUMN(newark_part_data)+2)),INDIRECT(ADDRESS(ROW(),COLUMN(mouser_part_data)+2)),INDIRECT(ADDRESS(ROW(),COLUMN(digikey_part_data)+2)),INDIRECT(ADDRESS(ROW(),COLUMN(local_part_data)+2)))</f>
        <v>0</v>
      </c>
      <c r="I9" s="12">
        <f>iferror(G9*H9,"")</f>
        <v>0</v>
      </c>
    </row>
    <row r="10" spans="1:33">
      <c r="A10" t="s">
        <v>20</v>
      </c>
      <c r="B10" t="s">
        <v>21</v>
      </c>
      <c r="D10" t="s">
        <v>22</v>
      </c>
      <c r="F10" t="s">
        <v>23</v>
      </c>
      <c r="G10">
        <f>BoardQty*4</f>
        <v>0</v>
      </c>
      <c r="H10" s="12">
        <f>MINA(INDIRECT(ADDRESS(ROW(),COLUMN(newark_part_data)+2)),INDIRECT(ADDRESS(ROW(),COLUMN(mouser_part_data)+2)),INDIRECT(ADDRESS(ROW(),COLUMN(digikey_part_data)+2)),INDIRECT(ADDRESS(ROW(),COLUMN(local_part_data)+2)))</f>
        <v>0</v>
      </c>
      <c r="I10" s="12">
        <f>iferror(G10*H10,"")</f>
        <v>0</v>
      </c>
      <c r="J10">
        <v>14713</v>
      </c>
      <c r="L10" s="12">
        <f>iferror(lookup(if(K10="",G10,K10),{0,1,10,25,50,100,250,500,1000,2000,5000,10000,25000,50000,100000},{0.0,0.34,0.282,0.1936,0.1584,0.1408,0.1056,0.09328,0.07392,0.0704,0.06512,0.0616,0.05632,0.0528,0.04664}),"")</f>
        <v>0</v>
      </c>
      <c r="M10" s="12">
        <f>iferror(if(K10="",G10,K10)*L10,"")</f>
        <v>0</v>
      </c>
      <c r="N10" t="s">
        <v>63</v>
      </c>
      <c r="O10" s="13" t="s">
        <v>61</v>
      </c>
      <c r="P10">
        <v>606</v>
      </c>
      <c r="R10" s="12">
        <f>iferror(lookup(if(Q10="",G10,Q10),{0,1,10,100,500,1000,2000,10000,25000,50000},{0.0,0.339,0.158,0.105,0.093,0.073,0.064,0.061,0.056,0.052}),"")</f>
        <v>0</v>
      </c>
      <c r="S10" s="12">
        <f>iferror(if(Q10="",G10,Q10)*R10,"")</f>
        <v>0</v>
      </c>
      <c r="T10" t="s">
        <v>71</v>
      </c>
      <c r="U10" s="13" t="s">
        <v>61</v>
      </c>
      <c r="V10">
        <v>180</v>
      </c>
      <c r="X10" s="12">
        <f>iferror(lookup(if(W10="",G10,W10),{0,1,10,25,50,100,250,500},{0.0,0.302,0.282,0.185,0.155,0.131,0.106,0.094}),"")</f>
        <v>0</v>
      </c>
      <c r="Y10" s="12">
        <f>iferror(if(W10="",G10,W10)*X10,"")</f>
        <v>0</v>
      </c>
      <c r="Z10" t="s">
        <v>75</v>
      </c>
      <c r="AA10" s="13" t="s">
        <v>61</v>
      </c>
    </row>
    <row r="11" spans="1:33">
      <c r="A11" t="s">
        <v>24</v>
      </c>
      <c r="B11" t="s">
        <v>25</v>
      </c>
      <c r="D11" t="s">
        <v>26</v>
      </c>
      <c r="E11" t="s">
        <v>28</v>
      </c>
      <c r="F11" t="s">
        <v>27</v>
      </c>
      <c r="G11">
        <f>BoardQty*1</f>
        <v>0</v>
      </c>
      <c r="H11" s="12">
        <f>MINA(INDIRECT(ADDRESS(ROW(),COLUMN(newark_part_data)+2)),INDIRECT(ADDRESS(ROW(),COLUMN(mouser_part_data)+2)),INDIRECT(ADDRESS(ROW(),COLUMN(digikey_part_data)+2)),INDIRECT(ADDRESS(ROW(),COLUMN(local_part_data)+2)))</f>
        <v>0</v>
      </c>
      <c r="I11" s="12">
        <f>iferror(G11*H11,"")</f>
        <v>0</v>
      </c>
      <c r="J11">
        <v>2675</v>
      </c>
      <c r="L11" s="12">
        <f>iferror(lookup(if(K11="",G11,K11),{0,1,10,100,500,1000,2000,3500,5000,10000,25000},{0.0,0.86,0.751,0.5746,0.45526,0.3536,0.32045,0.32045,0.29835,0.2873,0.27625}),"")</f>
        <v>0</v>
      </c>
      <c r="M11" s="12">
        <f>iferror(if(K11="",G11,K11)*L11,"")</f>
        <v>0</v>
      </c>
      <c r="N11" t="s">
        <v>64</v>
      </c>
      <c r="O11" s="13" t="s">
        <v>61</v>
      </c>
    </row>
    <row r="12" spans="1:33">
      <c r="A12" t="s">
        <v>29</v>
      </c>
      <c r="B12" t="s">
        <v>11</v>
      </c>
      <c r="D12" t="s">
        <v>30</v>
      </c>
      <c r="F12" t="s">
        <v>31</v>
      </c>
      <c r="G12">
        <f>BoardQty*1</f>
        <v>0</v>
      </c>
      <c r="H12" s="12">
        <f>MINA(INDIRECT(ADDRESS(ROW(),COLUMN(newark_part_data)+2)),INDIRECT(ADDRESS(ROW(),COLUMN(mouser_part_data)+2)),INDIRECT(ADDRESS(ROW(),COLUMN(digikey_part_data)+2)),INDIRECT(ADDRESS(ROW(),COLUMN(local_part_data)+2)))</f>
        <v>0</v>
      </c>
      <c r="I12" s="12">
        <f>iferror(G12*H12,"")</f>
        <v>0</v>
      </c>
      <c r="J12">
        <v>86067</v>
      </c>
      <c r="L12" s="12">
        <f>iferror(lookup(if(K12="",G12,K12),{0,1,10,25,50,100,250,500,1000,5000,10000,25000,50000,125000},{0.0,0.1,0.067,0.0484,0.037,0.0273,0.0208,0.01664,0.01224,0.00798,0.00693,0.00609,0.00559,0.00547}),"")</f>
        <v>0</v>
      </c>
      <c r="M12" s="12">
        <f>iferror(if(K12="",G12,K12)*L12,"")</f>
        <v>0</v>
      </c>
      <c r="N12" t="s">
        <v>65</v>
      </c>
      <c r="O12" s="13" t="s">
        <v>61</v>
      </c>
      <c r="P12">
        <v>8607</v>
      </c>
      <c r="R12" s="12">
        <f>iferror(lookup(if(Q12="",G12,Q12),{0,1,10,100,1000,5000,10000,25000},{0.0,0.099,0.069,0.017,0.013,0.008,0.007,0.005}),"")</f>
        <v>0</v>
      </c>
      <c r="S12" s="12">
        <f>iferror(if(Q12="",G12,Q12)*R12,"")</f>
        <v>0</v>
      </c>
      <c r="T12" t="s">
        <v>72</v>
      </c>
      <c r="U12" s="13" t="s">
        <v>61</v>
      </c>
      <c r="V12">
        <v>1892</v>
      </c>
      <c r="X12" s="12">
        <f>iferror(lookup(if(W12="",G12,W12),{0,1,10,100,1000,2500},{0.0,0.11,0.062,0.047,0.043,0.037}),"")</f>
        <v>0</v>
      </c>
      <c r="Y12" s="12">
        <f>iferror(if(W12="",G12,W12)*X12,"")</f>
        <v>0</v>
      </c>
      <c r="Z12" t="s">
        <v>76</v>
      </c>
      <c r="AA12" s="13" t="s">
        <v>61</v>
      </c>
    </row>
    <row r="13" spans="1:33">
      <c r="A13" t="s">
        <v>32</v>
      </c>
      <c r="B13" t="s">
        <v>33</v>
      </c>
      <c r="D13" t="s">
        <v>34</v>
      </c>
      <c r="G13">
        <f>BoardQty*2</f>
        <v>0</v>
      </c>
      <c r="H13" s="12">
        <f>MINA(INDIRECT(ADDRESS(ROW(),COLUMN(newark_part_data)+2)),INDIRECT(ADDRESS(ROW(),COLUMN(mouser_part_data)+2)),INDIRECT(ADDRESS(ROW(),COLUMN(digikey_part_data)+2)),INDIRECT(ADDRESS(ROW(),COLUMN(local_part_data)+2)))</f>
        <v>0</v>
      </c>
      <c r="I13" s="12">
        <f>iferror(G13*H13,"")</f>
        <v>0</v>
      </c>
      <c r="AB13">
        <v>0</v>
      </c>
      <c r="AD13" s="12">
        <f>iferror(lookup(if(AC13="",G13,AC13),{0,1},{0.0,0.123}),"")</f>
        <v>0</v>
      </c>
      <c r="AE13" s="12">
        <f>iferror(if(AC13="",G13,AC13)*AD13,"")</f>
        <v>0</v>
      </c>
      <c r="AF13" t="s">
        <v>80</v>
      </c>
    </row>
    <row r="14" spans="1:33">
      <c r="A14" t="s">
        <v>35</v>
      </c>
      <c r="B14" t="s">
        <v>36</v>
      </c>
      <c r="D14" t="s">
        <v>37</v>
      </c>
      <c r="F14" t="s">
        <v>38</v>
      </c>
      <c r="G14">
        <f>BoardQty*1</f>
        <v>0</v>
      </c>
      <c r="H14" s="12">
        <f>MINA(INDIRECT(ADDRESS(ROW(),COLUMN(newark_part_data)+2)),INDIRECT(ADDRESS(ROW(),COLUMN(mouser_part_data)+2)),INDIRECT(ADDRESS(ROW(),COLUMN(digikey_part_data)+2)),INDIRECT(ADDRESS(ROW(),COLUMN(local_part_data)+2)))</f>
        <v>0</v>
      </c>
      <c r="I14" s="12">
        <f>iferror(G14*H14,"")</f>
        <v>0</v>
      </c>
      <c r="J14">
        <v>85944</v>
      </c>
      <c r="L14" s="12">
        <f>iferror(lookup(if(K14="",G14,K14),{0,1,10,25,50,100,250,500,1000,4000,8000,12000,28000,100000},{0.0,0.1,0.036,0.032,0.0292,0.0263,0.01928,0.01402,0.01372,0.0104,0.0078,0.00754,0.00728,0.00676}),"")</f>
        <v>0</v>
      </c>
      <c r="M14" s="12">
        <f>iferror(if(K14="",G14,K14)*L14,"")</f>
        <v>0</v>
      </c>
      <c r="N14" t="s">
        <v>66</v>
      </c>
      <c r="O14" s="13" t="s">
        <v>61</v>
      </c>
    </row>
    <row r="15" spans="1:33">
      <c r="A15" t="s">
        <v>39</v>
      </c>
      <c r="B15" t="s">
        <v>40</v>
      </c>
      <c r="D15" t="s">
        <v>41</v>
      </c>
      <c r="E15" t="s">
        <v>42</v>
      </c>
      <c r="F15" t="s">
        <v>40</v>
      </c>
      <c r="G15">
        <f>BoardQty*1</f>
        <v>0</v>
      </c>
      <c r="H15" s="12">
        <f>MINA(INDIRECT(ADDRESS(ROW(),COLUMN(newark_part_data)+2)),INDIRECT(ADDRESS(ROW(),COLUMN(mouser_part_data)+2)),INDIRECT(ADDRESS(ROW(),COLUMN(digikey_part_data)+2)),INDIRECT(ADDRESS(ROW(),COLUMN(local_part_data)+2)))</f>
        <v>0</v>
      </c>
      <c r="I15" s="12">
        <f>iferror(G15*H15,"")</f>
        <v>0</v>
      </c>
      <c r="AB15">
        <v>0</v>
      </c>
      <c r="AD15" s="12">
        <f>iferror(lookup(if(AC15="",G15,AC15),{0,1},{0.0,5.45}),"")</f>
        <v>0</v>
      </c>
      <c r="AE15" s="12">
        <f>iferror(if(AC15="",G15,AC15)*AD15,"")</f>
        <v>0</v>
      </c>
      <c r="AF15" t="s">
        <v>40</v>
      </c>
    </row>
    <row r="16" spans="1:33">
      <c r="A16" t="s">
        <v>43</v>
      </c>
      <c r="B16" t="s">
        <v>44</v>
      </c>
      <c r="D16" t="s">
        <v>45</v>
      </c>
      <c r="F16" t="s">
        <v>46</v>
      </c>
      <c r="G16">
        <f>BoardQty*3</f>
        <v>0</v>
      </c>
      <c r="H16" s="12">
        <f>MINA(INDIRECT(ADDRESS(ROW(),COLUMN(newark_part_data)+2)),INDIRECT(ADDRESS(ROW(),COLUMN(mouser_part_data)+2)),INDIRECT(ADDRESS(ROW(),COLUMN(digikey_part_data)+2)),INDIRECT(ADDRESS(ROW(),COLUMN(local_part_data)+2)))</f>
        <v>0</v>
      </c>
      <c r="I16" s="12">
        <f>iferror(G16*H16,"")</f>
        <v>0</v>
      </c>
      <c r="J16">
        <v>4110493</v>
      </c>
      <c r="L16" s="12">
        <f>iferror(lookup(if(K16="",G16,K16),{0,1,10,25,50,100,500,1000,5000,10000,15000,20000,30000,50000,75000,100000,105000},{0.0,0.1,0.026,0.0184,0.014,0.0118,0.00828,0.00645,0.00538,0.00452,0.00144,0.0043,0.00409,0.00366,0.00122,0.00296,0.00099}),"")</f>
        <v>0</v>
      </c>
      <c r="M16" s="12">
        <f>iferror(if(K16="",G16,K16)*L16,"")</f>
        <v>0</v>
      </c>
      <c r="N16" t="s">
        <v>67</v>
      </c>
      <c r="O16" s="13" t="s">
        <v>61</v>
      </c>
    </row>
    <row r="17" spans="1:32">
      <c r="A17" t="s">
        <v>47</v>
      </c>
      <c r="B17" t="s">
        <v>48</v>
      </c>
      <c r="D17" t="s">
        <v>45</v>
      </c>
      <c r="F17" t="s">
        <v>49</v>
      </c>
      <c r="G17">
        <f>BoardQty*2</f>
        <v>0</v>
      </c>
      <c r="H17" s="12">
        <f>MINA(INDIRECT(ADDRESS(ROW(),COLUMN(newark_part_data)+2)),INDIRECT(ADDRESS(ROW(),COLUMN(mouser_part_data)+2)),INDIRECT(ADDRESS(ROW(),COLUMN(digikey_part_data)+2)),INDIRECT(ADDRESS(ROW(),COLUMN(local_part_data)+2)))</f>
        <v>0</v>
      </c>
      <c r="I17" s="12">
        <f>iferror(G17*H17,"")</f>
        <v>0</v>
      </c>
      <c r="J17">
        <v>223804</v>
      </c>
      <c r="L17" s="12">
        <f>iferror(lookup(if(K17="",G17,K17),{0,1,10,50,100,250,500,1000,4000,8000,12000,28000,100000},{0.0,0.38,0.297,0.1958,0.1553,0.11476,0.0891,0.0702,0.04995,0.04725,0.04482,0.0432,0.03578}),"")</f>
        <v>0</v>
      </c>
      <c r="M17" s="12">
        <f>iferror(if(K17="",G17,K17)*L17,"")</f>
        <v>0</v>
      </c>
      <c r="N17" t="s">
        <v>68</v>
      </c>
      <c r="O17" s="13" t="s">
        <v>61</v>
      </c>
      <c r="P17">
        <v>116425</v>
      </c>
      <c r="R17" s="12">
        <f>iferror(lookup(if(Q17="",G17,Q17),{0,1,10,100,500,1000,4000},{0.0,0.36,0.195,0.113,0.088,0.07,0.07}),"")</f>
        <v>0</v>
      </c>
      <c r="S17" s="12">
        <f>iferror(if(Q17="",G17,Q17)*R17,"")</f>
        <v>0</v>
      </c>
      <c r="T17" t="s">
        <v>73</v>
      </c>
      <c r="U17" s="13" t="s">
        <v>61</v>
      </c>
      <c r="V17">
        <v>4155</v>
      </c>
      <c r="X17" s="12">
        <f>iferror(lookup(if(W17="",G17,W17),{0,1,10,50,100,500,1000},{0.0,0.143,0.132,0.123,0.116,0.091,0.074}),"")</f>
        <v>0</v>
      </c>
      <c r="Y17" s="12">
        <f>iferror(if(W17="",G17,W17)*X17,"")</f>
        <v>0</v>
      </c>
      <c r="Z17" t="s">
        <v>77</v>
      </c>
      <c r="AA17" s="13" t="s">
        <v>61</v>
      </c>
    </row>
    <row r="18" spans="1:32">
      <c r="A18" t="s">
        <v>50</v>
      </c>
      <c r="B18" t="s">
        <v>51</v>
      </c>
      <c r="D18" t="s">
        <v>52</v>
      </c>
      <c r="G18">
        <f>BoardQty*1</f>
        <v>0</v>
      </c>
      <c r="H18" s="12">
        <f>MINA(INDIRECT(ADDRESS(ROW(),COLUMN(newark_part_data)+2)),INDIRECT(ADDRESS(ROW(),COLUMN(mouser_part_data)+2)),INDIRECT(ADDRESS(ROW(),COLUMN(digikey_part_data)+2)),INDIRECT(ADDRESS(ROW(),COLUMN(local_part_data)+2)))</f>
        <v>0</v>
      </c>
      <c r="I18" s="12">
        <f>iferror(G18*H18,"")</f>
        <v>0</v>
      </c>
      <c r="AB18">
        <v>0</v>
      </c>
      <c r="AD18" s="12">
        <f>iferror(lookup(if(AC18="",G18,AC18),{0,1},{0.0,0.32}),"")</f>
        <v>0</v>
      </c>
      <c r="AE18" s="12">
        <f>iferror(if(AC18="",G18,AC18)*AD18,"")</f>
        <v>0</v>
      </c>
      <c r="AF18" t="s">
        <v>81</v>
      </c>
    </row>
    <row r="20" spans="1:32">
      <c r="K20">
        <f t="array" ref="K20">IFERROR(CONCATENATE(TEXT(INDEX($K$7:$K$18,SMALL(IF($N$7:$N$18&lt;&gt;"",IF($K$7:$K$18&lt;&gt;"",ROW($K$7:$K$18)-MIN(ROW($K$7:$K$18))+1,""),""),ROW()-ROW(A$20)+1)),"##0"),","),"")</f>
        <v>0</v>
      </c>
      <c r="L20">
        <f t="array" ref="L20">IFERROR(CONCATENATE((INDEX($N$7:$N$18,SMALL(IF($N$7:$N$18&lt;&gt;"",IF($K$7:$K$18&lt;&gt;"",ROW($K$7:$K$18)-MIN(ROW($K$7:$K$18))+1,""),""),ROW()-ROW(A$20)+1))),","),"")</f>
        <v>0</v>
      </c>
      <c r="M20">
        <f t="array" ref="M20">IFERROR(CONCATENATE((INDEX($A$7:$A$18,SMALL(IF($N$7:$N$18&lt;&gt;"",IF($K$7:$K$18&lt;&gt;"",ROW($K$7:$K$18)-MIN(ROW($K$7:$K$18))+1,""),""),ROW()-ROW(A$20)+1))),),"")</f>
        <v>0</v>
      </c>
      <c r="Q20">
        <f t="array" ref="Q20">IFERROR(CONCATENATE((INDEX($T$7:$T$18,SMALL(IF($T$7:$T$18&lt;&gt;"",IF($Q$7:$Q$18&lt;&gt;"",ROW($Q$7:$Q$18)-MIN(ROW($Q$7:$Q$18))+1,""),""),ROW()-ROW(A$20)+1)))," "),"")</f>
        <v>0</v>
      </c>
      <c r="R20">
        <f t="array" ref="R20">IFERROR(CONCATENATE(TEXT(INDEX($Q$7:$Q$18,SMALL(IF($T$7:$T$18&lt;&gt;"",IF($Q$7:$Q$18&lt;&gt;"",ROW($Q$7:$Q$18)-MIN(ROW($Q$7:$Q$18))+1,""),""),ROW()-ROW(A$20)+1)),"##0")," "),"")</f>
        <v>0</v>
      </c>
      <c r="S20">
        <f t="array" ref="S20">IFERROR(CONCATENATE((INDEX($A$7:$A$18,SMALL(IF($T$7:$T$18&lt;&gt;"",IF($Q$7:$Q$18&lt;&gt;"",ROW($Q$7:$Q$18)-MIN(ROW($Q$7:$Q$18))+1,""),""),ROW()-ROW(A$20)+1))),),"")</f>
        <v>0</v>
      </c>
      <c r="W20">
        <f t="array" ref="W20">IFERROR(CONCATENATE((INDEX($Z$7:$Z$18,SMALL(IF($Z$7:$Z$18&lt;&gt;"",IF($W$7:$W$18&lt;&gt;"",ROW($W$7:$W$18)-MIN(ROW($W$7:$W$18))+1,""),""),ROW()-ROW(A$20)+1))),","),"")</f>
        <v>0</v>
      </c>
      <c r="X20">
        <f t="array" ref="X20">IFERROR(CONCATENATE(TEXT(INDEX($W$7:$W$18,SMALL(IF($Z$7:$Z$18&lt;&gt;"",IF($W$7:$W$18&lt;&gt;"",ROW($W$7:$W$18)-MIN(ROW($W$7:$W$18))+1,""),""),ROW()-ROW(A$20)+1)),"##0"),","),"")</f>
        <v>0</v>
      </c>
      <c r="Y20">
        <f t="array" ref="Y20">IFERROR(CONCATENATE((INDEX($A$7:$A$18,SMALL(IF($Z$7:$Z$18&lt;&gt;"",IF($W$7:$W$18&lt;&gt;"",ROW($W$7:$W$18)-MIN(ROW($W$7:$W$18))+1,""),""),ROW()-ROW(A$20)+1))),),"")</f>
        <v>0</v>
      </c>
      <c r="AC20">
        <f t="array" ref="AC20">IFERROR(CONCATENATE(TEXT(INDEX($AC$7:$AC$18,SMALL(IF($AF$7:$AF$18&lt;&gt;"",IF($AC$7:$AC$18&lt;&gt;"",ROW($AC$7:$AC$18)-MIN(ROW($AC$7:$AC$18))+1,""),""),ROW()-ROW(A$20)+1)),"##0"),),"")</f>
        <v>0</v>
      </c>
      <c r="AD20">
        <f t="array" ref="AD20">IFERROR(CONCATENATE((INDEX($AF$7:$AF$18,SMALL(IF($AF$7:$AF$18&lt;&gt;"",IF($AC$7:$AC$18&lt;&gt;"",ROW($AC$7:$AC$18)-MIN(ROW($AC$7:$AC$18))+1,""),""),ROW()-ROW(A$20)+1))),),"")</f>
        <v>0</v>
      </c>
      <c r="AE20">
        <f t="array" ref="AE20">IFERROR(CONCATENATE((INDEX($A$7:$A$18,SMALL(IF($AF$7:$AF$18&lt;&gt;"",IF($AC$7:$AC$18&lt;&gt;"",ROW($AC$7:$AC$18)-MIN(ROW($AC$7:$AC$18))+1,""),""),ROW()-ROW(A$20)+1))),),"")</f>
        <v>0</v>
      </c>
    </row>
    <row r="21" spans="1:32">
      <c r="K21">
        <f t="array" ref="K21">IFERROR(CONCATENATE(TEXT(INDEX($K$7:$K$18,SMALL(IF($N$7:$N$18&lt;&gt;"",IF($K$7:$K$18&lt;&gt;"",ROW($K$7:$K$18)-MIN(ROW($K$7:$K$18))+1,""),""),ROW()-ROW(A$20)+1)),"##0"),","),"")</f>
        <v>0</v>
      </c>
      <c r="L21">
        <f t="array" ref="L21">IFERROR(CONCATENATE((INDEX($N$7:$N$18,SMALL(IF($N$7:$N$18&lt;&gt;"",IF($K$7:$K$18&lt;&gt;"",ROW($K$7:$K$18)-MIN(ROW($K$7:$K$18))+1,""),""),ROW()-ROW(A$20)+1))),","),"")</f>
        <v>0</v>
      </c>
      <c r="M21">
        <f t="array" ref="M21">IFERROR(CONCATENATE((INDEX($A$7:$A$18,SMALL(IF($N$7:$N$18&lt;&gt;"",IF($K$7:$K$18&lt;&gt;"",ROW($K$7:$K$18)-MIN(ROW($K$7:$K$18))+1,""),""),ROW()-ROW(A$20)+1))),),"")</f>
        <v>0</v>
      </c>
      <c r="Q21">
        <f t="array" ref="Q21">IFERROR(CONCATENATE((INDEX($T$7:$T$18,SMALL(IF($T$7:$T$18&lt;&gt;"",IF($Q$7:$Q$18&lt;&gt;"",ROW($Q$7:$Q$18)-MIN(ROW($Q$7:$Q$18))+1,""),""),ROW()-ROW(A$20)+1)))," "),"")</f>
        <v>0</v>
      </c>
      <c r="R21">
        <f t="array" ref="R21">IFERROR(CONCATENATE(TEXT(INDEX($Q$7:$Q$18,SMALL(IF($T$7:$T$18&lt;&gt;"",IF($Q$7:$Q$18&lt;&gt;"",ROW($Q$7:$Q$18)-MIN(ROW($Q$7:$Q$18))+1,""),""),ROW()-ROW(A$20)+1)),"##0")," "),"")</f>
        <v>0</v>
      </c>
      <c r="S21">
        <f t="array" ref="S21">IFERROR(CONCATENATE((INDEX($A$7:$A$18,SMALL(IF($T$7:$T$18&lt;&gt;"",IF($Q$7:$Q$18&lt;&gt;"",ROW($Q$7:$Q$18)-MIN(ROW($Q$7:$Q$18))+1,""),""),ROW()-ROW(A$20)+1))),),"")</f>
        <v>0</v>
      </c>
      <c r="W21">
        <f t="array" ref="W21">IFERROR(CONCATENATE((INDEX($Z$7:$Z$18,SMALL(IF($Z$7:$Z$18&lt;&gt;"",IF($W$7:$W$18&lt;&gt;"",ROW($W$7:$W$18)-MIN(ROW($W$7:$W$18))+1,""),""),ROW()-ROW(A$20)+1))),","),"")</f>
        <v>0</v>
      </c>
      <c r="X21">
        <f t="array" ref="X21">IFERROR(CONCATENATE(TEXT(INDEX($W$7:$W$18,SMALL(IF($Z$7:$Z$18&lt;&gt;"",IF($W$7:$W$18&lt;&gt;"",ROW($W$7:$W$18)-MIN(ROW($W$7:$W$18))+1,""),""),ROW()-ROW(A$20)+1)),"##0"),","),"")</f>
        <v>0</v>
      </c>
      <c r="Y21">
        <f t="array" ref="Y21">IFERROR(CONCATENATE((INDEX($A$7:$A$18,SMALL(IF($Z$7:$Z$18&lt;&gt;"",IF($W$7:$W$18&lt;&gt;"",ROW($W$7:$W$18)-MIN(ROW($W$7:$W$18))+1,""),""),ROW()-ROW(A$20)+1))),),"")</f>
        <v>0</v>
      </c>
      <c r="AC21">
        <f t="array" ref="AC21">IFERROR(CONCATENATE(TEXT(INDEX($AC$7:$AC$18,SMALL(IF($AF$7:$AF$18&lt;&gt;"",IF($AC$7:$AC$18&lt;&gt;"",ROW($AC$7:$AC$18)-MIN(ROW($AC$7:$AC$18))+1,""),""),ROW()-ROW(A$20)+1)),"##0"),),"")</f>
        <v>0</v>
      </c>
      <c r="AD21">
        <f t="array" ref="AD21">IFERROR(CONCATENATE((INDEX($AF$7:$AF$18,SMALL(IF($AF$7:$AF$18&lt;&gt;"",IF($AC$7:$AC$18&lt;&gt;"",ROW($AC$7:$AC$18)-MIN(ROW($AC$7:$AC$18))+1,""),""),ROW()-ROW(A$20)+1))),),"")</f>
        <v>0</v>
      </c>
      <c r="AE21">
        <f t="array" ref="AE21">IFERROR(CONCATENATE((INDEX($A$7:$A$18,SMALL(IF($AF$7:$AF$18&lt;&gt;"",IF($AC$7:$AC$18&lt;&gt;"",ROW($AC$7:$AC$18)-MIN(ROW($AC$7:$AC$18))+1,""),""),ROW()-ROW(A$20)+1))),),"")</f>
        <v>0</v>
      </c>
    </row>
    <row r="22" spans="1:32">
      <c r="K22">
        <f t="array" ref="K22">IFERROR(CONCATENATE(TEXT(INDEX($K$7:$K$18,SMALL(IF($N$7:$N$18&lt;&gt;"",IF($K$7:$K$18&lt;&gt;"",ROW($K$7:$K$18)-MIN(ROW($K$7:$K$18))+1,""),""),ROW()-ROW(A$20)+1)),"##0"),","),"")</f>
        <v>0</v>
      </c>
      <c r="L22">
        <f t="array" ref="L22">IFERROR(CONCATENATE((INDEX($N$7:$N$18,SMALL(IF($N$7:$N$18&lt;&gt;"",IF($K$7:$K$18&lt;&gt;"",ROW($K$7:$K$18)-MIN(ROW($K$7:$K$18))+1,""),""),ROW()-ROW(A$20)+1))),","),"")</f>
        <v>0</v>
      </c>
      <c r="M22">
        <f t="array" ref="M22">IFERROR(CONCATENATE((INDEX($A$7:$A$18,SMALL(IF($N$7:$N$18&lt;&gt;"",IF($K$7:$K$18&lt;&gt;"",ROW($K$7:$K$18)-MIN(ROW($K$7:$K$18))+1,""),""),ROW()-ROW(A$20)+1))),),"")</f>
        <v>0</v>
      </c>
      <c r="Q22">
        <f t="array" ref="Q22">IFERROR(CONCATENATE((INDEX($T$7:$T$18,SMALL(IF($T$7:$T$18&lt;&gt;"",IF($Q$7:$Q$18&lt;&gt;"",ROW($Q$7:$Q$18)-MIN(ROW($Q$7:$Q$18))+1,""),""),ROW()-ROW(A$20)+1)))," "),"")</f>
        <v>0</v>
      </c>
      <c r="R22">
        <f t="array" ref="R22">IFERROR(CONCATENATE(TEXT(INDEX($Q$7:$Q$18,SMALL(IF($T$7:$T$18&lt;&gt;"",IF($Q$7:$Q$18&lt;&gt;"",ROW($Q$7:$Q$18)-MIN(ROW($Q$7:$Q$18))+1,""),""),ROW()-ROW(A$20)+1)),"##0")," "),"")</f>
        <v>0</v>
      </c>
      <c r="S22">
        <f t="array" ref="S22">IFERROR(CONCATENATE((INDEX($A$7:$A$18,SMALL(IF($T$7:$T$18&lt;&gt;"",IF($Q$7:$Q$18&lt;&gt;"",ROW($Q$7:$Q$18)-MIN(ROW($Q$7:$Q$18))+1,""),""),ROW()-ROW(A$20)+1))),),"")</f>
        <v>0</v>
      </c>
      <c r="W22">
        <f t="array" ref="W22">IFERROR(CONCATENATE((INDEX($Z$7:$Z$18,SMALL(IF($Z$7:$Z$18&lt;&gt;"",IF($W$7:$W$18&lt;&gt;"",ROW($W$7:$W$18)-MIN(ROW($W$7:$W$18))+1,""),""),ROW()-ROW(A$20)+1))),","),"")</f>
        <v>0</v>
      </c>
      <c r="X22">
        <f t="array" ref="X22">IFERROR(CONCATENATE(TEXT(INDEX($W$7:$W$18,SMALL(IF($Z$7:$Z$18&lt;&gt;"",IF($W$7:$W$18&lt;&gt;"",ROW($W$7:$W$18)-MIN(ROW($W$7:$W$18))+1,""),""),ROW()-ROW(A$20)+1)),"##0"),","),"")</f>
        <v>0</v>
      </c>
      <c r="Y22">
        <f t="array" ref="Y22">IFERROR(CONCATENATE((INDEX($A$7:$A$18,SMALL(IF($Z$7:$Z$18&lt;&gt;"",IF($W$7:$W$18&lt;&gt;"",ROW($W$7:$W$18)-MIN(ROW($W$7:$W$18))+1,""),""),ROW()-ROW(A$20)+1))),),"")</f>
        <v>0</v>
      </c>
      <c r="AC22">
        <f t="array" ref="AC22">IFERROR(CONCATENATE(TEXT(INDEX($AC$7:$AC$18,SMALL(IF($AF$7:$AF$18&lt;&gt;"",IF($AC$7:$AC$18&lt;&gt;"",ROW($AC$7:$AC$18)-MIN(ROW($AC$7:$AC$18))+1,""),""),ROW()-ROW(A$20)+1)),"##0"),),"")</f>
        <v>0</v>
      </c>
      <c r="AD22">
        <f t="array" ref="AD22">IFERROR(CONCATENATE((INDEX($AF$7:$AF$18,SMALL(IF($AF$7:$AF$18&lt;&gt;"",IF($AC$7:$AC$18&lt;&gt;"",ROW($AC$7:$AC$18)-MIN(ROW($AC$7:$AC$18))+1,""),""),ROW()-ROW(A$20)+1))),),"")</f>
        <v>0</v>
      </c>
      <c r="AE22">
        <f t="array" ref="AE22">IFERROR(CONCATENATE((INDEX($A$7:$A$18,SMALL(IF($AF$7:$AF$18&lt;&gt;"",IF($AC$7:$AC$18&lt;&gt;"",ROW($AC$7:$AC$18)-MIN(ROW($AC$7:$AC$18))+1,""),""),ROW()-ROW(A$20)+1))),),"")</f>
        <v>0</v>
      </c>
    </row>
    <row r="23" spans="1:32">
      <c r="K23">
        <f t="array" ref="K23">IFERROR(CONCATENATE(TEXT(INDEX($K$7:$K$18,SMALL(IF($N$7:$N$18&lt;&gt;"",IF($K$7:$K$18&lt;&gt;"",ROW($K$7:$K$18)-MIN(ROW($K$7:$K$18))+1,""),""),ROW()-ROW(A$20)+1)),"##0"),","),"")</f>
        <v>0</v>
      </c>
      <c r="L23">
        <f t="array" ref="L23">IFERROR(CONCATENATE((INDEX($N$7:$N$18,SMALL(IF($N$7:$N$18&lt;&gt;"",IF($K$7:$K$18&lt;&gt;"",ROW($K$7:$K$18)-MIN(ROW($K$7:$K$18))+1,""),""),ROW()-ROW(A$20)+1))),","),"")</f>
        <v>0</v>
      </c>
      <c r="M23">
        <f t="array" ref="M23">IFERROR(CONCATENATE((INDEX($A$7:$A$18,SMALL(IF($N$7:$N$18&lt;&gt;"",IF($K$7:$K$18&lt;&gt;"",ROW($K$7:$K$18)-MIN(ROW($K$7:$K$18))+1,""),""),ROW()-ROW(A$20)+1))),),"")</f>
        <v>0</v>
      </c>
      <c r="Q23">
        <f t="array" ref="Q23">IFERROR(CONCATENATE((INDEX($T$7:$T$18,SMALL(IF($T$7:$T$18&lt;&gt;"",IF($Q$7:$Q$18&lt;&gt;"",ROW($Q$7:$Q$18)-MIN(ROW($Q$7:$Q$18))+1,""),""),ROW()-ROW(A$20)+1)))," "),"")</f>
        <v>0</v>
      </c>
      <c r="R23">
        <f t="array" ref="R23">IFERROR(CONCATENATE(TEXT(INDEX($Q$7:$Q$18,SMALL(IF($T$7:$T$18&lt;&gt;"",IF($Q$7:$Q$18&lt;&gt;"",ROW($Q$7:$Q$18)-MIN(ROW($Q$7:$Q$18))+1,""),""),ROW()-ROW(A$20)+1)),"##0")," "),"")</f>
        <v>0</v>
      </c>
      <c r="S23">
        <f t="array" ref="S23">IFERROR(CONCATENATE((INDEX($A$7:$A$18,SMALL(IF($T$7:$T$18&lt;&gt;"",IF($Q$7:$Q$18&lt;&gt;"",ROW($Q$7:$Q$18)-MIN(ROW($Q$7:$Q$18))+1,""),""),ROW()-ROW(A$20)+1))),),"")</f>
        <v>0</v>
      </c>
      <c r="W23">
        <f t="array" ref="W23">IFERROR(CONCATENATE((INDEX($Z$7:$Z$18,SMALL(IF($Z$7:$Z$18&lt;&gt;"",IF($W$7:$W$18&lt;&gt;"",ROW($W$7:$W$18)-MIN(ROW($W$7:$W$18))+1,""),""),ROW()-ROW(A$20)+1))),","),"")</f>
        <v>0</v>
      </c>
      <c r="X23">
        <f t="array" ref="X23">IFERROR(CONCATENATE(TEXT(INDEX($W$7:$W$18,SMALL(IF($Z$7:$Z$18&lt;&gt;"",IF($W$7:$W$18&lt;&gt;"",ROW($W$7:$W$18)-MIN(ROW($W$7:$W$18))+1,""),""),ROW()-ROW(A$20)+1)),"##0"),","),"")</f>
        <v>0</v>
      </c>
      <c r="Y23">
        <f t="array" ref="Y23">IFERROR(CONCATENATE((INDEX($A$7:$A$18,SMALL(IF($Z$7:$Z$18&lt;&gt;"",IF($W$7:$W$18&lt;&gt;"",ROW($W$7:$W$18)-MIN(ROW($W$7:$W$18))+1,""),""),ROW()-ROW(A$20)+1))),),"")</f>
        <v>0</v>
      </c>
      <c r="AC23">
        <f t="array" ref="AC23">IFERROR(CONCATENATE(TEXT(INDEX($AC$7:$AC$18,SMALL(IF($AF$7:$AF$18&lt;&gt;"",IF($AC$7:$AC$18&lt;&gt;"",ROW($AC$7:$AC$18)-MIN(ROW($AC$7:$AC$18))+1,""),""),ROW()-ROW(A$20)+1)),"##0"),),"")</f>
        <v>0</v>
      </c>
      <c r="AD23">
        <f t="array" ref="AD23">IFERROR(CONCATENATE((INDEX($AF$7:$AF$18,SMALL(IF($AF$7:$AF$18&lt;&gt;"",IF($AC$7:$AC$18&lt;&gt;"",ROW($AC$7:$AC$18)-MIN(ROW($AC$7:$AC$18))+1,""),""),ROW()-ROW(A$20)+1))),),"")</f>
        <v>0</v>
      </c>
      <c r="AE23">
        <f t="array" ref="AE23">IFERROR(CONCATENATE((INDEX($A$7:$A$18,SMALL(IF($AF$7:$AF$18&lt;&gt;"",IF($AC$7:$AC$18&lt;&gt;"",ROW($AC$7:$AC$18)-MIN(ROW($AC$7:$AC$18))+1,""),""),ROW()-ROW(A$20)+1))),),"")</f>
        <v>0</v>
      </c>
    </row>
    <row r="24" spans="1:32">
      <c r="K24">
        <f t="array" ref="K24">IFERROR(CONCATENATE(TEXT(INDEX($K$7:$K$18,SMALL(IF($N$7:$N$18&lt;&gt;"",IF($K$7:$K$18&lt;&gt;"",ROW($K$7:$K$18)-MIN(ROW($K$7:$K$18))+1,""),""),ROW()-ROW(A$20)+1)),"##0"),","),"")</f>
        <v>0</v>
      </c>
      <c r="L24">
        <f t="array" ref="L24">IFERROR(CONCATENATE((INDEX($N$7:$N$18,SMALL(IF($N$7:$N$18&lt;&gt;"",IF($K$7:$K$18&lt;&gt;"",ROW($K$7:$K$18)-MIN(ROW($K$7:$K$18))+1,""),""),ROW()-ROW(A$20)+1))),","),"")</f>
        <v>0</v>
      </c>
      <c r="M24">
        <f t="array" ref="M24">IFERROR(CONCATENATE((INDEX($A$7:$A$18,SMALL(IF($N$7:$N$18&lt;&gt;"",IF($K$7:$K$18&lt;&gt;"",ROW($K$7:$K$18)-MIN(ROW($K$7:$K$18))+1,""),""),ROW()-ROW(A$20)+1))),),"")</f>
        <v>0</v>
      </c>
      <c r="Q24">
        <f t="array" ref="Q24">IFERROR(CONCATENATE((INDEX($T$7:$T$18,SMALL(IF($T$7:$T$18&lt;&gt;"",IF($Q$7:$Q$18&lt;&gt;"",ROW($Q$7:$Q$18)-MIN(ROW($Q$7:$Q$18))+1,""),""),ROW()-ROW(A$20)+1)))," "),"")</f>
        <v>0</v>
      </c>
      <c r="R24">
        <f t="array" ref="R24">IFERROR(CONCATENATE(TEXT(INDEX($Q$7:$Q$18,SMALL(IF($T$7:$T$18&lt;&gt;"",IF($Q$7:$Q$18&lt;&gt;"",ROW($Q$7:$Q$18)-MIN(ROW($Q$7:$Q$18))+1,""),""),ROW()-ROW(A$20)+1)),"##0")," "),"")</f>
        <v>0</v>
      </c>
      <c r="S24">
        <f t="array" ref="S24">IFERROR(CONCATENATE((INDEX($A$7:$A$18,SMALL(IF($T$7:$T$18&lt;&gt;"",IF($Q$7:$Q$18&lt;&gt;"",ROW($Q$7:$Q$18)-MIN(ROW($Q$7:$Q$18))+1,""),""),ROW()-ROW(A$20)+1))),),"")</f>
        <v>0</v>
      </c>
      <c r="W24">
        <f t="array" ref="W24">IFERROR(CONCATENATE((INDEX($Z$7:$Z$18,SMALL(IF($Z$7:$Z$18&lt;&gt;"",IF($W$7:$W$18&lt;&gt;"",ROW($W$7:$W$18)-MIN(ROW($W$7:$W$18))+1,""),""),ROW()-ROW(A$20)+1))),","),"")</f>
        <v>0</v>
      </c>
      <c r="X24">
        <f t="array" ref="X24">IFERROR(CONCATENATE(TEXT(INDEX($W$7:$W$18,SMALL(IF($Z$7:$Z$18&lt;&gt;"",IF($W$7:$W$18&lt;&gt;"",ROW($W$7:$W$18)-MIN(ROW($W$7:$W$18))+1,""),""),ROW()-ROW(A$20)+1)),"##0"),","),"")</f>
        <v>0</v>
      </c>
      <c r="Y24">
        <f t="array" ref="Y24">IFERROR(CONCATENATE((INDEX($A$7:$A$18,SMALL(IF($Z$7:$Z$18&lt;&gt;"",IF($W$7:$W$18&lt;&gt;"",ROW($W$7:$W$18)-MIN(ROW($W$7:$W$18))+1,""),""),ROW()-ROW(A$20)+1))),),"")</f>
        <v>0</v>
      </c>
      <c r="AC24">
        <f t="array" ref="AC24">IFERROR(CONCATENATE(TEXT(INDEX($AC$7:$AC$18,SMALL(IF($AF$7:$AF$18&lt;&gt;"",IF($AC$7:$AC$18&lt;&gt;"",ROW($AC$7:$AC$18)-MIN(ROW($AC$7:$AC$18))+1,""),""),ROW()-ROW(A$20)+1)),"##0"),),"")</f>
        <v>0</v>
      </c>
      <c r="AD24">
        <f t="array" ref="AD24">IFERROR(CONCATENATE((INDEX($AF$7:$AF$18,SMALL(IF($AF$7:$AF$18&lt;&gt;"",IF($AC$7:$AC$18&lt;&gt;"",ROW($AC$7:$AC$18)-MIN(ROW($AC$7:$AC$18))+1,""),""),ROW()-ROW(A$20)+1))),),"")</f>
        <v>0</v>
      </c>
      <c r="AE24">
        <f t="array" ref="AE24">IFERROR(CONCATENATE((INDEX($A$7:$A$18,SMALL(IF($AF$7:$AF$18&lt;&gt;"",IF($AC$7:$AC$18&lt;&gt;"",ROW($AC$7:$AC$18)-MIN(ROW($AC$7:$AC$18))+1,""),""),ROW()-ROW(A$20)+1))),),"")</f>
        <v>0</v>
      </c>
    </row>
    <row r="25" spans="1:32">
      <c r="K25">
        <f t="array" ref="K25">IFERROR(CONCATENATE(TEXT(INDEX($K$7:$K$18,SMALL(IF($N$7:$N$18&lt;&gt;"",IF($K$7:$K$18&lt;&gt;"",ROW($K$7:$K$18)-MIN(ROW($K$7:$K$18))+1,""),""),ROW()-ROW(A$20)+1)),"##0"),","),"")</f>
        <v>0</v>
      </c>
      <c r="L25">
        <f t="array" ref="L25">IFERROR(CONCATENATE((INDEX($N$7:$N$18,SMALL(IF($N$7:$N$18&lt;&gt;"",IF($K$7:$K$18&lt;&gt;"",ROW($K$7:$K$18)-MIN(ROW($K$7:$K$18))+1,""),""),ROW()-ROW(A$20)+1))),","),"")</f>
        <v>0</v>
      </c>
      <c r="M25">
        <f t="array" ref="M25">IFERROR(CONCATENATE((INDEX($A$7:$A$18,SMALL(IF($N$7:$N$18&lt;&gt;"",IF($K$7:$K$18&lt;&gt;"",ROW($K$7:$K$18)-MIN(ROW($K$7:$K$18))+1,""),""),ROW()-ROW(A$20)+1))),),"")</f>
        <v>0</v>
      </c>
      <c r="Q25">
        <f t="array" ref="Q25">IFERROR(CONCATENATE((INDEX($T$7:$T$18,SMALL(IF($T$7:$T$18&lt;&gt;"",IF($Q$7:$Q$18&lt;&gt;"",ROW($Q$7:$Q$18)-MIN(ROW($Q$7:$Q$18))+1,""),""),ROW()-ROW(A$20)+1)))," "),"")</f>
        <v>0</v>
      </c>
      <c r="R25">
        <f t="array" ref="R25">IFERROR(CONCATENATE(TEXT(INDEX($Q$7:$Q$18,SMALL(IF($T$7:$T$18&lt;&gt;"",IF($Q$7:$Q$18&lt;&gt;"",ROW($Q$7:$Q$18)-MIN(ROW($Q$7:$Q$18))+1,""),""),ROW()-ROW(A$20)+1)),"##0")," "),"")</f>
        <v>0</v>
      </c>
      <c r="S25">
        <f t="array" ref="S25">IFERROR(CONCATENATE((INDEX($A$7:$A$18,SMALL(IF($T$7:$T$18&lt;&gt;"",IF($Q$7:$Q$18&lt;&gt;"",ROW($Q$7:$Q$18)-MIN(ROW($Q$7:$Q$18))+1,""),""),ROW()-ROW(A$20)+1))),),"")</f>
        <v>0</v>
      </c>
      <c r="W25">
        <f t="array" ref="W25">IFERROR(CONCATENATE((INDEX($Z$7:$Z$18,SMALL(IF($Z$7:$Z$18&lt;&gt;"",IF($W$7:$W$18&lt;&gt;"",ROW($W$7:$W$18)-MIN(ROW($W$7:$W$18))+1,""),""),ROW()-ROW(A$20)+1))),","),"")</f>
        <v>0</v>
      </c>
      <c r="X25">
        <f t="array" ref="X25">IFERROR(CONCATENATE(TEXT(INDEX($W$7:$W$18,SMALL(IF($Z$7:$Z$18&lt;&gt;"",IF($W$7:$W$18&lt;&gt;"",ROW($W$7:$W$18)-MIN(ROW($W$7:$W$18))+1,""),""),ROW()-ROW(A$20)+1)),"##0"),","),"")</f>
        <v>0</v>
      </c>
      <c r="Y25">
        <f t="array" ref="Y25">IFERROR(CONCATENATE((INDEX($A$7:$A$18,SMALL(IF($Z$7:$Z$18&lt;&gt;"",IF($W$7:$W$18&lt;&gt;"",ROW($W$7:$W$18)-MIN(ROW($W$7:$W$18))+1,""),""),ROW()-ROW(A$20)+1))),),"")</f>
        <v>0</v>
      </c>
      <c r="AC25">
        <f t="array" ref="AC25">IFERROR(CONCATENATE(TEXT(INDEX($AC$7:$AC$18,SMALL(IF($AF$7:$AF$18&lt;&gt;"",IF($AC$7:$AC$18&lt;&gt;"",ROW($AC$7:$AC$18)-MIN(ROW($AC$7:$AC$18))+1,""),""),ROW()-ROW(A$20)+1)),"##0"),),"")</f>
        <v>0</v>
      </c>
      <c r="AD25">
        <f t="array" ref="AD25">IFERROR(CONCATENATE((INDEX($AF$7:$AF$18,SMALL(IF($AF$7:$AF$18&lt;&gt;"",IF($AC$7:$AC$18&lt;&gt;"",ROW($AC$7:$AC$18)-MIN(ROW($AC$7:$AC$18))+1,""),""),ROW()-ROW(A$20)+1))),),"")</f>
        <v>0</v>
      </c>
      <c r="AE25">
        <f t="array" ref="AE25">IFERROR(CONCATENATE((INDEX($A$7:$A$18,SMALL(IF($AF$7:$AF$18&lt;&gt;"",IF($AC$7:$AC$18&lt;&gt;"",ROW($AC$7:$AC$18)-MIN(ROW($AC$7:$AC$18))+1,""),""),ROW()-ROW(A$20)+1))),),"")</f>
        <v>0</v>
      </c>
    </row>
    <row r="26" spans="1:32">
      <c r="K26">
        <f t="array" ref="K26">IFERROR(CONCATENATE(TEXT(INDEX($K$7:$K$18,SMALL(IF($N$7:$N$18&lt;&gt;"",IF($K$7:$K$18&lt;&gt;"",ROW($K$7:$K$18)-MIN(ROW($K$7:$K$18))+1,""),""),ROW()-ROW(A$20)+1)),"##0"),","),"")</f>
        <v>0</v>
      </c>
      <c r="L26">
        <f t="array" ref="L26">IFERROR(CONCATENATE((INDEX($N$7:$N$18,SMALL(IF($N$7:$N$18&lt;&gt;"",IF($K$7:$K$18&lt;&gt;"",ROW($K$7:$K$18)-MIN(ROW($K$7:$K$18))+1,""),""),ROW()-ROW(A$20)+1))),","),"")</f>
        <v>0</v>
      </c>
      <c r="M26">
        <f t="array" ref="M26">IFERROR(CONCATENATE((INDEX($A$7:$A$18,SMALL(IF($N$7:$N$18&lt;&gt;"",IF($K$7:$K$18&lt;&gt;"",ROW($K$7:$K$18)-MIN(ROW($K$7:$K$18))+1,""),""),ROW()-ROW(A$20)+1))),),"")</f>
        <v>0</v>
      </c>
      <c r="Q26">
        <f t="array" ref="Q26">IFERROR(CONCATENATE((INDEX($T$7:$T$18,SMALL(IF($T$7:$T$18&lt;&gt;"",IF($Q$7:$Q$18&lt;&gt;"",ROW($Q$7:$Q$18)-MIN(ROW($Q$7:$Q$18))+1,""),""),ROW()-ROW(A$20)+1)))," "),"")</f>
        <v>0</v>
      </c>
      <c r="R26">
        <f t="array" ref="R26">IFERROR(CONCATENATE(TEXT(INDEX($Q$7:$Q$18,SMALL(IF($T$7:$T$18&lt;&gt;"",IF($Q$7:$Q$18&lt;&gt;"",ROW($Q$7:$Q$18)-MIN(ROW($Q$7:$Q$18))+1,""),""),ROW()-ROW(A$20)+1)),"##0")," "),"")</f>
        <v>0</v>
      </c>
      <c r="S26">
        <f t="array" ref="S26">IFERROR(CONCATENATE((INDEX($A$7:$A$18,SMALL(IF($T$7:$T$18&lt;&gt;"",IF($Q$7:$Q$18&lt;&gt;"",ROW($Q$7:$Q$18)-MIN(ROW($Q$7:$Q$18))+1,""),""),ROW()-ROW(A$20)+1))),),"")</f>
        <v>0</v>
      </c>
      <c r="W26">
        <f t="array" ref="W26">IFERROR(CONCATENATE((INDEX($Z$7:$Z$18,SMALL(IF($Z$7:$Z$18&lt;&gt;"",IF($W$7:$W$18&lt;&gt;"",ROW($W$7:$W$18)-MIN(ROW($W$7:$W$18))+1,""),""),ROW()-ROW(A$20)+1))),","),"")</f>
        <v>0</v>
      </c>
      <c r="X26">
        <f t="array" ref="X26">IFERROR(CONCATENATE(TEXT(INDEX($W$7:$W$18,SMALL(IF($Z$7:$Z$18&lt;&gt;"",IF($W$7:$W$18&lt;&gt;"",ROW($W$7:$W$18)-MIN(ROW($W$7:$W$18))+1,""),""),ROW()-ROW(A$20)+1)),"##0"),","),"")</f>
        <v>0</v>
      </c>
      <c r="Y26">
        <f t="array" ref="Y26">IFERROR(CONCATENATE((INDEX($A$7:$A$18,SMALL(IF($Z$7:$Z$18&lt;&gt;"",IF($W$7:$W$18&lt;&gt;"",ROW($W$7:$W$18)-MIN(ROW($W$7:$W$18))+1,""),""),ROW()-ROW(A$20)+1))),),"")</f>
        <v>0</v>
      </c>
      <c r="AC26">
        <f t="array" ref="AC26">IFERROR(CONCATENATE(TEXT(INDEX($AC$7:$AC$18,SMALL(IF($AF$7:$AF$18&lt;&gt;"",IF($AC$7:$AC$18&lt;&gt;"",ROW($AC$7:$AC$18)-MIN(ROW($AC$7:$AC$18))+1,""),""),ROW()-ROW(A$20)+1)),"##0"),),"")</f>
        <v>0</v>
      </c>
      <c r="AD26">
        <f t="array" ref="AD26">IFERROR(CONCATENATE((INDEX($AF$7:$AF$18,SMALL(IF($AF$7:$AF$18&lt;&gt;"",IF($AC$7:$AC$18&lt;&gt;"",ROW($AC$7:$AC$18)-MIN(ROW($AC$7:$AC$18))+1,""),""),ROW()-ROW(A$20)+1))),),"")</f>
        <v>0</v>
      </c>
      <c r="AE26">
        <f t="array" ref="AE26">IFERROR(CONCATENATE((INDEX($A$7:$A$18,SMALL(IF($AF$7:$AF$18&lt;&gt;"",IF($AC$7:$AC$18&lt;&gt;"",ROW($AC$7:$AC$18)-MIN(ROW($AC$7:$AC$18))+1,""),""),ROW()-ROW(A$20)+1))),),"")</f>
        <v>0</v>
      </c>
    </row>
    <row r="27" spans="1:32">
      <c r="K27">
        <f t="array" ref="K27">IFERROR(CONCATENATE(TEXT(INDEX($K$7:$K$18,SMALL(IF($N$7:$N$18&lt;&gt;"",IF($K$7:$K$18&lt;&gt;"",ROW($K$7:$K$18)-MIN(ROW($K$7:$K$18))+1,""),""),ROW()-ROW(A$20)+1)),"##0"),","),"")</f>
        <v>0</v>
      </c>
      <c r="L27">
        <f t="array" ref="L27">IFERROR(CONCATENATE((INDEX($N$7:$N$18,SMALL(IF($N$7:$N$18&lt;&gt;"",IF($K$7:$K$18&lt;&gt;"",ROW($K$7:$K$18)-MIN(ROW($K$7:$K$18))+1,""),""),ROW()-ROW(A$20)+1))),","),"")</f>
        <v>0</v>
      </c>
      <c r="M27">
        <f t="array" ref="M27">IFERROR(CONCATENATE((INDEX($A$7:$A$18,SMALL(IF($N$7:$N$18&lt;&gt;"",IF($K$7:$K$18&lt;&gt;"",ROW($K$7:$K$18)-MIN(ROW($K$7:$K$18))+1,""),""),ROW()-ROW(A$20)+1))),),"")</f>
        <v>0</v>
      </c>
      <c r="Q27">
        <f t="array" ref="Q27">IFERROR(CONCATENATE((INDEX($T$7:$T$18,SMALL(IF($T$7:$T$18&lt;&gt;"",IF($Q$7:$Q$18&lt;&gt;"",ROW($Q$7:$Q$18)-MIN(ROW($Q$7:$Q$18))+1,""),""),ROW()-ROW(A$20)+1)))," "),"")</f>
        <v>0</v>
      </c>
      <c r="R27">
        <f t="array" ref="R27">IFERROR(CONCATENATE(TEXT(INDEX($Q$7:$Q$18,SMALL(IF($T$7:$T$18&lt;&gt;"",IF($Q$7:$Q$18&lt;&gt;"",ROW($Q$7:$Q$18)-MIN(ROW($Q$7:$Q$18))+1,""),""),ROW()-ROW(A$20)+1)),"##0")," "),"")</f>
        <v>0</v>
      </c>
      <c r="S27">
        <f t="array" ref="S27">IFERROR(CONCATENATE((INDEX($A$7:$A$18,SMALL(IF($T$7:$T$18&lt;&gt;"",IF($Q$7:$Q$18&lt;&gt;"",ROW($Q$7:$Q$18)-MIN(ROW($Q$7:$Q$18))+1,""),""),ROW()-ROW(A$20)+1))),),"")</f>
        <v>0</v>
      </c>
      <c r="W27">
        <f t="array" ref="W27">IFERROR(CONCATENATE((INDEX($Z$7:$Z$18,SMALL(IF($Z$7:$Z$18&lt;&gt;"",IF($W$7:$W$18&lt;&gt;"",ROW($W$7:$W$18)-MIN(ROW($W$7:$W$18))+1,""),""),ROW()-ROW(A$20)+1))),","),"")</f>
        <v>0</v>
      </c>
      <c r="X27">
        <f t="array" ref="X27">IFERROR(CONCATENATE(TEXT(INDEX($W$7:$W$18,SMALL(IF($Z$7:$Z$18&lt;&gt;"",IF($W$7:$W$18&lt;&gt;"",ROW($W$7:$W$18)-MIN(ROW($W$7:$W$18))+1,""),""),ROW()-ROW(A$20)+1)),"##0"),","),"")</f>
        <v>0</v>
      </c>
      <c r="Y27">
        <f t="array" ref="Y27">IFERROR(CONCATENATE((INDEX($A$7:$A$18,SMALL(IF($Z$7:$Z$18&lt;&gt;"",IF($W$7:$W$18&lt;&gt;"",ROW($W$7:$W$18)-MIN(ROW($W$7:$W$18))+1,""),""),ROW()-ROW(A$20)+1))),),"")</f>
        <v>0</v>
      </c>
      <c r="AC27">
        <f t="array" ref="AC27">IFERROR(CONCATENATE(TEXT(INDEX($AC$7:$AC$18,SMALL(IF($AF$7:$AF$18&lt;&gt;"",IF($AC$7:$AC$18&lt;&gt;"",ROW($AC$7:$AC$18)-MIN(ROW($AC$7:$AC$18))+1,""),""),ROW()-ROW(A$20)+1)),"##0"),),"")</f>
        <v>0</v>
      </c>
      <c r="AD27">
        <f t="array" ref="AD27">IFERROR(CONCATENATE((INDEX($AF$7:$AF$18,SMALL(IF($AF$7:$AF$18&lt;&gt;"",IF($AC$7:$AC$18&lt;&gt;"",ROW($AC$7:$AC$18)-MIN(ROW($AC$7:$AC$18))+1,""),""),ROW()-ROW(A$20)+1))),),"")</f>
        <v>0</v>
      </c>
      <c r="AE27">
        <f t="array" ref="AE27">IFERROR(CONCATENATE((INDEX($A$7:$A$18,SMALL(IF($AF$7:$AF$18&lt;&gt;"",IF($AC$7:$AC$18&lt;&gt;"",ROW($AC$7:$AC$18)-MIN(ROW($AC$7:$AC$18))+1,""),""),ROW()-ROW(A$20)+1))),),"")</f>
        <v>0</v>
      </c>
    </row>
    <row r="28" spans="1:32">
      <c r="K28">
        <f t="array" ref="K28">IFERROR(CONCATENATE(TEXT(INDEX($K$7:$K$18,SMALL(IF($N$7:$N$18&lt;&gt;"",IF($K$7:$K$18&lt;&gt;"",ROW($K$7:$K$18)-MIN(ROW($K$7:$K$18))+1,""),""),ROW()-ROW(A$20)+1)),"##0"),","),"")</f>
        <v>0</v>
      </c>
      <c r="L28">
        <f t="array" ref="L28">IFERROR(CONCATENATE((INDEX($N$7:$N$18,SMALL(IF($N$7:$N$18&lt;&gt;"",IF($K$7:$K$18&lt;&gt;"",ROW($K$7:$K$18)-MIN(ROW($K$7:$K$18))+1,""),""),ROW()-ROW(A$20)+1))),","),"")</f>
        <v>0</v>
      </c>
      <c r="M28">
        <f t="array" ref="M28">IFERROR(CONCATENATE((INDEX($A$7:$A$18,SMALL(IF($N$7:$N$18&lt;&gt;"",IF($K$7:$K$18&lt;&gt;"",ROW($K$7:$K$18)-MIN(ROW($K$7:$K$18))+1,""),""),ROW()-ROW(A$20)+1))),),"")</f>
        <v>0</v>
      </c>
      <c r="Q28">
        <f t="array" ref="Q28">IFERROR(CONCATENATE((INDEX($T$7:$T$18,SMALL(IF($T$7:$T$18&lt;&gt;"",IF($Q$7:$Q$18&lt;&gt;"",ROW($Q$7:$Q$18)-MIN(ROW($Q$7:$Q$18))+1,""),""),ROW()-ROW(A$20)+1)))," "),"")</f>
        <v>0</v>
      </c>
      <c r="R28">
        <f t="array" ref="R28">IFERROR(CONCATENATE(TEXT(INDEX($Q$7:$Q$18,SMALL(IF($T$7:$T$18&lt;&gt;"",IF($Q$7:$Q$18&lt;&gt;"",ROW($Q$7:$Q$18)-MIN(ROW($Q$7:$Q$18))+1,""),""),ROW()-ROW(A$20)+1)),"##0")," "),"")</f>
        <v>0</v>
      </c>
      <c r="S28">
        <f t="array" ref="S28">IFERROR(CONCATENATE((INDEX($A$7:$A$18,SMALL(IF($T$7:$T$18&lt;&gt;"",IF($Q$7:$Q$18&lt;&gt;"",ROW($Q$7:$Q$18)-MIN(ROW($Q$7:$Q$18))+1,""),""),ROW()-ROW(A$20)+1))),),"")</f>
        <v>0</v>
      </c>
      <c r="W28">
        <f t="array" ref="W28">IFERROR(CONCATENATE((INDEX($Z$7:$Z$18,SMALL(IF($Z$7:$Z$18&lt;&gt;"",IF($W$7:$W$18&lt;&gt;"",ROW($W$7:$W$18)-MIN(ROW($W$7:$W$18))+1,""),""),ROW()-ROW(A$20)+1))),","),"")</f>
        <v>0</v>
      </c>
      <c r="X28">
        <f t="array" ref="X28">IFERROR(CONCATENATE(TEXT(INDEX($W$7:$W$18,SMALL(IF($Z$7:$Z$18&lt;&gt;"",IF($W$7:$W$18&lt;&gt;"",ROW($W$7:$W$18)-MIN(ROW($W$7:$W$18))+1,""),""),ROW()-ROW(A$20)+1)),"##0"),","),"")</f>
        <v>0</v>
      </c>
      <c r="Y28">
        <f t="array" ref="Y28">IFERROR(CONCATENATE((INDEX($A$7:$A$18,SMALL(IF($Z$7:$Z$18&lt;&gt;"",IF($W$7:$W$18&lt;&gt;"",ROW($W$7:$W$18)-MIN(ROW($W$7:$W$18))+1,""),""),ROW()-ROW(A$20)+1))),),"")</f>
        <v>0</v>
      </c>
      <c r="AC28">
        <f t="array" ref="AC28">IFERROR(CONCATENATE(TEXT(INDEX($AC$7:$AC$18,SMALL(IF($AF$7:$AF$18&lt;&gt;"",IF($AC$7:$AC$18&lt;&gt;"",ROW($AC$7:$AC$18)-MIN(ROW($AC$7:$AC$18))+1,""),""),ROW()-ROW(A$20)+1)),"##0"),),"")</f>
        <v>0</v>
      </c>
      <c r="AD28">
        <f t="array" ref="AD28">IFERROR(CONCATENATE((INDEX($AF$7:$AF$18,SMALL(IF($AF$7:$AF$18&lt;&gt;"",IF($AC$7:$AC$18&lt;&gt;"",ROW($AC$7:$AC$18)-MIN(ROW($AC$7:$AC$18))+1,""),""),ROW()-ROW(A$20)+1))),),"")</f>
        <v>0</v>
      </c>
      <c r="AE28">
        <f t="array" ref="AE28">IFERROR(CONCATENATE((INDEX($A$7:$A$18,SMALL(IF($AF$7:$AF$18&lt;&gt;"",IF($AC$7:$AC$18&lt;&gt;"",ROW($AC$7:$AC$18)-MIN(ROW($AC$7:$AC$18))+1,""),""),ROW()-ROW(A$20)+1))),),"")</f>
        <v>0</v>
      </c>
    </row>
    <row r="29" spans="1:32">
      <c r="K29">
        <f t="array" ref="K29">IFERROR(CONCATENATE(TEXT(INDEX($K$7:$K$18,SMALL(IF($N$7:$N$18&lt;&gt;"",IF($K$7:$K$18&lt;&gt;"",ROW($K$7:$K$18)-MIN(ROW($K$7:$K$18))+1,""),""),ROW()-ROW(A$20)+1)),"##0"),","),"")</f>
        <v>0</v>
      </c>
      <c r="L29">
        <f t="array" ref="L29">IFERROR(CONCATENATE((INDEX($N$7:$N$18,SMALL(IF($N$7:$N$18&lt;&gt;"",IF($K$7:$K$18&lt;&gt;"",ROW($K$7:$K$18)-MIN(ROW($K$7:$K$18))+1,""),""),ROW()-ROW(A$20)+1))),","),"")</f>
        <v>0</v>
      </c>
      <c r="M29">
        <f t="array" ref="M29">IFERROR(CONCATENATE((INDEX($A$7:$A$18,SMALL(IF($N$7:$N$18&lt;&gt;"",IF($K$7:$K$18&lt;&gt;"",ROW($K$7:$K$18)-MIN(ROW($K$7:$K$18))+1,""),""),ROW()-ROW(A$20)+1))),),"")</f>
        <v>0</v>
      </c>
      <c r="Q29">
        <f t="array" ref="Q29">IFERROR(CONCATENATE((INDEX($T$7:$T$18,SMALL(IF($T$7:$T$18&lt;&gt;"",IF($Q$7:$Q$18&lt;&gt;"",ROW($Q$7:$Q$18)-MIN(ROW($Q$7:$Q$18))+1,""),""),ROW()-ROW(A$20)+1)))," "),"")</f>
        <v>0</v>
      </c>
      <c r="R29">
        <f t="array" ref="R29">IFERROR(CONCATENATE(TEXT(INDEX($Q$7:$Q$18,SMALL(IF($T$7:$T$18&lt;&gt;"",IF($Q$7:$Q$18&lt;&gt;"",ROW($Q$7:$Q$18)-MIN(ROW($Q$7:$Q$18))+1,""),""),ROW()-ROW(A$20)+1)),"##0")," "),"")</f>
        <v>0</v>
      </c>
      <c r="S29">
        <f t="array" ref="S29">IFERROR(CONCATENATE((INDEX($A$7:$A$18,SMALL(IF($T$7:$T$18&lt;&gt;"",IF($Q$7:$Q$18&lt;&gt;"",ROW($Q$7:$Q$18)-MIN(ROW($Q$7:$Q$18))+1,""),""),ROW()-ROW(A$20)+1))),),"")</f>
        <v>0</v>
      </c>
      <c r="W29">
        <f t="array" ref="W29">IFERROR(CONCATENATE((INDEX($Z$7:$Z$18,SMALL(IF($Z$7:$Z$18&lt;&gt;"",IF($W$7:$W$18&lt;&gt;"",ROW($W$7:$W$18)-MIN(ROW($W$7:$W$18))+1,""),""),ROW()-ROW(A$20)+1))),","),"")</f>
        <v>0</v>
      </c>
      <c r="X29">
        <f t="array" ref="X29">IFERROR(CONCATENATE(TEXT(INDEX($W$7:$W$18,SMALL(IF($Z$7:$Z$18&lt;&gt;"",IF($W$7:$W$18&lt;&gt;"",ROW($W$7:$W$18)-MIN(ROW($W$7:$W$18))+1,""),""),ROW()-ROW(A$20)+1)),"##0"),","),"")</f>
        <v>0</v>
      </c>
      <c r="Y29">
        <f t="array" ref="Y29">IFERROR(CONCATENATE((INDEX($A$7:$A$18,SMALL(IF($Z$7:$Z$18&lt;&gt;"",IF($W$7:$W$18&lt;&gt;"",ROW($W$7:$W$18)-MIN(ROW($W$7:$W$18))+1,""),""),ROW()-ROW(A$20)+1))),),"")</f>
        <v>0</v>
      </c>
      <c r="AC29">
        <f t="array" ref="AC29">IFERROR(CONCATENATE(TEXT(INDEX($AC$7:$AC$18,SMALL(IF($AF$7:$AF$18&lt;&gt;"",IF($AC$7:$AC$18&lt;&gt;"",ROW($AC$7:$AC$18)-MIN(ROW($AC$7:$AC$18))+1,""),""),ROW()-ROW(A$20)+1)),"##0"),),"")</f>
        <v>0</v>
      </c>
      <c r="AD29">
        <f t="array" ref="AD29">IFERROR(CONCATENATE((INDEX($AF$7:$AF$18,SMALL(IF($AF$7:$AF$18&lt;&gt;"",IF($AC$7:$AC$18&lt;&gt;"",ROW($AC$7:$AC$18)-MIN(ROW($AC$7:$AC$18))+1,""),""),ROW()-ROW(A$20)+1))),),"")</f>
        <v>0</v>
      </c>
      <c r="AE29">
        <f t="array" ref="AE29">IFERROR(CONCATENATE((INDEX($A$7:$A$18,SMALL(IF($AF$7:$AF$18&lt;&gt;"",IF($AC$7:$AC$18&lt;&gt;"",ROW($AC$7:$AC$18)-MIN(ROW($AC$7:$AC$18))+1,""),""),ROW()-ROW(A$20)+1))),),"")</f>
        <v>0</v>
      </c>
    </row>
    <row r="30" spans="1:32">
      <c r="K30">
        <f t="array" ref="K30">IFERROR(CONCATENATE(TEXT(INDEX($K$7:$K$18,SMALL(IF($N$7:$N$18&lt;&gt;"",IF($K$7:$K$18&lt;&gt;"",ROW($K$7:$K$18)-MIN(ROW($K$7:$K$18))+1,""),""),ROW()-ROW(A$20)+1)),"##0"),","),"")</f>
        <v>0</v>
      </c>
      <c r="L30">
        <f t="array" ref="L30">IFERROR(CONCATENATE((INDEX($N$7:$N$18,SMALL(IF($N$7:$N$18&lt;&gt;"",IF($K$7:$K$18&lt;&gt;"",ROW($K$7:$K$18)-MIN(ROW($K$7:$K$18))+1,""),""),ROW()-ROW(A$20)+1))),","),"")</f>
        <v>0</v>
      </c>
      <c r="M30">
        <f t="array" ref="M30">IFERROR(CONCATENATE((INDEX($A$7:$A$18,SMALL(IF($N$7:$N$18&lt;&gt;"",IF($K$7:$K$18&lt;&gt;"",ROW($K$7:$K$18)-MIN(ROW($K$7:$K$18))+1,""),""),ROW()-ROW(A$20)+1))),),"")</f>
        <v>0</v>
      </c>
      <c r="Q30">
        <f t="array" ref="Q30">IFERROR(CONCATENATE((INDEX($T$7:$T$18,SMALL(IF($T$7:$T$18&lt;&gt;"",IF($Q$7:$Q$18&lt;&gt;"",ROW($Q$7:$Q$18)-MIN(ROW($Q$7:$Q$18))+1,""),""),ROW()-ROW(A$20)+1)))," "),"")</f>
        <v>0</v>
      </c>
      <c r="R30">
        <f t="array" ref="R30">IFERROR(CONCATENATE(TEXT(INDEX($Q$7:$Q$18,SMALL(IF($T$7:$T$18&lt;&gt;"",IF($Q$7:$Q$18&lt;&gt;"",ROW($Q$7:$Q$18)-MIN(ROW($Q$7:$Q$18))+1,""),""),ROW()-ROW(A$20)+1)),"##0")," "),"")</f>
        <v>0</v>
      </c>
      <c r="S30">
        <f t="array" ref="S30">IFERROR(CONCATENATE((INDEX($A$7:$A$18,SMALL(IF($T$7:$T$18&lt;&gt;"",IF($Q$7:$Q$18&lt;&gt;"",ROW($Q$7:$Q$18)-MIN(ROW($Q$7:$Q$18))+1,""),""),ROW()-ROW(A$20)+1))),),"")</f>
        <v>0</v>
      </c>
      <c r="W30">
        <f t="array" ref="W30">IFERROR(CONCATENATE((INDEX($Z$7:$Z$18,SMALL(IF($Z$7:$Z$18&lt;&gt;"",IF($W$7:$W$18&lt;&gt;"",ROW($W$7:$W$18)-MIN(ROW($W$7:$W$18))+1,""),""),ROW()-ROW(A$20)+1))),","),"")</f>
        <v>0</v>
      </c>
      <c r="X30">
        <f t="array" ref="X30">IFERROR(CONCATENATE(TEXT(INDEX($W$7:$W$18,SMALL(IF($Z$7:$Z$18&lt;&gt;"",IF($W$7:$W$18&lt;&gt;"",ROW($W$7:$W$18)-MIN(ROW($W$7:$W$18))+1,""),""),ROW()-ROW(A$20)+1)),"##0"),","),"")</f>
        <v>0</v>
      </c>
      <c r="Y30">
        <f t="array" ref="Y30">IFERROR(CONCATENATE((INDEX($A$7:$A$18,SMALL(IF($Z$7:$Z$18&lt;&gt;"",IF($W$7:$W$18&lt;&gt;"",ROW($W$7:$W$18)-MIN(ROW($W$7:$W$18))+1,""),""),ROW()-ROW(A$20)+1))),),"")</f>
        <v>0</v>
      </c>
      <c r="AC30">
        <f t="array" ref="AC30">IFERROR(CONCATENATE(TEXT(INDEX($AC$7:$AC$18,SMALL(IF($AF$7:$AF$18&lt;&gt;"",IF($AC$7:$AC$18&lt;&gt;"",ROW($AC$7:$AC$18)-MIN(ROW($AC$7:$AC$18))+1,""),""),ROW()-ROW(A$20)+1)),"##0"),),"")</f>
        <v>0</v>
      </c>
      <c r="AD30">
        <f t="array" ref="AD30">IFERROR(CONCATENATE((INDEX($AF$7:$AF$18,SMALL(IF($AF$7:$AF$18&lt;&gt;"",IF($AC$7:$AC$18&lt;&gt;"",ROW($AC$7:$AC$18)-MIN(ROW($AC$7:$AC$18))+1,""),""),ROW()-ROW(A$20)+1))),),"")</f>
        <v>0</v>
      </c>
      <c r="AE30">
        <f t="array" ref="AE30">IFERROR(CONCATENATE((INDEX($A$7:$A$18,SMALL(IF($AF$7:$AF$18&lt;&gt;"",IF($AC$7:$AC$18&lt;&gt;"",ROW($AC$7:$AC$18)-MIN(ROW($AC$7:$AC$18))+1,""),""),ROW()-ROW(A$20)+1))),),"")</f>
        <v>0</v>
      </c>
    </row>
    <row r="31" spans="1:32">
      <c r="K31">
        <f t="array" ref="K31">IFERROR(CONCATENATE(TEXT(INDEX($K$7:$K$18,SMALL(IF($N$7:$N$18&lt;&gt;"",IF($K$7:$K$18&lt;&gt;"",ROW($K$7:$K$18)-MIN(ROW($K$7:$K$18))+1,""),""),ROW()-ROW(A$20)+1)),"##0"),","),"")</f>
        <v>0</v>
      </c>
      <c r="L31">
        <f t="array" ref="L31">IFERROR(CONCATENATE((INDEX($N$7:$N$18,SMALL(IF($N$7:$N$18&lt;&gt;"",IF($K$7:$K$18&lt;&gt;"",ROW($K$7:$K$18)-MIN(ROW($K$7:$K$18))+1,""),""),ROW()-ROW(A$20)+1))),","),"")</f>
        <v>0</v>
      </c>
      <c r="M31">
        <f t="array" ref="M31">IFERROR(CONCATENATE((INDEX($A$7:$A$18,SMALL(IF($N$7:$N$18&lt;&gt;"",IF($K$7:$K$18&lt;&gt;"",ROW($K$7:$K$18)-MIN(ROW($K$7:$K$18))+1,""),""),ROW()-ROW(A$20)+1))),),"")</f>
        <v>0</v>
      </c>
      <c r="Q31">
        <f t="array" ref="Q31">IFERROR(CONCATENATE((INDEX($T$7:$T$18,SMALL(IF($T$7:$T$18&lt;&gt;"",IF($Q$7:$Q$18&lt;&gt;"",ROW($Q$7:$Q$18)-MIN(ROW($Q$7:$Q$18))+1,""),""),ROW()-ROW(A$20)+1)))," "),"")</f>
        <v>0</v>
      </c>
      <c r="R31">
        <f t="array" ref="R31">IFERROR(CONCATENATE(TEXT(INDEX($Q$7:$Q$18,SMALL(IF($T$7:$T$18&lt;&gt;"",IF($Q$7:$Q$18&lt;&gt;"",ROW($Q$7:$Q$18)-MIN(ROW($Q$7:$Q$18))+1,""),""),ROW()-ROW(A$20)+1)),"##0")," "),"")</f>
        <v>0</v>
      </c>
      <c r="S31">
        <f t="array" ref="S31">IFERROR(CONCATENATE((INDEX($A$7:$A$18,SMALL(IF($T$7:$T$18&lt;&gt;"",IF($Q$7:$Q$18&lt;&gt;"",ROW($Q$7:$Q$18)-MIN(ROW($Q$7:$Q$18))+1,""),""),ROW()-ROW(A$20)+1))),),"")</f>
        <v>0</v>
      </c>
      <c r="W31">
        <f t="array" ref="W31">IFERROR(CONCATENATE((INDEX($Z$7:$Z$18,SMALL(IF($Z$7:$Z$18&lt;&gt;"",IF($W$7:$W$18&lt;&gt;"",ROW($W$7:$W$18)-MIN(ROW($W$7:$W$18))+1,""),""),ROW()-ROW(A$20)+1))),","),"")</f>
        <v>0</v>
      </c>
      <c r="X31">
        <f t="array" ref="X31">IFERROR(CONCATENATE(TEXT(INDEX($W$7:$W$18,SMALL(IF($Z$7:$Z$18&lt;&gt;"",IF($W$7:$W$18&lt;&gt;"",ROW($W$7:$W$18)-MIN(ROW($W$7:$W$18))+1,""),""),ROW()-ROW(A$20)+1)),"##0"),","),"")</f>
        <v>0</v>
      </c>
      <c r="Y31">
        <f t="array" ref="Y31">IFERROR(CONCATENATE((INDEX($A$7:$A$18,SMALL(IF($Z$7:$Z$18&lt;&gt;"",IF($W$7:$W$18&lt;&gt;"",ROW($W$7:$W$18)-MIN(ROW($W$7:$W$18))+1,""),""),ROW()-ROW(A$20)+1))),),"")</f>
        <v>0</v>
      </c>
      <c r="AC31">
        <f t="array" ref="AC31">IFERROR(CONCATENATE(TEXT(INDEX($AC$7:$AC$18,SMALL(IF($AF$7:$AF$18&lt;&gt;"",IF($AC$7:$AC$18&lt;&gt;"",ROW($AC$7:$AC$18)-MIN(ROW($AC$7:$AC$18))+1,""),""),ROW()-ROW(A$20)+1)),"##0"),),"")</f>
        <v>0</v>
      </c>
      <c r="AD31">
        <f t="array" ref="AD31">IFERROR(CONCATENATE((INDEX($AF$7:$AF$18,SMALL(IF($AF$7:$AF$18&lt;&gt;"",IF($AC$7:$AC$18&lt;&gt;"",ROW($AC$7:$AC$18)-MIN(ROW($AC$7:$AC$18))+1,""),""),ROW()-ROW(A$20)+1))),),"")</f>
        <v>0</v>
      </c>
      <c r="AE31">
        <f t="array" ref="AE31">IFERROR(CONCATENATE((INDEX($A$7:$A$18,SMALL(IF($AF$7:$AF$18&lt;&gt;"",IF($AC$7:$AC$18&lt;&gt;"",ROW($AC$7:$AC$18)-MIN(ROW($AC$7:$AC$18))+1,""),""),ROW()-ROW(A$20)+1))),),"")</f>
        <v>0</v>
      </c>
    </row>
  </sheetData>
  <mergeCells count="5">
    <mergeCell ref="A5:I5"/>
    <mergeCell ref="J5:O5"/>
    <mergeCell ref="P5:U5"/>
    <mergeCell ref="V5:AA5"/>
    <mergeCell ref="AB5:AG5"/>
  </mergeCells>
  <conditionalFormatting sqref="AD13">
    <cfRule type="cellIs" dxfId="0" priority="31" operator="lessThanOrEqual">
      <formula>H13</formula>
    </cfRule>
  </conditionalFormatting>
  <conditionalFormatting sqref="AD15">
    <cfRule type="cellIs" dxfId="0" priority="33" operator="lessThanOrEqual">
      <formula>H15</formula>
    </cfRule>
  </conditionalFormatting>
  <conditionalFormatting sqref="AD18">
    <cfRule type="cellIs" dxfId="0" priority="35" operator="lessThanOrEqual">
      <formula>H18</formula>
    </cfRule>
  </conditionalFormatting>
  <conditionalFormatting sqref="AD8">
    <cfRule type="cellIs" dxfId="0" priority="29" operator="lessThanOrEqual">
      <formula>H8</formula>
    </cfRule>
  </conditionalFormatting>
  <conditionalFormatting sqref="AE13">
    <cfRule type="cellIs" dxfId="0" priority="32" operator="lessThanOrEqual">
      <formula>I13</formula>
    </cfRule>
  </conditionalFormatting>
  <conditionalFormatting sqref="AE15">
    <cfRule type="cellIs" dxfId="0" priority="34" operator="lessThanOrEqual">
      <formula>I15</formula>
    </cfRule>
  </conditionalFormatting>
  <conditionalFormatting sqref="AE18">
    <cfRule type="cellIs" dxfId="0" priority="36" operator="lessThanOrEqual">
      <formula>I18</formula>
    </cfRule>
  </conditionalFormatting>
  <conditionalFormatting sqref="AE8">
    <cfRule type="cellIs" dxfId="0" priority="30" operator="lessThanOrEqual">
      <formula>I8</formula>
    </cfRule>
  </conditionalFormatting>
  <conditionalFormatting sqref="L10">
    <cfRule type="cellIs" dxfId="0" priority="3" operator="lessThanOrEqual">
      <formula>H10</formula>
    </cfRule>
  </conditionalFormatting>
  <conditionalFormatting sqref="L11">
    <cfRule type="cellIs" dxfId="0" priority="5" operator="lessThanOrEqual">
      <formula>H11</formula>
    </cfRule>
  </conditionalFormatting>
  <conditionalFormatting sqref="L12">
    <cfRule type="cellIs" dxfId="0" priority="7" operator="lessThanOrEqual">
      <formula>H12</formula>
    </cfRule>
  </conditionalFormatting>
  <conditionalFormatting sqref="L14">
    <cfRule type="cellIs" dxfId="0" priority="9" operator="lessThanOrEqual">
      <formula>H14</formula>
    </cfRule>
  </conditionalFormatting>
  <conditionalFormatting sqref="L16">
    <cfRule type="cellIs" dxfId="0" priority="11" operator="lessThanOrEqual">
      <formula>H16</formula>
    </cfRule>
  </conditionalFormatting>
  <conditionalFormatting sqref="L17">
    <cfRule type="cellIs" dxfId="0" priority="13" operator="lessThanOrEqual">
      <formula>H17</formula>
    </cfRule>
  </conditionalFormatting>
  <conditionalFormatting sqref="L7">
    <cfRule type="cellIs" dxfId="0" priority="1" operator="lessThanOrEqual">
      <formula>H7</formula>
    </cfRule>
  </conditionalFormatting>
  <conditionalFormatting sqref="M10">
    <cfRule type="cellIs" dxfId="0" priority="4" operator="lessThanOrEqual">
      <formula>I10</formula>
    </cfRule>
  </conditionalFormatting>
  <conditionalFormatting sqref="M11">
    <cfRule type="cellIs" dxfId="0" priority="6" operator="lessThanOrEqual">
      <formula>I11</formula>
    </cfRule>
  </conditionalFormatting>
  <conditionalFormatting sqref="M12">
    <cfRule type="cellIs" dxfId="0" priority="8" operator="lessThanOrEqual">
      <formula>I12</formula>
    </cfRule>
  </conditionalFormatting>
  <conditionalFormatting sqref="M14">
    <cfRule type="cellIs" dxfId="0" priority="10" operator="lessThanOrEqual">
      <formula>I14</formula>
    </cfRule>
  </conditionalFormatting>
  <conditionalFormatting sqref="M16">
    <cfRule type="cellIs" dxfId="0" priority="12" operator="lessThanOrEqual">
      <formula>I16</formula>
    </cfRule>
  </conditionalFormatting>
  <conditionalFormatting sqref="M17">
    <cfRule type="cellIs" dxfId="0" priority="14" operator="lessThanOrEqual">
      <formula>I17</formula>
    </cfRule>
  </conditionalFormatting>
  <conditionalFormatting sqref="M7">
    <cfRule type="cellIs" dxfId="0" priority="2" operator="lessThanOrEqual">
      <formula>I7</formula>
    </cfRule>
  </conditionalFormatting>
  <conditionalFormatting sqref="R10">
    <cfRule type="cellIs" dxfId="0" priority="17" operator="lessThanOrEqual">
      <formula>H10</formula>
    </cfRule>
  </conditionalFormatting>
  <conditionalFormatting sqref="R12">
    <cfRule type="cellIs" dxfId="0" priority="19" operator="lessThanOrEqual">
      <formula>H12</formula>
    </cfRule>
  </conditionalFormatting>
  <conditionalFormatting sqref="R17">
    <cfRule type="cellIs" dxfId="0" priority="21" operator="lessThanOrEqual">
      <formula>H17</formula>
    </cfRule>
  </conditionalFormatting>
  <conditionalFormatting sqref="R7">
    <cfRule type="cellIs" dxfId="0" priority="15" operator="lessThanOrEqual">
      <formula>H7</formula>
    </cfRule>
  </conditionalFormatting>
  <conditionalFormatting sqref="S10">
    <cfRule type="cellIs" dxfId="0" priority="18" operator="lessThanOrEqual">
      <formula>I10</formula>
    </cfRule>
  </conditionalFormatting>
  <conditionalFormatting sqref="S12">
    <cfRule type="cellIs" dxfId="0" priority="20" operator="lessThanOrEqual">
      <formula>I12</formula>
    </cfRule>
  </conditionalFormatting>
  <conditionalFormatting sqref="S17">
    <cfRule type="cellIs" dxfId="0" priority="22" operator="lessThanOrEqual">
      <formula>I17</formula>
    </cfRule>
  </conditionalFormatting>
  <conditionalFormatting sqref="S7">
    <cfRule type="cellIs" dxfId="0" priority="16" operator="lessThanOrEqual">
      <formula>I7</formula>
    </cfRule>
  </conditionalFormatting>
  <conditionalFormatting sqref="X10">
    <cfRule type="cellIs" dxfId="0" priority="23" operator="lessThanOrEqual">
      <formula>H10</formula>
    </cfRule>
  </conditionalFormatting>
  <conditionalFormatting sqref="X12">
    <cfRule type="cellIs" dxfId="0" priority="25" operator="lessThanOrEqual">
      <formula>H12</formula>
    </cfRule>
  </conditionalFormatting>
  <conditionalFormatting sqref="X17">
    <cfRule type="cellIs" dxfId="0" priority="27" operator="lessThanOrEqual">
      <formula>H17</formula>
    </cfRule>
  </conditionalFormatting>
  <conditionalFormatting sqref="Y10">
    <cfRule type="cellIs" dxfId="0" priority="24" operator="lessThanOrEqual">
      <formula>I10</formula>
    </cfRule>
  </conditionalFormatting>
  <conditionalFormatting sqref="Y12">
    <cfRule type="cellIs" dxfId="0" priority="26" operator="lessThanOrEqual">
      <formula>I12</formula>
    </cfRule>
  </conditionalFormatting>
  <conditionalFormatting sqref="Y17">
    <cfRule type="cellIs" dxfId="0" priority="28" operator="lessThanOrEqual">
      <formula>I17</formula>
    </cfRule>
  </conditionalFormatting>
  <hyperlinks>
    <hyperlink ref="O7" r:id="rId1"/>
    <hyperlink ref="U7" r:id="rId2"/>
    <hyperlink ref="O10" r:id="rId3"/>
    <hyperlink ref="U10" r:id="rId4"/>
    <hyperlink ref="AA10" r:id="rId5"/>
    <hyperlink ref="O11" r:id="rId6"/>
    <hyperlink ref="O12" r:id="rId7"/>
    <hyperlink ref="U12" r:id="rId8"/>
    <hyperlink ref="AA12" r:id="rId9"/>
    <hyperlink ref="O14" r:id="rId10"/>
    <hyperlink ref="O16" r:id="rId11"/>
    <hyperlink ref="O17" r:id="rId12"/>
    <hyperlink ref="U17" r:id="rId13"/>
    <hyperlink ref="AA17" r:id="rId14"/>
  </hyperlinks>
  <pageMargins left="0.7" right="0.7" top="0.75" bottom="0.75" header="0.3" footer="0.3"/>
  <legacyDrawing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KiCost</vt:lpstr>
      <vt:lpstr>BoardQty</vt:lpstr>
      <vt:lpstr>digikey_part_data</vt:lpstr>
      <vt:lpstr>global_part_data</vt:lpstr>
      <vt:lpstr>local_part_data</vt:lpstr>
      <vt:lpstr>mouser_part_data</vt:lpstr>
      <vt:lpstr>newark_part_data</vt:lpstr>
      <vt:lpstr>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2016-08-27T15:44:00Z</dcterms:created>
  <dcterms:modified xsi:type="dcterms:W3CDTF">2016-08-27T15:44:00Z</dcterms:modified>
</cp:coreProperties>
</file>