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readedComments/threadedComment1.xml" ContentType="application/vnd.ms-excel.threadedcomments+xml"/>
  <Override PartName="/xl/worksheets/sheet2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ersons/person.xml" ContentType="application/vnd.ms-excel.person+xml"/>
  <Override PartName="/xl/externalLinks/externalLink8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9.xml" ContentType="application/vnd.openxmlformats-officedocument.spreadsheetml.externalLink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externalLinks/externalLink2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7.xml" ContentType="application/vnd.openxmlformats-officedocument.spreadsheetml.externalLink+xml"/>
  <Override PartName="/xl/worksheets/sheet4.xml" ContentType="application/vnd.openxmlformats-officedocument.spreadsheetml.worksheet+xml"/>
  <Override PartName="/xl/externalLinks/externalLink11.xml" ContentType="application/vnd.openxmlformats-officedocument.spreadsheetml.externalLink+xml"/>
  <Override PartName="/xl/externalLinks/externalLink13.xml" ContentType="application/vnd.openxmlformats-officedocument.spreadsheetml.externalLink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Табель" sheetId="1" state="visible" r:id="rId15"/>
    <sheet name="ЦПБФ" sheetId="2" state="visible" r:id="rId16"/>
    <sheet name="ЦПКФ" sheetId="3" state="visible" r:id="rId17"/>
    <sheet name="Свод" sheetId="4" state="hidden" r:id="rId18"/>
  </sheets>
  <externalReferences>
    <externalReference r:id="rId1"/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tc={00C6005C-001F-4DD7-A2F4-0067000400B4}</author>
    <author>tc={00E20070-0029-4E71-931B-002900170011}</author>
    <author>tc={006F002E-0040-43D7-B376-0072007200ED}</author>
    <author>tc={00D300EF-007F-49F9-BD49-00C800AA00EF}</author>
    <author>tc={008E00B8-00D2-491A-BD03-0094008B0070}</author>
    <author>tc={00C40000-005A-429A-BE76-00E900D10097}</author>
    <author>tc={008F00CD-0065-4DB1-9E1A-0082006E00DA}</author>
    <author>tc={003800B7-004E-48C8-9AE5-00F2001C0074}</author>
    <author>tc={00460071-00C9-4B22-A43E-0004003200DD}</author>
    <author>tc={0033003E-008F-4514-A317-008B00160029}</author>
    <author>tc={002E00E3-0043-47C4-9C6A-00B6008C0070}</author>
    <author>tc={006D0004-00FE-40A7-9635-00A400600023}</author>
    <author>tc={007D005C-00AB-47C6-9CEF-00DE00E5001E}</author>
    <author>tc={0099008D-0038-44D9-AE4F-003000C500B7}</author>
    <author>tc={001700C5-00F0-4A7C-B4F5-004F009A006A}</author>
    <author>tc={009C00CD-00E1-4EA1-AA6D-00E1002000C6}</author>
    <author>tc={00BF005A-0046-4321-A3E7-009B0033009B}</author>
    <author>tc={00540008-0014-4581-9D4F-00F800D600FB}</author>
    <author>tc={00EF00A1-00E2-466B-A243-000D003100BF}</author>
    <author>tc={00CD00AB-00EE-4AF2-A738-009100B80084}</author>
    <author>tc={005C0000-0081-45AA-B123-00C60080009D}</author>
    <author>tc={00EB00D5-003A-40F6-AF6E-002900AB00D2}</author>
    <author>tc={0075001C-00AB-4C98-B70F-00D6007A00B1}</author>
  </authors>
  <commentList>
    <comment ref="O130" authorId="0" xr:uid="{00C6005C-001F-4DD7-A2F4-0067000400B4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1 обр
</t>
        </r>
      </text>
    </comment>
    <comment ref="T3" authorId="1" xr:uid="{00E20070-0029-4E71-931B-002900170011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1 обрезное
</t>
        </r>
      </text>
    </comment>
    <comment ref="T4" authorId="2" xr:uid="{006F002E-0040-43D7-B376-0072007200ED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2 обрезное
</t>
        </r>
      </text>
    </comment>
    <comment ref="C114" authorId="3" xr:uid="{00D300EF-007F-49F9-BD49-00C800AA00EF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1 обрезное
</t>
        </r>
      </text>
    </comment>
    <comment ref="R116" authorId="4" xr:uid="{008E00B8-00D2-491A-BD03-0094008B0070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3 обр
</t>
        </r>
      </text>
    </comment>
    <comment ref="O114" authorId="5" xr:uid="{00C40000-005A-429A-BE76-00E900D10097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1 обр
</t>
        </r>
      </text>
    </comment>
    <comment ref="P114" authorId="6" xr:uid="{008F00CD-0065-4DB1-9E1A-0082006E00DA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1 обр
</t>
        </r>
      </text>
    </comment>
    <comment ref="C117" authorId="7" xr:uid="{003800B7-004E-48C8-9AE5-00F2001C0074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2 обрезное
</t>
        </r>
      </text>
    </comment>
    <comment ref="S114" authorId="8" xr:uid="{00460071-00C9-4B22-A43E-0004003200DD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3 обр
</t>
        </r>
      </text>
    </comment>
    <comment ref="Q117" authorId="9" xr:uid="{0033003E-008F-4514-A317-008B00160029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2 обр
</t>
        </r>
      </text>
    </comment>
    <comment ref="P115" authorId="10" xr:uid="{002E00E3-0043-47C4-9C6A-00B6008C0070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2 обр
</t>
        </r>
      </text>
    </comment>
    <comment ref="C115" authorId="11" xr:uid="{006D0004-00FE-40A7-9635-00A400600023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2 обрезное
</t>
        </r>
      </text>
    </comment>
    <comment ref="Q115" authorId="12" xr:uid="{007D005C-00AB-47C6-9CEF-00DE00E5001E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1 обр
</t>
        </r>
      </text>
    </comment>
    <comment ref="Q133" authorId="13" xr:uid="{0099008D-0038-44D9-AE4F-003000C500B7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2 обр
</t>
        </r>
      </text>
    </comment>
    <comment ref="C116" authorId="14" xr:uid="{001700C5-00F0-4A7C-B4F5-004F009A006A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1 обрезное
</t>
        </r>
      </text>
    </comment>
    <comment ref="R117" authorId="15" xr:uid="{009C00CD-00E1-4EA1-AA6D-00E1002000C6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2 обр
</t>
        </r>
      </text>
    </comment>
    <comment ref="P130" authorId="16" xr:uid="{00BF005A-0046-4321-A3E7-009B0033009B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1 обр
</t>
        </r>
      </text>
    </comment>
    <comment ref="Q131" authorId="17" xr:uid="{00540008-0014-4581-9D4F-00F800D600FB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1 обр
</t>
        </r>
      </text>
    </comment>
    <comment ref="S130" authorId="18" xr:uid="{00EF00A1-00E2-466B-A243-000D003100BF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3 обр
</t>
        </r>
      </text>
    </comment>
    <comment ref="E184" authorId="19" xr:uid="{00CD00AB-00EE-4AF2-A738-009100B80084}">
      <text>
        <r>
          <rPr>
            <b/>
            <sz val="9"/>
            <rFont val="Tahoma"/>
          </rPr>
          <t>kau:</t>
        </r>
        <r>
          <rPr>
            <sz val="9"/>
            <rFont val="Tahoma"/>
          </rPr>
          <t xml:space="preserve">
55+10 на 2-ых вальцах
</t>
        </r>
      </text>
    </comment>
    <comment ref="P131" authorId="20" xr:uid="{005C0000-0081-45AA-B123-00C60080009D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2 обр
</t>
        </r>
      </text>
    </comment>
    <comment ref="R132" authorId="21" xr:uid="{00EB00D5-003A-40F6-AF6E-002900AB00D2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3 обр
</t>
        </r>
      </text>
    </comment>
    <comment ref="R133" authorId="22" xr:uid="{0075001C-00AB-4C98-B70F-00D6007A00B1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2 обр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tc={00F1005E-00BC-4939-BDC7-00B700A200D5}</author>
    <author>tc={00620027-0050-4F49-B6CE-0060000E002D}</author>
    <author>tc={004F0080-005D-4940-A94E-006800C50016}</author>
    <author>tc={008A0061-0072-4AFB-812B-00C8009C00B8}</author>
    <author>tc={00480005-0096-4740-9B0A-007B00850019}</author>
    <author>tc={00B900F0-003B-4440-A168-008E00D0000F}</author>
    <author>tc={007100F5-007B-4CF8-9AD5-006300A3008F}</author>
    <author>tc={001200AA-005F-4D97-A26B-009700210008}</author>
    <author>tc={00B0001B-00BA-4B3B-BE8F-009500DD0079}</author>
    <author>tc={00DF00AD-0070-4201-B229-00DA00940079}</author>
    <author>tc={00180017-0055-4A4E-84AF-00F9002F007A}</author>
    <author>tc={002B00C8-0076-4C77-AC01-0006004E0075}</author>
    <author>tc={005A0025-005E-4E48-AC7F-0030000800DE}</author>
    <author>tc={00910096-006C-40A3-8BB7-007D002400C9}</author>
  </authors>
  <commentList>
    <comment ref="A8" authorId="0" xr:uid="{00F1005E-00BC-4939-BDC7-00B700A200D5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Был станок №1
</t>
        </r>
      </text>
    </comment>
    <comment ref="G204" authorId="1" xr:uid="{00620027-0050-4F49-B6CE-0060000E002D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52" authorId="2" xr:uid="{004F0080-005D-4940-A94E-006800C50016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201" authorId="3" xr:uid="{008A0061-0072-4AFB-812B-00C8009C00B8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53" authorId="4" xr:uid="{00480005-0096-4740-9B0A-007B00850019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55" authorId="5" xr:uid="{00B900F0-003B-4440-A168-008E00D0000F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213" authorId="6" xr:uid="{007100F5-007B-4CF8-9AD5-006300A3008F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54" authorId="7" xr:uid="{001200AA-005F-4D97-A26B-009700210008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203" authorId="8" xr:uid="{00B0001B-00BA-4B3B-BE8F-009500DD0079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212" authorId="9" xr:uid="{00DF00AD-0070-4201-B229-00DA00940079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221" authorId="10" xr:uid="{00180017-0055-4A4E-84AF-00F9002F007A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220" authorId="11" xr:uid="{002B00C8-0076-4C77-AC01-0006004E0075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229" authorId="12" xr:uid="{005A0025-005E-4E48-AC7F-0030000800DE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  <comment ref="G228" authorId="13" xr:uid="{00910096-006C-40A3-8BB7-007D002400C9}">
      <text>
        <r>
          <rPr>
            <b/>
            <sz val="9"/>
            <rFont val="Tahoma"/>
          </rPr>
          <t>Imv:</t>
        </r>
        <r>
          <rPr>
            <sz val="9"/>
            <rFont val="Tahoma"/>
          </rPr>
          <t xml:space="preserve">
чистка
</t>
        </r>
      </text>
    </comment>
  </commentList>
</comments>
</file>

<file path=xl/sharedStrings.xml><?xml version="1.0" encoding="utf-8"?>
<sst xmlns="http://schemas.openxmlformats.org/spreadsheetml/2006/main" count="137" uniqueCount="137">
  <si>
    <t>красная</t>
  </si>
  <si>
    <t xml:space="preserve">зеленая </t>
  </si>
  <si>
    <t>оранжевая</t>
  </si>
  <si>
    <t>фиолетовая</t>
  </si>
  <si>
    <r>
      <t xml:space="preserve">План производства по дням на ЯНВАРЬ</t>
    </r>
    <r>
      <rPr>
        <b/>
        <u val="single"/>
        <sz val="16"/>
        <color theme="1"/>
        <rFont val="Times New Roman"/>
      </rPr>
      <t xml:space="preserve"> 2022г.</t>
    </r>
    <r>
      <rPr>
        <b/>
        <u val="single"/>
        <sz val="12"/>
        <color theme="1"/>
        <rFont val="Times New Roman"/>
      </rPr>
      <t xml:space="preserve"> в  ЦПБФ</t>
    </r>
  </si>
  <si>
    <t>*</t>
  </si>
  <si>
    <r>
      <rPr>
        <b/>
        <sz val="20"/>
        <color theme="1"/>
        <rFont val="Times New Roman"/>
      </rPr>
      <t>*</t>
    </r>
    <r>
      <rPr>
        <b/>
        <sz val="10"/>
        <color theme="1"/>
        <rFont val="Times New Roman"/>
      </rPr>
      <t xml:space="preserve">ТО по сменам</t>
    </r>
  </si>
  <si>
    <t xml:space="preserve">1 обрезное</t>
  </si>
  <si>
    <t xml:space="preserve">2 обрезное</t>
  </si>
  <si>
    <t xml:space="preserve">1. Лущение</t>
  </si>
  <si>
    <t xml:space="preserve">Лущильный станок Рауте VE</t>
  </si>
  <si>
    <t xml:space="preserve">Выработка            </t>
  </si>
  <si>
    <t xml:space="preserve">Выработка                   </t>
  </si>
  <si>
    <t xml:space="preserve">План                </t>
  </si>
  <si>
    <t>Ст/см</t>
  </si>
  <si>
    <t>ТО</t>
  </si>
  <si>
    <t xml:space="preserve">Замены режущего инстр в смену</t>
  </si>
  <si>
    <t xml:space="preserve">Норматив простоя в смену</t>
  </si>
  <si>
    <t>Итого</t>
  </si>
  <si>
    <t>х</t>
  </si>
  <si>
    <t xml:space="preserve">Лущильная линия Фезер</t>
  </si>
  <si>
    <t xml:space="preserve">СВОД  по лущению</t>
  </si>
  <si>
    <t xml:space="preserve">Итого лущение</t>
  </si>
  <si>
    <t xml:space="preserve">2. Подача</t>
  </si>
  <si>
    <t xml:space="preserve">СВОД  по подаче</t>
  </si>
  <si>
    <t xml:space="preserve">Итого подача</t>
  </si>
  <si>
    <t xml:space="preserve">3. Сушка</t>
  </si>
  <si>
    <t xml:space="preserve"> Сушилка Фезер </t>
  </si>
  <si>
    <t xml:space="preserve">Сушилка Фезер </t>
  </si>
  <si>
    <t xml:space="preserve">4. Клейка</t>
  </si>
  <si>
    <t xml:space="preserve">Пресс Китагава</t>
  </si>
  <si>
    <t xml:space="preserve">5. Сдача</t>
  </si>
  <si>
    <t>СДАЧА</t>
  </si>
  <si>
    <t>Сдача</t>
  </si>
  <si>
    <t xml:space="preserve">Клейка, м3</t>
  </si>
  <si>
    <t xml:space="preserve">Сдача, м3</t>
  </si>
  <si>
    <t xml:space="preserve">Упаковка+потери, м3</t>
  </si>
  <si>
    <t xml:space="preserve">Сдача с 5 по 31 янв</t>
  </si>
  <si>
    <t xml:space="preserve">Откл. от планов. сдачи</t>
  </si>
  <si>
    <t xml:space="preserve">Сдано 2-3 янв за дек.</t>
  </si>
  <si>
    <t xml:space="preserve">6. Ребросклеивание шпона</t>
  </si>
  <si>
    <t xml:space="preserve">Ребросклейка №2 (Купер)</t>
  </si>
  <si>
    <t xml:space="preserve">Ребросклейка Купер</t>
  </si>
  <si>
    <t xml:space="preserve">Ребросклейка №3 (Такаяма)</t>
  </si>
  <si>
    <t xml:space="preserve">СВОД   по ребросклеиванию шпона</t>
  </si>
  <si>
    <t xml:space="preserve">Итого ребросклейка</t>
  </si>
  <si>
    <t xml:space="preserve">7. Починка шпона</t>
  </si>
  <si>
    <t xml:space="preserve">Шпонопочиночный станок №1</t>
  </si>
  <si>
    <t xml:space="preserve">Шпонопочиночный станок №2</t>
  </si>
  <si>
    <t xml:space="preserve">Шпонопочиночный станок №3</t>
  </si>
  <si>
    <t xml:space="preserve">СВОД  по починке шпона</t>
  </si>
  <si>
    <t xml:space="preserve">Итого починка</t>
  </si>
  <si>
    <t xml:space="preserve">8. Обрезка фанеры</t>
  </si>
  <si>
    <t xml:space="preserve">Линия обрезки Шеллинг</t>
  </si>
  <si>
    <t xml:space="preserve">9. Шлифование фанеры</t>
  </si>
  <si>
    <t xml:space="preserve">Линия обрезки Кикукава</t>
  </si>
  <si>
    <t xml:space="preserve">Линия шлифования Кикукава</t>
  </si>
  <si>
    <t xml:space="preserve">10. Сортировка фанеры</t>
  </si>
  <si>
    <t xml:space="preserve">Автоматическая линия сортировки фанеры Крафт</t>
  </si>
  <si>
    <t xml:space="preserve">11. Усование шпона</t>
  </si>
  <si>
    <t xml:space="preserve">Станок №1</t>
  </si>
  <si>
    <t xml:space="preserve">Станок №2</t>
  </si>
  <si>
    <t xml:space="preserve">СВОД  по усованию шпона</t>
  </si>
  <si>
    <t xml:space="preserve">Итого усовка</t>
  </si>
  <si>
    <t xml:space="preserve">12. Ламинирование фанеры</t>
  </si>
  <si>
    <t xml:space="preserve">Линия ламинирования</t>
  </si>
  <si>
    <t xml:space="preserve">Выработка      </t>
  </si>
  <si>
    <t>пт</t>
  </si>
  <si>
    <t>сб</t>
  </si>
  <si>
    <t>вс</t>
  </si>
  <si>
    <t>пн</t>
  </si>
  <si>
    <t>вт</t>
  </si>
  <si>
    <t>ср</t>
  </si>
  <si>
    <t>чт</t>
  </si>
  <si>
    <t xml:space="preserve">Пресс Омеко (ФСФ ЦПБФ)</t>
  </si>
  <si>
    <t xml:space="preserve">Пресс Омеко</t>
  </si>
  <si>
    <t xml:space="preserve">по средам</t>
  </si>
  <si>
    <t xml:space="preserve">Передача/поступление СЫРОГО  шпона в/из ЦПКФ</t>
  </si>
  <si>
    <t xml:space="preserve">Передача сырого шпона в ЦПКФ</t>
  </si>
  <si>
    <t>Куски</t>
  </si>
  <si>
    <t xml:space="preserve">Передача сырого шпона в  ЦПКФ</t>
  </si>
  <si>
    <t>1600х1600</t>
  </si>
  <si>
    <t xml:space="preserve">Передача шпона в ЦПКФ</t>
  </si>
  <si>
    <t xml:space="preserve">S2 полный формат</t>
  </si>
  <si>
    <t xml:space="preserve">S2 ребросклейка</t>
  </si>
  <si>
    <t>п/ф</t>
  </si>
  <si>
    <t>реброскл</t>
  </si>
  <si>
    <t>ПЛАН</t>
  </si>
  <si>
    <t xml:space="preserve">Отбор сортового шпона, лист</t>
  </si>
  <si>
    <t>ИТОГО</t>
  </si>
  <si>
    <t>В</t>
  </si>
  <si>
    <t>ВВ</t>
  </si>
  <si>
    <t xml:space="preserve">ВВ Починка</t>
  </si>
  <si>
    <t>СР</t>
  </si>
  <si>
    <t xml:space="preserve">СР Починка</t>
  </si>
  <si>
    <r>
      <t xml:space="preserve">План производства </t>
    </r>
    <r>
      <rPr>
        <b/>
        <u val="single"/>
        <sz val="14"/>
        <color rgb="FF7030A0"/>
        <rFont val="Times New Roman"/>
      </rPr>
      <t xml:space="preserve">по дням</t>
    </r>
    <r>
      <rPr>
        <b/>
        <u val="single"/>
        <sz val="14"/>
        <color indexed="2"/>
        <rFont val="Times New Roman"/>
      </rPr>
      <t xml:space="preserve"> </t>
    </r>
    <r>
      <rPr>
        <b/>
        <u val="single"/>
        <sz val="14"/>
        <color theme="1"/>
        <rFont val="Times New Roman"/>
      </rPr>
      <t xml:space="preserve">на ЯНВАРЬ 2022г. в  ЦПКФ</t>
    </r>
  </si>
  <si>
    <t>чистка</t>
  </si>
  <si>
    <t>Подача</t>
  </si>
  <si>
    <t xml:space="preserve">Бесшпиндельная линия</t>
  </si>
  <si>
    <t xml:space="preserve"> Лущильный станок №2</t>
  </si>
  <si>
    <t xml:space="preserve"> Лущильный станок №3</t>
  </si>
  <si>
    <t xml:space="preserve"> Сушилка №1</t>
  </si>
  <si>
    <t xml:space="preserve">Сушилка №1</t>
  </si>
  <si>
    <t xml:space="preserve"> Сушилка №2</t>
  </si>
  <si>
    <t xml:space="preserve">Сушилка №2</t>
  </si>
  <si>
    <t xml:space="preserve">Сушилка Омеко</t>
  </si>
  <si>
    <t xml:space="preserve">СВОД   по сушке</t>
  </si>
  <si>
    <t xml:space="preserve">Итого сушка</t>
  </si>
  <si>
    <t xml:space="preserve">Пресс №2</t>
  </si>
  <si>
    <t xml:space="preserve">Пресс №3</t>
  </si>
  <si>
    <t xml:space="preserve">СВОД  по клейке</t>
  </si>
  <si>
    <t xml:space="preserve">ТО / чистка</t>
  </si>
  <si>
    <t xml:space="preserve">Итого клейка </t>
  </si>
  <si>
    <t xml:space="preserve">Сдача </t>
  </si>
  <si>
    <t>План</t>
  </si>
  <si>
    <t xml:space="preserve">Ребросклейка Хашимото  №1</t>
  </si>
  <si>
    <t xml:space="preserve">Ребросклейка  №1</t>
  </si>
  <si>
    <t xml:space="preserve">Ребросклейка Хашимото  №4</t>
  </si>
  <si>
    <t xml:space="preserve">Ребросклейка  №4</t>
  </si>
  <si>
    <t xml:space="preserve">Обрезной станок "ТАКАЯМА"</t>
  </si>
  <si>
    <t xml:space="preserve">Шлифовальная линия "Такаяма"</t>
  </si>
  <si>
    <t xml:space="preserve">Автоматическая линия сортировки фанеры</t>
  </si>
  <si>
    <t xml:space="preserve">Поступление шпона из ЦПБФ/Передача шпона в ЦПБФ</t>
  </si>
  <si>
    <t xml:space="preserve">Передача шпона в ЦПБФ</t>
  </si>
  <si>
    <t xml:space="preserve">Поступление сырого шпона из  ЦПБФ</t>
  </si>
  <si>
    <t>вых</t>
  </si>
  <si>
    <t xml:space="preserve">пн (чист)</t>
  </si>
  <si>
    <t xml:space="preserve">пн ТО</t>
  </si>
  <si>
    <t xml:space="preserve">Пресс Омеко (ФК)</t>
  </si>
  <si>
    <t xml:space="preserve">Пресс Омеко 45-типролетный №1</t>
  </si>
  <si>
    <t xml:space="preserve">Пресс Омеко 45-типролетный №2</t>
  </si>
  <si>
    <t xml:space="preserve">Пресс Омеко </t>
  </si>
  <si>
    <t xml:space="preserve">Пресс Омеко 45-типролетный №3</t>
  </si>
  <si>
    <t xml:space="preserve">Пресс Омеко 45-типролетный №4</t>
  </si>
  <si>
    <t xml:space="preserve">5. Сдача ФСФ, набранной в ЦПБФ</t>
  </si>
  <si>
    <t>ЦПБФ</t>
  </si>
  <si>
    <t>ЦПКФ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</si>
</sst>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0" formatCode="[$-419]d\ mmm;@"/>
    <numFmt numFmtId="161" formatCode="0.0"/>
    <numFmt numFmtId="162" formatCode="0.0%"/>
    <numFmt numFmtId="163" formatCode="#,##0.0"/>
    <numFmt numFmtId="164" formatCode="0.000"/>
  </numFmts>
  <fonts count="67">
    <font>
      <name val="Calibri"/>
      <color theme="1"/>
      <sz val="11.000000"/>
      <scheme val="minor"/>
    </font>
    <font>
      <name val="Arial"/>
      <sz val="10.000000"/>
    </font>
    <font>
      <name val="Times New Roman"/>
      <b/>
      <color theme="1"/>
      <sz val="11.000000"/>
    </font>
    <font>
      <name val="Calibri"/>
      <b/>
      <color theme="1"/>
      <sz val="11.000000"/>
      <scheme val="minor"/>
    </font>
    <font>
      <name val="Times New Roman"/>
      <color theme="1"/>
      <sz val="10.000000"/>
    </font>
    <font>
      <name val="Times New Roman"/>
      <b/>
      <color indexed="2"/>
      <sz val="10.000000"/>
    </font>
    <font>
      <name val="Times New Roman"/>
      <b/>
      <color theme="1"/>
      <sz val="12.000000"/>
      <u/>
    </font>
    <font>
      <name val="Times New Roman"/>
      <color theme="1"/>
      <sz val="12.000000"/>
    </font>
    <font>
      <name val="Times New Roman"/>
      <b/>
      <color theme="1"/>
      <sz val="10.000000"/>
    </font>
    <font>
      <name val="Times New Roman"/>
      <b/>
      <color theme="1"/>
      <sz val="8.000000"/>
    </font>
    <font>
      <name val="Times New Roman"/>
      <b/>
      <color theme="1"/>
      <sz val="9.000000"/>
    </font>
    <font>
      <name val="Times New Roman"/>
      <color rgb="FF002060"/>
      <sz val="10.000000"/>
    </font>
    <font>
      <name val="Times New Roman"/>
      <color rgb="FF002060"/>
      <sz val="8.000000"/>
    </font>
    <font>
      <name val="Times New Roman"/>
      <b/>
      <color indexed="2"/>
      <sz val="8.000000"/>
    </font>
    <font>
      <name val="Times New Roman"/>
      <color indexed="2"/>
      <sz val="8.000000"/>
    </font>
    <font>
      <name val="Times New Roman"/>
      <b/>
      <color theme="1"/>
      <sz val="14.000000"/>
      <u/>
    </font>
    <font>
      <name val="Times New Roman"/>
      <b/>
      <color rgb="FF7030A0"/>
      <sz val="11.000000"/>
      <u/>
    </font>
    <font>
      <name val="Times New Roman"/>
      <color theme="1"/>
      <sz val="8.000000"/>
    </font>
    <font>
      <name val="Times New Roman"/>
      <b/>
      <color rgb="FFC00000"/>
      <sz val="11.000000"/>
      <u/>
    </font>
    <font>
      <name val="Times New Roman"/>
      <b/>
      <sz val="8.000000"/>
    </font>
    <font>
      <name val="Times New Roman"/>
      <b/>
      <i/>
      <color theme="1"/>
      <sz val="8.000000"/>
    </font>
    <font>
      <name val="Times New Roman"/>
      <b/>
      <sz val="10.000000"/>
    </font>
    <font>
      <name val="Times New Roman"/>
      <color theme="9" tint="-0.499984740745262"/>
      <sz val="10.000000"/>
    </font>
    <font>
      <name val="Times New Roman"/>
      <b/>
      <color rgb="FFC00000"/>
      <sz val="10.000000"/>
    </font>
    <font>
      <name val="Times New Roman"/>
      <b/>
      <color rgb="FF00B050"/>
      <sz val="10.000000"/>
    </font>
    <font>
      <name val="Times New Roman"/>
      <b/>
      <color theme="9" tint="-0.249977111117893"/>
      <sz val="10.000000"/>
    </font>
    <font>
      <name val="Times New Roman"/>
      <b/>
      <color rgb="FF7030A0"/>
      <sz val="10.000000"/>
    </font>
    <font>
      <name val="Times New Roman"/>
      <b/>
      <sz val="12.000000"/>
    </font>
    <font>
      <name val="Times New Roman"/>
      <b/>
      <color theme="9" tint="-0.499984740745262"/>
      <sz val="10.000000"/>
    </font>
    <font>
      <name val="Times New Roman"/>
      <sz val="10.000000"/>
    </font>
    <font>
      <name val="Times New Roman"/>
      <b/>
      <color rgb="FF7030A0"/>
      <sz val="12.000000"/>
    </font>
    <font>
      <name val="Times New Roman"/>
      <color rgb="FFC00000"/>
      <sz val="10.000000"/>
    </font>
    <font>
      <name val="Times New Roman"/>
      <b/>
      <color indexed="2"/>
      <sz val="14.000000"/>
      <u/>
    </font>
    <font>
      <name val="Times New Roman"/>
      <b/>
      <color theme="1"/>
      <sz val="10.000000"/>
      <u/>
    </font>
    <font>
      <name val="Times New Roman"/>
      <b/>
      <color rgb="FF7030A0"/>
      <sz val="10.000000"/>
      <u/>
    </font>
    <font>
      <name val="Times New Roman"/>
      <b/>
      <color rgb="FF7030A0"/>
      <sz val="14.000000"/>
      <u/>
    </font>
    <font>
      <name val="Times New Roman"/>
      <color indexed="2"/>
      <sz val="10.000000"/>
    </font>
    <font>
      <name val="Times New Roman"/>
      <color rgb="FF00B050"/>
      <sz val="10.000000"/>
    </font>
    <font>
      <name val="Times New Roman"/>
      <color rgb="FF7030A0"/>
      <sz val="10.000000"/>
    </font>
    <font>
      <name val="Times New Roman"/>
      <b/>
      <color rgb="FF7030A0"/>
      <sz val="11.000000"/>
    </font>
    <font>
      <name val="Times New Roman"/>
      <b/>
      <color rgb="FF7030A0"/>
      <sz val="9.000000"/>
    </font>
    <font>
      <name val="Arial"/>
      <b/>
      <color rgb="FF594304"/>
      <sz val="8.000000"/>
    </font>
    <font>
      <name val="Calibri"/>
      <color theme="1"/>
      <sz val="11.000000"/>
      <u/>
      <scheme val="minor"/>
    </font>
    <font>
      <name val="Times New Roman"/>
      <sz val="8.000000"/>
    </font>
    <font>
      <name val="Times New Roman"/>
      <b/>
      <color rgb="FFC00000"/>
      <sz val="12.000000"/>
      <u/>
    </font>
    <font>
      <name val="Times New Roman"/>
      <i/>
      <color theme="1"/>
      <sz val="10.000000"/>
    </font>
    <font>
      <name val="Times New Roman"/>
      <b/>
      <color theme="1"/>
      <sz val="12.000000"/>
    </font>
    <font>
      <name val="Times New Roman"/>
      <b/>
      <color theme="1"/>
      <sz val="16.000000"/>
    </font>
    <font>
      <name val="Times New Roman"/>
      <b/>
      <sz val="9.000000"/>
    </font>
    <font>
      <name val="Times New Roman"/>
      <sz val="10.000000"/>
      <u/>
    </font>
    <font>
      <name val="Times New Roman"/>
      <color theme="9"/>
      <sz val="10.000000"/>
    </font>
    <font>
      <name val="Times New Roman"/>
      <sz val="9.000000"/>
    </font>
    <font>
      <name val="Times New Roman"/>
      <b/>
      <color rgb="FF7030A0"/>
      <sz val="14.000000"/>
    </font>
    <font>
      <name val="Times New Roman"/>
      <b/>
      <color theme="1"/>
      <sz val="11.000000"/>
      <u/>
    </font>
    <font>
      <name val="Times New Roman"/>
      <b/>
      <color theme="9" tint="0.39997558519241921"/>
      <sz val="10.000000"/>
      <u/>
    </font>
    <font>
      <name val="Times New Roman"/>
      <color theme="3" tint="-0.249977111117893"/>
      <sz val="10.000000"/>
    </font>
    <font>
      <name val="Times New Roman"/>
      <color theme="9" tint="-0.499984740745262"/>
      <sz val="9.000000"/>
    </font>
    <font>
      <name val="Times New Roman"/>
      <color rgb="FF0070C0"/>
      <sz val="10.000000"/>
    </font>
    <font>
      <name val="Times New Roman"/>
      <color theme="1"/>
      <sz val="9.000000"/>
    </font>
    <font>
      <name val="Times New Roman"/>
      <b/>
      <color indexed="2"/>
      <sz val="9.000000"/>
    </font>
    <font>
      <name val="Times New Roman"/>
      <b/>
      <color rgb="FF00B050"/>
      <sz val="9.000000"/>
    </font>
    <font>
      <name val="Times New Roman"/>
      <b/>
      <color theme="9" tint="-0.249977111117893"/>
      <sz val="9.000000"/>
    </font>
    <font>
      <name val="Times New Roman"/>
      <color theme="9" tint="0.59999389629810485"/>
      <sz val="10.000000"/>
    </font>
    <font>
      <name val="Times New Roman"/>
      <color theme="0"/>
      <sz val="10.000000"/>
    </font>
    <font>
      <name val="Calibri"/>
      <color theme="1"/>
      <sz val="8.000000"/>
      <scheme val="minor"/>
    </font>
    <font>
      <name val="Times New Roman"/>
      <color theme="1"/>
      <sz val="11.000000"/>
    </font>
    <font>
      <name val="Times New Roman"/>
      <i/>
      <color theme="9" tint="-0.249977111117893"/>
      <sz val="11.000000"/>
    </font>
  </fonts>
  <fills count="30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rgb="FFFFC000"/>
        <bgColor rgb="FFFFC000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8" tint="0.79998168889431442"/>
        <bgColor rgb="FFEBF1DE"/>
      </patternFill>
    </fill>
    <fill>
      <patternFill patternType="solid">
        <fgColor indexed="43"/>
        <bgColor indexed="43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0.099978637043366805"/>
        <bgColor theme="2" tint="-0.099978637043366805"/>
      </patternFill>
    </fill>
    <fill>
      <patternFill patternType="solid">
        <fgColor rgb="FFFFCCFF"/>
        <bgColor rgb="FFFFCCFF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2F2F2"/>
        <bgColor rgb="FFF2F2F2"/>
      </patternFill>
    </fill>
    <fill>
      <patternFill patternType="solid">
        <fgColor rgb="FFFF9999"/>
        <bgColor rgb="FFFF9999"/>
      </patternFill>
    </fill>
    <fill>
      <patternFill patternType="solid">
        <fgColor rgb="FFDDD9C3"/>
        <bgColor rgb="FFDDD9C3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rgb="FFF5F2DD"/>
        <bgColor rgb="FFF5F2DD"/>
      </patternFill>
    </fill>
    <fill>
      <patternFill patternType="solid">
        <fgColor rgb="FFFFCCFF"/>
        <bgColor rgb="FFEBF1DE"/>
      </patternFill>
    </fill>
    <fill>
      <patternFill patternType="solid">
        <fgColor rgb="FFFDA1E3"/>
        <bgColor rgb="FFFDA1E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indexed="5"/>
        <bgColor rgb="FFEBF1DE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rgb="FFFDA1E3"/>
        <bgColor rgb="FFEBF1DE"/>
      </patternFill>
    </fill>
  </fills>
  <borders count="1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2" tint="-0.749992370372631"/>
      </right>
      <top style="medium">
        <color auto="1"/>
      </top>
      <bottom style="medium">
        <color auto="1"/>
      </bottom>
      <diagonal/>
    </border>
    <border>
      <left style="thin">
        <color theme="2" tint="-0.749992370372631"/>
      </left>
      <right style="thin">
        <color theme="2" tint="-0.749992370372631"/>
      </right>
      <top style="medium">
        <color auto="1"/>
      </top>
      <bottom style="medium">
        <color auto="1"/>
      </bottom>
      <diagonal/>
    </border>
    <border>
      <left style="thin">
        <color theme="2" tint="-0.74999237037263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theme="2" tint="-0.749992370372631"/>
      </right>
      <top style="thin">
        <color indexed="64"/>
      </top>
      <bottom/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theme="2" tint="-0.74999237037263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2" tint="-0.249977111117893"/>
      </bottom>
      <diagonal/>
    </border>
    <border>
      <left style="thin">
        <color auto="1"/>
      </left>
      <right style="thin">
        <color auto="1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theme="2" tint="-0.74999237037263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theme="2" tint="-0.249977111117893"/>
      </bottom>
      <diagonal/>
    </border>
    <border>
      <left/>
      <right style="thin">
        <color auto="1"/>
      </right>
      <top/>
      <bottom style="thin">
        <color theme="2" tint="-0.249977111117893"/>
      </bottom>
      <diagonal/>
    </border>
    <border>
      <left style="thin">
        <color indexed="64"/>
      </left>
      <right style="thin">
        <color theme="2" tint="-0.74999237037263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theme="2" tint="-0.74999237037263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2" tint="-0.74999237037263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theme="2" tint="-0.74999237037263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2" tint="-0.249977111117893"/>
      </right>
      <top style="medium">
        <color auto="1"/>
      </top>
      <bottom style="medium">
        <color auto="1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auto="1"/>
      </top>
      <bottom style="medium">
        <color auto="1"/>
      </bottom>
      <diagonal/>
    </border>
    <border>
      <left style="thin">
        <color theme="2" tint="-0.249977111117893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2" tint="-0.249977111117893"/>
      </right>
      <top style="medium">
        <color auto="1"/>
      </top>
      <bottom style="medium">
        <color auto="1"/>
      </bottom>
      <diagonal/>
    </border>
    <border>
      <left style="thin">
        <color theme="2" tint="-0.249977111117893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theme="2" tint="-0.249977111117893"/>
      </bottom>
      <diagonal/>
    </border>
    <border>
      <left style="thin">
        <color auto="1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medium">
        <color auto="1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auto="1"/>
      </left>
      <right/>
      <top style="thin">
        <color theme="2" tint="-0.249977111117893"/>
      </top>
      <bottom/>
      <diagonal/>
    </border>
    <border>
      <left/>
      <right style="medium">
        <color auto="1"/>
      </right>
      <top style="thin">
        <color theme="2" tint="-0.249977111117893"/>
      </top>
      <bottom/>
      <diagonal/>
    </border>
    <border>
      <left style="thin">
        <color theme="2" tint="-0.749992370372631"/>
      </left>
      <right/>
      <top style="medium">
        <color auto="1"/>
      </top>
      <bottom style="medium">
        <color auto="1"/>
      </bottom>
      <diagonal/>
    </border>
    <border>
      <left style="medium">
        <color rgb="FFB3AC86"/>
      </left>
      <right style="medium">
        <color rgb="FFB3AC86"/>
      </right>
      <top style="medium">
        <color rgb="FFB3AC86"/>
      </top>
      <bottom style="medium">
        <color rgb="FFB3AC86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theme="2" tint="-0.749992370372631"/>
      </right>
      <top style="medium">
        <color auto="1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medium">
        <color auto="1"/>
      </top>
      <bottom/>
      <diagonal/>
    </border>
    <border>
      <left style="thin">
        <color theme="2" tint="-0.74999237037263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theme="2" tint="-0.74999237037263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2" tint="-0.249977111117893"/>
      </bottom>
      <diagonal/>
    </border>
    <border>
      <left style="thin">
        <color theme="2" tint="-0.749992370372631"/>
      </left>
      <right style="medium">
        <color auto="1"/>
      </right>
      <top/>
      <bottom/>
      <diagonal/>
    </border>
    <border>
      <left/>
      <right style="thin">
        <color theme="2" tint="-0.249977111117893"/>
      </right>
      <top/>
      <bottom style="medium">
        <color auto="1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medium">
        <color auto="1"/>
      </bottom>
      <diagonal/>
    </border>
    <border>
      <left style="thin">
        <color theme="2" tint="-0.249977111117893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theme="2" tint="-0.249977111117893"/>
      </bottom>
      <diagonal/>
    </border>
    <border>
      <left style="medium">
        <color auto="1"/>
      </left>
      <right style="thin">
        <color auto="1"/>
      </right>
      <top/>
      <bottom style="thin">
        <color theme="2" tint="-0.249977111117893"/>
      </bottom>
      <diagonal/>
    </border>
    <border>
      <left style="thin">
        <color auto="1"/>
      </left>
      <right style="medium">
        <color auto="1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auto="1"/>
      </left>
      <right style="thin">
        <color auto="1"/>
      </right>
      <top style="thin">
        <color theme="2" tint="-0.249977111117893"/>
      </top>
      <bottom/>
      <diagonal/>
    </border>
    <border>
      <left style="thin">
        <color auto="1"/>
      </left>
      <right style="medium">
        <color auto="1"/>
      </right>
      <top style="thin">
        <color theme="2" tint="-0.249977111117893"/>
      </top>
      <bottom/>
      <diagonal/>
    </border>
    <border>
      <left style="thin">
        <color theme="2" tint="-0.74999237037263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theme="2" tint="-0.249977111117893"/>
      </bottom>
      <diagonal/>
    </border>
    <border>
      <left/>
      <right/>
      <top style="thin">
        <color theme="2" tint="-0.749992370372631"/>
      </top>
      <bottom style="thin">
        <color theme="2" tint="-0.749992370372631"/>
      </bottom>
      <diagonal/>
    </border>
    <border>
      <left style="medium">
        <color auto="1"/>
      </left>
      <right style="thin">
        <color auto="1"/>
      </right>
      <top style="thin">
        <color theme="2" tint="-0.249977111117893"/>
      </top>
      <bottom/>
      <diagonal/>
    </border>
    <border>
      <left style="medium">
        <color auto="1"/>
      </left>
      <right style="thin">
        <color auto="1"/>
      </right>
      <top style="thin">
        <color theme="2" tint="-0.249977111117893"/>
      </top>
      <bottom style="medium">
        <color auto="1"/>
      </bottom>
      <diagonal/>
    </border>
    <border>
      <left style="thin">
        <color auto="1"/>
      </left>
      <right/>
      <top style="thin">
        <color theme="2" tint="-0.249977111117893"/>
      </top>
      <bottom style="medium">
        <color auto="1"/>
      </bottom>
      <diagonal/>
    </border>
    <border>
      <left/>
      <right style="medium">
        <color auto="1"/>
      </right>
      <top style="thin">
        <color theme="2" tint="-0.249977111117893"/>
      </top>
      <bottom style="medium">
        <color auto="1"/>
      </bottom>
      <diagonal/>
    </border>
    <border>
      <left/>
      <right/>
      <top/>
      <bottom style="thin">
        <color theme="2" tint="-0.249977111117893"/>
      </bottom>
      <diagonal/>
    </border>
    <border>
      <left style="medium">
        <color auto="1"/>
      </left>
      <right style="thin">
        <color theme="2" tint="-0.74999237037263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2" tint="-0.249977111117893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theme="2" tint="-0.249977111117893"/>
      </bottom>
      <diagonal/>
    </border>
    <border>
      <left style="thin">
        <color auto="1"/>
      </left>
      <right/>
      <top style="medium">
        <color auto="1"/>
      </top>
      <bottom style="thin">
        <color theme="2" tint="-0.249977111117893"/>
      </bottom>
      <diagonal/>
    </border>
    <border>
      <left style="medium">
        <color auto="1"/>
      </left>
      <right style="thin">
        <color theme="2" tint="-0.749992370372631"/>
      </right>
      <top/>
      <bottom style="medium">
        <color auto="1"/>
      </bottom>
      <diagonal/>
    </border>
    <border>
      <left style="thin">
        <color theme="2" tint="-0.749992370372631"/>
      </left>
      <right/>
      <top style="thin">
        <color theme="2" tint="-0.74999237037263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2" tint="-0.249977111117893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theme="2" tint="-0.249977111117893"/>
      </top>
      <bottom style="medium">
        <color auto="1"/>
      </bottom>
      <diagonal/>
    </border>
    <border>
      <left style="medium">
        <color auto="1"/>
      </left>
      <right/>
      <top/>
      <bottom style="thin">
        <color theme="2" tint="-0.249977111117893"/>
      </bottom>
      <diagonal/>
    </border>
    <border>
      <left/>
      <right style="thin">
        <color auto="1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medium">
        <color auto="1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2" tint="-0.249977111117893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fontId="0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9" applyNumberFormat="1" applyFont="0" applyFill="0" applyBorder="0"/>
  </cellStyleXfs>
  <cellXfs count="1031">
    <xf fontId="0" fillId="0" borderId="0" numFmtId="0" xfId="0"/>
    <xf fontId="0" fillId="0" borderId="0" numFmtId="0" xfId="0" applyAlignment="1">
      <alignment horizontal="center" vertical="center"/>
    </xf>
    <xf fontId="2" fillId="2" borderId="1" numFmtId="0" xfId="0" applyFont="1" applyFill="1" applyBorder="1" applyAlignment="1">
      <alignment horizontal="center" vertical="center"/>
    </xf>
    <xf fontId="2" fillId="3" borderId="1" numFmtId="0" xfId="0" applyFont="1" applyFill="1" applyBorder="1" applyAlignment="1">
      <alignment horizontal="center" vertical="center"/>
    </xf>
    <xf fontId="2" fillId="4" borderId="1" numFmtId="0" xfId="0" applyFont="1" applyFill="1" applyBorder="1" applyAlignment="1">
      <alignment horizontal="center" vertical="center" wrapText="1"/>
    </xf>
    <xf fontId="2" fillId="5" borderId="1" numFmtId="0" xfId="0" applyFont="1" applyFill="1" applyBorder="1" applyAlignment="1">
      <alignment horizontal="center" vertical="center" wrapText="1"/>
    </xf>
    <xf fontId="1" fillId="0" borderId="0" numFmtId="160" xfId="1" applyNumberFormat="1" applyFont="1"/>
    <xf fontId="1" fillId="0" borderId="2" numFmtId="0" xfId="1" applyFont="1" applyBorder="1" applyAlignment="1">
      <alignment horizontal="center" vertical="center"/>
    </xf>
    <xf fontId="1" fillId="0" borderId="3" numFmtId="0" xfId="1" applyFont="1" applyBorder="1" applyAlignment="1">
      <alignment horizontal="center" vertical="center"/>
    </xf>
    <xf fontId="1" fillId="0" borderId="4" numFmtId="0" xfId="1" applyFont="1" applyBorder="1" applyAlignment="1">
      <alignment horizontal="center" vertical="center"/>
    </xf>
    <xf fontId="1" fillId="0" borderId="5" numFmtId="0" xfId="1" applyFont="1" applyBorder="1" applyAlignment="1">
      <alignment horizontal="center" vertical="center"/>
    </xf>
    <xf fontId="1" fillId="0" borderId="6" numFmtId="0" xfId="1" applyFont="1" applyBorder="1" applyAlignment="1">
      <alignment horizontal="center" vertical="center"/>
    </xf>
    <xf fontId="1" fillId="0" borderId="7" numFmtId="0" xfId="1" applyFont="1" applyBorder="1" applyAlignment="1">
      <alignment horizontal="center" vertical="center"/>
    </xf>
    <xf fontId="1" fillId="0" borderId="8" numFmtId="0" xfId="1" applyFont="1" applyBorder="1" applyAlignment="1">
      <alignment horizontal="center" vertical="center"/>
    </xf>
    <xf fontId="1" fillId="0" borderId="9" numFmtId="0" xfId="1" applyFont="1" applyBorder="1" applyAlignment="1">
      <alignment horizontal="center" vertical="center"/>
    </xf>
    <xf fontId="1" fillId="0" borderId="10" numFmtId="0" xfId="1" applyFont="1" applyBorder="1" applyAlignment="1">
      <alignment horizontal="center" vertical="center"/>
    </xf>
    <xf fontId="1" fillId="0" borderId="11" numFmtId="0" xfId="1" applyFont="1" applyBorder="1" applyAlignment="1">
      <alignment horizontal="center" vertical="center"/>
    </xf>
    <xf fontId="1" fillId="0" borderId="12" numFmtId="0" xfId="1" applyFont="1" applyBorder="1" applyAlignment="1">
      <alignment horizontal="center" vertical="center"/>
    </xf>
    <xf fontId="1" fillId="0" borderId="13" numFmtId="0" xfId="1" applyFont="1" applyBorder="1" applyAlignment="1">
      <alignment horizontal="center" vertical="center"/>
    </xf>
    <xf fontId="0" fillId="6" borderId="0" numFmtId="0" xfId="0" applyFill="1" applyAlignment="1">
      <alignment horizontal="center" vertical="center"/>
    </xf>
    <xf fontId="3" fillId="6" borderId="14" numFmtId="0" xfId="0" applyFont="1" applyFill="1" applyBorder="1" applyAlignment="1">
      <alignment horizontal="center" vertical="center"/>
    </xf>
    <xf fontId="3" fillId="6" borderId="15" numFmtId="0" xfId="0" applyFont="1" applyFill="1" applyBorder="1" applyAlignment="1">
      <alignment horizontal="center" vertical="center"/>
    </xf>
    <xf fontId="3" fillId="6" borderId="16" numFmtId="0" xfId="0" applyFont="1" applyFill="1" applyBorder="1" applyAlignment="1">
      <alignment horizontal="center" vertical="center"/>
    </xf>
    <xf fontId="3" fillId="6" borderId="1" numFmtId="0" xfId="0" applyFont="1" applyFill="1" applyBorder="1" applyAlignment="1">
      <alignment horizontal="center" vertical="center"/>
    </xf>
    <xf fontId="4" fillId="0" borderId="0" numFmtId="0" xfId="0" applyFont="1"/>
    <xf fontId="4" fillId="0" borderId="0" numFmtId="0" xfId="0" applyFont="1" applyAlignment="1">
      <alignment horizontal="center" vertical="center"/>
    </xf>
    <xf fontId="5" fillId="0" borderId="0" numFmtId="0" xfId="0" applyFont="1" applyAlignment="1">
      <alignment horizontal="center" vertical="center"/>
    </xf>
    <xf fontId="6" fillId="0" borderId="0" numFmtId="0" xfId="0" applyFont="1"/>
    <xf fontId="7" fillId="7" borderId="0" numFmtId="0" xfId="0" applyFont="1" applyFill="1" applyAlignment="1">
      <alignment vertical="top"/>
    </xf>
    <xf fontId="7" fillId="8" borderId="0" numFmtId="0" xfId="0" applyFont="1" applyFill="1" applyAlignment="1">
      <alignment vertical="top"/>
    </xf>
    <xf fontId="7" fillId="4" borderId="0" numFmtId="0" xfId="0" applyFont="1" applyFill="1" applyAlignment="1">
      <alignment vertical="top"/>
    </xf>
    <xf fontId="7" fillId="5" borderId="0" numFmtId="0" xfId="0" applyFont="1" applyFill="1" applyAlignment="1">
      <alignment vertical="top"/>
    </xf>
    <xf fontId="8" fillId="0" borderId="0" numFmtId="0" xfId="0" applyFont="1" applyAlignment="1">
      <alignment horizontal="center" vertical="center"/>
    </xf>
    <xf fontId="9" fillId="9" borderId="0" numFmtId="160" xfId="0" applyNumberFormat="1" applyFont="1" applyFill="1" applyAlignment="1">
      <alignment horizontal="center" vertical="center"/>
    </xf>
    <xf fontId="10" fillId="0" borderId="0" numFmtId="0" xfId="0" applyFont="1" applyAlignment="1">
      <alignment horizontal="center" vertical="center"/>
    </xf>
    <xf fontId="11" fillId="0" borderId="0" numFmtId="3" xfId="0" applyNumberFormat="1" applyFont="1"/>
    <xf fontId="12" fillId="0" borderId="0" numFmtId="3" xfId="0" applyNumberFormat="1" applyFont="1"/>
    <xf fontId="13" fillId="0" borderId="0" numFmtId="0" xfId="0" applyFont="1" applyAlignment="1">
      <alignment horizontal="center" vertical="center"/>
    </xf>
    <xf fontId="14" fillId="0" borderId="0" numFmtId="0" xfId="0" applyFont="1" applyAlignment="1">
      <alignment horizontal="center" vertical="center"/>
    </xf>
    <xf fontId="14" fillId="0" borderId="0" numFmtId="0" xfId="0" applyFont="1" applyAlignment="1">
      <alignment horizontal="center"/>
    </xf>
    <xf fontId="14" fillId="0" borderId="0" numFmtId="0" xfId="0" applyFont="1"/>
    <xf fontId="9" fillId="10" borderId="0" numFmtId="160" xfId="0" applyNumberFormat="1" applyFont="1" applyFill="1" applyAlignment="1">
      <alignment horizontal="center" vertical="center"/>
    </xf>
    <xf fontId="4" fillId="0" borderId="0" numFmtId="3" xfId="0" applyNumberFormat="1" applyFont="1"/>
    <xf fontId="15" fillId="0" borderId="0" numFmtId="0" xfId="0" applyFont="1" applyAlignment="1">
      <alignment horizontal="center"/>
    </xf>
    <xf fontId="16" fillId="4" borderId="0" numFmtId="0" xfId="0" applyFont="1" applyFill="1" applyAlignment="1">
      <alignment horizontal="center" vertical="center"/>
    </xf>
    <xf fontId="14" fillId="0" borderId="0" numFmtId="161" xfId="0" applyNumberFormat="1" applyFont="1"/>
    <xf fontId="17" fillId="0" borderId="0" numFmtId="0" xfId="0" applyFont="1" applyAlignment="1">
      <alignment horizontal="center" vertical="center"/>
    </xf>
    <xf fontId="18" fillId="0" borderId="17" numFmtId="4" xfId="0" applyNumberFormat="1" applyFont="1" applyBorder="1" applyAlignment="1">
      <alignment horizontal="center" vertical="center"/>
    </xf>
    <xf fontId="18" fillId="0" borderId="0" numFmtId="4" xfId="0" applyNumberFormat="1" applyFont="1" applyAlignment="1">
      <alignment horizontal="center" vertical="center"/>
    </xf>
    <xf fontId="9" fillId="10" borderId="18" numFmtId="0" xfId="0" applyFont="1" applyFill="1" applyBorder="1" applyAlignment="1">
      <alignment horizontal="center" vertical="center" wrapText="1"/>
    </xf>
    <xf fontId="9" fillId="10" borderId="1" numFmtId="0" xfId="0" applyFont="1" applyFill="1" applyBorder="1" applyAlignment="1">
      <alignment horizontal="center" vertical="center" wrapText="1"/>
    </xf>
    <xf fontId="13" fillId="10" borderId="19" numFmtId="0" xfId="0" applyFont="1" applyFill="1" applyBorder="1" applyAlignment="1">
      <alignment horizontal="center" vertical="center" wrapText="1"/>
    </xf>
    <xf fontId="17" fillId="10" borderId="19" numFmtId="0" xfId="0" applyFont="1" applyFill="1" applyBorder="1" applyAlignment="1">
      <alignment horizontal="center" vertical="center"/>
    </xf>
    <xf fontId="9" fillId="0" borderId="20" numFmtId="0" xfId="0" applyFont="1" applyBorder="1" applyAlignment="1">
      <alignment horizontal="center" vertical="center"/>
    </xf>
    <xf fontId="19" fillId="0" borderId="21" numFmtId="4" xfId="0" applyNumberFormat="1" applyFont="1" applyBorder="1" applyAlignment="1">
      <alignment horizontal="center" vertical="center" wrapText="1"/>
    </xf>
    <xf fontId="19" fillId="0" borderId="22" numFmtId="4" xfId="0" applyNumberFormat="1" applyFont="1" applyBorder="1" applyAlignment="1">
      <alignment horizontal="center" vertical="center" wrapText="1"/>
    </xf>
    <xf fontId="9" fillId="10" borderId="23" numFmtId="160" xfId="0" applyNumberFormat="1" applyFont="1" applyFill="1" applyBorder="1" applyAlignment="1">
      <alignment horizontal="center" vertical="center"/>
    </xf>
    <xf fontId="9" fillId="3" borderId="23" numFmtId="160" xfId="0" applyNumberFormat="1" applyFont="1" applyFill="1" applyBorder="1" applyAlignment="1">
      <alignment horizontal="center" vertical="center"/>
    </xf>
    <xf fontId="9" fillId="7" borderId="23" numFmtId="160" xfId="0" applyNumberFormat="1" applyFont="1" applyFill="1" applyBorder="1" applyAlignment="1">
      <alignment horizontal="center" vertical="center"/>
    </xf>
    <xf fontId="9" fillId="4" borderId="23" numFmtId="160" xfId="0" applyNumberFormat="1" applyFont="1" applyFill="1" applyBorder="1" applyAlignment="1">
      <alignment horizontal="center" vertical="center"/>
    </xf>
    <xf fontId="9" fillId="5" borderId="23" numFmtId="160" xfId="0" applyNumberFormat="1" applyFont="1" applyFill="1" applyBorder="1" applyAlignment="1">
      <alignment horizontal="center" vertical="center"/>
    </xf>
    <xf fontId="20" fillId="0" borderId="0" numFmtId="160" xfId="0" applyNumberFormat="1" applyFont="1" applyAlignment="1">
      <alignment horizontal="center" vertical="center"/>
    </xf>
    <xf fontId="21" fillId="11" borderId="24" numFmtId="4" xfId="0" applyNumberFormat="1" applyFont="1" applyFill="1" applyBorder="1" applyAlignment="1">
      <alignment horizontal="center" vertical="center"/>
    </xf>
    <xf fontId="5" fillId="0" borderId="25" numFmtId="0" xfId="0" applyFont="1" applyBorder="1" applyAlignment="1">
      <alignment horizontal="center"/>
    </xf>
    <xf fontId="4" fillId="2" borderId="26" numFmtId="3" xfId="0" applyNumberFormat="1" applyFont="1" applyFill="1" applyBorder="1" applyAlignment="1">
      <alignment horizontal="center" vertical="center"/>
    </xf>
    <xf fontId="4" fillId="2" borderId="27" numFmtId="3" xfId="0" applyNumberFormat="1" applyFont="1" applyFill="1" applyBorder="1" applyAlignment="1">
      <alignment horizontal="center" vertical="center"/>
    </xf>
    <xf fontId="5" fillId="0" borderId="0" numFmtId="1" xfId="0" applyNumberFormat="1" applyFont="1" applyAlignment="1">
      <alignment horizontal="center" vertical="center"/>
    </xf>
    <xf fontId="22" fillId="0" borderId="28" numFmtId="1" xfId="0" applyNumberFormat="1" applyFont="1" applyBorder="1" applyAlignment="1">
      <alignment horizontal="center" vertical="center"/>
    </xf>
    <xf fontId="22" fillId="0" borderId="29" numFmtId="161" xfId="0" applyNumberFormat="1" applyFont="1" applyBorder="1"/>
    <xf fontId="22" fillId="0" borderId="29" numFmtId="2" xfId="0" applyNumberFormat="1" applyFont="1" applyBorder="1"/>
    <xf fontId="22" fillId="0" borderId="30" numFmtId="2" xfId="0" applyNumberFormat="1" applyFont="1" applyBorder="1"/>
    <xf fontId="4" fillId="12" borderId="31" numFmtId="3" xfId="0" applyNumberFormat="1" applyFont="1" applyFill="1" applyBorder="1"/>
    <xf fontId="4" fillId="12" borderId="32" numFmtId="3" xfId="0" applyNumberFormat="1" applyFont="1" applyFill="1" applyBorder="1"/>
    <xf fontId="4" fillId="0" borderId="31" numFmtId="3" xfId="0" applyNumberFormat="1" applyFont="1" applyBorder="1"/>
    <xf fontId="4" fillId="0" borderId="32" numFmtId="3" xfId="0" applyNumberFormat="1" applyFont="1" applyBorder="1"/>
    <xf fontId="23" fillId="0" borderId="31" numFmtId="3" xfId="0" applyNumberFormat="1" applyFont="1" applyBorder="1"/>
    <xf fontId="21" fillId="11" borderId="33" numFmtId="4" xfId="0" applyNumberFormat="1" applyFont="1" applyFill="1" applyBorder="1" applyAlignment="1">
      <alignment horizontal="center" vertical="center"/>
    </xf>
    <xf fontId="24" fillId="0" borderId="25" numFmtId="0" xfId="0" applyFont="1" applyBorder="1" applyAlignment="1">
      <alignment horizontal="center"/>
    </xf>
    <xf fontId="4" fillId="13" borderId="26" numFmtId="3" xfId="0" applyNumberFormat="1" applyFont="1" applyFill="1" applyBorder="1" applyAlignment="1">
      <alignment horizontal="center" vertical="center"/>
    </xf>
    <xf fontId="4" fillId="13" borderId="27" numFmtId="3" xfId="0" applyNumberFormat="1" applyFont="1" applyFill="1" applyBorder="1" applyAlignment="1">
      <alignment horizontal="center" vertical="center"/>
    </xf>
    <xf fontId="22" fillId="0" borderId="34" numFmtId="1" xfId="0" applyNumberFormat="1" applyFont="1" applyBorder="1" applyAlignment="1">
      <alignment horizontal="center" vertical="center"/>
    </xf>
    <xf fontId="22" fillId="0" borderId="35" numFmtId="161" xfId="0" applyNumberFormat="1" applyFont="1" applyBorder="1"/>
    <xf fontId="22" fillId="0" borderId="35" numFmtId="2" xfId="0" applyNumberFormat="1" applyFont="1" applyBorder="1"/>
    <xf fontId="22" fillId="0" borderId="36" numFmtId="2" xfId="0" applyNumberFormat="1" applyFont="1" applyBorder="1"/>
    <xf fontId="4" fillId="0" borderId="37" numFmtId="3" xfId="0" applyNumberFormat="1" applyFont="1" applyBorder="1"/>
    <xf fontId="25" fillId="0" borderId="25" numFmtId="0" xfId="0" applyFont="1" applyBorder="1" applyAlignment="1">
      <alignment horizontal="center"/>
    </xf>
    <xf fontId="4" fillId="4" borderId="26" numFmtId="3" xfId="0" applyNumberFormat="1" applyFont="1" applyFill="1" applyBorder="1" applyAlignment="1">
      <alignment horizontal="center" vertical="center"/>
    </xf>
    <xf fontId="4" fillId="4" borderId="27" numFmtId="3" xfId="0" applyNumberFormat="1" applyFont="1" applyFill="1" applyBorder="1" applyAlignment="1">
      <alignment horizontal="center" vertical="center"/>
    </xf>
    <xf fontId="4" fillId="12" borderId="38" numFmtId="3" xfId="0" applyNumberFormat="1" applyFont="1" applyFill="1" applyBorder="1"/>
    <xf fontId="21" fillId="11" borderId="39" numFmtId="4" xfId="0" applyNumberFormat="1" applyFont="1" applyFill="1" applyBorder="1" applyAlignment="1">
      <alignment horizontal="center" vertical="center"/>
    </xf>
    <xf fontId="26" fillId="0" borderId="25" numFmtId="0" xfId="0" applyFont="1" applyBorder="1" applyAlignment="1">
      <alignment horizontal="center"/>
    </xf>
    <xf fontId="4" fillId="5" borderId="26" numFmtId="3" xfId="0" applyNumberFormat="1" applyFont="1" applyFill="1" applyBorder="1" applyAlignment="1">
      <alignment horizontal="center" vertical="center"/>
    </xf>
    <xf fontId="4" fillId="5" borderId="27" numFmtId="3" xfId="0" applyNumberFormat="1" applyFont="1" applyFill="1" applyBorder="1" applyAlignment="1">
      <alignment horizontal="center" vertical="center"/>
    </xf>
    <xf fontId="22" fillId="0" borderId="40" numFmtId="1" xfId="0" applyNumberFormat="1" applyFont="1" applyBorder="1" applyAlignment="1">
      <alignment horizontal="center" vertical="center"/>
    </xf>
    <xf fontId="22" fillId="0" borderId="41" numFmtId="161" xfId="0" applyNumberFormat="1" applyFont="1" applyBorder="1"/>
    <xf fontId="22" fillId="0" borderId="41" numFmtId="2" xfId="0" applyNumberFormat="1" applyFont="1" applyBorder="1"/>
    <xf fontId="22" fillId="0" borderId="42" numFmtId="2" xfId="0" applyNumberFormat="1" applyFont="1" applyBorder="1"/>
    <xf fontId="4" fillId="12" borderId="43" numFmtId="3" xfId="0" applyNumberFormat="1" applyFont="1" applyFill="1" applyBorder="1"/>
    <xf fontId="4" fillId="0" borderId="41" numFmtId="3" xfId="0" applyNumberFormat="1" applyFont="1" applyBorder="1"/>
    <xf fontId="8" fillId="0" borderId="0" numFmtId="0" xfId="0" applyFont="1"/>
    <xf fontId="21" fillId="0" borderId="0" numFmtId="4" xfId="0" applyNumberFormat="1" applyFont="1" applyAlignment="1">
      <alignment vertical="center"/>
    </xf>
    <xf fontId="27" fillId="0" borderId="0" numFmtId="4" xfId="0" applyNumberFormat="1" applyFont="1" applyAlignment="1">
      <alignment horizontal="center" vertical="center"/>
    </xf>
    <xf fontId="8" fillId="14" borderId="18" numFmtId="3" xfId="0" applyNumberFormat="1" applyFont="1" applyFill="1" applyBorder="1" applyAlignment="1">
      <alignment horizontal="center" vertical="center"/>
    </xf>
    <xf fontId="8" fillId="15" borderId="1" numFmtId="3" xfId="0" applyNumberFormat="1" applyFont="1" applyFill="1" applyBorder="1" applyAlignment="1">
      <alignment horizontal="center" vertical="center"/>
    </xf>
    <xf fontId="5" fillId="14" borderId="19" numFmtId="161" xfId="0" applyNumberFormat="1" applyFont="1" applyFill="1" applyBorder="1" applyAlignment="1">
      <alignment horizontal="center" vertical="center"/>
    </xf>
    <xf fontId="8" fillId="14" borderId="19" numFmtId="1" xfId="0" applyNumberFormat="1" applyFont="1" applyFill="1" applyBorder="1" applyAlignment="1">
      <alignment horizontal="center" vertical="center"/>
    </xf>
    <xf fontId="28" fillId="14" borderId="14" numFmtId="1" xfId="0" applyNumberFormat="1" applyFont="1" applyFill="1" applyBorder="1" applyAlignment="1">
      <alignment horizontal="center" vertical="center"/>
    </xf>
    <xf fontId="28" fillId="14" borderId="15" numFmtId="161" xfId="0" applyNumberFormat="1" applyFont="1" applyFill="1" applyBorder="1" applyAlignment="1">
      <alignment horizontal="right" vertical="center"/>
    </xf>
    <xf fontId="28" fillId="14" borderId="15" numFmtId="2" xfId="0" applyNumberFormat="1" applyFont="1" applyFill="1" applyBorder="1" applyAlignment="1">
      <alignment horizontal="right" vertical="center"/>
    </xf>
    <xf fontId="28" fillId="14" borderId="16" numFmtId="161" xfId="0" applyNumberFormat="1" applyFont="1" applyFill="1" applyBorder="1" applyAlignment="1">
      <alignment horizontal="right" vertical="center"/>
    </xf>
    <xf fontId="8" fillId="14" borderId="23" numFmtId="161" xfId="0" applyNumberFormat="1" applyFont="1" applyFill="1" applyBorder="1" applyAlignment="1">
      <alignment horizontal="right" vertical="center"/>
    </xf>
    <xf fontId="8" fillId="14" borderId="15" numFmtId="161" xfId="0" applyNumberFormat="1" applyFont="1" applyFill="1" applyBorder="1" applyAlignment="1">
      <alignment horizontal="right" vertical="center"/>
    </xf>
    <xf fontId="8" fillId="14" borderId="44" numFmtId="161" xfId="0" applyNumberFormat="1" applyFont="1" applyFill="1" applyBorder="1" applyAlignment="1">
      <alignment horizontal="right" vertical="center"/>
    </xf>
    <xf fontId="8" fillId="14" borderId="45" numFmtId="161" xfId="0" applyNumberFormat="1" applyFont="1" applyFill="1" applyBorder="1" applyAlignment="1">
      <alignment vertical="center"/>
    </xf>
    <xf fontId="8" fillId="14" borderId="21" numFmtId="161" xfId="0" applyNumberFormat="1" applyFont="1" applyFill="1" applyBorder="1" applyAlignment="1">
      <alignment vertical="center"/>
    </xf>
    <xf fontId="29" fillId="0" borderId="0" numFmtId="4" xfId="0" applyNumberFormat="1" applyFont="1" applyAlignment="1">
      <alignment vertical="center"/>
    </xf>
    <xf fontId="8" fillId="0" borderId="0" numFmtId="3" xfId="0" applyNumberFormat="1" applyFont="1" applyAlignment="1">
      <alignment horizontal="center" vertical="center"/>
    </xf>
    <xf fontId="5" fillId="0" borderId="0" numFmtId="161" xfId="0" applyNumberFormat="1" applyFont="1" applyAlignment="1">
      <alignment horizontal="center" vertical="center"/>
    </xf>
    <xf fontId="4" fillId="0" borderId="0" numFmtId="1" xfId="0" applyNumberFormat="1" applyFont="1" applyAlignment="1">
      <alignment horizontal="center" vertical="center"/>
    </xf>
    <xf fontId="28" fillId="0" borderId="0" numFmtId="1" xfId="0" applyNumberFormat="1" applyFont="1" applyAlignment="1">
      <alignment horizontal="center" vertical="center"/>
    </xf>
    <xf fontId="28" fillId="0" borderId="0" numFmtId="161" xfId="0" applyNumberFormat="1" applyFont="1"/>
    <xf fontId="28" fillId="0" borderId="0" numFmtId="2" xfId="0" applyNumberFormat="1" applyFont="1" applyAlignment="1">
      <alignment horizontal="right"/>
    </xf>
    <xf fontId="4" fillId="0" borderId="0" numFmtId="1" xfId="0" applyNumberFormat="1" applyFont="1"/>
    <xf fontId="9" fillId="0" borderId="0" numFmtId="0" xfId="0" applyFont="1"/>
    <xf fontId="18" fillId="0" borderId="46" numFmtId="2" xfId="0" applyNumberFormat="1" applyFont="1" applyBorder="1" applyAlignment="1">
      <alignment horizontal="center" vertical="center"/>
    </xf>
    <xf fontId="18" fillId="0" borderId="0" numFmtId="2" xfId="0" applyNumberFormat="1" applyFont="1" applyAlignment="1">
      <alignment horizontal="center" vertical="center"/>
    </xf>
    <xf fontId="21" fillId="9" borderId="47" numFmtId="2" xfId="0" applyNumberFormat="1" applyFont="1" applyFill="1" applyBorder="1" applyAlignment="1">
      <alignment horizontal="center" vertical="center"/>
    </xf>
    <xf fontId="4" fillId="2" borderId="48" numFmtId="3" xfId="0" applyNumberFormat="1" applyFont="1" applyFill="1" applyBorder="1" applyAlignment="1">
      <alignment horizontal="center" vertical="center"/>
    </xf>
    <xf fontId="5" fillId="0" borderId="49" numFmtId="161" xfId="0" applyNumberFormat="1" applyFont="1" applyBorder="1" applyAlignment="1">
      <alignment horizontal="center" vertical="center"/>
    </xf>
    <xf fontId="4" fillId="0" borderId="29" numFmtId="1" xfId="0" applyNumberFormat="1" applyFont="1" applyBorder="1" applyAlignment="1">
      <alignment horizontal="center" vertical="center"/>
    </xf>
    <xf fontId="4" fillId="0" borderId="35" numFmtId="1" xfId="0" applyNumberFormat="1" applyFont="1" applyBorder="1" applyAlignment="1">
      <alignment horizontal="center" vertical="center"/>
    </xf>
    <xf fontId="4" fillId="16" borderId="26" numFmtId="3" xfId="0" applyNumberFormat="1" applyFont="1" applyFill="1" applyBorder="1" applyAlignment="1">
      <alignment horizontal="center" vertical="center"/>
    </xf>
    <xf fontId="21" fillId="9" borderId="50" numFmtId="2" xfId="0" applyNumberFormat="1" applyFont="1" applyFill="1" applyBorder="1" applyAlignment="1">
      <alignment horizontal="center" vertical="center"/>
    </xf>
    <xf fontId="4" fillId="17" borderId="26" numFmtId="3" xfId="0" applyNumberFormat="1" applyFont="1" applyFill="1" applyBorder="1" applyAlignment="1">
      <alignment horizontal="center" vertical="center"/>
    </xf>
    <xf fontId="5" fillId="0" borderId="51" numFmtId="161" xfId="0" applyNumberFormat="1" applyFont="1" applyBorder="1" applyAlignment="1">
      <alignment horizontal="center" vertical="center"/>
    </xf>
    <xf fontId="4" fillId="0" borderId="41" numFmtId="1" xfId="0" applyNumberFormat="1" applyFont="1" applyBorder="1" applyAlignment="1">
      <alignment horizontal="center" vertical="center"/>
    </xf>
    <xf fontId="21" fillId="0" borderId="0" numFmtId="4" xfId="0" applyNumberFormat="1" applyFont="1" applyAlignment="1">
      <alignment horizontal="center" vertical="center"/>
    </xf>
    <xf fontId="5" fillId="14" borderId="52" numFmtId="161" xfId="0" applyNumberFormat="1" applyFont="1" applyFill="1" applyBorder="1" applyAlignment="1">
      <alignment horizontal="center" vertical="center"/>
    </xf>
    <xf fontId="8" fillId="14" borderId="51" numFmtId="1" xfId="0" applyNumberFormat="1" applyFont="1" applyFill="1" applyBorder="1" applyAlignment="1">
      <alignment horizontal="center" vertical="center"/>
    </xf>
    <xf fontId="28" fillId="14" borderId="40" numFmtId="1" xfId="0" applyNumberFormat="1" applyFont="1" applyFill="1" applyBorder="1" applyAlignment="1">
      <alignment horizontal="center" vertical="center"/>
    </xf>
    <xf fontId="28" fillId="14" borderId="41" numFmtId="161" xfId="0" applyNumberFormat="1" applyFont="1" applyFill="1" applyBorder="1" applyAlignment="1">
      <alignment horizontal="right" vertical="center"/>
    </xf>
    <xf fontId="28" fillId="14" borderId="41" numFmtId="2" xfId="0" applyNumberFormat="1" applyFont="1" applyFill="1" applyBorder="1" applyAlignment="1">
      <alignment horizontal="right" vertical="center"/>
    </xf>
    <xf fontId="28" fillId="14" borderId="42" numFmtId="161" xfId="0" applyNumberFormat="1" applyFont="1" applyFill="1" applyBorder="1" applyAlignment="1">
      <alignment horizontal="right" vertical="center"/>
    </xf>
    <xf fontId="8" fillId="14" borderId="14" numFmtId="161" xfId="0" applyNumberFormat="1" applyFont="1" applyFill="1" applyBorder="1" applyAlignment="1">
      <alignment horizontal="right" vertical="center"/>
    </xf>
    <xf fontId="8" fillId="14" borderId="45" numFmtId="161" xfId="0" applyNumberFormat="1" applyFont="1" applyFill="1" applyBorder="1" applyAlignment="1">
      <alignment horizontal="right" vertical="center"/>
    </xf>
    <xf fontId="8" fillId="14" borderId="21" numFmtId="161" xfId="0" applyNumberFormat="1" applyFont="1" applyFill="1" applyBorder="1" applyAlignment="1">
      <alignment horizontal="right" vertical="center"/>
    </xf>
    <xf fontId="8" fillId="0" borderId="0" numFmtId="1" xfId="0" applyNumberFormat="1" applyFont="1" applyAlignment="1">
      <alignment horizontal="center" vertical="center"/>
    </xf>
    <xf fontId="8" fillId="0" borderId="0" numFmtId="161" xfId="0" applyNumberFormat="1" applyFont="1"/>
    <xf fontId="8" fillId="0" borderId="35" numFmtId="161" xfId="0" applyNumberFormat="1" applyFont="1" applyBorder="1"/>
    <xf fontId="30" fillId="15" borderId="17" numFmtId="3" xfId="0" applyNumberFormat="1" applyFont="1" applyFill="1" applyBorder="1" applyAlignment="1">
      <alignment horizontal="center" vertical="center"/>
    </xf>
    <xf fontId="30" fillId="15" borderId="0" numFmtId="3" xfId="0" applyNumberFormat="1" applyFont="1" applyFill="1" applyAlignment="1">
      <alignment horizontal="center" vertical="center"/>
    </xf>
    <xf fontId="9" fillId="18" borderId="20" numFmtId="0" xfId="0" applyFont="1" applyFill="1" applyBorder="1" applyAlignment="1">
      <alignment horizontal="center" vertical="center"/>
    </xf>
    <xf fontId="19" fillId="18" borderId="21" numFmtId="4" xfId="0" applyNumberFormat="1" applyFont="1" applyFill="1" applyBorder="1" applyAlignment="1">
      <alignment horizontal="center" vertical="center" wrapText="1"/>
    </xf>
    <xf fontId="19" fillId="18" borderId="22" numFmtId="4" xfId="0" applyNumberFormat="1" applyFont="1" applyFill="1" applyBorder="1" applyAlignment="1">
      <alignment horizontal="center" vertical="center" wrapText="1"/>
    </xf>
    <xf fontId="30" fillId="15" borderId="47" numFmtId="2" xfId="0" applyNumberFormat="1" applyFont="1" applyFill="1" applyBorder="1" applyAlignment="1">
      <alignment horizontal="center" vertical="center"/>
    </xf>
    <xf fontId="5" fillId="15" borderId="25" numFmtId="0" xfId="0" applyFont="1" applyFill="1" applyBorder="1" applyAlignment="1">
      <alignment horizontal="center"/>
    </xf>
    <xf fontId="29" fillId="12" borderId="35" numFmtId="1" xfId="0" applyNumberFormat="1" applyFont="1" applyFill="1" applyBorder="1"/>
    <xf fontId="29" fillId="0" borderId="35" numFmtId="1" xfId="0" applyNumberFormat="1" applyFont="1" applyBorder="1"/>
    <xf fontId="31" fillId="0" borderId="35" numFmtId="1" xfId="0" applyNumberFormat="1" applyFont="1" applyBorder="1"/>
    <xf fontId="24" fillId="15" borderId="25" numFmtId="0" xfId="0" applyFont="1" applyFill="1" applyBorder="1" applyAlignment="1">
      <alignment horizontal="center"/>
    </xf>
    <xf fontId="25" fillId="15" borderId="25" numFmtId="0" xfId="0" applyFont="1" applyFill="1" applyBorder="1" applyAlignment="1">
      <alignment horizontal="center"/>
    </xf>
    <xf fontId="30" fillId="15" borderId="50" numFmtId="2" xfId="0" applyNumberFormat="1" applyFont="1" applyFill="1" applyBorder="1" applyAlignment="1">
      <alignment horizontal="center" vertical="center"/>
    </xf>
    <xf fontId="26" fillId="15" borderId="25" numFmtId="0" xfId="0" applyFont="1" applyFill="1" applyBorder="1" applyAlignment="1">
      <alignment horizontal="center"/>
    </xf>
    <xf fontId="31" fillId="12" borderId="35" numFmtId="1" xfId="0" applyNumberFormat="1" applyFont="1" applyFill="1" applyBorder="1"/>
    <xf fontId="8" fillId="15" borderId="0" numFmtId="0" xfId="0" applyFont="1" applyFill="1"/>
    <xf fontId="21" fillId="15" borderId="0" numFmtId="4" xfId="0" applyNumberFormat="1" applyFont="1" applyFill="1" applyAlignment="1">
      <alignment horizontal="center" vertical="center"/>
    </xf>
    <xf fontId="8" fillId="14" borderId="1" numFmtId="3" xfId="0" applyNumberFormat="1" applyFont="1" applyFill="1" applyBorder="1" applyAlignment="1">
      <alignment horizontal="center" vertical="center"/>
    </xf>
    <xf fontId="28" fillId="14" borderId="15" numFmtId="161" xfId="0" applyNumberFormat="1" applyFont="1" applyFill="1" applyBorder="1" applyAlignment="1">
      <alignment horizontal="center" vertical="center"/>
    </xf>
    <xf fontId="28" fillId="14" borderId="15" numFmtId="2" xfId="0" applyNumberFormat="1" applyFont="1" applyFill="1" applyBorder="1" applyAlignment="1">
      <alignment horizontal="center" vertical="center"/>
    </xf>
    <xf fontId="28" fillId="14" borderId="16" numFmtId="161" xfId="0" applyNumberFormat="1" applyFont="1" applyFill="1" applyBorder="1" applyAlignment="1">
      <alignment horizontal="center" vertical="center"/>
    </xf>
    <xf fontId="8" fillId="14" borderId="23" numFmtId="161" xfId="0" applyNumberFormat="1" applyFont="1" applyFill="1" applyBorder="1" applyAlignment="1">
      <alignment vertical="center"/>
    </xf>
    <xf fontId="8" fillId="14" borderId="15" numFmtId="161" xfId="0" applyNumberFormat="1" applyFont="1" applyFill="1" applyBorder="1" applyAlignment="1">
      <alignment vertical="center"/>
    </xf>
    <xf fontId="8" fillId="14" borderId="44" numFmtId="161" xfId="0" applyNumberFormat="1" applyFont="1" applyFill="1" applyBorder="1" applyAlignment="1">
      <alignment vertical="center"/>
    </xf>
    <xf fontId="26" fillId="0" borderId="0" numFmtId="0" xfId="0" applyFont="1" applyAlignment="1">
      <alignment horizontal="center" vertical="center"/>
    </xf>
    <xf fontId="32" fillId="0" borderId="0" numFmtId="0" xfId="0" applyFont="1" applyAlignment="1">
      <alignment horizontal="center"/>
    </xf>
    <xf fontId="33" fillId="0" borderId="0" numFmtId="3" xfId="0" applyNumberFormat="1" applyFont="1" applyAlignment="1">
      <alignment horizontal="center" vertical="center"/>
    </xf>
    <xf fontId="30" fillId="0" borderId="0" numFmtId="3" xfId="0" applyNumberFormat="1" applyFont="1" applyAlignment="1">
      <alignment horizontal="center" vertical="center"/>
    </xf>
    <xf fontId="26" fillId="0" borderId="0" numFmtId="161" xfId="0" applyNumberFormat="1" applyFont="1" applyAlignment="1">
      <alignment horizontal="center" vertical="center"/>
    </xf>
    <xf fontId="26" fillId="0" borderId="0" numFmtId="1" xfId="0" applyNumberFormat="1" applyFont="1" applyAlignment="1">
      <alignment horizontal="center" vertical="center"/>
    </xf>
    <xf fontId="26" fillId="0" borderId="0" numFmtId="2" xfId="0" applyNumberFormat="1" applyFont="1" applyAlignment="1">
      <alignment horizontal="center" vertical="center"/>
    </xf>
    <xf fontId="34" fillId="0" borderId="0" numFmtId="1" xfId="0" applyNumberFormat="1" applyFont="1" applyAlignment="1">
      <alignment horizontal="center" vertical="center"/>
    </xf>
    <xf fontId="30" fillId="19" borderId="17" numFmtId="3" xfId="0" applyNumberFormat="1" applyFont="1" applyFill="1" applyBorder="1" applyAlignment="1">
      <alignment horizontal="center" vertical="center"/>
    </xf>
    <xf fontId="30" fillId="19" borderId="0" numFmtId="3" xfId="0" applyNumberFormat="1" applyFont="1" applyFill="1" applyAlignment="1">
      <alignment horizontal="center" vertical="center"/>
    </xf>
    <xf fontId="35" fillId="19" borderId="47" numFmtId="2" xfId="0" applyNumberFormat="1" applyFont="1" applyFill="1" applyBorder="1" applyAlignment="1">
      <alignment horizontal="center" vertical="center"/>
    </xf>
    <xf fontId="5" fillId="19" borderId="25" numFmtId="0" xfId="0" applyFont="1" applyFill="1" applyBorder="1" applyAlignment="1">
      <alignment horizontal="center"/>
    </xf>
    <xf fontId="36" fillId="0" borderId="35" numFmtId="1" xfId="0" applyNumberFormat="1" applyFont="1" applyBorder="1" applyAlignment="1">
      <alignment horizontal="center"/>
    </xf>
    <xf fontId="22" fillId="0" borderId="35" numFmtId="1" xfId="0" applyNumberFormat="1" applyFont="1" applyBorder="1"/>
    <xf fontId="22" fillId="0" borderId="36" numFmtId="1" xfId="0" applyNumberFormat="1" applyFont="1" applyBorder="1"/>
    <xf fontId="4" fillId="12" borderId="35" numFmtId="161" xfId="0" applyNumberFormat="1" applyFont="1" applyFill="1" applyBorder="1"/>
    <xf fontId="4" fillId="0" borderId="35" numFmtId="161" xfId="0" applyNumberFormat="1" applyFont="1" applyBorder="1"/>
    <xf fontId="4" fillId="0" borderId="46" numFmtId="161" xfId="0" applyNumberFormat="1" applyFont="1" applyBorder="1"/>
    <xf fontId="4" fillId="0" borderId="53" numFmtId="161" xfId="0" applyNumberFormat="1" applyFont="1" applyBorder="1"/>
    <xf fontId="4" fillId="0" borderId="29" numFmtId="161" xfId="0" applyNumberFormat="1" applyFont="1" applyBorder="1"/>
    <xf fontId="36" fillId="0" borderId="35" numFmtId="161" xfId="0" applyNumberFormat="1" applyFont="1" applyBorder="1"/>
    <xf fontId="24" fillId="19" borderId="25" numFmtId="0" xfId="0" applyFont="1" applyFill="1" applyBorder="1" applyAlignment="1">
      <alignment horizontal="center"/>
    </xf>
    <xf fontId="37" fillId="0" borderId="35" numFmtId="161" xfId="0" applyNumberFormat="1" applyFont="1" applyBorder="1"/>
    <xf fontId="25" fillId="19" borderId="25" numFmtId="0" xfId="0" applyFont="1" applyFill="1" applyBorder="1" applyAlignment="1">
      <alignment horizontal="center"/>
    </xf>
    <xf fontId="4" fillId="16" borderId="27" numFmtId="3" xfId="0" applyNumberFormat="1" applyFont="1" applyFill="1" applyBorder="1" applyAlignment="1">
      <alignment horizontal="center" vertical="center"/>
    </xf>
    <xf fontId="35" fillId="19" borderId="50" numFmtId="2" xfId="0" applyNumberFormat="1" applyFont="1" applyFill="1" applyBorder="1" applyAlignment="1">
      <alignment horizontal="center" vertical="center"/>
    </xf>
    <xf fontId="26" fillId="19" borderId="25" numFmtId="0" xfId="0" applyFont="1" applyFill="1" applyBorder="1" applyAlignment="1">
      <alignment horizontal="center"/>
    </xf>
    <xf fontId="4" fillId="17" borderId="27" numFmtId="3" xfId="0" applyNumberFormat="1" applyFont="1" applyFill="1" applyBorder="1" applyAlignment="1">
      <alignment horizontal="center" vertical="center"/>
    </xf>
    <xf fontId="38" fillId="0" borderId="35" numFmtId="161" xfId="0" applyNumberFormat="1" applyFont="1" applyBorder="1"/>
    <xf fontId="4" fillId="0" borderId="54" numFmtId="161" xfId="0" applyNumberFormat="1" applyFont="1" applyBorder="1"/>
    <xf fontId="4" fillId="0" borderId="41" numFmtId="161" xfId="0" applyNumberFormat="1" applyFont="1" applyBorder="1"/>
    <xf fontId="35" fillId="19" borderId="0" numFmtId="0" xfId="0" applyFont="1" applyFill="1" applyAlignment="1">
      <alignment horizontal="center" vertical="center"/>
    </xf>
    <xf fontId="21" fillId="19" borderId="0" numFmtId="4" xfId="0" applyNumberFormat="1" applyFont="1" applyFill="1" applyAlignment="1">
      <alignment horizontal="center" vertical="center"/>
    </xf>
    <xf fontId="4" fillId="0" borderId="0" numFmtId="3" xfId="0" applyNumberFormat="1" applyFont="1" applyAlignment="1">
      <alignment horizontal="center" vertical="center"/>
    </xf>
    <xf fontId="8" fillId="0" borderId="0" numFmtId="2" xfId="0" applyNumberFormat="1" applyFont="1"/>
    <xf fontId="30" fillId="15" borderId="17" numFmtId="4" xfId="0" applyNumberFormat="1" applyFont="1" applyFill="1" applyBorder="1" applyAlignment="1">
      <alignment horizontal="center" vertical="center"/>
    </xf>
    <xf fontId="30" fillId="15" borderId="0" numFmtId="4" xfId="0" applyNumberFormat="1" applyFont="1" applyFill="1" applyAlignment="1">
      <alignment horizontal="center" vertical="center"/>
    </xf>
    <xf fontId="9" fillId="10" borderId="19" numFmtId="0" xfId="0" applyFont="1" applyFill="1" applyBorder="1" applyAlignment="1">
      <alignment horizontal="center" vertical="center"/>
    </xf>
    <xf fontId="9" fillId="10" borderId="20" numFmtId="0" xfId="0" applyFont="1" applyFill="1" applyBorder="1" applyAlignment="1">
      <alignment horizontal="center" vertical="center"/>
    </xf>
    <xf fontId="19" fillId="10" borderId="21" numFmtId="4" xfId="0" applyNumberFormat="1" applyFont="1" applyFill="1" applyBorder="1" applyAlignment="1">
      <alignment horizontal="center" vertical="center" wrapText="1"/>
    </xf>
    <xf fontId="19" fillId="10" borderId="22" numFmtId="4" xfId="0" applyNumberFormat="1" applyFont="1" applyFill="1" applyBorder="1" applyAlignment="1">
      <alignment horizontal="center" vertical="center" wrapText="1"/>
    </xf>
    <xf fontId="9" fillId="8" borderId="23" numFmtId="160" xfId="0" applyNumberFormat="1" applyFont="1" applyFill="1" applyBorder="1" applyAlignment="1">
      <alignment horizontal="center" vertical="center"/>
    </xf>
    <xf fontId="21" fillId="15" borderId="24" numFmtId="4" xfId="0" applyNumberFormat="1" applyFont="1" applyFill="1" applyBorder="1" applyAlignment="1">
      <alignment horizontal="center" vertical="center"/>
    </xf>
    <xf fontId="23" fillId="12" borderId="31" numFmtId="3" xfId="0" applyNumberFormat="1" applyFont="1" applyFill="1" applyBorder="1"/>
    <xf fontId="21" fillId="15" borderId="33" numFmtId="4" xfId="0" applyNumberFormat="1" applyFont="1" applyFill="1" applyBorder="1" applyAlignment="1">
      <alignment horizontal="center" vertical="center"/>
    </xf>
    <xf fontId="4" fillId="12" borderId="37" numFmtId="3" xfId="0" applyNumberFormat="1" applyFont="1" applyFill="1" applyBorder="1"/>
    <xf fontId="21" fillId="15" borderId="39" numFmtId="4" xfId="0" applyNumberFormat="1" applyFont="1" applyFill="1" applyBorder="1" applyAlignment="1">
      <alignment horizontal="center" vertical="center"/>
    </xf>
    <xf fontId="8" fillId="0" borderId="0" numFmtId="0" xfId="0" applyFont="1" applyAlignment="1">
      <alignment horizontal="right" vertical="center"/>
    </xf>
    <xf fontId="8" fillId="15" borderId="0" numFmtId="0" xfId="0" applyFont="1" applyFill="1" applyAlignment="1">
      <alignment horizontal="right" vertical="center"/>
    </xf>
    <xf fontId="5" fillId="14" borderId="18" numFmtId="161" xfId="0" applyNumberFormat="1" applyFont="1" applyFill="1" applyBorder="1" applyAlignment="1">
      <alignment horizontal="center" vertical="center"/>
    </xf>
    <xf fontId="8" fillId="14" borderId="55" numFmtId="1" xfId="0" applyNumberFormat="1" applyFont="1" applyFill="1" applyBorder="1" applyAlignment="1">
      <alignment horizontal="center" vertical="center"/>
    </xf>
    <xf fontId="28" fillId="14" borderId="56" numFmtId="1" xfId="0" applyNumberFormat="1" applyFont="1" applyFill="1" applyBorder="1" applyAlignment="1">
      <alignment horizontal="center" vertical="center"/>
    </xf>
    <xf fontId="28" fillId="14" borderId="57" numFmtId="161" xfId="0" applyNumberFormat="1" applyFont="1" applyFill="1" applyBorder="1" applyAlignment="1">
      <alignment horizontal="center" vertical="center"/>
    </xf>
    <xf fontId="28" fillId="14" borderId="57" numFmtId="2" xfId="0" applyNumberFormat="1" applyFont="1" applyFill="1" applyBorder="1" applyAlignment="1">
      <alignment horizontal="center" vertical="center"/>
    </xf>
    <xf fontId="28" fillId="14" borderId="58" numFmtId="161" xfId="0" applyNumberFormat="1" applyFont="1" applyFill="1" applyBorder="1" applyAlignment="1">
      <alignment horizontal="center" vertical="center"/>
    </xf>
    <xf fontId="8" fillId="14" borderId="59" numFmtId="161" xfId="0" applyNumberFormat="1" applyFont="1" applyFill="1" applyBorder="1" applyAlignment="1">
      <alignment horizontal="right" vertical="center"/>
    </xf>
    <xf fontId="8" fillId="14" borderId="57" numFmtId="161" xfId="0" applyNumberFormat="1" applyFont="1" applyFill="1" applyBorder="1" applyAlignment="1">
      <alignment horizontal="right" vertical="center"/>
    </xf>
    <xf fontId="8" fillId="14" borderId="60" numFmtId="161" xfId="0" applyNumberFormat="1" applyFont="1" applyFill="1" applyBorder="1" applyAlignment="1">
      <alignment horizontal="right" vertical="center"/>
    </xf>
    <xf fontId="8" fillId="14" borderId="56" numFmtId="161" xfId="0" applyNumberFormat="1" applyFont="1" applyFill="1" applyBorder="1" applyAlignment="1">
      <alignment horizontal="right" vertical="center"/>
    </xf>
    <xf fontId="36" fillId="0" borderId="0" numFmtId="3" xfId="0" applyNumberFormat="1" applyFont="1" applyAlignment="1">
      <alignment horizontal="center" vertical="center"/>
    </xf>
    <xf fontId="21" fillId="15" borderId="24" numFmtId="3" xfId="0" applyNumberFormat="1" applyFont="1" applyFill="1" applyBorder="1" applyAlignment="1">
      <alignment horizontal="center" vertical="center"/>
    </xf>
    <xf fontId="22" fillId="0" borderId="37" numFmtId="1" xfId="0" applyNumberFormat="1" applyFont="1" applyBorder="1"/>
    <xf fontId="22" fillId="0" borderId="61" numFmtId="2" xfId="0" applyNumberFormat="1" applyFont="1" applyBorder="1"/>
    <xf fontId="21" fillId="15" borderId="33" numFmtId="3" xfId="0" applyNumberFormat="1" applyFont="1" applyFill="1" applyBorder="1" applyAlignment="1">
      <alignment horizontal="center" vertical="center"/>
    </xf>
    <xf fontId="22" fillId="0" borderId="62" numFmtId="1" xfId="0" applyNumberFormat="1" applyFont="1" applyBorder="1"/>
    <xf fontId="22" fillId="0" borderId="63" numFmtId="2" xfId="0" applyNumberFormat="1" applyFont="1" applyBorder="1"/>
    <xf fontId="21" fillId="15" borderId="39" numFmtId="3" xfId="0" applyNumberFormat="1" applyFont="1" applyFill="1" applyBorder="1" applyAlignment="1">
      <alignment horizontal="center" vertical="center"/>
    </xf>
    <xf fontId="22" fillId="0" borderId="64" numFmtId="1" xfId="0" applyNumberFormat="1" applyFont="1" applyBorder="1"/>
    <xf fontId="22" fillId="0" borderId="65" numFmtId="2" xfId="0" applyNumberFormat="1" applyFont="1" applyBorder="1"/>
    <xf fontId="5" fillId="20" borderId="18" numFmtId="161" xfId="0" applyNumberFormat="1" applyFont="1" applyFill="1" applyBorder="1" applyAlignment="1">
      <alignment horizontal="center" vertical="center"/>
    </xf>
    <xf fontId="28" fillId="14" borderId="57" numFmtId="161" xfId="0" applyNumberFormat="1" applyFont="1" applyFill="1" applyBorder="1" applyAlignment="1">
      <alignment horizontal="right" vertical="center"/>
    </xf>
    <xf fontId="28" fillId="14" borderId="57" numFmtId="2" xfId="0" applyNumberFormat="1" applyFont="1" applyFill="1" applyBorder="1" applyAlignment="1">
      <alignment horizontal="right" vertical="center"/>
    </xf>
    <xf fontId="28" fillId="14" borderId="58" numFmtId="161" xfId="0" applyNumberFormat="1" applyFont="1" applyFill="1" applyBorder="1" applyAlignment="1">
      <alignment horizontal="right" vertical="center"/>
    </xf>
    <xf fontId="8" fillId="14" borderId="19" numFmtId="161" xfId="0" applyNumberFormat="1" applyFont="1" applyFill="1" applyBorder="1" applyAlignment="1">
      <alignment horizontal="right" vertical="center"/>
    </xf>
    <xf fontId="39" fillId="19" borderId="0" numFmtId="0" xfId="0" applyFont="1" applyFill="1" applyAlignment="1">
      <alignment horizontal="center" vertical="center"/>
    </xf>
    <xf fontId="9" fillId="18" borderId="1" numFmtId="0" xfId="0" applyFont="1" applyFill="1" applyBorder="1" applyAlignment="1">
      <alignment horizontal="center" vertical="center" wrapText="1"/>
    </xf>
    <xf fontId="9" fillId="10" borderId="15" numFmtId="0" xfId="0" applyFont="1" applyFill="1" applyBorder="1" applyAlignment="1">
      <alignment horizontal="center" vertical="center"/>
    </xf>
    <xf fontId="19" fillId="10" borderId="66" numFmtId="4" xfId="0" applyNumberFormat="1" applyFont="1" applyFill="1" applyBorder="1" applyAlignment="1">
      <alignment horizontal="center" vertical="center" wrapText="1"/>
    </xf>
    <xf fontId="4" fillId="0" borderId="0" numFmtId="0" xfId="0" applyFont="1" applyAlignment="1">
      <alignment horizontal="right"/>
    </xf>
    <xf fontId="5" fillId="0" borderId="26" numFmtId="1" xfId="0" applyNumberFormat="1" applyFont="1" applyBorder="1" applyAlignment="1">
      <alignment horizontal="center"/>
    </xf>
    <xf fontId="22" fillId="4" borderId="26" numFmtId="1" xfId="0" applyNumberFormat="1" applyFont="1" applyFill="1" applyBorder="1" applyAlignment="1">
      <alignment horizontal="center"/>
    </xf>
    <xf fontId="4" fillId="0" borderId="35" numFmtId="1" xfId="0" applyNumberFormat="1" applyFont="1" applyBorder="1"/>
    <xf fontId="8" fillId="21" borderId="0" numFmtId="3" xfId="0" applyNumberFormat="1" applyFont="1" applyFill="1" applyAlignment="1">
      <alignment horizontal="center"/>
    </xf>
    <xf fontId="22" fillId="0" borderId="26" numFmtId="1" xfId="0" applyNumberFormat="1" applyFont="1" applyBorder="1" applyAlignment="1">
      <alignment horizontal="center"/>
    </xf>
    <xf fontId="4" fillId="22" borderId="26" numFmtId="1" xfId="0" applyNumberFormat="1" applyFont="1" applyFill="1" applyBorder="1" applyAlignment="1">
      <alignment horizontal="center"/>
    </xf>
    <xf fontId="4" fillId="0" borderId="38" numFmtId="3" xfId="0" applyNumberFormat="1" applyFont="1" applyBorder="1"/>
    <xf fontId="4" fillId="0" borderId="26" numFmtId="0" xfId="0" applyFont="1" applyBorder="1"/>
    <xf fontId="5" fillId="0" borderId="18" numFmtId="1" xfId="0" applyNumberFormat="1" applyFont="1" applyBorder="1" applyAlignment="1">
      <alignment horizontal="center" vertical="center"/>
    </xf>
    <xf fontId="8" fillId="14" borderId="16" numFmtId="1" xfId="0" applyNumberFormat="1" applyFont="1" applyFill="1" applyBorder="1" applyAlignment="1">
      <alignment horizontal="center" vertical="center"/>
    </xf>
    <xf fontId="4" fillId="14" borderId="18" numFmtId="0" xfId="0" applyFont="1" applyFill="1" applyBorder="1" applyAlignment="1">
      <alignment horizontal="center" vertical="center"/>
    </xf>
    <xf fontId="4" fillId="14" borderId="19" numFmtId="0" xfId="0" applyFont="1" applyFill="1" applyBorder="1"/>
    <xf fontId="8" fillId="14" borderId="14" numFmtId="1" xfId="0" applyNumberFormat="1" applyFont="1" applyFill="1" applyBorder="1" applyAlignment="1">
      <alignment vertical="center"/>
    </xf>
    <xf fontId="36" fillId="0" borderId="0" numFmtId="10" xfId="2" applyNumberFormat="1" applyFont="1" applyAlignment="1">
      <alignment horizontal="center" vertical="center"/>
    </xf>
    <xf fontId="40" fillId="0" borderId="0" numFmtId="0" xfId="0" applyFont="1" applyAlignment="1">
      <alignment horizontal="center" vertical="center"/>
    </xf>
    <xf fontId="40" fillId="0" borderId="0" numFmtId="3" xfId="0" applyNumberFormat="1" applyFont="1" applyAlignment="1">
      <alignment horizontal="center" vertical="center"/>
    </xf>
    <xf fontId="5" fillId="0" borderId="0" numFmtId="1" xfId="0" applyNumberFormat="1" applyFont="1" applyAlignment="1">
      <alignment horizontal="center"/>
    </xf>
    <xf fontId="4" fillId="0" borderId="0" numFmtId="10" xfId="0" applyNumberFormat="1" applyFont="1" applyAlignment="1">
      <alignment horizontal="center"/>
    </xf>
    <xf fontId="4" fillId="0" borderId="0" numFmtId="162" xfId="0" applyNumberFormat="1" applyFont="1" applyAlignment="1">
      <alignment horizontal="center"/>
    </xf>
    <xf fontId="4" fillId="0" borderId="0" numFmtId="161" xfId="0" applyNumberFormat="1" applyFont="1"/>
    <xf fontId="4" fillId="21" borderId="0" numFmtId="161" xfId="0" applyNumberFormat="1" applyFont="1" applyFill="1"/>
    <xf fontId="5" fillId="21" borderId="0" numFmtId="1" xfId="0" applyNumberFormat="1" applyFont="1" applyFill="1" applyAlignment="1">
      <alignment horizontal="center"/>
    </xf>
    <xf fontId="4" fillId="21" borderId="0" numFmtId="0" xfId="0" applyFont="1" applyFill="1"/>
    <xf fontId="8" fillId="21" borderId="0" numFmtId="0" xfId="0" applyFont="1" applyFill="1"/>
    <xf fontId="8" fillId="0" borderId="0" numFmtId="3" xfId="0" applyNumberFormat="1" applyFont="1"/>
    <xf fontId="4" fillId="0" borderId="0" numFmtId="1" xfId="0" applyNumberFormat="1" applyFont="1" applyAlignment="1">
      <alignment horizontal="center"/>
    </xf>
    <xf fontId="41" fillId="23" borderId="67" numFmtId="0" xfId="0" applyFont="1" applyFill="1" applyBorder="1" applyAlignment="1">
      <alignment horizontal="right" vertical="top" wrapText="1"/>
    </xf>
    <xf fontId="20" fillId="0" borderId="0" numFmtId="3" xfId="0" applyNumberFormat="1" applyFont="1" applyAlignment="1">
      <alignment horizontal="center" vertical="center"/>
    </xf>
    <xf fontId="5" fillId="14" borderId="19" numFmtId="161" xfId="0" applyNumberFormat="1" applyFont="1" applyFill="1" applyBorder="1" applyAlignment="1">
      <alignment horizontal="right" vertical="center"/>
    </xf>
    <xf fontId="8" fillId="14" borderId="23" numFmtId="1" xfId="0" applyNumberFormat="1" applyFont="1" applyFill="1" applyBorder="1" applyAlignment="1">
      <alignment horizontal="right" vertical="center"/>
    </xf>
    <xf fontId="8" fillId="14" borderId="15" numFmtId="1" xfId="0" applyNumberFormat="1" applyFont="1" applyFill="1" applyBorder="1" applyAlignment="1">
      <alignment horizontal="right" vertical="center"/>
    </xf>
    <xf fontId="8" fillId="14" borderId="44" numFmtId="1" xfId="0" applyNumberFormat="1" applyFont="1" applyFill="1" applyBorder="1" applyAlignment="1">
      <alignment horizontal="right" vertical="center"/>
    </xf>
    <xf fontId="8" fillId="14" borderId="45" numFmtId="3" xfId="0" applyNumberFormat="1" applyFont="1" applyFill="1" applyBorder="1" applyAlignment="1">
      <alignment vertical="center"/>
    </xf>
    <xf fontId="8" fillId="14" borderId="21" numFmtId="3" xfId="0" applyNumberFormat="1" applyFont="1" applyFill="1" applyBorder="1" applyAlignment="1">
      <alignment vertical="center"/>
    </xf>
    <xf fontId="8" fillId="14" borderId="16" numFmtId="1" xfId="0" applyNumberFormat="1" applyFont="1" applyFill="1" applyBorder="1" applyAlignment="1">
      <alignment horizontal="right" vertical="center"/>
    </xf>
    <xf fontId="8" fillId="14" borderId="21" numFmtId="3" xfId="0" applyNumberFormat="1" applyFont="1" applyFill="1" applyBorder="1" applyAlignment="1">
      <alignment horizontal="right" vertical="center"/>
    </xf>
    <xf fontId="30" fillId="15" borderId="17" numFmtId="3" xfId="0" applyNumberFormat="1" applyFont="1" applyFill="1" applyBorder="1" applyAlignment="1">
      <alignment horizontal="center" vertical="center" wrapText="1"/>
    </xf>
    <xf fontId="30" fillId="15" borderId="68" numFmtId="3" xfId="0" applyNumberFormat="1" applyFont="1" applyFill="1" applyBorder="1" applyAlignment="1">
      <alignment horizontal="center" vertical="center" wrapText="1"/>
    </xf>
    <xf fontId="4" fillId="0" borderId="35" numFmtId="3" xfId="0" applyNumberFormat="1" applyFont="1" applyBorder="1"/>
    <xf fontId="31" fillId="0" borderId="35" numFmtId="3" xfId="0" applyNumberFormat="1" applyFont="1" applyBorder="1"/>
    <xf fontId="8" fillId="14" borderId="23" numFmtId="1" xfId="0" applyNumberFormat="1" applyFont="1" applyFill="1" applyBorder="1" applyAlignment="1">
      <alignment vertical="center"/>
    </xf>
    <xf fontId="8" fillId="14" borderId="15" numFmtId="1" xfId="0" applyNumberFormat="1" applyFont="1" applyFill="1" applyBorder="1" applyAlignment="1">
      <alignment vertical="center"/>
    </xf>
    <xf fontId="8" fillId="14" borderId="44" numFmtId="1" xfId="0" applyNumberFormat="1" applyFont="1" applyFill="1" applyBorder="1" applyAlignment="1">
      <alignment vertical="center"/>
    </xf>
    <xf fontId="42" fillId="0" borderId="0" numFmtId="0" xfId="0" applyFont="1"/>
    <xf fontId="0" fillId="0" borderId="33" numFmtId="0" xfId="0" applyBorder="1"/>
    <xf fontId="0" fillId="0" borderId="39" numFmtId="0" xfId="0" applyBorder="1"/>
    <xf fontId="5" fillId="14" borderId="18" numFmtId="161" xfId="0" applyNumberFormat="1" applyFont="1" applyFill="1" applyBorder="1" applyAlignment="1">
      <alignment horizontal="right" vertical="center"/>
    </xf>
    <xf fontId="8" fillId="14" borderId="45" numFmtId="1" xfId="0" applyNumberFormat="1" applyFont="1" applyFill="1" applyBorder="1" applyAlignment="1">
      <alignment vertical="center"/>
    </xf>
    <xf fontId="8" fillId="14" borderId="21" numFmtId="1" xfId="0" applyNumberFormat="1" applyFont="1" applyFill="1" applyBorder="1" applyAlignment="1">
      <alignment vertical="center"/>
    </xf>
    <xf fontId="9" fillId="18" borderId="69" numFmtId="0" xfId="0" applyFont="1" applyFill="1" applyBorder="1" applyAlignment="1">
      <alignment horizontal="center" vertical="center"/>
    </xf>
    <xf fontId="19" fillId="18" borderId="70" numFmtId="4" xfId="0" applyNumberFormat="1" applyFont="1" applyFill="1" applyBorder="1" applyAlignment="1">
      <alignment horizontal="center" vertical="center" wrapText="1"/>
    </xf>
    <xf fontId="19" fillId="18" borderId="71" numFmtId="4" xfId="0" applyNumberFormat="1" applyFont="1" applyFill="1" applyBorder="1" applyAlignment="1">
      <alignment horizontal="center" vertical="center" wrapText="1"/>
    </xf>
    <xf fontId="4" fillId="0" borderId="35" numFmtId="3" xfId="0" applyNumberFormat="1" applyFont="1" applyBorder="1" applyAlignment="1">
      <alignment horizontal="center"/>
    </xf>
    <xf fontId="22" fillId="0" borderId="48" numFmtId="1" xfId="0" applyNumberFormat="1" applyFont="1" applyBorder="1" applyAlignment="1">
      <alignment horizontal="center" vertical="center"/>
    </xf>
    <xf fontId="22" fillId="0" borderId="29" numFmtId="1" xfId="0" applyNumberFormat="1" applyFont="1" applyBorder="1"/>
    <xf fontId="22" fillId="0" borderId="72" numFmtId="2" xfId="0" applyNumberFormat="1" applyFont="1" applyBorder="1"/>
    <xf fontId="29" fillId="12" borderId="35" numFmtId="3" xfId="0" applyNumberFormat="1" applyFont="1" applyFill="1" applyBorder="1"/>
    <xf fontId="29" fillId="0" borderId="35" numFmtId="3" xfId="0" applyNumberFormat="1" applyFont="1" applyBorder="1"/>
    <xf fontId="22" fillId="0" borderId="26" numFmtId="1" xfId="0" applyNumberFormat="1" applyFont="1" applyBorder="1" applyAlignment="1">
      <alignment horizontal="center" vertical="center"/>
    </xf>
    <xf fontId="22" fillId="0" borderId="73" numFmtId="2" xfId="0" applyNumberFormat="1" applyFont="1" applyBorder="1"/>
    <xf fontId="8" fillId="14" borderId="23" numFmtId="3" xfId="0" applyNumberFormat="1" applyFont="1" applyFill="1" applyBorder="1" applyAlignment="1">
      <alignment vertical="center"/>
    </xf>
    <xf fontId="8" fillId="14" borderId="15" numFmtId="3" xfId="0" applyNumberFormat="1" applyFont="1" applyFill="1" applyBorder="1" applyAlignment="1">
      <alignment vertical="center"/>
    </xf>
    <xf fontId="8" fillId="14" borderId="44" numFmtId="3" xfId="0" applyNumberFormat="1" applyFont="1" applyFill="1" applyBorder="1" applyAlignment="1">
      <alignment vertical="center"/>
    </xf>
    <xf fontId="9" fillId="10" borderId="48" numFmtId="0" xfId="0" applyFont="1" applyFill="1" applyBorder="1" applyAlignment="1">
      <alignment horizontal="center" vertical="center" wrapText="1"/>
    </xf>
    <xf fontId="9" fillId="10" borderId="74" numFmtId="0" xfId="0" applyFont="1" applyFill="1" applyBorder="1" applyAlignment="1">
      <alignment horizontal="center" vertical="center" wrapText="1"/>
    </xf>
    <xf fontId="9" fillId="10" borderId="55" numFmtId="0" xfId="0" applyFont="1" applyFill="1" applyBorder="1" applyAlignment="1">
      <alignment horizontal="center" vertical="center"/>
    </xf>
    <xf fontId="9" fillId="10" borderId="75" numFmtId="0" xfId="0" applyFont="1" applyFill="1" applyBorder="1" applyAlignment="1">
      <alignment horizontal="center" vertical="center"/>
    </xf>
    <xf fontId="8" fillId="0" borderId="74" numFmtId="3" xfId="0" applyNumberFormat="1" applyFont="1" applyBorder="1" applyAlignment="1">
      <alignment horizontal="center" vertical="center"/>
    </xf>
    <xf fontId="4" fillId="2" borderId="74" numFmtId="3" xfId="0" applyNumberFormat="1" applyFont="1" applyFill="1" applyBorder="1" applyAlignment="1">
      <alignment horizontal="center" vertical="center"/>
    </xf>
    <xf fontId="4" fillId="0" borderId="46" numFmtId="1" xfId="0" applyNumberFormat="1" applyFont="1" applyBorder="1" applyAlignment="1">
      <alignment horizontal="center" vertical="center"/>
    </xf>
    <xf fontId="22" fillId="0" borderId="34" numFmtId="0" xfId="0" applyFont="1" applyBorder="1" applyAlignment="1">
      <alignment horizontal="center" vertical="center"/>
    </xf>
    <xf fontId="8" fillId="0" borderId="27" numFmtId="3" xfId="0" applyNumberFormat="1" applyFont="1" applyBorder="1" applyAlignment="1">
      <alignment horizontal="center" vertical="center"/>
    </xf>
    <xf fontId="8" fillId="0" borderId="76" numFmtId="3" xfId="0" applyNumberFormat="1" applyFont="1" applyBorder="1" applyAlignment="1">
      <alignment horizontal="center" vertical="center"/>
    </xf>
    <xf fontId="4" fillId="17" borderId="76" numFmtId="3" xfId="0" applyNumberFormat="1" applyFont="1" applyFill="1" applyBorder="1" applyAlignment="1">
      <alignment horizontal="center" vertical="center"/>
    </xf>
    <xf fontId="21" fillId="24" borderId="17" numFmtId="4" xfId="0" applyNumberFormat="1" applyFont="1" applyFill="1" applyBorder="1" applyAlignment="1">
      <alignment vertical="center"/>
    </xf>
    <xf fontId="8" fillId="15" borderId="0" numFmtId="0" xfId="0" applyFont="1" applyFill="1" applyAlignment="1">
      <alignment horizontal="center"/>
    </xf>
    <xf fontId="8" fillId="14" borderId="52" numFmtId="3" xfId="0" applyNumberFormat="1" applyFont="1" applyFill="1" applyBorder="1" applyAlignment="1">
      <alignment horizontal="center" vertical="center"/>
    </xf>
    <xf fontId="8" fillId="15" borderId="76" numFmtId="3" xfId="0" applyNumberFormat="1" applyFont="1" applyFill="1" applyBorder="1" applyAlignment="1">
      <alignment horizontal="center" vertical="center"/>
    </xf>
    <xf fontId="5" fillId="14" borderId="19" numFmtId="1" xfId="0" applyNumberFormat="1" applyFont="1" applyFill="1" applyBorder="1" applyAlignment="1">
      <alignment horizontal="center" vertical="center"/>
    </xf>
    <xf fontId="4" fillId="14" borderId="16" numFmtId="1" xfId="0" applyNumberFormat="1" applyFont="1" applyFill="1" applyBorder="1" applyAlignment="1">
      <alignment horizontal="center" vertical="center"/>
    </xf>
    <xf fontId="4" fillId="0" borderId="0" numFmtId="161" xfId="0" applyNumberFormat="1" applyFont="1" applyAlignment="1">
      <alignment horizontal="center" vertical="center"/>
    </xf>
    <xf fontId="9" fillId="10" borderId="55" numFmtId="160" xfId="0" applyNumberFormat="1" applyFont="1" applyFill="1" applyBorder="1" applyAlignment="1">
      <alignment horizontal="center" vertical="center"/>
    </xf>
    <xf fontId="8" fillId="2" borderId="27" numFmtId="3" xfId="0" applyNumberFormat="1" applyFont="1" applyFill="1" applyBorder="1" applyAlignment="1">
      <alignment horizontal="center" vertical="center"/>
    </xf>
    <xf fontId="22" fillId="0" borderId="46" numFmtId="1" xfId="0" applyNumberFormat="1" applyFont="1" applyBorder="1"/>
    <xf fontId="43" fillId="0" borderId="53" numFmtId="4" xfId="0" applyNumberFormat="1" applyFont="1" applyBorder="1" applyAlignment="1">
      <alignment horizontal="center" vertical="center"/>
    </xf>
    <xf fontId="8" fillId="13" borderId="27" numFmtId="3" xfId="0" applyNumberFormat="1" applyFont="1" applyFill="1" applyBorder="1" applyAlignment="1">
      <alignment horizontal="center" vertical="center"/>
    </xf>
    <xf fontId="43" fillId="0" borderId="46" numFmtId="4" xfId="0" applyNumberFormat="1" applyFont="1" applyBorder="1" applyAlignment="1">
      <alignment horizontal="center" vertical="center"/>
    </xf>
    <xf fontId="8" fillId="16" borderId="27" numFmtId="3" xfId="0" applyNumberFormat="1" applyFont="1" applyFill="1" applyBorder="1" applyAlignment="1">
      <alignment horizontal="center" vertical="center"/>
    </xf>
    <xf fontId="8" fillId="17" borderId="27" numFmtId="3" xfId="0" applyNumberFormat="1" applyFont="1" applyFill="1" applyBorder="1" applyAlignment="1">
      <alignment horizontal="center" vertical="center"/>
    </xf>
    <xf fontId="43" fillId="0" borderId="54" numFmtId="4" xfId="0" applyNumberFormat="1" applyFont="1" applyBorder="1" applyAlignment="1">
      <alignment horizontal="center" vertical="center"/>
    </xf>
    <xf fontId="5" fillId="14" borderId="23" numFmtId="161" xfId="0" applyNumberFormat="1" applyFont="1" applyFill="1" applyBorder="1" applyAlignment="1">
      <alignment horizontal="center" vertical="center"/>
    </xf>
    <xf fontId="8" fillId="14" borderId="15" numFmtId="1" xfId="0" applyNumberFormat="1" applyFont="1" applyFill="1" applyBorder="1" applyAlignment="1">
      <alignment horizontal="center" vertical="center"/>
    </xf>
    <xf fontId="28" fillId="14" borderId="15" numFmtId="1" xfId="0" applyNumberFormat="1" applyFont="1" applyFill="1" applyBorder="1" applyAlignment="1">
      <alignment horizontal="center" vertical="center"/>
    </xf>
    <xf fontId="30" fillId="15" borderId="17" numFmtId="4" xfId="0" applyNumberFormat="1" applyFont="1" applyFill="1" applyBorder="1" applyAlignment="1">
      <alignment horizontal="center" vertical="center" wrapText="1"/>
    </xf>
    <xf fontId="30" fillId="15" borderId="0" numFmtId="4" xfId="0" applyNumberFormat="1" applyFont="1" applyFill="1" applyAlignment="1">
      <alignment horizontal="center" vertical="center" wrapText="1"/>
    </xf>
    <xf fontId="21" fillId="11" borderId="24" numFmtId="4" xfId="0" applyNumberFormat="1" applyFont="1" applyFill="1" applyBorder="1" applyAlignment="1">
      <alignment horizontal="center" vertical="center" wrapText="1"/>
    </xf>
    <xf fontId="5" fillId="0" borderId="26" numFmtId="1" xfId="0" applyNumberFormat="1" applyFont="1" applyBorder="1" applyAlignment="1">
      <alignment horizontal="center" vertical="center"/>
    </xf>
    <xf fontId="4" fillId="0" borderId="68" numFmtId="1" xfId="0" applyNumberFormat="1" applyFont="1" applyBorder="1" applyAlignment="1">
      <alignment horizontal="center" vertical="center"/>
    </xf>
    <xf fontId="22" fillId="0" borderId="73" numFmtId="0" xfId="0" applyFont="1" applyBorder="1" applyAlignment="1">
      <alignment horizontal="center" vertical="center"/>
    </xf>
    <xf fontId="21" fillId="11" borderId="33" numFmtId="4" xfId="0" applyNumberFormat="1" applyFont="1" applyFill="1" applyBorder="1" applyAlignment="1">
      <alignment horizontal="center" vertical="center" wrapText="1"/>
    </xf>
    <xf fontId="5" fillId="0" borderId="52" numFmtId="1" xfId="0" applyNumberFormat="1" applyFont="1" applyBorder="1" applyAlignment="1">
      <alignment horizontal="center" vertical="center"/>
    </xf>
    <xf fontId="4" fillId="0" borderId="77" numFmtId="1" xfId="0" applyNumberFormat="1" applyFont="1" applyBorder="1" applyAlignment="1">
      <alignment horizontal="center" vertical="center"/>
    </xf>
    <xf fontId="5" fillId="14" borderId="43" numFmtId="161" xfId="0" applyNumberFormat="1" applyFont="1" applyFill="1" applyBorder="1" applyAlignment="1">
      <alignment horizontal="center" vertical="center"/>
    </xf>
    <xf fontId="8" fillId="14" borderId="41" numFmtId="1" xfId="0" applyNumberFormat="1" applyFont="1" applyFill="1" applyBorder="1" applyAlignment="1">
      <alignment horizontal="center" vertical="center"/>
    </xf>
    <xf fontId="19" fillId="18" borderId="66" numFmtId="4" xfId="0" applyNumberFormat="1" applyFont="1" applyFill="1" applyBorder="1" applyAlignment="1">
      <alignment horizontal="center" vertical="center" wrapText="1"/>
    </xf>
    <xf fontId="22" fillId="0" borderId="46" numFmtId="161" xfId="0" applyNumberFormat="1" applyFont="1" applyBorder="1"/>
    <xf fontId="22" fillId="0" borderId="78" numFmtId="4" xfId="0" applyNumberFormat="1" applyFont="1" applyBorder="1" applyAlignment="1">
      <alignment horizontal="center" vertical="center"/>
    </xf>
    <xf fontId="22" fillId="0" borderId="0" numFmtId="2" xfId="0" applyNumberFormat="1" applyFont="1"/>
    <xf fontId="22" fillId="0" borderId="35" numFmtId="4" xfId="0" applyNumberFormat="1" applyFont="1" applyBorder="1" applyAlignment="1">
      <alignment horizontal="center" vertical="center"/>
    </xf>
    <xf fontId="8" fillId="14" borderId="14" numFmtId="3" xfId="0" applyNumberFormat="1" applyFont="1" applyFill="1" applyBorder="1" applyAlignment="1">
      <alignment horizontal="center" vertical="center"/>
    </xf>
    <xf fontId="8" fillId="15" borderId="15" numFmtId="3" xfId="0" applyNumberFormat="1" applyFont="1" applyFill="1" applyBorder="1" applyAlignment="1">
      <alignment horizontal="center" vertical="center"/>
    </xf>
    <xf fontId="5" fillId="14" borderId="15" numFmtId="161" xfId="0" applyNumberFormat="1" applyFont="1" applyFill="1" applyBorder="1" applyAlignment="1">
      <alignment horizontal="center" vertical="center"/>
    </xf>
    <xf fontId="28" fillId="14" borderId="44" numFmtId="161" xfId="0" applyNumberFormat="1" applyFont="1" applyFill="1" applyBorder="1" applyAlignment="1">
      <alignment horizontal="right" vertical="center"/>
    </xf>
    <xf fontId="8" fillId="14" borderId="14" numFmtId="1" xfId="0" applyNumberFormat="1" applyFont="1" applyFill="1" applyBorder="1" applyAlignment="1">
      <alignment horizontal="right" vertical="center"/>
    </xf>
    <xf fontId="8" fillId="14" borderId="22" numFmtId="1" xfId="0" applyNumberFormat="1" applyFont="1" applyFill="1" applyBorder="1" applyAlignment="1">
      <alignment vertical="center"/>
    </xf>
    <xf fontId="4" fillId="0" borderId="79" numFmtId="3" xfId="0" applyNumberFormat="1" applyFont="1" applyBorder="1"/>
    <xf fontId="5" fillId="0" borderId="80" numFmtId="3" xfId="0" applyNumberFormat="1" applyFont="1" applyBorder="1"/>
    <xf fontId="5" fillId="0" borderId="31" numFmtId="3" xfId="0" applyNumberFormat="1" applyFont="1" applyBorder="1"/>
    <xf fontId="4" fillId="0" borderId="81" numFmtId="1" xfId="0" applyNumberFormat="1" applyFont="1" applyBorder="1"/>
    <xf fontId="24" fillId="0" borderId="31" numFmtId="3" xfId="0" applyNumberFormat="1" applyFont="1" applyBorder="1"/>
    <xf fontId="28" fillId="0" borderId="31" numFmtId="3" xfId="0" applyNumberFormat="1" applyFont="1" applyBorder="1"/>
    <xf fontId="26" fillId="0" borderId="41" numFmtId="3" xfId="0" applyNumberFormat="1" applyFont="1" applyBorder="1"/>
    <xf fontId="8" fillId="14" borderId="45" numFmtId="1" xfId="0" applyNumberFormat="1" applyFont="1" applyFill="1" applyBorder="1" applyAlignment="1">
      <alignment horizontal="right" vertical="center"/>
    </xf>
    <xf fontId="8" fillId="14" borderId="21" numFmtId="1" xfId="0" applyNumberFormat="1" applyFont="1" applyFill="1" applyBorder="1" applyAlignment="1">
      <alignment horizontal="right" vertical="center"/>
    </xf>
    <xf fontId="8" fillId="14" borderId="22" numFmtId="1" xfId="0" applyNumberFormat="1" applyFont="1" applyFill="1" applyBorder="1" applyAlignment="1">
      <alignment horizontal="right" vertical="center"/>
    </xf>
    <xf fontId="30" fillId="25" borderId="47" numFmtId="2" xfId="0" applyNumberFormat="1" applyFont="1" applyFill="1" applyBorder="1" applyAlignment="1">
      <alignment horizontal="center" vertical="center"/>
    </xf>
    <xf fontId="22" fillId="0" borderId="26" numFmtId="161" xfId="0" applyNumberFormat="1" applyFont="1" applyBorder="1" applyAlignment="1">
      <alignment horizontal="center" vertical="center"/>
    </xf>
    <xf fontId="22" fillId="0" borderId="35" numFmtId="2" xfId="0" applyNumberFormat="1" applyFont="1" applyBorder="1" applyAlignment="1">
      <alignment horizontal="center" vertical="center"/>
    </xf>
    <xf fontId="31" fillId="0" borderId="31" numFmtId="3" xfId="0" applyNumberFormat="1" applyFont="1" applyBorder="1"/>
    <xf fontId="30" fillId="25" borderId="50" numFmtId="2" xfId="0" applyNumberFormat="1" applyFont="1" applyFill="1" applyBorder="1" applyAlignment="1">
      <alignment horizontal="center" vertical="center"/>
    </xf>
    <xf fontId="29" fillId="0" borderId="31" numFmtId="3" xfId="0" applyNumberFormat="1" applyFont="1" applyBorder="1"/>
    <xf fontId="28" fillId="14" borderId="16" numFmtId="161" xfId="0" applyNumberFormat="1" applyFont="1" applyFill="1" applyBorder="1" applyAlignment="1">
      <alignment vertical="center"/>
    </xf>
    <xf fontId="8" fillId="14" borderId="22" numFmtId="3" xfId="0" applyNumberFormat="1" applyFont="1" applyFill="1" applyBorder="1" applyAlignment="1">
      <alignment vertical="center"/>
    </xf>
    <xf fontId="9" fillId="12" borderId="23" numFmtId="160" xfId="0" applyNumberFormat="1" applyFont="1" applyFill="1" applyBorder="1" applyAlignment="1">
      <alignment horizontal="center" vertical="center"/>
    </xf>
    <xf fontId="4" fillId="0" borderId="74" numFmtId="0" xfId="0" applyFont="1" applyBorder="1" applyAlignment="1">
      <alignment horizontal="center" vertical="center"/>
    </xf>
    <xf fontId="4" fillId="0" borderId="27" numFmtId="0" xfId="0" applyFont="1" applyBorder="1" applyAlignment="1">
      <alignment horizontal="center" vertical="center"/>
    </xf>
    <xf fontId="31" fillId="12" borderId="31" numFmtId="3" xfId="0" applyNumberFormat="1" applyFont="1" applyFill="1" applyBorder="1"/>
    <xf fontId="4" fillId="0" borderId="76" numFmtId="0" xfId="0" applyFont="1" applyBorder="1" applyAlignment="1">
      <alignment horizontal="center" vertical="center"/>
    </xf>
    <xf fontId="22" fillId="0" borderId="43" numFmtId="0" xfId="0" applyFont="1" applyBorder="1" applyAlignment="1">
      <alignment horizontal="center" vertical="center"/>
    </xf>
    <xf fontId="22" fillId="0" borderId="41" numFmtId="1" xfId="0" applyNumberFormat="1" applyFont="1" applyBorder="1"/>
    <xf fontId="28" fillId="14" borderId="82" numFmtId="1" xfId="0" applyNumberFormat="1" applyFont="1" applyFill="1" applyBorder="1" applyAlignment="1">
      <alignment horizontal="center" vertical="center"/>
    </xf>
    <xf fontId="28" fillId="14" borderId="83" numFmtId="161" xfId="0" applyNumberFormat="1" applyFont="1" applyFill="1" applyBorder="1" applyAlignment="1">
      <alignment horizontal="right" vertical="center"/>
    </xf>
    <xf fontId="28" fillId="14" borderId="83" numFmtId="2" xfId="0" applyNumberFormat="1" applyFont="1" applyFill="1" applyBorder="1" applyAlignment="1">
      <alignment horizontal="center" vertical="center"/>
    </xf>
    <xf fontId="28" fillId="14" borderId="84" numFmtId="161" xfId="0" applyNumberFormat="1" applyFont="1" applyFill="1" applyBorder="1" applyAlignment="1">
      <alignment horizontal="right" vertical="center"/>
    </xf>
    <xf fontId="4" fillId="0" borderId="0" numFmtId="0" xfId="0" applyFont="1" applyAlignment="1">
      <alignment horizontal="center"/>
    </xf>
    <xf fontId="9" fillId="0" borderId="0" numFmtId="0" xfId="0" applyFont="1" applyAlignment="1">
      <alignment horizontal="center" vertical="center" wrapText="1"/>
    </xf>
    <xf fontId="13" fillId="0" borderId="0" numFmtId="0" xfId="0" applyFont="1" applyAlignment="1">
      <alignment horizontal="center" vertical="center" wrapText="1"/>
    </xf>
    <xf fontId="9" fillId="0" borderId="0" numFmtId="0" xfId="0" applyFont="1" applyAlignment="1">
      <alignment horizontal="center" vertical="center"/>
    </xf>
    <xf fontId="19" fillId="0" borderId="0" numFmtId="4" xfId="0" applyNumberFormat="1" applyFont="1" applyAlignment="1">
      <alignment horizontal="center" vertical="center" wrapText="1"/>
    </xf>
    <xf fontId="9" fillId="0" borderId="0" numFmtId="160" xfId="0" applyNumberFormat="1" applyFont="1" applyAlignment="1">
      <alignment horizontal="center" vertical="center"/>
    </xf>
    <xf fontId="4" fillId="0" borderId="0" numFmtId="0" xfId="0" applyFont="1" applyAlignment="1">
      <alignment vertical="center"/>
    </xf>
    <xf fontId="4" fillId="0" borderId="0" numFmtId="0" xfId="0" applyFont="1" applyAlignment="1">
      <alignment horizontal="right" vertical="center"/>
    </xf>
    <xf fontId="5" fillId="0" borderId="0" numFmtId="1" xfId="0" applyNumberFormat="1" applyFont="1" applyAlignment="1">
      <alignment horizontal="right" vertical="center"/>
    </xf>
    <xf fontId="44" fillId="0" borderId="17" numFmtId="3" xfId="0" applyNumberFormat="1" applyFont="1" applyBorder="1" applyAlignment="1">
      <alignment horizontal="center" vertical="center"/>
    </xf>
    <xf fontId="44" fillId="0" borderId="0" numFmtId="3" xfId="0" applyNumberFormat="1" applyFont="1" applyAlignment="1">
      <alignment horizontal="center" vertical="center"/>
    </xf>
    <xf fontId="13" fillId="10" borderId="19" numFmtId="1" xfId="0" applyNumberFormat="1" applyFont="1" applyFill="1" applyBorder="1" applyAlignment="1">
      <alignment horizontal="center" vertical="center" wrapText="1"/>
    </xf>
    <xf fontId="9" fillId="10" borderId="44" numFmtId="0" xfId="0" applyFont="1" applyFill="1" applyBorder="1" applyAlignment="1">
      <alignment horizontal="center" vertical="center"/>
    </xf>
    <xf fontId="9" fillId="10" borderId="14" numFmtId="160" xfId="0" applyNumberFormat="1" applyFont="1" applyFill="1" applyBorder="1" applyAlignment="1">
      <alignment horizontal="center" vertical="center"/>
    </xf>
    <xf fontId="9" fillId="10" borderId="15" numFmtId="160" xfId="0" applyNumberFormat="1" applyFont="1" applyFill="1" applyBorder="1" applyAlignment="1">
      <alignment horizontal="center" vertical="center"/>
    </xf>
    <xf fontId="9" fillId="8" borderId="15" numFmtId="160" xfId="0" applyNumberFormat="1" applyFont="1" applyFill="1" applyBorder="1" applyAlignment="1">
      <alignment horizontal="center" vertical="center"/>
    </xf>
    <xf fontId="9" fillId="7" borderId="15" numFmtId="160" xfId="0" applyNumberFormat="1" applyFont="1" applyFill="1" applyBorder="1" applyAlignment="1">
      <alignment horizontal="center" vertical="center"/>
    </xf>
    <xf fontId="9" fillId="4" borderId="15" numFmtId="160" xfId="0" applyNumberFormat="1" applyFont="1" applyFill="1" applyBorder="1" applyAlignment="1">
      <alignment horizontal="center" vertical="center"/>
    </xf>
    <xf fontId="9" fillId="5" borderId="15" numFmtId="160" xfId="0" applyNumberFormat="1" applyFont="1" applyFill="1" applyBorder="1" applyAlignment="1">
      <alignment horizontal="center" vertical="center"/>
    </xf>
    <xf fontId="9" fillId="10" borderId="16" numFmtId="160" xfId="0" applyNumberFormat="1" applyFont="1" applyFill="1" applyBorder="1" applyAlignment="1">
      <alignment horizontal="center" vertical="center"/>
    </xf>
    <xf fontId="21" fillId="11" borderId="24" numFmtId="3" xfId="0" applyNumberFormat="1" applyFont="1" applyFill="1" applyBorder="1" applyAlignment="1">
      <alignment horizontal="center" vertical="center"/>
    </xf>
    <xf fontId="5" fillId="0" borderId="34" numFmtId="1" xfId="0" applyNumberFormat="1" applyFont="1" applyBorder="1" applyAlignment="1">
      <alignment horizontal="center" vertical="center"/>
    </xf>
    <xf fontId="22" fillId="0" borderId="38" numFmtId="0" xfId="0" applyFont="1" applyBorder="1" applyAlignment="1">
      <alignment horizontal="center"/>
    </xf>
    <xf fontId="22" fillId="0" borderId="31" numFmtId="1" xfId="0" applyNumberFormat="1" applyFont="1" applyBorder="1" applyAlignment="1">
      <alignment horizontal="center" vertical="center"/>
    </xf>
    <xf fontId="22" fillId="0" borderId="31" numFmtId="2" xfId="0" applyNumberFormat="1" applyFont="1" applyBorder="1" applyAlignment="1">
      <alignment horizontal="center" vertical="center"/>
    </xf>
    <xf fontId="22" fillId="0" borderId="85" numFmtId="2" xfId="0" applyNumberFormat="1" applyFont="1" applyBorder="1" applyAlignment="1">
      <alignment horizontal="center" vertical="center"/>
    </xf>
    <xf fontId="4" fillId="0" borderId="86" numFmtId="3" xfId="0" applyNumberFormat="1" applyFont="1" applyBorder="1"/>
    <xf fontId="4" fillId="16" borderId="31" numFmtId="3" xfId="0" applyNumberFormat="1" applyFont="1" applyFill="1" applyBorder="1"/>
    <xf fontId="5" fillId="16" borderId="31" numFmtId="3" xfId="0" applyNumberFormat="1" applyFont="1" applyFill="1" applyBorder="1"/>
    <xf fontId="4" fillId="0" borderId="0" numFmtId="163" xfId="0" applyNumberFormat="1" applyFont="1"/>
    <xf fontId="21" fillId="11" borderId="33" numFmtId="3" xfId="0" applyNumberFormat="1" applyFont="1" applyFill="1" applyBorder="1" applyAlignment="1">
      <alignment horizontal="center" vertical="center"/>
    </xf>
    <xf fontId="4" fillId="3" borderId="27" numFmtId="3" xfId="0" applyNumberFormat="1" applyFont="1" applyFill="1" applyBorder="1" applyAlignment="1">
      <alignment horizontal="center" vertical="center"/>
    </xf>
    <xf fontId="22" fillId="0" borderId="32" numFmtId="1" xfId="0" applyNumberFormat="1" applyFont="1" applyBorder="1" applyAlignment="1">
      <alignment horizontal="center" vertical="center"/>
    </xf>
    <xf fontId="22" fillId="0" borderId="32" numFmtId="2" xfId="0" applyNumberFormat="1" applyFont="1" applyBorder="1" applyAlignment="1">
      <alignment horizontal="center" vertical="center"/>
    </xf>
    <xf fontId="22" fillId="0" borderId="87" numFmtId="2" xfId="0" applyNumberFormat="1" applyFont="1" applyBorder="1" applyAlignment="1">
      <alignment horizontal="center" vertical="center"/>
    </xf>
    <xf fontId="24" fillId="16" borderId="31" numFmtId="3" xfId="0" applyNumberFormat="1" applyFont="1" applyFill="1" applyBorder="1"/>
    <xf fontId="28" fillId="16" borderId="31" numFmtId="3" xfId="0" applyNumberFormat="1" applyFont="1" applyFill="1" applyBorder="1"/>
    <xf fontId="25" fillId="16" borderId="31" numFmtId="3" xfId="0" applyNumberFormat="1" applyFont="1" applyFill="1" applyBorder="1"/>
    <xf fontId="21" fillId="11" borderId="39" numFmtId="3" xfId="0" applyNumberFormat="1" applyFont="1" applyFill="1" applyBorder="1" applyAlignment="1">
      <alignment horizontal="center" vertical="center"/>
    </xf>
    <xf fontId="22" fillId="0" borderId="73" numFmtId="0" xfId="0" applyFont="1" applyBorder="1" applyAlignment="1">
      <alignment horizontal="center"/>
    </xf>
    <xf fontId="22" fillId="0" borderId="88" numFmtId="1" xfId="0" applyNumberFormat="1" applyFont="1" applyBorder="1" applyAlignment="1">
      <alignment horizontal="center" vertical="center"/>
    </xf>
    <xf fontId="22" fillId="0" borderId="88" numFmtId="2" xfId="0" applyNumberFormat="1" applyFont="1" applyBorder="1" applyAlignment="1">
      <alignment horizontal="center" vertical="center"/>
    </xf>
    <xf fontId="22" fillId="0" borderId="89" numFmtId="2" xfId="0" applyNumberFormat="1" applyFont="1" applyBorder="1" applyAlignment="1">
      <alignment horizontal="center" vertical="center"/>
    </xf>
    <xf fontId="4" fillId="0" borderId="34" numFmtId="3" xfId="0" applyNumberFormat="1" applyFont="1" applyBorder="1"/>
    <xf fontId="4" fillId="16" borderId="35" numFmtId="3" xfId="0" applyNumberFormat="1" applyFont="1" applyFill="1" applyBorder="1"/>
    <xf fontId="26" fillId="16" borderId="35" numFmtId="3" xfId="0" applyNumberFormat="1" applyFont="1" applyFill="1" applyBorder="1"/>
    <xf fontId="8" fillId="14" borderId="76" numFmtId="3" xfId="0" applyNumberFormat="1" applyFont="1" applyFill="1" applyBorder="1" applyAlignment="1">
      <alignment horizontal="center" vertical="center"/>
    </xf>
    <xf fontId="5" fillId="14" borderId="18" numFmtId="1" xfId="0" applyNumberFormat="1" applyFont="1" applyFill="1" applyBorder="1" applyAlignment="1">
      <alignment horizontal="center" vertical="center"/>
    </xf>
    <xf fontId="28" fillId="14" borderId="14" numFmtId="1" xfId="0" applyNumberFormat="1" applyFont="1" applyFill="1" applyBorder="1" applyAlignment="1">
      <alignment horizontal="center"/>
    </xf>
    <xf fontId="8" fillId="14" borderId="14" numFmtId="161" xfId="0" applyNumberFormat="1" applyFont="1" applyFill="1" applyBorder="1" applyAlignment="1">
      <alignment vertical="center"/>
    </xf>
    <xf fontId="8" fillId="14" borderId="44" numFmtId="161" xfId="0" applyNumberFormat="1" applyFont="1" applyFill="1" applyBorder="1"/>
    <xf fontId="8" fillId="14" borderId="19" numFmtId="161" xfId="0" applyNumberFormat="1" applyFont="1" applyFill="1" applyBorder="1"/>
    <xf fontId="8" fillId="14" borderId="55" numFmtId="161" xfId="0" applyNumberFormat="1" applyFont="1" applyFill="1" applyBorder="1"/>
    <xf fontId="25" fillId="0" borderId="31" numFmtId="3" xfId="0" applyNumberFormat="1" applyFont="1" applyBorder="1"/>
    <xf fontId="26" fillId="0" borderId="35" numFmtId="3" xfId="0" applyNumberFormat="1" applyFont="1" applyBorder="1"/>
    <xf fontId="8" fillId="14" borderId="22" numFmtId="161" xfId="0" applyNumberFormat="1" applyFont="1" applyFill="1" applyBorder="1" applyAlignment="1">
      <alignment horizontal="right" vertical="center"/>
    </xf>
    <xf fontId="15" fillId="21" borderId="0" numFmtId="0" xfId="0" applyFont="1" applyFill="1"/>
    <xf fontId="4" fillId="21" borderId="0" numFmtId="0" xfId="0" applyFont="1" applyFill="1" applyAlignment="1">
      <alignment horizontal="center" vertical="center"/>
    </xf>
    <xf fontId="5" fillId="21" borderId="0" numFmtId="0" xfId="0" applyFont="1" applyFill="1" applyAlignment="1">
      <alignment horizontal="center" vertical="center"/>
    </xf>
    <xf fontId="4" fillId="8" borderId="78" numFmtId="0" xfId="0" applyFont="1" applyFill="1" applyBorder="1"/>
    <xf fontId="4" fillId="8" borderId="78" numFmtId="0" xfId="0" applyFont="1" applyFill="1" applyBorder="1" applyAlignment="1">
      <alignment horizontal="center"/>
    </xf>
    <xf fontId="9" fillId="8" borderId="48" numFmtId="0" xfId="0" applyFont="1" applyFill="1" applyBorder="1" applyAlignment="1">
      <alignment horizontal="center" vertical="center" wrapText="1"/>
    </xf>
    <xf fontId="9" fillId="8" borderId="74" numFmtId="0" xfId="0" applyFont="1" applyFill="1" applyBorder="1" applyAlignment="1">
      <alignment horizontal="center" vertical="center" wrapText="1"/>
    </xf>
    <xf fontId="13" fillId="8" borderId="49" numFmtId="0" xfId="0" applyFont="1" applyFill="1" applyBorder="1" applyAlignment="1">
      <alignment horizontal="center" vertical="center" wrapText="1"/>
    </xf>
    <xf fontId="9" fillId="8" borderId="49" numFmtId="0" xfId="0" applyFont="1" applyFill="1" applyBorder="1" applyAlignment="1">
      <alignment horizontal="center" vertical="center"/>
    </xf>
    <xf fontId="9" fillId="8" borderId="69" numFmtId="0" xfId="0" applyFont="1" applyFill="1" applyBorder="1" applyAlignment="1">
      <alignment horizontal="center" vertical="center"/>
    </xf>
    <xf fontId="19" fillId="8" borderId="70" numFmtId="4" xfId="0" applyNumberFormat="1" applyFont="1" applyFill="1" applyBorder="1" applyAlignment="1">
      <alignment horizontal="center" vertical="center" wrapText="1"/>
    </xf>
    <xf fontId="19" fillId="8" borderId="90" numFmtId="4" xfId="0" applyNumberFormat="1" applyFont="1" applyFill="1" applyBorder="1" applyAlignment="1">
      <alignment horizontal="center" vertical="center" wrapText="1"/>
    </xf>
    <xf fontId="9" fillId="8" borderId="6" numFmtId="160" xfId="0" applyNumberFormat="1" applyFont="1" applyFill="1" applyBorder="1" applyAlignment="1">
      <alignment horizontal="center" vertical="center"/>
    </xf>
    <xf fontId="8" fillId="8" borderId="6" numFmtId="0" xfId="0" applyFont="1" applyFill="1" applyBorder="1" applyAlignment="1">
      <alignment horizontal="center" vertical="center" wrapText="1"/>
    </xf>
    <xf fontId="45" fillId="8" borderId="6" numFmtId="0" xfId="0" applyFont="1" applyFill="1" applyBorder="1" applyAlignment="1">
      <alignment horizontal="center" vertical="center"/>
    </xf>
    <xf fontId="4" fillId="8" borderId="6" numFmtId="163" xfId="0" applyNumberFormat="1" applyFont="1" applyFill="1" applyBorder="1" applyAlignment="1">
      <alignment horizontal="center" vertical="center"/>
    </xf>
    <xf fontId="4" fillId="8" borderId="6" numFmtId="161" xfId="0" applyNumberFormat="1" applyFont="1" applyFill="1" applyBorder="1" applyAlignment="1">
      <alignment horizontal="center" vertical="center"/>
    </xf>
    <xf fontId="5" fillId="8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vertical="center"/>
    </xf>
    <xf fontId="4" fillId="8" borderId="6" numFmtId="1" xfId="0" applyNumberFormat="1" applyFont="1" applyFill="1" applyBorder="1" applyAlignment="1">
      <alignment vertical="center"/>
    </xf>
    <xf fontId="4" fillId="21" borderId="6" numFmtId="161" xfId="0" applyNumberFormat="1" applyFont="1" applyFill="1" applyBorder="1" applyAlignment="1">
      <alignment horizontal="center" vertical="center"/>
    </xf>
    <xf fontId="4" fillId="8" borderId="6" numFmtId="161" xfId="0" applyNumberFormat="1" applyFont="1" applyFill="1" applyBorder="1" applyAlignment="1">
      <alignment vertical="center"/>
    </xf>
    <xf fontId="4" fillId="21" borderId="0" numFmtId="161" xfId="0" applyNumberFormat="1" applyFont="1" applyFill="1" applyAlignment="1">
      <alignment horizontal="center" vertical="center"/>
    </xf>
    <xf fontId="15" fillId="21" borderId="0" numFmtId="0" xfId="0" applyFont="1" applyFill="1" applyAlignment="1">
      <alignment horizontal="center"/>
    </xf>
    <xf fontId="30" fillId="21" borderId="17" numFmtId="4" xfId="0" applyNumberFormat="1" applyFont="1" applyFill="1" applyBorder="1" applyAlignment="1">
      <alignment horizontal="center" vertical="center"/>
    </xf>
    <xf fontId="30" fillId="21" borderId="0" numFmtId="4" xfId="0" applyNumberFormat="1" applyFont="1" applyFill="1" applyAlignment="1">
      <alignment horizontal="center" vertical="center"/>
    </xf>
    <xf fontId="9" fillId="21" borderId="18" numFmtId="0" xfId="0" applyFont="1" applyFill="1" applyBorder="1" applyAlignment="1">
      <alignment horizontal="center" vertical="center" wrapText="1"/>
    </xf>
    <xf fontId="9" fillId="21" borderId="1" numFmtId="0" xfId="0" applyFont="1" applyFill="1" applyBorder="1" applyAlignment="1">
      <alignment horizontal="center" vertical="center" wrapText="1"/>
    </xf>
    <xf fontId="13" fillId="21" borderId="19" numFmtId="0" xfId="0" applyFont="1" applyFill="1" applyBorder="1" applyAlignment="1">
      <alignment horizontal="center" vertical="center" wrapText="1"/>
    </xf>
    <xf fontId="9" fillId="21" borderId="19" numFmtId="0" xfId="0" applyFont="1" applyFill="1" applyBorder="1" applyAlignment="1">
      <alignment horizontal="center" vertical="center"/>
    </xf>
    <xf fontId="9" fillId="21" borderId="20" numFmtId="0" xfId="0" applyFont="1" applyFill="1" applyBorder="1" applyAlignment="1">
      <alignment horizontal="center" vertical="center"/>
    </xf>
    <xf fontId="19" fillId="21" borderId="21" numFmtId="4" xfId="0" applyNumberFormat="1" applyFont="1" applyFill="1" applyBorder="1" applyAlignment="1">
      <alignment horizontal="center" vertical="center" wrapText="1"/>
    </xf>
    <xf fontId="19" fillId="21" borderId="22" numFmtId="4" xfId="0" applyNumberFormat="1" applyFont="1" applyFill="1" applyBorder="1" applyAlignment="1">
      <alignment horizontal="center" vertical="center" wrapText="1"/>
    </xf>
    <xf fontId="9" fillId="21" borderId="14" numFmtId="160" xfId="0" applyNumberFormat="1" applyFont="1" applyFill="1" applyBorder="1" applyAlignment="1">
      <alignment horizontal="center" vertical="center"/>
    </xf>
    <xf fontId="21" fillId="21" borderId="24" numFmtId="4" xfId="0" applyNumberFormat="1" applyFont="1" applyFill="1" applyBorder="1" applyAlignment="1">
      <alignment horizontal="center" vertical="center"/>
    </xf>
    <xf fontId="8" fillId="21" borderId="25" numFmtId="0" xfId="0" applyFont="1" applyFill="1" applyBorder="1" applyAlignment="1">
      <alignment horizontal="center" wrapText="1"/>
    </xf>
    <xf fontId="46" fillId="21" borderId="26" numFmtId="3" xfId="0" applyNumberFormat="1" applyFont="1" applyFill="1" applyBorder="1" applyAlignment="1">
      <alignment horizontal="center" vertical="center"/>
    </xf>
    <xf fontId="4" fillId="21" borderId="27" numFmtId="3" xfId="0" applyNumberFormat="1" applyFont="1" applyFill="1" applyBorder="1" applyAlignment="1">
      <alignment horizontal="center" vertical="center"/>
    </xf>
    <xf fontId="5" fillId="21" borderId="0" numFmtId="1" xfId="0" applyNumberFormat="1" applyFont="1" applyFill="1" applyAlignment="1">
      <alignment horizontal="center" vertical="center"/>
    </xf>
    <xf fontId="4" fillId="21" borderId="35" numFmtId="1" xfId="0" applyNumberFormat="1" applyFont="1" applyFill="1" applyBorder="1" applyAlignment="1">
      <alignment horizontal="right" vertical="center"/>
    </xf>
    <xf fontId="22" fillId="21" borderId="34" numFmtId="1" xfId="0" applyNumberFormat="1" applyFont="1" applyFill="1" applyBorder="1" applyAlignment="1">
      <alignment horizontal="right" vertical="center"/>
    </xf>
    <xf fontId="22" fillId="21" borderId="35" numFmtId="1" xfId="0" applyNumberFormat="1" applyFont="1" applyFill="1" applyBorder="1" applyAlignment="1">
      <alignment horizontal="right" vertical="center"/>
    </xf>
    <xf fontId="22" fillId="21" borderId="35" numFmtId="2" xfId="0" applyNumberFormat="1" applyFont="1" applyFill="1" applyBorder="1" applyAlignment="1">
      <alignment horizontal="right" vertical="center"/>
    </xf>
    <xf fontId="22" fillId="21" borderId="36" numFmtId="2" xfId="0" applyNumberFormat="1" applyFont="1" applyFill="1" applyBorder="1" applyAlignment="1">
      <alignment horizontal="right" vertical="center"/>
    </xf>
    <xf fontId="4" fillId="21" borderId="91" numFmtId="163" xfId="0" applyNumberFormat="1" applyFont="1" applyFill="1" applyBorder="1" applyAlignment="1">
      <alignment horizontal="right" vertical="center"/>
    </xf>
    <xf fontId="21" fillId="21" borderId="33" numFmtId="4" xfId="0" applyNumberFormat="1" applyFont="1" applyFill="1" applyBorder="1" applyAlignment="1">
      <alignment horizontal="center" vertical="center"/>
    </xf>
    <xf fontId="8" fillId="21" borderId="25" numFmtId="0" xfId="0" applyFont="1" applyFill="1" applyBorder="1" applyAlignment="1">
      <alignment horizontal="center" vertical="center" wrapText="1"/>
    </xf>
    <xf fontId="4" fillId="21" borderId="38" numFmtId="163" xfId="0" applyNumberFormat="1" applyFont="1" applyFill="1" applyBorder="1" applyAlignment="1">
      <alignment horizontal="right" vertical="center"/>
    </xf>
    <xf fontId="4" fillId="21" borderId="38" numFmtId="3" xfId="0" applyNumberFormat="1" applyFont="1" applyFill="1" applyBorder="1"/>
    <xf fontId="25" fillId="21" borderId="25" numFmtId="0" xfId="0" applyFont="1" applyFill="1" applyBorder="1" applyAlignment="1">
      <alignment horizontal="center"/>
    </xf>
    <xf fontId="4" fillId="21" borderId="26" numFmtId="3" xfId="0" applyNumberFormat="1" applyFont="1" applyFill="1" applyBorder="1" applyAlignment="1">
      <alignment horizontal="center" vertical="center"/>
    </xf>
    <xf fontId="4" fillId="21" borderId="35" numFmtId="1" xfId="0" applyNumberFormat="1" applyFont="1" applyFill="1" applyBorder="1" applyAlignment="1">
      <alignment horizontal="center" vertical="center"/>
    </xf>
    <xf fontId="22" fillId="21" borderId="34" numFmtId="1" xfId="0" applyNumberFormat="1" applyFont="1" applyFill="1" applyBorder="1" applyAlignment="1">
      <alignment horizontal="center" vertical="center"/>
    </xf>
    <xf fontId="22" fillId="21" borderId="35" numFmtId="1" xfId="0" applyNumberFormat="1" applyFont="1" applyFill="1" applyBorder="1"/>
    <xf fontId="22" fillId="21" borderId="35" numFmtId="2" xfId="0" applyNumberFormat="1" applyFont="1" applyFill="1" applyBorder="1"/>
    <xf fontId="22" fillId="21" borderId="36" numFmtId="2" xfId="0" applyNumberFormat="1" applyFont="1" applyFill="1" applyBorder="1"/>
    <xf fontId="21" fillId="21" borderId="39" numFmtId="4" xfId="0" applyNumberFormat="1" applyFont="1" applyFill="1" applyBorder="1" applyAlignment="1">
      <alignment horizontal="center" vertical="center"/>
    </xf>
    <xf fontId="26" fillId="21" borderId="25" numFmtId="0" xfId="0" applyFont="1" applyFill="1" applyBorder="1" applyAlignment="1">
      <alignment horizontal="center"/>
    </xf>
    <xf fontId="4" fillId="21" borderId="43" numFmtId="3" xfId="0" applyNumberFormat="1" applyFont="1" applyFill="1" applyBorder="1"/>
    <xf fontId="8" fillId="26" borderId="18" numFmtId="3" xfId="0" applyNumberFormat="1" applyFont="1" applyFill="1" applyBorder="1" applyAlignment="1">
      <alignment horizontal="center" vertical="center"/>
    </xf>
    <xf fontId="8" fillId="26" borderId="1" numFmtId="3" xfId="0" applyNumberFormat="1" applyFont="1" applyFill="1" applyBorder="1" applyAlignment="1">
      <alignment horizontal="center" vertical="center"/>
    </xf>
    <xf fontId="5" fillId="26" borderId="18" numFmtId="161" xfId="0" applyNumberFormat="1" applyFont="1" applyFill="1" applyBorder="1" applyAlignment="1">
      <alignment horizontal="center" vertical="center"/>
    </xf>
    <xf fontId="8" fillId="26" borderId="55" numFmtId="1" xfId="0" applyNumberFormat="1" applyFont="1" applyFill="1" applyBorder="1" applyAlignment="1">
      <alignment horizontal="center" vertical="center"/>
    </xf>
    <xf fontId="28" fillId="26" borderId="56" numFmtId="1" xfId="0" applyNumberFormat="1" applyFont="1" applyFill="1" applyBorder="1" applyAlignment="1">
      <alignment horizontal="center" vertical="center"/>
    </xf>
    <xf fontId="28" fillId="26" borderId="57" numFmtId="161" xfId="0" applyNumberFormat="1" applyFont="1" applyFill="1" applyBorder="1" applyAlignment="1">
      <alignment horizontal="center" vertical="center"/>
    </xf>
    <xf fontId="28" fillId="26" borderId="57" numFmtId="2" xfId="0" applyNumberFormat="1" applyFont="1" applyFill="1" applyBorder="1" applyAlignment="1">
      <alignment horizontal="center" vertical="center"/>
    </xf>
    <xf fontId="28" fillId="26" borderId="58" numFmtId="161" xfId="0" applyNumberFormat="1" applyFont="1" applyFill="1" applyBorder="1" applyAlignment="1">
      <alignment horizontal="center" vertical="center"/>
    </xf>
    <xf fontId="8" fillId="26" borderId="59" numFmtId="161" xfId="0" applyNumberFormat="1" applyFont="1" applyFill="1" applyBorder="1" applyAlignment="1">
      <alignment horizontal="right" vertical="center"/>
    </xf>
    <xf fontId="8" fillId="0" borderId="0" numFmtId="0" xfId="0" applyFont="1" applyAlignment="1">
      <alignment horizontal="center"/>
    </xf>
    <xf fontId="8" fillId="0" borderId="0" numFmtId="162" xfId="2" applyNumberFormat="1" applyFont="1" applyAlignment="1">
      <alignment horizontal="center" vertical="center"/>
    </xf>
    <xf fontId="47" fillId="0" borderId="0" numFmtId="0" xfId="0" applyFont="1"/>
    <xf fontId="48" fillId="0" borderId="92" numFmtId="0" xfId="0" applyFont="1" applyBorder="1" applyAlignment="1">
      <alignment horizontal="center"/>
    </xf>
    <xf fontId="48" fillId="0" borderId="6" numFmtId="10" xfId="0" applyNumberFormat="1" applyFont="1" applyBorder="1" applyAlignment="1">
      <alignment horizontal="center"/>
    </xf>
    <xf fontId="4" fillId="0" borderId="6" numFmtId="0" xfId="0" applyFont="1" applyBorder="1"/>
    <xf fontId="4" fillId="0" borderId="6" numFmtId="3" xfId="0" applyNumberFormat="1" applyFont="1" applyBorder="1"/>
    <xf fontId="8" fillId="0" borderId="6" numFmtId="3" xfId="0" applyNumberFormat="1" applyFont="1" applyBorder="1"/>
    <xf fontId="15" fillId="0" borderId="0" numFmtId="0" xfId="0" applyFont="1"/>
    <xf fontId="15" fillId="0" borderId="0" numFmtId="1" xfId="0" applyNumberFormat="1" applyFont="1"/>
    <xf fontId="43" fillId="0" borderId="0" numFmtId="0" xfId="0" applyFont="1" applyAlignment="1">
      <alignment vertical="center"/>
    </xf>
    <xf fontId="43" fillId="0" borderId="0" numFmtId="1" xfId="0" applyNumberFormat="1" applyFont="1" applyAlignment="1">
      <alignment vertical="center"/>
    </xf>
    <xf fontId="4" fillId="2" borderId="1" numFmtId="0" xfId="0" applyFont="1" applyFill="1" applyBorder="1"/>
    <xf fontId="49" fillId="0" borderId="0" numFmtId="1" xfId="0" applyNumberFormat="1" applyFont="1" applyAlignment="1">
      <alignment horizontal="right" vertical="center"/>
    </xf>
    <xf fontId="13" fillId="0" borderId="0" numFmtId="1" xfId="0" applyNumberFormat="1" applyFont="1" applyAlignment="1">
      <alignment horizontal="center" vertical="center"/>
    </xf>
    <xf fontId="16" fillId="0" borderId="0" numFmtId="0" xfId="0" applyFont="1" applyAlignment="1">
      <alignment horizontal="center" vertical="center"/>
    </xf>
    <xf fontId="34" fillId="0" borderId="0" numFmtId="3" xfId="0" applyNumberFormat="1" applyFont="1" applyAlignment="1">
      <alignment horizontal="center" vertical="center"/>
    </xf>
    <xf fontId="34" fillId="0" borderId="0" numFmtId="1" xfId="0" applyNumberFormat="1" applyFont="1" applyAlignment="1">
      <alignment horizontal="right" vertical="center"/>
    </xf>
    <xf fontId="17" fillId="10" borderId="44" numFmtId="0" xfId="0" applyFont="1" applyFill="1" applyBorder="1" applyAlignment="1">
      <alignment horizontal="center" vertical="center"/>
    </xf>
    <xf fontId="21" fillId="27" borderId="24" numFmtId="4" xfId="0" applyNumberFormat="1" applyFont="1" applyFill="1" applyBorder="1" applyAlignment="1">
      <alignment horizontal="center" vertical="center"/>
    </xf>
    <xf fontId="22" fillId="0" borderId="86" numFmtId="1" xfId="0" applyNumberFormat="1" applyFont="1" applyBorder="1" applyAlignment="1">
      <alignment horizontal="center"/>
    </xf>
    <xf fontId="22" fillId="0" borderId="31" numFmtId="161" xfId="0" applyNumberFormat="1" applyFont="1" applyBorder="1" applyAlignment="1">
      <alignment horizontal="center" vertical="center"/>
    </xf>
    <xf fontId="4" fillId="0" borderId="78" numFmtId="3" xfId="0" applyNumberFormat="1" applyFont="1" applyBorder="1"/>
    <xf fontId="4" fillId="0" borderId="85" numFmtId="3" xfId="0" applyNumberFormat="1" applyFont="1" applyBorder="1"/>
    <xf fontId="0" fillId="21" borderId="33" numFmtId="0" xfId="0" applyFill="1" applyBorder="1"/>
    <xf fontId="22" fillId="0" borderId="79" numFmtId="1" xfId="0" applyNumberFormat="1" applyFont="1" applyBorder="1" applyAlignment="1">
      <alignment horizontal="center"/>
    </xf>
    <xf fontId="22" fillId="0" borderId="32" numFmtId="161" xfId="0" applyNumberFormat="1" applyFont="1" applyBorder="1" applyAlignment="1">
      <alignment horizontal="center" vertical="center"/>
    </xf>
    <xf fontId="0" fillId="21" borderId="39" numFmtId="0" xfId="0" applyFill="1" applyBorder="1"/>
    <xf fontId="22" fillId="0" borderId="93" numFmtId="1" xfId="0" applyNumberFormat="1" applyFont="1" applyBorder="1" applyAlignment="1">
      <alignment horizontal="center"/>
    </xf>
    <xf fontId="22" fillId="0" borderId="88" numFmtId="161" xfId="0" applyNumberFormat="1" applyFont="1" applyBorder="1" applyAlignment="1">
      <alignment horizontal="center" vertical="center"/>
    </xf>
    <xf fontId="4" fillId="0" borderId="43" numFmtId="3" xfId="0" applyNumberFormat="1" applyFont="1" applyBorder="1"/>
    <xf fontId="4" fillId="0" borderId="9" numFmtId="3" xfId="0" applyNumberFormat="1" applyFont="1" applyBorder="1"/>
    <xf fontId="8" fillId="14" borderId="44" numFmtId="1" xfId="0" applyNumberFormat="1" applyFont="1" applyFill="1" applyBorder="1" applyAlignment="1">
      <alignment horizontal="center" vertical="center"/>
    </xf>
    <xf fontId="28" fillId="14" borderId="20" numFmtId="1" xfId="0" applyNumberFormat="1" applyFont="1" applyFill="1" applyBorder="1" applyAlignment="1">
      <alignment horizontal="center"/>
    </xf>
    <xf fontId="28" fillId="14" borderId="21" numFmtId="161" xfId="0" applyNumberFormat="1" applyFont="1" applyFill="1" applyBorder="1" applyAlignment="1">
      <alignment horizontal="center" vertical="center"/>
    </xf>
    <xf fontId="28" fillId="14" borderId="21" numFmtId="2" xfId="0" applyNumberFormat="1" applyFont="1" applyFill="1" applyBorder="1" applyAlignment="1">
      <alignment horizontal="center" vertical="center"/>
    </xf>
    <xf fontId="28" fillId="14" borderId="22" numFmtId="161" xfId="0" applyNumberFormat="1" applyFont="1" applyFill="1" applyBorder="1" applyAlignment="1">
      <alignment horizontal="center" vertical="center"/>
    </xf>
    <xf fontId="8" fillId="14" borderId="20" numFmtId="161" xfId="0" applyNumberFormat="1" applyFont="1" applyFill="1" applyBorder="1"/>
    <xf fontId="8" fillId="14" borderId="21" numFmtId="161" xfId="0" applyNumberFormat="1" applyFont="1" applyFill="1" applyBorder="1"/>
    <xf fontId="8" fillId="14" borderId="66" numFmtId="161" xfId="0" applyNumberFormat="1" applyFont="1" applyFill="1" applyBorder="1"/>
    <xf fontId="50" fillId="0" borderId="0" numFmtId="1" xfId="0" applyNumberFormat="1" applyFont="1" applyAlignment="1">
      <alignment horizontal="center" vertical="center"/>
    </xf>
    <xf fontId="28" fillId="0" borderId="0" numFmtId="1" xfId="0" applyNumberFormat="1" applyFont="1" applyAlignment="1">
      <alignment horizontal="center"/>
    </xf>
    <xf fontId="4" fillId="0" borderId="49" numFmtId="1" xfId="0" applyNumberFormat="1" applyFont="1" applyBorder="1"/>
    <xf fontId="16" fillId="4" borderId="0" numFmtId="4" xfId="0" applyNumberFormat="1" applyFont="1" applyFill="1" applyAlignment="1">
      <alignment horizontal="center" vertical="center"/>
    </xf>
    <xf fontId="26" fillId="0" borderId="0" numFmtId="1" xfId="0" applyNumberFormat="1" applyFont="1" applyAlignment="1">
      <alignment horizontal="right" vertical="center"/>
    </xf>
    <xf fontId="19" fillId="10" borderId="70" numFmtId="4" xfId="0" applyNumberFormat="1" applyFont="1" applyFill="1" applyBorder="1" applyAlignment="1">
      <alignment horizontal="center" vertical="center" wrapText="1"/>
    </xf>
    <xf fontId="5" fillId="0" borderId="26" numFmtId="161" xfId="0" applyNumberFormat="1" applyFont="1" applyBorder="1" applyAlignment="1">
      <alignment horizontal="center" vertical="center"/>
    </xf>
    <xf fontId="22" fillId="0" borderId="37" numFmtId="161" xfId="0" applyNumberFormat="1" applyFont="1" applyBorder="1" applyAlignment="1">
      <alignment horizontal="center" vertical="center"/>
    </xf>
    <xf fontId="43" fillId="0" borderId="78" numFmtId="4" xfId="0" applyNumberFormat="1" applyFont="1" applyBorder="1" applyAlignment="1">
      <alignment horizontal="center" vertical="center"/>
    </xf>
    <xf fontId="22" fillId="0" borderId="61" numFmtId="2" xfId="0" applyNumberFormat="1" applyFont="1" applyBorder="1" applyAlignment="1">
      <alignment horizontal="center" vertical="center"/>
    </xf>
    <xf fontId="22" fillId="0" borderId="62" numFmtId="161" xfId="0" applyNumberFormat="1" applyFont="1" applyBorder="1" applyAlignment="1">
      <alignment horizontal="center" vertical="center"/>
    </xf>
    <xf fontId="43" fillId="0" borderId="35" numFmtId="4" xfId="0" applyNumberFormat="1" applyFont="1" applyBorder="1" applyAlignment="1">
      <alignment horizontal="center" vertical="center"/>
    </xf>
    <xf fontId="22" fillId="0" borderId="63" numFmtId="2" xfId="0" applyNumberFormat="1" applyFont="1" applyBorder="1" applyAlignment="1">
      <alignment horizontal="center" vertical="center"/>
    </xf>
    <xf fontId="22" fillId="0" borderId="94" numFmtId="1" xfId="0" applyNumberFormat="1" applyFont="1" applyBorder="1" applyAlignment="1">
      <alignment horizontal="center"/>
    </xf>
    <xf fontId="22" fillId="0" borderId="95" numFmtId="161" xfId="0" applyNumberFormat="1" applyFont="1" applyBorder="1" applyAlignment="1">
      <alignment horizontal="center" vertical="center"/>
    </xf>
    <xf fontId="51" fillId="0" borderId="9" numFmtId="4" xfId="0" applyNumberFormat="1" applyFont="1" applyBorder="1" applyAlignment="1">
      <alignment horizontal="center" vertical="center"/>
    </xf>
    <xf fontId="22" fillId="0" borderId="96" numFmtId="2" xfId="0" applyNumberFormat="1" applyFont="1" applyBorder="1" applyAlignment="1">
      <alignment horizontal="center" vertical="center"/>
    </xf>
    <xf fontId="28" fillId="14" borderId="41" numFmtId="2" xfId="0" applyNumberFormat="1" applyFont="1" applyFill="1" applyBorder="1" applyAlignment="1">
      <alignment horizontal="center" vertical="center"/>
    </xf>
    <xf fontId="8" fillId="14" borderId="20" numFmtId="161" xfId="0" applyNumberFormat="1" applyFont="1" applyFill="1" applyBorder="1" applyAlignment="1">
      <alignment vertical="center"/>
    </xf>
    <xf fontId="8" fillId="14" borderId="66" numFmtId="161" xfId="0" applyNumberFormat="1" applyFont="1" applyFill="1" applyBorder="1" applyAlignment="1">
      <alignment vertical="center"/>
    </xf>
    <xf fontId="8" fillId="14" borderId="19" numFmtId="161" xfId="0" applyNumberFormat="1" applyFont="1" applyFill="1" applyBorder="1" applyAlignment="1">
      <alignment vertical="center"/>
    </xf>
    <xf fontId="8" fillId="14" borderId="55" numFmtId="161" xfId="0" applyNumberFormat="1" applyFont="1" applyFill="1" applyBorder="1" applyAlignment="1">
      <alignment vertical="center"/>
    </xf>
    <xf fontId="50" fillId="0" borderId="0" numFmtId="0" xfId="0" applyFont="1" applyAlignment="1">
      <alignment horizontal="center" vertical="center"/>
    </xf>
    <xf fontId="8" fillId="0" borderId="0" numFmtId="1" xfId="0" applyNumberFormat="1" applyFont="1" applyAlignment="1">
      <alignment horizontal="center"/>
    </xf>
    <xf fontId="26" fillId="0" borderId="0" numFmtId="3" xfId="0" applyNumberFormat="1" applyFont="1" applyAlignment="1">
      <alignment horizontal="center" vertical="center"/>
    </xf>
    <xf fontId="22" fillId="0" borderId="0" numFmtId="163" xfId="0" applyNumberFormat="1" applyFont="1" applyAlignment="1">
      <alignment horizontal="center" vertical="center"/>
    </xf>
    <xf fontId="22" fillId="0" borderId="68" numFmtId="2" xfId="0" applyNumberFormat="1" applyFont="1" applyBorder="1" applyAlignment="1">
      <alignment horizontal="center" vertical="center"/>
    </xf>
    <xf fontId="8" fillId="14" borderId="23" numFmtId="161" xfId="0" applyNumberFormat="1" applyFont="1" applyFill="1" applyBorder="1"/>
    <xf fontId="8" fillId="14" borderId="15" numFmtId="161" xfId="0" applyNumberFormat="1" applyFont="1" applyFill="1" applyBorder="1"/>
    <xf fontId="8" fillId="0" borderId="0" numFmtId="0" xfId="0" applyFont="1" applyAlignment="1">
      <alignment horizontal="right"/>
    </xf>
    <xf fontId="4" fillId="0" borderId="37" numFmtId="1" xfId="0" applyNumberFormat="1" applyFont="1" applyBorder="1" applyAlignment="1">
      <alignment horizontal="center" vertical="center"/>
    </xf>
    <xf fontId="29" fillId="12" borderId="86" numFmtId="163" xfId="0" applyNumberFormat="1" applyFont="1" applyFill="1" applyBorder="1"/>
    <xf fontId="29" fillId="12" borderId="38" numFmtId="163" xfId="0" applyNumberFormat="1" applyFont="1" applyFill="1" applyBorder="1"/>
    <xf fontId="29" fillId="0" borderId="38" numFmtId="163" xfId="0" applyNumberFormat="1" applyFont="1" applyBorder="1"/>
    <xf fontId="29" fillId="0" borderId="97" numFmtId="163" xfId="0" applyNumberFormat="1" applyFont="1" applyBorder="1"/>
    <xf fontId="29" fillId="0" borderId="31" numFmtId="163" xfId="0" applyNumberFormat="1" applyFont="1" applyBorder="1"/>
    <xf fontId="31" fillId="0" borderId="31" numFmtId="163" xfId="0" applyNumberFormat="1" applyFont="1" applyBorder="1"/>
    <xf fontId="29" fillId="0" borderId="85" numFmtId="163" xfId="0" applyNumberFormat="1" applyFont="1" applyBorder="1"/>
    <xf fontId="31" fillId="0" borderId="38" numFmtId="163" xfId="0" applyNumberFormat="1" applyFont="1" applyBorder="1"/>
    <xf fontId="29" fillId="12" borderId="34" numFmtId="163" xfId="0" applyNumberFormat="1" applyFont="1" applyFill="1" applyBorder="1"/>
    <xf fontId="29" fillId="12" borderId="73" numFmtId="163" xfId="0" applyNumberFormat="1" applyFont="1" applyFill="1" applyBorder="1"/>
    <xf fontId="29" fillId="0" borderId="73" numFmtId="163" xfId="0" applyNumberFormat="1" applyFont="1" applyBorder="1"/>
    <xf fontId="31" fillId="0" borderId="73" numFmtId="163" xfId="0" applyNumberFormat="1" applyFont="1" applyBorder="1"/>
    <xf fontId="29" fillId="0" borderId="0" numFmtId="163" xfId="0" applyNumberFormat="1" applyFont="1"/>
    <xf fontId="29" fillId="0" borderId="35" numFmtId="163" xfId="0" applyNumberFormat="1" applyFont="1" applyBorder="1"/>
    <xf fontId="29" fillId="0" borderId="36" numFmtId="163" xfId="0" applyNumberFormat="1" applyFont="1" applyBorder="1"/>
    <xf fontId="28" fillId="0" borderId="0" numFmtId="161" xfId="0" applyNumberFormat="1" applyFont="1" applyAlignment="1">
      <alignment horizontal="center" vertical="center"/>
    </xf>
    <xf fontId="28" fillId="0" borderId="0" numFmtId="2" xfId="0" applyNumberFormat="1" applyFont="1" applyAlignment="1">
      <alignment horizontal="center" vertical="center"/>
    </xf>
    <xf fontId="8" fillId="0" borderId="0" numFmtId="161" xfId="0" applyNumberFormat="1" applyFont="1" applyAlignment="1">
      <alignment vertical="center"/>
    </xf>
    <xf fontId="30" fillId="19" borderId="48" numFmtId="3" xfId="0" applyNumberFormat="1" applyFont="1" applyFill="1" applyBorder="1" applyAlignment="1">
      <alignment horizontal="center" vertical="center"/>
    </xf>
    <xf fontId="30" fillId="19" borderId="49" numFmtId="3" xfId="0" applyNumberFormat="1" applyFont="1" applyFill="1" applyBorder="1" applyAlignment="1">
      <alignment horizontal="center" vertical="center"/>
    </xf>
    <xf fontId="17" fillId="10" borderId="16" numFmtId="0" xfId="0" applyFont="1" applyFill="1" applyBorder="1" applyAlignment="1">
      <alignment horizontal="center" vertical="center"/>
    </xf>
    <xf fontId="28" fillId="0" borderId="14" numFmtId="1" xfId="0" applyNumberFormat="1" applyFont="1" applyBorder="1" applyAlignment="1">
      <alignment horizontal="center"/>
    </xf>
    <xf fontId="28" fillId="0" borderId="15" numFmtId="161" xfId="0" applyNumberFormat="1" applyFont="1" applyBorder="1" applyAlignment="1">
      <alignment horizontal="center" vertical="center"/>
    </xf>
    <xf fontId="28" fillId="0" borderId="15" numFmtId="2" xfId="0" applyNumberFormat="1" applyFont="1" applyBorder="1" applyAlignment="1">
      <alignment horizontal="center" vertical="center"/>
    </xf>
    <xf fontId="28" fillId="0" borderId="16" numFmtId="161" xfId="0" applyNumberFormat="1" applyFont="1" applyBorder="1" applyAlignment="1">
      <alignment horizontal="center" vertical="center"/>
    </xf>
    <xf fontId="52" fillId="19" borderId="98" numFmtId="2" xfId="0" applyNumberFormat="1" applyFont="1" applyFill="1" applyBorder="1" applyAlignment="1">
      <alignment horizontal="center" vertical="center"/>
    </xf>
    <xf fontId="5" fillId="0" borderId="48" numFmtId="1" xfId="0" applyNumberFormat="1" applyFont="1" applyBorder="1" applyAlignment="1">
      <alignment horizontal="center" vertical="center"/>
    </xf>
    <xf fontId="4" fillId="0" borderId="36" numFmtId="1" xfId="0" applyNumberFormat="1" applyFont="1" applyBorder="1" applyAlignment="1">
      <alignment horizontal="center" vertical="center"/>
    </xf>
    <xf fontId="22" fillId="0" borderId="99" numFmtId="1" xfId="0" applyNumberFormat="1" applyFont="1" applyBorder="1" applyAlignment="1">
      <alignment horizontal="center"/>
    </xf>
    <xf fontId="22" fillId="0" borderId="80" numFmtId="161" xfId="0" applyNumberFormat="1" applyFont="1" applyBorder="1" applyAlignment="1">
      <alignment horizontal="center" vertical="center"/>
    </xf>
    <xf fontId="22" fillId="0" borderId="100" numFmtId="2" xfId="0" applyNumberFormat="1" applyFont="1" applyBorder="1" applyAlignment="1">
      <alignment horizontal="center" vertical="center"/>
    </xf>
    <xf fontId="4" fillId="12" borderId="91" numFmtId="161" xfId="0" applyNumberFormat="1" applyFont="1" applyFill="1" applyBorder="1"/>
    <xf fontId="4" fillId="12" borderId="80" numFmtId="161" xfId="0" applyNumberFormat="1" applyFont="1" applyFill="1" applyBorder="1"/>
    <xf fontId="4" fillId="0" borderId="80" numFmtId="161" xfId="0" applyNumberFormat="1" applyFont="1" applyBorder="1"/>
    <xf fontId="4" fillId="0" borderId="101" numFmtId="161" xfId="0" applyNumberFormat="1" applyFont="1" applyBorder="1"/>
    <xf fontId="4" fillId="0" borderId="100" numFmtId="161" xfId="0" applyNumberFormat="1" applyFont="1" applyBorder="1"/>
    <xf fontId="4" fillId="12" borderId="38" numFmtId="161" xfId="0" applyNumberFormat="1" applyFont="1" applyFill="1" applyBorder="1"/>
    <xf fontId="4" fillId="12" borderId="31" numFmtId="161" xfId="0" applyNumberFormat="1" applyFont="1" applyFill="1" applyBorder="1"/>
    <xf fontId="4" fillId="0" borderId="31" numFmtId="161" xfId="0" applyNumberFormat="1" applyFont="1" applyBorder="1"/>
    <xf fontId="4" fillId="0" borderId="37" numFmtId="161" xfId="0" applyNumberFormat="1" applyFont="1" applyBorder="1"/>
    <xf fontId="4" fillId="0" borderId="85" numFmtId="161" xfId="0" applyNumberFormat="1" applyFont="1" applyBorder="1"/>
    <xf fontId="52" fillId="19" borderId="102" numFmtId="2" xfId="0" applyNumberFormat="1" applyFont="1" applyFill="1" applyBorder="1" applyAlignment="1">
      <alignment horizontal="center" vertical="center"/>
    </xf>
    <xf fontId="26" fillId="19" borderId="103" numFmtId="0" xfId="0" applyFont="1" applyFill="1" applyBorder="1" applyAlignment="1">
      <alignment horizontal="center"/>
    </xf>
    <xf fontId="4" fillId="17" borderId="52" numFmtId="3" xfId="0" applyNumberFormat="1" applyFont="1" applyFill="1" applyBorder="1" applyAlignment="1">
      <alignment horizontal="center" vertical="center"/>
    </xf>
    <xf fontId="4" fillId="0" borderId="42" numFmtId="1" xfId="0" applyNumberFormat="1" applyFont="1" applyBorder="1" applyAlignment="1">
      <alignment horizontal="center" vertical="center"/>
    </xf>
    <xf fontId="22" fillId="0" borderId="104" numFmtId="161" xfId="0" applyNumberFormat="1" applyFont="1" applyBorder="1" applyAlignment="1">
      <alignment horizontal="center" vertical="center"/>
    </xf>
    <xf fontId="22" fillId="0" borderId="105" numFmtId="2" xfId="0" applyNumberFormat="1" applyFont="1" applyBorder="1" applyAlignment="1">
      <alignment horizontal="center" vertical="center"/>
    </xf>
    <xf fontId="4" fillId="12" borderId="43" numFmtId="161" xfId="0" applyNumberFormat="1" applyFont="1" applyFill="1" applyBorder="1"/>
    <xf fontId="4" fillId="12" borderId="41" numFmtId="161" xfId="0" applyNumberFormat="1" applyFont="1" applyFill="1" applyBorder="1"/>
    <xf fontId="4" fillId="0" borderId="42" numFmtId="161" xfId="0" applyNumberFormat="1" applyFont="1" applyBorder="1"/>
    <xf fontId="26" fillId="0" borderId="0" numFmtId="0" xfId="0" applyFont="1"/>
    <xf fontId="53" fillId="14" borderId="76" numFmtId="3" xfId="0" applyNumberFormat="1" applyFont="1" applyFill="1" applyBorder="1" applyAlignment="1">
      <alignment horizontal="center" vertical="center"/>
    </xf>
    <xf fontId="26" fillId="14" borderId="52" numFmtId="1" xfId="0" applyNumberFormat="1" applyFont="1" applyFill="1" applyBorder="1" applyAlignment="1">
      <alignment horizontal="center" vertical="center"/>
    </xf>
    <xf fontId="34" fillId="14" borderId="77" numFmtId="1" xfId="0" applyNumberFormat="1" applyFont="1" applyFill="1" applyBorder="1" applyAlignment="1">
      <alignment horizontal="center" vertical="center"/>
    </xf>
    <xf fontId="26" fillId="14" borderId="51" numFmtId="1" xfId="0" applyNumberFormat="1" applyFont="1" applyFill="1" applyBorder="1" applyAlignment="1">
      <alignment horizontal="center" vertical="center"/>
    </xf>
    <xf fontId="26" fillId="14" borderId="77" numFmtId="1" xfId="0" applyNumberFormat="1" applyFont="1" applyFill="1" applyBorder="1" applyAlignment="1">
      <alignment horizontal="center" vertical="center"/>
    </xf>
    <xf fontId="34" fillId="14" borderId="51" numFmtId="1" xfId="0" applyNumberFormat="1" applyFont="1" applyFill="1" applyBorder="1" applyAlignment="1">
      <alignment horizontal="right" vertical="center"/>
    </xf>
    <xf fontId="53" fillId="0" borderId="0" numFmtId="3" xfId="0" applyNumberFormat="1" applyFont="1" applyAlignment="1">
      <alignment horizontal="center" vertical="center"/>
    </xf>
    <xf fontId="54" fillId="0" borderId="0" numFmtId="1" xfId="0" applyNumberFormat="1" applyFont="1" applyAlignment="1">
      <alignment horizontal="right" vertical="top"/>
    </xf>
    <xf fontId="9" fillId="17" borderId="23" numFmtId="160" xfId="0" applyNumberFormat="1" applyFont="1" applyFill="1" applyBorder="1" applyAlignment="1">
      <alignment horizontal="center" vertical="center"/>
    </xf>
    <xf fontId="22" fillId="0" borderId="28" numFmtId="0" xfId="0" applyFont="1" applyBorder="1" applyAlignment="1">
      <alignment horizontal="center"/>
    </xf>
    <xf fontId="22" fillId="0" borderId="80" numFmtId="1" xfId="0" applyNumberFormat="1" applyFont="1" applyBorder="1" applyAlignment="1">
      <alignment horizontal="center" vertical="center"/>
    </xf>
    <xf fontId="22" fillId="0" borderId="80" numFmtId="2" xfId="0" applyNumberFormat="1" applyFont="1" applyBorder="1" applyAlignment="1">
      <alignment horizontal="center" vertical="center"/>
    </xf>
    <xf fontId="4" fillId="12" borderId="80" numFmtId="3" xfId="0" applyNumberFormat="1" applyFont="1" applyFill="1" applyBorder="1"/>
    <xf fontId="4" fillId="0" borderId="80" numFmtId="3" xfId="0" applyNumberFormat="1" applyFont="1" applyBorder="1"/>
    <xf fontId="4" fillId="0" borderId="100" numFmtId="3" xfId="0" applyNumberFormat="1" applyFont="1" applyBorder="1"/>
    <xf fontId="22" fillId="0" borderId="79" numFmtId="0" xfId="0" applyFont="1" applyBorder="1" applyAlignment="1">
      <alignment horizontal="center"/>
    </xf>
    <xf fontId="4" fillId="0" borderId="87" numFmtId="3" xfId="0" applyNumberFormat="1" applyFont="1" applyBorder="1"/>
    <xf fontId="22" fillId="0" borderId="94" numFmtId="0" xfId="0" applyFont="1" applyBorder="1" applyAlignment="1">
      <alignment horizontal="center"/>
    </xf>
    <xf fontId="22" fillId="0" borderId="104" numFmtId="1" xfId="0" applyNumberFormat="1" applyFont="1" applyBorder="1" applyAlignment="1">
      <alignment horizontal="center" vertical="center"/>
    </xf>
    <xf fontId="22" fillId="0" borderId="41" numFmtId="2" xfId="0" applyNumberFormat="1" applyFont="1" applyBorder="1" applyAlignment="1">
      <alignment horizontal="center" vertical="center"/>
    </xf>
    <xf fontId="4" fillId="0" borderId="104" numFmtId="3" xfId="0" applyNumberFormat="1" applyFont="1" applyBorder="1"/>
    <xf fontId="23" fillId="0" borderId="41" numFmtId="3" xfId="0" applyNumberFormat="1" applyFont="1" applyBorder="1"/>
    <xf fontId="4" fillId="0" borderId="42" numFmtId="3" xfId="0" applyNumberFormat="1" applyFont="1" applyBorder="1"/>
    <xf fontId="5" fillId="14" borderId="52" numFmtId="1" xfId="0" applyNumberFormat="1" applyFont="1" applyFill="1" applyBorder="1" applyAlignment="1">
      <alignment horizontal="center" vertical="center"/>
    </xf>
    <xf fontId="8" fillId="14" borderId="54" numFmtId="161" xfId="0" applyNumberFormat="1" applyFont="1" applyFill="1" applyBorder="1" applyAlignment="1">
      <alignment horizontal="center" vertical="center"/>
    </xf>
    <xf fontId="28" fillId="14" borderId="40" numFmtId="1" xfId="0" applyNumberFormat="1" applyFont="1" applyFill="1" applyBorder="1" applyAlignment="1">
      <alignment horizontal="center"/>
    </xf>
    <xf fontId="28" fillId="14" borderId="41" numFmtId="161" xfId="0" applyNumberFormat="1" applyFont="1" applyFill="1" applyBorder="1" applyAlignment="1">
      <alignment horizontal="center" vertical="center"/>
    </xf>
    <xf fontId="28" fillId="14" borderId="42" numFmtId="161" xfId="0" applyNumberFormat="1" applyFont="1" applyFill="1" applyBorder="1" applyAlignment="1">
      <alignment horizontal="center" vertical="center"/>
    </xf>
    <xf fontId="8" fillId="14" borderId="43" numFmtId="161" xfId="0" applyNumberFormat="1" applyFont="1" applyFill="1" applyBorder="1"/>
    <xf fontId="8" fillId="14" borderId="41" numFmtId="161" xfId="0" applyNumberFormat="1" applyFont="1" applyFill="1" applyBorder="1"/>
    <xf fontId="8" fillId="14" borderId="51" numFmtId="161" xfId="0" applyNumberFormat="1" applyFont="1" applyFill="1" applyBorder="1"/>
    <xf fontId="8" fillId="14" borderId="54" numFmtId="161" xfId="0" applyNumberFormat="1" applyFont="1" applyFill="1" applyBorder="1"/>
    <xf fontId="8" fillId="14" borderId="54" numFmtId="161" xfId="0" applyNumberFormat="1" applyFont="1" applyFill="1" applyBorder="1" applyAlignment="1">
      <alignment horizontal="right" vertical="center"/>
    </xf>
    <xf fontId="8" fillId="14" borderId="51" numFmtId="161" xfId="0" applyNumberFormat="1" applyFont="1" applyFill="1" applyBorder="1" applyAlignment="1">
      <alignment horizontal="right" vertical="center"/>
    </xf>
    <xf fontId="8" fillId="14" borderId="77" numFmtId="161" xfId="0" applyNumberFormat="1" applyFont="1" applyFill="1" applyBorder="1" applyAlignment="1">
      <alignment horizontal="right" vertical="center"/>
    </xf>
    <xf fontId="8" fillId="0" borderId="52" numFmtId="3" xfId="0" applyNumberFormat="1" applyFont="1" applyBorder="1" applyAlignment="1">
      <alignment horizontal="center" vertical="center"/>
    </xf>
    <xf fontId="8" fillId="0" borderId="76" numFmtId="163" xfId="0" applyNumberFormat="1" applyFont="1" applyBorder="1" applyAlignment="1">
      <alignment horizontal="center" vertical="center"/>
    </xf>
    <xf fontId="5" fillId="0" borderId="51" numFmtId="1" xfId="0" applyNumberFormat="1" applyFont="1" applyBorder="1" applyAlignment="1">
      <alignment horizontal="center" vertical="center"/>
    </xf>
    <xf fontId="8" fillId="0" borderId="46" numFmtId="161" xfId="0" applyNumberFormat="1" applyFont="1" applyBorder="1" applyAlignment="1">
      <alignment horizontal="center" vertical="center"/>
    </xf>
    <xf fontId="28" fillId="0" borderId="26" numFmtId="1" xfId="0" applyNumberFormat="1" applyFont="1" applyBorder="1" applyAlignment="1">
      <alignment horizontal="center"/>
    </xf>
    <xf fontId="28" fillId="0" borderId="68" numFmtId="161" xfId="0" applyNumberFormat="1" applyFont="1" applyBorder="1" applyAlignment="1">
      <alignment horizontal="center" vertical="center"/>
    </xf>
    <xf fontId="8" fillId="0" borderId="46" numFmtId="161" xfId="0" applyNumberFormat="1" applyFont="1" applyBorder="1" applyAlignment="1">
      <alignment horizontal="right" vertical="center"/>
    </xf>
    <xf fontId="8" fillId="0" borderId="0" numFmtId="161" xfId="0" applyNumberFormat="1" applyFont="1" applyAlignment="1">
      <alignment horizontal="right" vertical="center"/>
    </xf>
    <xf fontId="8" fillId="0" borderId="68" numFmtId="161" xfId="0" applyNumberFormat="1" applyFont="1" applyBorder="1" applyAlignment="1">
      <alignment horizontal="right" vertical="center"/>
    </xf>
    <xf fontId="13" fillId="10" borderId="18" numFmtId="1" xfId="0" applyNumberFormat="1" applyFont="1" applyFill="1" applyBorder="1" applyAlignment="1">
      <alignment horizontal="center" vertical="center" wrapText="1"/>
    </xf>
    <xf fontId="36" fillId="0" borderId="106" numFmtId="1" xfId="0" applyNumberFormat="1" applyFont="1" applyBorder="1" applyAlignment="1">
      <alignment horizontal="center" vertical="center"/>
    </xf>
    <xf fontId="55" fillId="0" borderId="79" numFmtId="1" xfId="0" applyNumberFormat="1" applyFont="1" applyBorder="1" applyAlignment="1">
      <alignment horizontal="center"/>
    </xf>
    <xf fontId="22" fillId="0" borderId="37" numFmtId="1" xfId="0" applyNumberFormat="1" applyFont="1" applyBorder="1" applyAlignment="1">
      <alignment horizontal="center" vertical="center"/>
    </xf>
    <xf fontId="22" fillId="0" borderId="0" numFmtId="2" xfId="0" applyNumberFormat="1" applyFont="1" applyAlignment="1">
      <alignment horizontal="center" vertical="center"/>
    </xf>
    <xf fontId="22" fillId="0" borderId="61" numFmtId="161" xfId="0" applyNumberFormat="1" applyFont="1" applyBorder="1" applyAlignment="1">
      <alignment horizontal="center" vertical="center"/>
    </xf>
    <xf fontId="55" fillId="0" borderId="79" numFmtId="2" xfId="0" applyNumberFormat="1" applyFont="1" applyBorder="1" applyAlignment="1">
      <alignment horizontal="center"/>
    </xf>
    <xf fontId="22" fillId="0" borderId="62" numFmtId="1" xfId="0" applyNumberFormat="1" applyFont="1" applyBorder="1" applyAlignment="1">
      <alignment horizontal="center" vertical="center"/>
    </xf>
    <xf fontId="22" fillId="0" borderId="63" numFmtId="161" xfId="0" applyNumberFormat="1" applyFont="1" applyBorder="1" applyAlignment="1">
      <alignment horizontal="center" vertical="center"/>
    </xf>
    <xf fontId="4" fillId="16" borderId="52" numFmtId="3" xfId="0" applyNumberFormat="1" applyFont="1" applyFill="1" applyBorder="1" applyAlignment="1">
      <alignment horizontal="center" vertical="center"/>
    </xf>
    <xf fontId="4" fillId="16" borderId="76" numFmtId="3" xfId="0" applyNumberFormat="1" applyFont="1" applyFill="1" applyBorder="1" applyAlignment="1">
      <alignment horizontal="center" vertical="center"/>
    </xf>
    <xf fontId="22" fillId="0" borderId="64" numFmtId="1" xfId="0" applyNumberFormat="1" applyFont="1" applyBorder="1" applyAlignment="1">
      <alignment horizontal="center" vertical="center"/>
    </xf>
    <xf fontId="22" fillId="0" borderId="65" numFmtId="161" xfId="0" applyNumberFormat="1" applyFont="1" applyBorder="1" applyAlignment="1">
      <alignment horizontal="center" vertical="center"/>
    </xf>
    <xf fontId="25" fillId="0" borderId="0" numFmtId="3" xfId="0" applyNumberFormat="1" applyFont="1" applyAlignment="1">
      <alignment horizontal="center"/>
    </xf>
    <xf fontId="8" fillId="12" borderId="1" numFmtId="3" xfId="0" applyNumberFormat="1" applyFont="1" applyFill="1" applyBorder="1" applyAlignment="1">
      <alignment horizontal="center" vertical="center"/>
    </xf>
    <xf fontId="8" fillId="14" borderId="44" numFmtId="161" xfId="0" applyNumberFormat="1" applyFont="1" applyFill="1" applyBorder="1" applyAlignment="1">
      <alignment horizontal="center" vertical="center"/>
    </xf>
    <xf fontId="28" fillId="14" borderId="18" numFmtId="1" xfId="0" applyNumberFormat="1" applyFont="1" applyFill="1" applyBorder="1" applyAlignment="1">
      <alignment horizontal="center"/>
    </xf>
    <xf fontId="28" fillId="14" borderId="20" numFmtId="161" xfId="0" applyNumberFormat="1" applyFont="1" applyFill="1" applyBorder="1" applyAlignment="1">
      <alignment horizontal="center" vertical="center"/>
    </xf>
    <xf fontId="8" fillId="14" borderId="14" numFmtId="161" xfId="0" applyNumberFormat="1" applyFont="1" applyFill="1" applyBorder="1"/>
    <xf fontId="8" fillId="14" borderId="55" numFmtId="161" xfId="0" applyNumberFormat="1" applyFont="1" applyFill="1" applyBorder="1" applyAlignment="1">
      <alignment horizontal="right" vertical="center"/>
    </xf>
    <xf fontId="22" fillId="0" borderId="0" numFmtId="3" xfId="0" applyNumberFormat="1" applyFont="1" applyAlignment="1">
      <alignment horizontal="center" vertical="center"/>
    </xf>
    <xf fontId="22" fillId="0" borderId="86" numFmtId="0" xfId="0" applyFont="1" applyBorder="1" applyAlignment="1">
      <alignment horizontal="center"/>
    </xf>
    <xf fontId="22" fillId="0" borderId="31" numFmtId="1" xfId="0" applyNumberFormat="1" applyFont="1" applyBorder="1"/>
    <xf fontId="22" fillId="0" borderId="31" numFmtId="2" xfId="0" applyNumberFormat="1" applyFont="1" applyBorder="1"/>
    <xf fontId="22" fillId="0" borderId="85" numFmtId="2" xfId="0" applyNumberFormat="1" applyFont="1" applyBorder="1"/>
    <xf fontId="22" fillId="0" borderId="32" numFmtId="1" xfId="0" applyNumberFormat="1" applyFont="1" applyBorder="1"/>
    <xf fontId="22" fillId="0" borderId="32" numFmtId="2" xfId="0" applyNumberFormat="1" applyFont="1" applyBorder="1"/>
    <xf fontId="22" fillId="0" borderId="87" numFmtId="2" xfId="0" applyNumberFormat="1" applyFont="1" applyBorder="1"/>
    <xf fontId="22" fillId="0" borderId="104" numFmtId="1" xfId="0" applyNumberFormat="1" applyFont="1" applyBorder="1"/>
    <xf fontId="22" fillId="0" borderId="104" numFmtId="2" xfId="0" applyNumberFormat="1" applyFont="1" applyBorder="1"/>
    <xf fontId="22" fillId="0" borderId="105" numFmtId="2" xfId="0" applyNumberFormat="1" applyFont="1" applyBorder="1"/>
    <xf fontId="28" fillId="14" borderId="15" numFmtId="161" xfId="0" applyNumberFormat="1" applyFont="1" applyFill="1" applyBorder="1"/>
    <xf fontId="28" fillId="14" borderId="15" numFmtId="2" xfId="0" applyNumberFormat="1" applyFont="1" applyFill="1" applyBorder="1" applyAlignment="1">
      <alignment horizontal="right"/>
    </xf>
    <xf fontId="28" fillId="14" borderId="16" numFmtId="161" xfId="0" applyNumberFormat="1" applyFont="1" applyFill="1" applyBorder="1"/>
    <xf fontId="8" fillId="0" borderId="0" numFmtId="3" xfId="0" applyNumberFormat="1" applyFont="1" applyAlignment="1">
      <alignment horizontal="center"/>
    </xf>
    <xf fontId="8" fillId="0" borderId="0" numFmtId="1" xfId="0" applyNumberFormat="1" applyFont="1" applyAlignment="1">
      <alignment horizontal="right" vertical="center"/>
    </xf>
    <xf fontId="8" fillId="0" borderId="0" numFmtId="3" xfId="0" applyNumberFormat="1" applyFont="1" applyAlignment="1">
      <alignment horizontal="right"/>
    </xf>
    <xf fontId="52" fillId="25" borderId="47" numFmtId="2" xfId="0" applyNumberFormat="1" applyFont="1" applyFill="1" applyBorder="1" applyAlignment="1">
      <alignment horizontal="center" vertical="center"/>
    </xf>
    <xf fontId="36" fillId="0" borderId="97" numFmtId="1" xfId="0" applyNumberFormat="1" applyFont="1" applyBorder="1" applyAlignment="1">
      <alignment horizontal="center" vertical="center"/>
    </xf>
    <xf fontId="22" fillId="0" borderId="86" numFmtId="161" xfId="0" applyNumberFormat="1" applyFont="1" applyBorder="1" applyAlignment="1">
      <alignment horizontal="center"/>
    </xf>
    <xf fontId="22" fillId="0" borderId="85" numFmtId="161" xfId="0" applyNumberFormat="1" applyFont="1" applyBorder="1" applyAlignment="1">
      <alignment horizontal="center" vertical="center"/>
    </xf>
    <xf fontId="4" fillId="12" borderId="38" numFmtId="163" xfId="0" applyNumberFormat="1" applyFont="1" applyFill="1" applyBorder="1"/>
    <xf fontId="4" fillId="0" borderId="38" numFmtId="163" xfId="0" applyNumberFormat="1" applyFont="1" applyBorder="1"/>
    <xf fontId="5" fillId="0" borderId="38" numFmtId="163" xfId="0" applyNumberFormat="1" applyFont="1" applyBorder="1"/>
    <xf fontId="4" fillId="0" borderId="63" numFmtId="163" xfId="0" applyNumberFormat="1" applyFont="1" applyBorder="1"/>
    <xf fontId="22" fillId="0" borderId="87" numFmtId="161" xfId="0" applyNumberFormat="1" applyFont="1" applyBorder="1" applyAlignment="1">
      <alignment horizontal="center" vertical="center"/>
    </xf>
    <xf fontId="4" fillId="12" borderId="107" numFmtId="163" xfId="0" applyNumberFormat="1" applyFont="1" applyFill="1" applyBorder="1"/>
    <xf fontId="4" fillId="0" borderId="107" numFmtId="163" xfId="0" applyNumberFormat="1" applyFont="1" applyBorder="1"/>
    <xf fontId="8" fillId="0" borderId="63" numFmtId="163" xfId="0" applyNumberFormat="1" applyFont="1" applyBorder="1"/>
    <xf fontId="52" fillId="25" borderId="50" numFmtId="2" xfId="0" applyNumberFormat="1" applyFont="1" applyFill="1" applyBorder="1" applyAlignment="1">
      <alignment horizontal="center" vertical="center"/>
    </xf>
    <xf fontId="22" fillId="0" borderId="88" numFmtId="1" xfId="0" applyNumberFormat="1" applyFont="1" applyBorder="1"/>
    <xf fontId="22" fillId="0" borderId="89" numFmtId="161" xfId="0" applyNumberFormat="1" applyFont="1" applyBorder="1" applyAlignment="1">
      <alignment horizontal="center" vertical="center"/>
    </xf>
    <xf fontId="26" fillId="0" borderId="107" numFmtId="163" xfId="0" applyNumberFormat="1" applyFont="1" applyBorder="1"/>
    <xf fontId="28" fillId="0" borderId="107" numFmtId="163" xfId="0" applyNumberFormat="1" applyFont="1" applyBorder="1"/>
    <xf fontId="28" fillId="14" borderId="15" numFmtId="161" xfId="0" applyNumberFormat="1" applyFont="1" applyFill="1" applyBorder="1" applyAlignment="1">
      <alignment vertical="center"/>
    </xf>
    <xf fontId="56" fillId="0" borderId="74" numFmtId="4" xfId="0" applyNumberFormat="1" applyFont="1" applyBorder="1" applyAlignment="1">
      <alignment horizontal="center" vertical="center"/>
    </xf>
    <xf fontId="57" fillId="0" borderId="79" numFmtId="1" xfId="0" applyNumberFormat="1" applyFont="1" applyBorder="1" applyAlignment="1">
      <alignment horizontal="center"/>
    </xf>
    <xf fontId="56" fillId="0" borderId="27" numFmtId="4" xfId="0" applyNumberFormat="1" applyFont="1" applyBorder="1" applyAlignment="1">
      <alignment horizontal="center" vertical="center"/>
    </xf>
    <xf fontId="22" fillId="0" borderId="93" numFmtId="0" xfId="0" applyFont="1" applyBorder="1" applyAlignment="1">
      <alignment horizontal="center"/>
    </xf>
    <xf fontId="56" fillId="0" borderId="76" numFmtId="4" xfId="0" applyNumberFormat="1" applyFont="1" applyBorder="1" applyAlignment="1">
      <alignment horizontal="center" vertical="center"/>
    </xf>
    <xf fontId="22" fillId="0" borderId="65" numFmtId="2" xfId="0" applyNumberFormat="1" applyFont="1" applyBorder="1" applyAlignment="1">
      <alignment horizontal="center" vertical="center"/>
    </xf>
    <xf fontId="28" fillId="14" borderId="21" numFmtId="161" xfId="0" applyNumberFormat="1" applyFont="1" applyFill="1" applyBorder="1" applyAlignment="1">
      <alignment horizontal="center"/>
    </xf>
    <xf fontId="28" fillId="14" borderId="108" numFmtId="2" xfId="0" applyNumberFormat="1" applyFont="1" applyFill="1" applyBorder="1" applyAlignment="1">
      <alignment horizontal="center"/>
    </xf>
    <xf fontId="28" fillId="14" borderId="22" numFmtId="161" xfId="0" applyNumberFormat="1" applyFont="1" applyFill="1" applyBorder="1" applyAlignment="1">
      <alignment horizontal="center"/>
    </xf>
    <xf fontId="4" fillId="0" borderId="74" numFmtId="3" xfId="0" applyNumberFormat="1" applyFont="1" applyBorder="1" applyAlignment="1">
      <alignment horizontal="center" vertical="center"/>
    </xf>
    <xf fontId="50" fillId="0" borderId="0" numFmtId="3" xfId="0" applyNumberFormat="1" applyFont="1" applyAlignment="1">
      <alignment horizontal="center" vertical="center"/>
    </xf>
    <xf fontId="9" fillId="10" borderId="16" numFmtId="0" xfId="0" applyFont="1" applyFill="1" applyBorder="1" applyAlignment="1">
      <alignment horizontal="center" vertical="center"/>
    </xf>
    <xf fontId="9" fillId="5" borderId="55" numFmtId="160" xfId="0" applyNumberFormat="1" applyFont="1" applyFill="1" applyBorder="1" applyAlignment="1">
      <alignment horizontal="center" vertical="center"/>
    </xf>
    <xf fontId="57" fillId="0" borderId="107" numFmtId="1" xfId="0" applyNumberFormat="1" applyFont="1" applyBorder="1" applyAlignment="1">
      <alignment horizontal="center"/>
    </xf>
    <xf fontId="22" fillId="0" borderId="109" numFmtId="1" xfId="0" applyNumberFormat="1" applyFont="1" applyBorder="1" applyAlignment="1">
      <alignment horizontal="center"/>
    </xf>
    <xf fontId="28" fillId="14" borderId="20" numFmtId="1" xfId="0" applyNumberFormat="1" applyFont="1" applyFill="1" applyBorder="1" applyAlignment="1">
      <alignment horizontal="center" vertical="center"/>
    </xf>
    <xf fontId="8" fillId="14" borderId="75" numFmtId="161" xfId="0" applyNumberFormat="1" applyFont="1" applyFill="1" applyBorder="1" applyAlignment="1">
      <alignment vertical="center"/>
    </xf>
    <xf fontId="19" fillId="10" borderId="1" numFmtId="4" xfId="0" applyNumberFormat="1" applyFont="1" applyFill="1" applyBorder="1" applyAlignment="1">
      <alignment horizontal="center" vertical="center" wrapText="1"/>
    </xf>
    <xf fontId="5" fillId="0" borderId="106" numFmtId="1" xfId="0" applyNumberFormat="1" applyFont="1" applyBorder="1" applyAlignment="1">
      <alignment horizontal="center" vertical="center"/>
    </xf>
    <xf fontId="22" fillId="0" borderId="106" numFmtId="1" xfId="0" applyNumberFormat="1" applyFont="1" applyBorder="1" applyAlignment="1">
      <alignment horizontal="center" vertical="center"/>
    </xf>
    <xf fontId="4" fillId="12" borderId="106" numFmtId="161" xfId="0" applyNumberFormat="1" applyFont="1" applyFill="1" applyBorder="1"/>
    <xf fontId="22" fillId="0" borderId="31" numFmtId="3" xfId="0" applyNumberFormat="1" applyFont="1" applyBorder="1"/>
    <xf fontId="58" fillId="0" borderId="0" numFmtId="0" xfId="0" applyFont="1" applyAlignment="1">
      <alignment horizontal="center"/>
    </xf>
    <xf fontId="9" fillId="10" borderId="20" numFmtId="0" xfId="0" applyFont="1" applyFill="1" applyBorder="1" applyAlignment="1">
      <alignment horizontal="center" vertical="center" wrapText="1"/>
    </xf>
    <xf fontId="52" fillId="25" borderId="24" numFmtId="3" xfId="0" applyNumberFormat="1" applyFont="1" applyFill="1" applyBorder="1" applyAlignment="1">
      <alignment horizontal="center" vertical="center"/>
    </xf>
    <xf fontId="5" fillId="0" borderId="97" numFmtId="1" xfId="0" applyNumberFormat="1" applyFont="1" applyBorder="1" applyAlignment="1">
      <alignment horizontal="center"/>
    </xf>
    <xf fontId="4" fillId="0" borderId="31" numFmtId="1" xfId="0" applyNumberFormat="1" applyFont="1" applyBorder="1" applyAlignment="1">
      <alignment horizontal="center"/>
    </xf>
    <xf fontId="22" fillId="0" borderId="106" numFmtId="1" xfId="0" applyNumberFormat="1" applyFont="1" applyBorder="1" applyAlignment="1">
      <alignment horizontal="center"/>
    </xf>
    <xf fontId="22" fillId="0" borderId="31" numFmtId="161" xfId="0" applyNumberFormat="1" applyFont="1" applyBorder="1" applyAlignment="1">
      <alignment horizontal="center"/>
    </xf>
    <xf fontId="22" fillId="0" borderId="38" numFmtId="161" xfId="0" applyNumberFormat="1" applyFont="1" applyBorder="1" applyAlignment="1">
      <alignment horizontal="center"/>
    </xf>
    <xf fontId="29" fillId="12" borderId="86" numFmtId="161" xfId="0" applyNumberFormat="1" applyFont="1" applyFill="1" applyBorder="1"/>
    <xf fontId="29" fillId="12" borderId="38" numFmtId="161" xfId="0" applyNumberFormat="1" applyFont="1" applyFill="1" applyBorder="1"/>
    <xf fontId="29" fillId="0" borderId="38" numFmtId="161" xfId="0" applyNumberFormat="1" applyFont="1" applyBorder="1"/>
    <xf fontId="29" fillId="0" borderId="97" numFmtId="161" xfId="0" applyNumberFormat="1" applyFont="1" applyBorder="1"/>
    <xf fontId="29" fillId="0" borderId="31" numFmtId="161" xfId="0" applyNumberFormat="1" applyFont="1" applyBorder="1"/>
    <xf fontId="29" fillId="0" borderId="61" numFmtId="161" xfId="0" applyNumberFormat="1" applyFont="1" applyBorder="1"/>
    <xf fontId="52" fillId="25" borderId="33" numFmtId="3" xfId="0" applyNumberFormat="1" applyFont="1" applyFill="1" applyBorder="1" applyAlignment="1">
      <alignment horizontal="center" vertical="center"/>
    </xf>
    <xf fontId="52" fillId="25" borderId="39" numFmtId="3" xfId="0" applyNumberFormat="1" applyFont="1" applyFill="1" applyBorder="1" applyAlignment="1">
      <alignment horizontal="center" vertical="center"/>
    </xf>
    <xf fontId="4" fillId="0" borderId="35" numFmtId="1" xfId="0" applyNumberFormat="1" applyFont="1" applyBorder="1" applyAlignment="1">
      <alignment horizontal="center"/>
    </xf>
    <xf fontId="22" fillId="0" borderId="52" numFmtId="1" xfId="0" applyNumberFormat="1" applyFont="1" applyBorder="1" applyAlignment="1">
      <alignment horizontal="center"/>
    </xf>
    <xf fontId="22" fillId="0" borderId="41" numFmtId="161" xfId="0" applyNumberFormat="1" applyFont="1" applyBorder="1" applyAlignment="1">
      <alignment horizontal="center"/>
    </xf>
    <xf fontId="22" fillId="0" borderId="43" numFmtId="161" xfId="0" applyNumberFormat="1" applyFont="1" applyBorder="1" applyAlignment="1">
      <alignment horizontal="center"/>
    </xf>
    <xf fontId="22" fillId="0" borderId="105" numFmtId="161" xfId="0" applyNumberFormat="1" applyFont="1" applyBorder="1" applyAlignment="1">
      <alignment horizontal="center" vertical="center"/>
    </xf>
    <xf fontId="29" fillId="12" borderId="73" numFmtId="161" xfId="0" applyNumberFormat="1" applyFont="1" applyFill="1" applyBorder="1"/>
    <xf fontId="29" fillId="0" borderId="73" numFmtId="161" xfId="0" applyNumberFormat="1" applyFont="1" applyBorder="1"/>
    <xf fontId="29" fillId="0" borderId="0" numFmtId="161" xfId="0" applyNumberFormat="1" applyFont="1"/>
    <xf fontId="29" fillId="0" borderId="41" numFmtId="161" xfId="0" applyNumberFormat="1" applyFont="1" applyBorder="1"/>
    <xf fontId="29" fillId="0" borderId="68" numFmtId="161" xfId="0" applyNumberFormat="1" applyFont="1" applyBorder="1"/>
    <xf fontId="8" fillId="0" borderId="68" numFmtId="161" xfId="0" applyNumberFormat="1" applyFont="1" applyBorder="1"/>
    <xf fontId="13" fillId="18" borderId="19" numFmtId="1" xfId="0" applyNumberFormat="1" applyFont="1" applyFill="1" applyBorder="1" applyAlignment="1">
      <alignment horizontal="center" vertical="center"/>
    </xf>
    <xf fontId="4" fillId="0" borderId="18" numFmtId="0" xfId="0" applyFont="1" applyBorder="1" applyAlignment="1">
      <alignment horizontal="center"/>
    </xf>
    <xf fontId="4" fillId="0" borderId="19" numFmtId="0" xfId="0" applyFont="1" applyBorder="1"/>
    <xf fontId="4" fillId="19" borderId="0" numFmtId="0" xfId="0" applyFont="1" applyFill="1" applyAlignment="1">
      <alignment horizontal="right"/>
    </xf>
    <xf fontId="8" fillId="19" borderId="0" numFmtId="3" xfId="0" applyNumberFormat="1" applyFont="1" applyFill="1" applyAlignment="1">
      <alignment horizontal="center" vertical="center"/>
    </xf>
    <xf fontId="59" fillId="0" borderId="25" numFmtId="0" xfId="0" applyFont="1" applyBorder="1" applyAlignment="1">
      <alignment horizontal="center" vertical="center"/>
    </xf>
    <xf fontId="4" fillId="0" borderId="30" numFmtId="0" xfId="0" applyFont="1" applyBorder="1" applyAlignment="1">
      <alignment horizontal="center" vertical="center"/>
    </xf>
    <xf fontId="4" fillId="0" borderId="26" numFmtId="0" xfId="0" applyFont="1" applyBorder="1" applyAlignment="1">
      <alignment horizontal="center"/>
    </xf>
    <xf fontId="4" fillId="0" borderId="68" numFmtId="0" xfId="0" applyFont="1" applyBorder="1"/>
    <xf fontId="4" fillId="12" borderId="48" numFmtId="161" xfId="0" applyNumberFormat="1" applyFont="1" applyFill="1" applyBorder="1"/>
    <xf fontId="4" fillId="12" borderId="29" numFmtId="161" xfId="0" applyNumberFormat="1" applyFont="1" applyFill="1" applyBorder="1"/>
    <xf fontId="4" fillId="12" borderId="53" numFmtId="161" xfId="0" applyNumberFormat="1" applyFont="1" applyFill="1" applyBorder="1"/>
    <xf fontId="4" fillId="0" borderId="72" numFmtId="161" xfId="0" applyNumberFormat="1" applyFont="1" applyBorder="1"/>
    <xf fontId="4" fillId="0" borderId="30" numFmtId="161" xfId="0" applyNumberFormat="1" applyFont="1" applyBorder="1"/>
    <xf fontId="8" fillId="19" borderId="0" numFmtId="3" xfId="0" applyNumberFormat="1" applyFont="1" applyFill="1" applyAlignment="1">
      <alignment horizontal="center"/>
    </xf>
    <xf fontId="60" fillId="0" borderId="25" numFmtId="0" xfId="0" applyFont="1" applyBorder="1" applyAlignment="1">
      <alignment horizontal="center" vertical="center"/>
    </xf>
    <xf fontId="4" fillId="0" borderId="36" numFmtId="0" xfId="0" applyFont="1" applyBorder="1" applyAlignment="1">
      <alignment horizontal="center" vertical="center"/>
    </xf>
    <xf fontId="4" fillId="12" borderId="26" numFmtId="161" xfId="0" applyNumberFormat="1" applyFont="1" applyFill="1" applyBorder="1"/>
    <xf fontId="4" fillId="12" borderId="46" numFmtId="161" xfId="0" applyNumberFormat="1" applyFont="1" applyFill="1" applyBorder="1"/>
    <xf fontId="4" fillId="0" borderId="73" numFmtId="161" xfId="0" applyNumberFormat="1" applyFont="1" applyBorder="1"/>
    <xf fontId="4" fillId="0" borderId="35" numFmtId="164" xfId="0" applyNumberFormat="1" applyFont="1" applyBorder="1"/>
    <xf fontId="4" fillId="0" borderId="36" numFmtId="161" xfId="0" applyNumberFormat="1" applyFont="1" applyBorder="1"/>
    <xf fontId="4" fillId="19" borderId="0" numFmtId="3" xfId="0" applyNumberFormat="1" applyFont="1" applyFill="1" applyAlignment="1">
      <alignment horizontal="center" vertical="center"/>
    </xf>
    <xf fontId="61" fillId="0" borderId="25" numFmtId="0" xfId="0" applyFont="1" applyBorder="1" applyAlignment="1">
      <alignment horizontal="center" vertical="center"/>
    </xf>
    <xf fontId="4" fillId="19" borderId="0" numFmtId="0" xfId="0" applyFont="1" applyFill="1"/>
    <xf fontId="4" fillId="19" borderId="0" numFmtId="162" xfId="2" applyNumberFormat="1" applyFont="1" applyFill="1" applyAlignment="1">
      <alignment horizontal="center" vertical="center"/>
    </xf>
    <xf fontId="40" fillId="0" borderId="25" numFmtId="0" xfId="0" applyFont="1" applyBorder="1" applyAlignment="1">
      <alignment horizontal="center" vertical="center"/>
    </xf>
    <xf fontId="4" fillId="0" borderId="42" numFmtId="0" xfId="0" applyFont="1" applyBorder="1" applyAlignment="1">
      <alignment horizontal="center" vertical="center"/>
    </xf>
    <xf fontId="4" fillId="12" borderId="52" numFmtId="161" xfId="0" applyNumberFormat="1" applyFont="1" applyFill="1" applyBorder="1"/>
    <xf fontId="4" fillId="12" borderId="54" numFmtId="161" xfId="0" applyNumberFormat="1" applyFont="1" applyFill="1" applyBorder="1"/>
    <xf fontId="4" fillId="0" borderId="43" numFmtId="161" xfId="0" applyNumberFormat="1" applyFont="1" applyBorder="1"/>
    <xf fontId="8" fillId="19" borderId="0" numFmtId="162" xfId="0" applyNumberFormat="1" applyFont="1" applyFill="1" applyAlignment="1">
      <alignment horizontal="center"/>
    </xf>
    <xf fontId="4" fillId="14" borderId="18" numFmtId="0" xfId="0" applyFont="1" applyFill="1" applyBorder="1" applyAlignment="1">
      <alignment horizontal="center"/>
    </xf>
    <xf fontId="4" fillId="14" borderId="55" numFmtId="0" xfId="0" applyFont="1" applyFill="1" applyBorder="1"/>
    <xf fontId="8" fillId="14" borderId="40" numFmtId="1" xfId="0" applyNumberFormat="1" applyFont="1" applyFill="1" applyBorder="1" applyAlignment="1">
      <alignment vertical="center"/>
    </xf>
    <xf fontId="8" fillId="14" borderId="41" numFmtId="1" xfId="0" applyNumberFormat="1" applyFont="1" applyFill="1" applyBorder="1" applyAlignment="1">
      <alignment vertical="center"/>
    </xf>
    <xf fontId="8" fillId="14" borderId="41" numFmtId="2" xfId="0" applyNumberFormat="1" applyFont="1" applyFill="1" applyBorder="1" applyAlignment="1">
      <alignment vertical="center"/>
    </xf>
    <xf fontId="8" fillId="14" borderId="41" numFmtId="161" xfId="0" applyNumberFormat="1" applyFont="1" applyFill="1" applyBorder="1" applyAlignment="1">
      <alignment vertical="center"/>
    </xf>
    <xf fontId="8" fillId="20" borderId="51" numFmtId="1" xfId="0" applyNumberFormat="1" applyFont="1" applyFill="1" applyBorder="1" applyAlignment="1">
      <alignment vertical="center"/>
    </xf>
    <xf fontId="4" fillId="20" borderId="41" numFmtId="1" xfId="0" applyNumberFormat="1" applyFont="1" applyFill="1" applyBorder="1" applyAlignment="1">
      <alignment vertical="center"/>
    </xf>
    <xf fontId="4" fillId="20" borderId="41" numFmtId="2" xfId="0" applyNumberFormat="1" applyFont="1" applyFill="1" applyBorder="1" applyAlignment="1">
      <alignment vertical="center"/>
    </xf>
    <xf fontId="4" fillId="28" borderId="16" numFmtId="1" xfId="0" applyNumberFormat="1" applyFont="1" applyFill="1" applyBorder="1" applyAlignment="1">
      <alignment vertical="center"/>
    </xf>
    <xf fontId="4" fillId="0" borderId="0" numFmtId="162" xfId="2" applyNumberFormat="1" applyFont="1" applyAlignment="1">
      <alignment horizontal="center" vertical="center"/>
    </xf>
    <xf fontId="62" fillId="0" borderId="0" numFmtId="1" xfId="0" applyNumberFormat="1" applyFont="1"/>
    <xf fontId="63" fillId="0" borderId="0" numFmtId="1" xfId="0" applyNumberFormat="1" applyFont="1"/>
    <xf fontId="4" fillId="5" borderId="76" numFmtId="3" xfId="0" applyNumberFormat="1" applyFont="1" applyFill="1" applyBorder="1" applyAlignment="1">
      <alignment horizontal="center" vertical="center"/>
    </xf>
    <xf fontId="8" fillId="0" borderId="0" numFmtId="163" xfId="0" applyNumberFormat="1" applyFont="1"/>
    <xf fontId="4" fillId="0" borderId="52" numFmtId="3" xfId="0" applyNumberFormat="1" applyFont="1" applyBorder="1" applyAlignment="1">
      <alignment horizontal="center" vertical="center"/>
    </xf>
    <xf fontId="36" fillId="0" borderId="51" numFmtId="3" xfId="0" applyNumberFormat="1" applyFont="1" applyBorder="1" applyAlignment="1">
      <alignment horizontal="center" vertical="center"/>
    </xf>
    <xf fontId="50" fillId="0" borderId="51" numFmtId="0" xfId="0" applyFont="1" applyBorder="1" applyAlignment="1">
      <alignment horizontal="center" vertical="center"/>
    </xf>
    <xf fontId="4" fillId="0" borderId="51" numFmtId="0" xfId="0" applyFont="1" applyBorder="1" applyAlignment="1">
      <alignment horizontal="center"/>
    </xf>
    <xf fontId="4" fillId="0" borderId="51" numFmtId="0" xfId="0" applyFont="1" applyBorder="1"/>
    <xf fontId="5" fillId="0" borderId="74" numFmtId="1" xfId="0" applyNumberFormat="1" applyFont="1" applyBorder="1" applyAlignment="1">
      <alignment horizontal="center" vertical="center"/>
    </xf>
    <xf fontId="4" fillId="0" borderId="73" numFmtId="1" xfId="0" applyNumberFormat="1" applyFont="1" applyBorder="1" applyAlignment="1">
      <alignment horizontal="center" vertical="center"/>
    </xf>
    <xf fontId="22" fillId="0" borderId="97" numFmtId="161" xfId="0" applyNumberFormat="1" applyFont="1" applyBorder="1" applyAlignment="1">
      <alignment horizontal="center"/>
    </xf>
    <xf fontId="4" fillId="12" borderId="86" numFmtId="3" xfId="0" applyNumberFormat="1" applyFont="1" applyFill="1" applyBorder="1"/>
    <xf fontId="5" fillId="0" borderId="27" numFmtId="1" xfId="0" applyNumberFormat="1" applyFont="1" applyBorder="1" applyAlignment="1">
      <alignment horizontal="center" vertical="center"/>
    </xf>
    <xf fontId="22" fillId="0" borderId="109" numFmtId="161" xfId="0" applyNumberFormat="1" applyFont="1" applyBorder="1" applyAlignment="1">
      <alignment horizontal="center"/>
    </xf>
    <xf fontId="4" fillId="12" borderId="79" numFmtId="3" xfId="0" applyNumberFormat="1" applyFont="1" applyFill="1" applyBorder="1"/>
    <xf fontId="5" fillId="0" borderId="76" numFmtId="1" xfId="0" applyNumberFormat="1" applyFont="1" applyBorder="1" applyAlignment="1">
      <alignment horizontal="center" vertical="center"/>
    </xf>
    <xf fontId="22" fillId="0" borderId="64" numFmtId="161" xfId="0" applyNumberFormat="1" applyFont="1" applyBorder="1" applyAlignment="1">
      <alignment horizontal="center" vertical="center"/>
    </xf>
    <xf fontId="22" fillId="0" borderId="110" numFmtId="161" xfId="0" applyNumberFormat="1" applyFont="1" applyBorder="1" applyAlignment="1">
      <alignment horizontal="center"/>
    </xf>
    <xf fontId="4" fillId="12" borderId="40" numFmtId="3" xfId="0" applyNumberFormat="1" applyFont="1" applyFill="1" applyBorder="1"/>
    <xf fontId="4" fillId="12" borderId="104" numFmtId="3" xfId="0" applyNumberFormat="1" applyFont="1" applyFill="1" applyBorder="1"/>
    <xf fontId="4" fillId="12" borderId="41" numFmtId="3" xfId="0" applyNumberFormat="1" applyFont="1" applyFill="1" applyBorder="1"/>
    <xf fontId="5" fillId="14" borderId="1" numFmtId="1" xfId="0" applyNumberFormat="1" applyFont="1" applyFill="1" applyBorder="1" applyAlignment="1">
      <alignment horizontal="center" vertical="center"/>
    </xf>
    <xf fontId="28" fillId="14" borderId="15" numFmtId="161" xfId="0" applyNumberFormat="1" applyFont="1" applyFill="1" applyBorder="1" applyAlignment="1">
      <alignment horizontal="center"/>
    </xf>
    <xf fontId="28" fillId="14" borderId="15" numFmtId="2" xfId="0" applyNumberFormat="1" applyFont="1" applyFill="1" applyBorder="1" applyAlignment="1">
      <alignment horizontal="center"/>
    </xf>
    <xf fontId="28" fillId="14" borderId="16" numFmtId="161" xfId="0" applyNumberFormat="1" applyFont="1" applyFill="1" applyBorder="1" applyAlignment="1">
      <alignment horizontal="center"/>
    </xf>
    <xf fontId="8" fillId="14" borderId="23" numFmtId="3" xfId="0" applyNumberFormat="1" applyFont="1" applyFill="1" applyBorder="1"/>
    <xf fontId="8" fillId="14" borderId="15" numFmtId="3" xfId="0" applyNumberFormat="1" applyFont="1" applyFill="1" applyBorder="1"/>
    <xf fontId="8" fillId="14" borderId="44" numFmtId="3" xfId="0" applyNumberFormat="1" applyFont="1" applyFill="1" applyBorder="1"/>
    <xf fontId="8" fillId="14" borderId="19" numFmtId="3" xfId="0" applyNumberFormat="1" applyFont="1" applyFill="1" applyBorder="1" applyAlignment="1">
      <alignment vertical="center"/>
    </xf>
    <xf fontId="8" fillId="14" borderId="55" numFmtId="3" xfId="0" applyNumberFormat="1" applyFont="1" applyFill="1" applyBorder="1" applyAlignment="1">
      <alignment vertical="center"/>
    </xf>
    <xf fontId="5" fillId="0" borderId="97" numFmtId="1" xfId="0" applyNumberFormat="1" applyFont="1" applyBorder="1" applyAlignment="1">
      <alignment horizontal="center" vertical="center"/>
    </xf>
    <xf fontId="22" fillId="0" borderId="31" numFmtId="2" xfId="0" applyNumberFormat="1" applyFont="1" applyBorder="1" applyAlignment="1">
      <alignment horizontal="center"/>
    </xf>
    <xf fontId="29" fillId="12" borderId="38" numFmtId="3" xfId="0" applyNumberFormat="1" applyFont="1" applyFill="1" applyBorder="1"/>
    <xf fontId="29" fillId="0" borderId="38" numFmtId="3" xfId="0" applyNumberFormat="1" applyFont="1" applyBorder="1"/>
    <xf fontId="4" fillId="0" borderId="97" numFmtId="3" xfId="0" applyNumberFormat="1" applyFont="1" applyBorder="1"/>
    <xf fontId="22" fillId="0" borderId="34" numFmtId="1" xfId="0" applyNumberFormat="1" applyFont="1" applyBorder="1" applyAlignment="1">
      <alignment horizontal="center"/>
    </xf>
    <xf fontId="29" fillId="12" borderId="73" numFmtId="3" xfId="0" applyNumberFormat="1" applyFont="1" applyFill="1" applyBorder="1"/>
    <xf fontId="29" fillId="0" borderId="73" numFmtId="3" xfId="0" applyNumberFormat="1" applyFont="1" applyBorder="1"/>
    <xf fontId="4" fillId="0" borderId="73" numFmtId="3" xfId="0" applyNumberFormat="1" applyFont="1" applyBorder="1"/>
    <xf fontId="4" fillId="0" borderId="36" numFmtId="3" xfId="0" applyNumberFormat="1" applyFont="1" applyBorder="1"/>
    <xf fontId="8" fillId="0" borderId="0" numFmtId="0" xfId="0" applyFont="1" applyAlignment="1">
      <alignment vertical="center"/>
    </xf>
    <xf fontId="8" fillId="15" borderId="0" numFmtId="0" xfId="0" applyFont="1" applyFill="1" applyAlignment="1">
      <alignment vertical="center"/>
    </xf>
    <xf fontId="8" fillId="0" borderId="0" numFmtId="1" xfId="0" applyNumberFormat="1" applyFont="1" applyAlignment="1">
      <alignment vertical="center"/>
    </xf>
    <xf fontId="4" fillId="0" borderId="0" numFmtId="4" xfId="0" applyNumberFormat="1" applyFont="1" applyAlignment="1">
      <alignment horizontal="center" vertical="center"/>
    </xf>
    <xf fontId="8" fillId="14" borderId="75" numFmtId="1" xfId="0" applyNumberFormat="1" applyFont="1" applyFill="1" applyBorder="1"/>
    <xf fontId="8" fillId="14" borderId="21" numFmtId="1" xfId="0" applyNumberFormat="1" applyFont="1" applyFill="1" applyBorder="1"/>
    <xf fontId="8" fillId="14" borderId="66" numFmtId="1" xfId="0" applyNumberFormat="1" applyFont="1" applyFill="1" applyBorder="1"/>
    <xf fontId="8" fillId="14" borderId="19" numFmtId="3" xfId="0" applyNumberFormat="1" applyFont="1" applyFill="1" applyBorder="1"/>
    <xf fontId="8" fillId="14" borderId="55" numFmtId="3" xfId="0" applyNumberFormat="1" applyFont="1" applyFill="1" applyBorder="1"/>
    <xf fontId="8" fillId="14" borderId="44" numFmtId="3" xfId="0" applyNumberFormat="1" applyFont="1" applyFill="1" applyBorder="1" applyAlignment="1">
      <alignment horizontal="center"/>
    </xf>
    <xf fontId="28" fillId="14" borderId="14" numFmtId="3" xfId="0" applyNumberFormat="1" applyFont="1" applyFill="1" applyBorder="1" applyAlignment="1">
      <alignment horizontal="center"/>
    </xf>
    <xf fontId="28" fillId="14" borderId="15" numFmtId="3" xfId="0" applyNumberFormat="1" applyFont="1" applyFill="1" applyBorder="1" applyAlignment="1">
      <alignment horizontal="center"/>
    </xf>
    <xf fontId="28" fillId="14" borderId="16" numFmtId="3" xfId="0" applyNumberFormat="1" applyFont="1" applyFill="1" applyBorder="1" applyAlignment="1">
      <alignment horizontal="center"/>
    </xf>
    <xf fontId="8" fillId="14" borderId="75" numFmtId="3" xfId="0" applyNumberFormat="1" applyFont="1" applyFill="1" applyBorder="1" applyAlignment="1">
      <alignment horizontal="right"/>
    </xf>
    <xf fontId="8" fillId="14" borderId="21" numFmtId="3" xfId="0" applyNumberFormat="1" applyFont="1" applyFill="1" applyBorder="1" applyAlignment="1">
      <alignment horizontal="right"/>
    </xf>
    <xf fontId="8" fillId="14" borderId="66" numFmtId="3" xfId="0" applyNumberFormat="1" applyFont="1" applyFill="1" applyBorder="1" applyAlignment="1">
      <alignment horizontal="right"/>
    </xf>
    <xf fontId="8" fillId="14" borderId="44" numFmtId="3" xfId="0" applyNumberFormat="1" applyFont="1" applyFill="1" applyBorder="1" applyAlignment="1">
      <alignment horizontal="right"/>
    </xf>
    <xf fontId="8" fillId="14" borderId="19" numFmtId="3" xfId="0" applyNumberFormat="1" applyFont="1" applyFill="1" applyBorder="1" applyAlignment="1">
      <alignment horizontal="right"/>
    </xf>
    <xf fontId="8" fillId="14" borderId="55" numFmtId="3" xfId="0" applyNumberFormat="1" applyFont="1" applyFill="1" applyBorder="1" applyAlignment="1">
      <alignment horizontal="right"/>
    </xf>
    <xf fontId="8" fillId="14" borderId="18" numFmtId="161" xfId="0" applyNumberFormat="1" applyFont="1" applyFill="1" applyBorder="1" applyAlignment="1">
      <alignment horizontal="right" vertical="center"/>
    </xf>
    <xf fontId="17" fillId="10" borderId="111" numFmtId="0" xfId="0" applyFont="1" applyFill="1" applyBorder="1" applyAlignment="1">
      <alignment horizontal="center" vertical="center"/>
    </xf>
    <xf fontId="4" fillId="12" borderId="86" numFmtId="1" xfId="0" applyNumberFormat="1" applyFont="1" applyFill="1" applyBorder="1" applyAlignment="1">
      <alignment horizontal="right"/>
    </xf>
    <xf fontId="4" fillId="12" borderId="38" numFmtId="1" xfId="0" applyNumberFormat="1" applyFont="1" applyFill="1" applyBorder="1" applyAlignment="1">
      <alignment horizontal="right"/>
    </xf>
    <xf fontId="4" fillId="0" borderId="38" numFmtId="1" xfId="0" applyNumberFormat="1" applyFont="1" applyBorder="1" applyAlignment="1">
      <alignment horizontal="right"/>
    </xf>
    <xf fontId="8" fillId="0" borderId="38" numFmtId="1" xfId="0" applyNumberFormat="1" applyFont="1" applyBorder="1" applyAlignment="1">
      <alignment horizontal="right"/>
    </xf>
    <xf fontId="4" fillId="0" borderId="97" numFmtId="1" xfId="0" applyNumberFormat="1" applyFont="1" applyBorder="1" applyAlignment="1">
      <alignment horizontal="right"/>
    </xf>
    <xf fontId="8" fillId="0" borderId="80" numFmtId="3" xfId="0" applyNumberFormat="1" applyFont="1" applyBorder="1"/>
    <xf fontId="36" fillId="0" borderId="38" numFmtId="1" xfId="0" applyNumberFormat="1" applyFont="1" applyBorder="1" applyAlignment="1">
      <alignment horizontal="right"/>
    </xf>
    <xf fontId="23" fillId="0" borderId="38" numFmtId="1" xfId="0" applyNumberFormat="1" applyFont="1" applyBorder="1" applyAlignment="1">
      <alignment horizontal="right"/>
    </xf>
    <xf fontId="23" fillId="12" borderId="86" numFmtId="1" xfId="0" applyNumberFormat="1" applyFont="1" applyFill="1" applyBorder="1" applyAlignment="1">
      <alignment horizontal="right"/>
    </xf>
    <xf fontId="36" fillId="0" borderId="31" numFmtId="3" xfId="0" applyNumberFormat="1" applyFont="1" applyBorder="1"/>
    <xf fontId="22" fillId="0" borderId="34" numFmtId="161" xfId="0" applyNumberFormat="1" applyFont="1" applyBorder="1" applyAlignment="1">
      <alignment horizontal="center"/>
    </xf>
    <xf fontId="4" fillId="12" borderId="34" numFmtId="1" xfId="0" applyNumberFormat="1" applyFont="1" applyFill="1" applyBorder="1" applyAlignment="1">
      <alignment horizontal="right"/>
    </xf>
    <xf fontId="4" fillId="12" borderId="73" numFmtId="1" xfId="0" applyNumberFormat="1" applyFont="1" applyFill="1" applyBorder="1" applyAlignment="1">
      <alignment horizontal="right"/>
    </xf>
    <xf fontId="4" fillId="0" borderId="73" numFmtId="1" xfId="0" applyNumberFormat="1" applyFont="1" applyBorder="1" applyAlignment="1">
      <alignment horizontal="right"/>
    </xf>
    <xf fontId="8" fillId="0" borderId="73" numFmtId="1" xfId="0" applyNumberFormat="1" applyFont="1" applyBorder="1" applyAlignment="1">
      <alignment horizontal="right"/>
    </xf>
    <xf fontId="4" fillId="0" borderId="0" numFmtId="1" xfId="0" applyNumberFormat="1" applyFont="1" applyAlignment="1">
      <alignment horizontal="right"/>
    </xf>
    <xf fontId="8" fillId="14" borderId="54" numFmtId="3" xfId="0" applyNumberFormat="1" applyFont="1" applyFill="1" applyBorder="1" applyAlignment="1">
      <alignment vertical="center"/>
    </xf>
    <xf fontId="8" fillId="14" borderId="51" numFmtId="3" xfId="0" applyNumberFormat="1" applyFont="1" applyFill="1" applyBorder="1" applyAlignment="1">
      <alignment vertical="center"/>
    </xf>
    <xf fontId="8" fillId="14" borderId="77" numFmtId="3" xfId="0" applyNumberFormat="1" applyFont="1" applyFill="1" applyBorder="1" applyAlignment="1">
      <alignment vertical="center"/>
    </xf>
    <xf fontId="21" fillId="29" borderId="24" numFmtId="4" xfId="0" applyNumberFormat="1" applyFont="1" applyFill="1" applyBorder="1" applyAlignment="1">
      <alignment horizontal="center" vertical="center"/>
    </xf>
    <xf fontId="22" fillId="0" borderId="31" numFmtId="1" xfId="0" applyNumberFormat="1" applyFont="1" applyBorder="1" applyAlignment="1">
      <alignment horizontal="center"/>
    </xf>
    <xf fontId="29" fillId="0" borderId="73" numFmtId="4" xfId="0" applyNumberFormat="1" applyFont="1" applyBorder="1" applyAlignment="1">
      <alignment horizontal="center" vertical="center"/>
    </xf>
    <xf fontId="22" fillId="0" borderId="61" numFmtId="161" xfId="0" applyNumberFormat="1" applyFont="1" applyBorder="1" applyAlignment="1">
      <alignment horizontal="center"/>
    </xf>
    <xf fontId="21" fillId="29" borderId="33" numFmtId="4" xfId="0" applyNumberFormat="1" applyFont="1" applyFill="1" applyBorder="1" applyAlignment="1">
      <alignment horizontal="center" vertical="center"/>
    </xf>
    <xf fontId="22" fillId="0" borderId="32" numFmtId="1" xfId="0" applyNumberFormat="1" applyFont="1" applyBorder="1" applyAlignment="1">
      <alignment horizontal="center"/>
    </xf>
    <xf fontId="22" fillId="0" borderId="63" numFmtId="161" xfId="0" applyNumberFormat="1" applyFont="1" applyBorder="1" applyAlignment="1">
      <alignment horizontal="center"/>
    </xf>
    <xf fontId="21" fillId="29" borderId="39" numFmtId="4" xfId="0" applyNumberFormat="1" applyFont="1" applyFill="1" applyBorder="1" applyAlignment="1">
      <alignment horizontal="center" vertical="center"/>
    </xf>
    <xf fontId="22" fillId="0" borderId="88" numFmtId="1" xfId="0" applyNumberFormat="1" applyFont="1" applyBorder="1" applyAlignment="1">
      <alignment horizontal="center"/>
    </xf>
    <xf fontId="22" fillId="0" borderId="65" numFmtId="161" xfId="0" applyNumberFormat="1" applyFont="1" applyBorder="1" applyAlignment="1">
      <alignment horizontal="center"/>
    </xf>
    <xf fontId="27" fillId="15" borderId="0" numFmtId="4" xfId="0" applyNumberFormat="1" applyFont="1" applyFill="1" applyAlignment="1">
      <alignment horizontal="center" vertical="center"/>
    </xf>
    <xf fontId="9" fillId="10" borderId="49" numFmtId="0" xfId="0" applyFont="1" applyFill="1" applyBorder="1" applyAlignment="1">
      <alignment horizontal="center" vertical="center"/>
    </xf>
    <xf fontId="21" fillId="29" borderId="24" numFmtId="4" xfId="0" applyNumberFormat="1" applyFont="1" applyFill="1" applyBorder="1" applyAlignment="1">
      <alignment horizontal="center" vertical="center" wrapText="1"/>
    </xf>
    <xf fontId="51" fillId="0" borderId="74" numFmtId="4" xfId="0" applyNumberFormat="1" applyFont="1" applyBorder="1" applyAlignment="1">
      <alignment horizontal="center" vertical="center"/>
    </xf>
    <xf fontId="21" fillId="29" borderId="33" numFmtId="4" xfId="0" applyNumberFormat="1" applyFont="1" applyFill="1" applyBorder="1" applyAlignment="1">
      <alignment horizontal="center" vertical="center" wrapText="1"/>
    </xf>
    <xf fontId="22" fillId="0" borderId="107" numFmtId="0" xfId="0" applyFont="1" applyBorder="1" applyAlignment="1">
      <alignment horizontal="center"/>
    </xf>
    <xf fontId="51" fillId="0" borderId="27" numFmtId="4" xfId="0" applyNumberFormat="1" applyFont="1" applyBorder="1" applyAlignment="1">
      <alignment horizontal="center" vertical="center"/>
    </xf>
    <xf fontId="21" fillId="29" borderId="39" numFmtId="4" xfId="0" applyNumberFormat="1" applyFont="1" applyFill="1" applyBorder="1" applyAlignment="1">
      <alignment horizontal="center" vertical="center" wrapText="1"/>
    </xf>
    <xf fontId="22" fillId="0" borderId="112" numFmtId="0" xfId="0" applyFont="1" applyBorder="1" applyAlignment="1">
      <alignment horizontal="center"/>
    </xf>
    <xf fontId="51" fillId="0" borderId="76" numFmtId="4" xfId="0" applyNumberFormat="1" applyFont="1" applyBorder="1" applyAlignment="1">
      <alignment horizontal="center" vertical="center"/>
    </xf>
    <xf fontId="22" fillId="0" borderId="96" numFmtId="161" xfId="0" applyNumberFormat="1" applyFont="1" applyBorder="1" applyAlignment="1">
      <alignment horizontal="center"/>
    </xf>
    <xf fontId="28" fillId="14" borderId="41" numFmtId="2" xfId="0" applyNumberFormat="1" applyFont="1" applyFill="1" applyBorder="1" applyAlignment="1">
      <alignment horizontal="center"/>
    </xf>
    <xf fontId="30" fillId="15" borderId="68" numFmtId="4" xfId="0" applyNumberFormat="1" applyFont="1" applyFill="1" applyBorder="1" applyAlignment="1">
      <alignment horizontal="center" vertical="center" wrapText="1"/>
    </xf>
    <xf fontId="8" fillId="14" borderId="23" numFmtId="1" xfId="0" applyNumberFormat="1" applyFont="1" applyFill="1" applyBorder="1"/>
    <xf fontId="8" fillId="14" borderId="15" numFmtId="1" xfId="0" applyNumberFormat="1" applyFont="1" applyFill="1" applyBorder="1"/>
    <xf fontId="8" fillId="14" borderId="44" numFmtId="1" xfId="0" applyNumberFormat="1" applyFont="1" applyFill="1" applyBorder="1"/>
    <xf fontId="8" fillId="14" borderId="19" numFmtId="1" xfId="0" applyNumberFormat="1" applyFont="1" applyFill="1" applyBorder="1" applyAlignment="1">
      <alignment vertical="center"/>
    </xf>
    <xf fontId="8" fillId="14" borderId="55" numFmtId="1" xfId="0" applyNumberFormat="1" applyFont="1" applyFill="1" applyBorder="1" applyAlignment="1">
      <alignment vertical="center"/>
    </xf>
    <xf fontId="4" fillId="0" borderId="0" numFmtId="4" xfId="0" applyNumberFormat="1" applyFont="1"/>
    <xf fontId="15" fillId="21" borderId="0" numFmtId="0" xfId="0" applyFont="1" applyFill="1" applyAlignment="1">
      <alignment horizontal="center" wrapText="1"/>
    </xf>
    <xf fontId="22" fillId="21" borderId="35" numFmtId="1" xfId="0" applyNumberFormat="1" applyFont="1" applyFill="1" applyBorder="1" applyAlignment="1">
      <alignment horizontal="center" vertical="center"/>
    </xf>
    <xf fontId="22" fillId="21" borderId="73" numFmtId="2" xfId="0" applyNumberFormat="1" applyFont="1" applyFill="1" applyBorder="1"/>
    <xf fontId="4" fillId="21" borderId="35" numFmtId="3" xfId="0" applyNumberFormat="1" applyFont="1" applyFill="1" applyBorder="1" applyAlignment="1">
      <alignment vertical="center"/>
    </xf>
    <xf fontId="4" fillId="21" borderId="9" numFmtId="1" xfId="0" applyNumberFormat="1" applyFont="1" applyFill="1" applyBorder="1" applyAlignment="1">
      <alignment horizontal="center" vertical="center"/>
    </xf>
    <xf fontId="22" fillId="21" borderId="9" numFmtId="1" xfId="0" applyNumberFormat="1" applyFont="1" applyFill="1" applyBorder="1" applyAlignment="1">
      <alignment horizontal="center" vertical="center"/>
    </xf>
    <xf fontId="22" fillId="21" borderId="9" numFmtId="1" xfId="0" applyNumberFormat="1" applyFont="1" applyFill="1" applyBorder="1"/>
    <xf fontId="22" fillId="21" borderId="9" numFmtId="2" xfId="0" applyNumberFormat="1" applyFont="1" applyFill="1" applyBorder="1"/>
    <xf fontId="22" fillId="21" borderId="113" numFmtId="2" xfId="0" applyNumberFormat="1" applyFont="1" applyFill="1" applyBorder="1"/>
    <xf fontId="4" fillId="21" borderId="9" numFmtId="3" xfId="0" applyNumberFormat="1" applyFont="1" applyFill="1" applyBorder="1" applyAlignment="1">
      <alignment vertical="center"/>
    </xf>
    <xf fontId="4" fillId="21" borderId="31" numFmtId="3" xfId="0" applyNumberFormat="1" applyFont="1" applyFill="1" applyBorder="1"/>
    <xf fontId="4" fillId="21" borderId="37" numFmtId="3" xfId="0" applyNumberFormat="1" applyFont="1" applyFill="1" applyBorder="1"/>
    <xf fontId="23" fillId="21" borderId="31" numFmtId="3" xfId="0" applyNumberFormat="1" applyFont="1" applyFill="1" applyBorder="1"/>
    <xf fontId="4" fillId="21" borderId="41" numFmtId="3" xfId="0" applyNumberFormat="1" applyFont="1" applyFill="1" applyBorder="1"/>
    <xf fontId="46" fillId="4" borderId="18" numFmtId="3" xfId="0" applyNumberFormat="1" applyFont="1" applyFill="1" applyBorder="1" applyAlignment="1">
      <alignment horizontal="center" vertical="center"/>
    </xf>
    <xf fontId="8" fillId="4" borderId="1" numFmtId="3" xfId="0" applyNumberFormat="1" applyFont="1" applyFill="1" applyBorder="1" applyAlignment="1">
      <alignment horizontal="center" vertical="center"/>
    </xf>
    <xf fontId="5" fillId="4" borderId="18" numFmtId="161" xfId="0" applyNumberFormat="1" applyFont="1" applyFill="1" applyBorder="1" applyAlignment="1">
      <alignment horizontal="center" vertical="center"/>
    </xf>
    <xf fontId="8" fillId="4" borderId="55" numFmtId="1" xfId="0" applyNumberFormat="1" applyFont="1" applyFill="1" applyBorder="1" applyAlignment="1">
      <alignment horizontal="center" vertical="center"/>
    </xf>
    <xf fontId="28" fillId="4" borderId="56" numFmtId="1" xfId="0" applyNumberFormat="1" applyFont="1" applyFill="1" applyBorder="1" applyAlignment="1">
      <alignment horizontal="center" vertical="center"/>
    </xf>
    <xf fontId="28" fillId="4" borderId="57" numFmtId="161" xfId="0" applyNumberFormat="1" applyFont="1" applyFill="1" applyBorder="1" applyAlignment="1">
      <alignment horizontal="center" vertical="center"/>
    </xf>
    <xf fontId="28" fillId="4" borderId="57" numFmtId="2" xfId="0" applyNumberFormat="1" applyFont="1" applyFill="1" applyBorder="1" applyAlignment="1">
      <alignment horizontal="center" vertical="center"/>
    </xf>
    <xf fontId="28" fillId="4" borderId="58" numFmtId="161" xfId="0" applyNumberFormat="1" applyFont="1" applyFill="1" applyBorder="1" applyAlignment="1">
      <alignment horizontal="center" vertical="center"/>
    </xf>
    <xf fontId="8" fillId="4" borderId="59" numFmtId="161" xfId="0" applyNumberFormat="1" applyFont="1" applyFill="1" applyBorder="1" applyAlignment="1">
      <alignment horizontal="right" vertical="center"/>
    </xf>
    <xf fontId="8" fillId="4" borderId="57" numFmtId="161" xfId="0" applyNumberFormat="1" applyFont="1" applyFill="1" applyBorder="1" applyAlignment="1">
      <alignment horizontal="right" vertical="center"/>
    </xf>
    <xf fontId="8" fillId="4" borderId="60" numFmtId="161" xfId="0" applyNumberFormat="1" applyFont="1" applyFill="1" applyBorder="1" applyAlignment="1">
      <alignment horizontal="right" vertical="center"/>
    </xf>
    <xf fontId="8" fillId="4" borderId="56" numFmtId="161" xfId="0" applyNumberFormat="1" applyFont="1" applyFill="1" applyBorder="1" applyAlignment="1">
      <alignment horizontal="right" vertical="center"/>
    </xf>
    <xf fontId="8" fillId="4" borderId="45" numFmtId="161" xfId="0" applyNumberFormat="1" applyFont="1" applyFill="1" applyBorder="1" applyAlignment="1">
      <alignment horizontal="right" vertical="center"/>
    </xf>
    <xf fontId="8" fillId="4" borderId="21" numFmtId="161" xfId="0" applyNumberFormat="1" applyFont="1" applyFill="1" applyBorder="1" applyAlignment="1">
      <alignment horizontal="right" vertical="center"/>
    </xf>
    <xf fontId="8" fillId="21" borderId="6" numFmtId="0" xfId="0" applyFont="1" applyFill="1" applyBorder="1" applyAlignment="1">
      <alignment horizontal="center" vertical="center" wrapText="1"/>
    </xf>
    <xf fontId="4" fillId="21" borderId="6" numFmtId="0" xfId="0" applyFont="1" applyFill="1" applyBorder="1" applyAlignment="1">
      <alignment vertical="center"/>
    </xf>
    <xf fontId="4" fillId="21" borderId="6" numFmtId="163" xfId="0" applyNumberFormat="1" applyFont="1" applyFill="1" applyBorder="1" applyAlignment="1">
      <alignment horizontal="center" vertical="center"/>
    </xf>
    <xf fontId="5" fillId="21" borderId="6" numFmtId="0" xfId="0" applyFont="1" applyFill="1" applyBorder="1" applyAlignment="1">
      <alignment horizontal="center" vertical="center"/>
    </xf>
    <xf fontId="4" fillId="21" borderId="6" numFmtId="0" xfId="0" applyFont="1" applyFill="1" applyBorder="1" applyAlignment="1">
      <alignment horizontal="center" vertical="center"/>
    </xf>
    <xf fontId="4" fillId="21" borderId="6" numFmtId="161" xfId="0" applyNumberFormat="1" applyFont="1" applyFill="1" applyBorder="1" applyAlignment="1">
      <alignment vertical="center"/>
    </xf>
    <xf fontId="13" fillId="10" borderId="49" numFmtId="1" xfId="0" applyNumberFormat="1" applyFont="1" applyFill="1" applyBorder="1" applyAlignment="1">
      <alignment horizontal="center" vertical="center" wrapText="1"/>
    </xf>
    <xf fontId="21" fillId="11" borderId="24" numFmtId="3" xfId="0" applyNumberFormat="1" applyFont="1" applyFill="1" applyBorder="1" applyAlignment="1">
      <alignment horizontal="center" vertical="center" wrapText="1"/>
    </xf>
    <xf fontId="28" fillId="0" borderId="86" numFmtId="0" xfId="0" applyFont="1" applyBorder="1" applyAlignment="1">
      <alignment horizontal="center"/>
    </xf>
    <xf fontId="21" fillId="11" borderId="33" numFmtId="3" xfId="0" applyNumberFormat="1" applyFont="1" applyFill="1" applyBorder="1" applyAlignment="1">
      <alignment horizontal="center" vertical="center" wrapText="1"/>
    </xf>
    <xf fontId="4" fillId="3" borderId="26" numFmtId="3" xfId="0" applyNumberFormat="1" applyFont="1" applyFill="1" applyBorder="1" applyAlignment="1">
      <alignment horizontal="center" vertical="center"/>
    </xf>
    <xf fontId="21" fillId="11" borderId="39" numFmtId="3" xfId="0" applyNumberFormat="1" applyFont="1" applyFill="1" applyBorder="1" applyAlignment="1">
      <alignment horizontal="center" vertical="center" wrapText="1"/>
    </xf>
    <xf fontId="4" fillId="14" borderId="14" numFmtId="161" xfId="0" applyNumberFormat="1" applyFont="1" applyFill="1" applyBorder="1" applyAlignment="1">
      <alignment vertical="center"/>
    </xf>
    <xf fontId="4" fillId="14" borderId="15" numFmtId="161" xfId="0" applyNumberFormat="1" applyFont="1" applyFill="1" applyBorder="1" applyAlignment="1">
      <alignment vertical="center"/>
    </xf>
    <xf fontId="4" fillId="14" borderId="15" numFmtId="161" xfId="0" applyNumberFormat="1" applyFont="1" applyFill="1" applyBorder="1" applyAlignment="1">
      <alignment horizontal="right" vertical="center"/>
    </xf>
    <xf fontId="4" fillId="14" borderId="44" numFmtId="161" xfId="0" applyNumberFormat="1" applyFont="1" applyFill="1" applyBorder="1" applyAlignment="1">
      <alignment horizontal="right" vertical="center"/>
    </xf>
    <xf fontId="4" fillId="14" borderId="19" numFmtId="161" xfId="0" applyNumberFormat="1" applyFont="1" applyFill="1" applyBorder="1" applyAlignment="1">
      <alignment horizontal="right" vertical="center"/>
    </xf>
    <xf fontId="4" fillId="14" borderId="55" numFmtId="161" xfId="0" applyNumberFormat="1" applyFont="1" applyFill="1" applyBorder="1" applyAlignment="1">
      <alignment horizontal="right" vertical="center"/>
    </xf>
    <xf fontId="4" fillId="2" borderId="114" numFmtId="3" xfId="0" applyNumberFormat="1" applyFont="1" applyFill="1" applyBorder="1" applyAlignment="1">
      <alignment horizontal="center" vertical="center"/>
    </xf>
    <xf fontId="4" fillId="14" borderId="44" numFmtId="161" xfId="0" applyNumberFormat="1" applyFont="1" applyFill="1" applyBorder="1" applyAlignment="1">
      <alignment vertical="center"/>
    </xf>
    <xf fontId="4" fillId="14" borderId="44" numFmtId="161" xfId="0" applyNumberFormat="1" applyFont="1" applyFill="1" applyBorder="1"/>
    <xf fontId="4" fillId="14" borderId="19" numFmtId="161" xfId="0" applyNumberFormat="1" applyFont="1" applyFill="1" applyBorder="1"/>
    <xf fontId="4" fillId="14" borderId="55" numFmtId="161" xfId="0" applyNumberFormat="1" applyFont="1" applyFill="1" applyBorder="1"/>
    <xf fontId="9" fillId="2" borderId="23" numFmtId="160" xfId="0" applyNumberFormat="1" applyFont="1" applyFill="1" applyBorder="1" applyAlignment="1">
      <alignment horizontal="center" vertical="center"/>
    </xf>
    <xf fontId="13" fillId="18" borderId="49" numFmtId="1" xfId="0" applyNumberFormat="1" applyFont="1" applyFill="1" applyBorder="1" applyAlignment="1">
      <alignment horizontal="center" vertical="center"/>
    </xf>
    <xf fontId="4" fillId="0" borderId="55" numFmtId="0" xfId="0" applyFont="1" applyBorder="1"/>
    <xf fontId="9" fillId="10" borderId="29" numFmtId="160" xfId="0" applyNumberFormat="1" applyFont="1" applyFill="1" applyBorder="1" applyAlignment="1">
      <alignment horizontal="center" vertical="center"/>
    </xf>
    <xf fontId="5" fillId="0" borderId="78" numFmtId="1" xfId="0" applyNumberFormat="1" applyFont="1" applyBorder="1" applyAlignment="1">
      <alignment horizontal="center"/>
    </xf>
    <xf fontId="4" fillId="0" borderId="49" numFmtId="0" xfId="0" applyFont="1" applyBorder="1" applyAlignment="1">
      <alignment horizontal="center" vertical="center"/>
    </xf>
    <xf fontId="4" fillId="0" borderId="48" numFmtId="0" xfId="0" applyFont="1" applyBorder="1" applyAlignment="1">
      <alignment horizontal="center"/>
    </xf>
    <xf fontId="4" fillId="0" borderId="49" numFmtId="0" xfId="0" applyFont="1" applyBorder="1"/>
    <xf fontId="4" fillId="0" borderId="115" numFmtId="0" xfId="0" applyFont="1" applyBorder="1"/>
    <xf fontId="4" fillId="0" borderId="48" numFmtId="1" xfId="0" applyNumberFormat="1" applyFont="1" applyBorder="1"/>
    <xf fontId="4" fillId="0" borderId="53" numFmtId="1" xfId="0" applyNumberFormat="1" applyFont="1" applyBorder="1"/>
    <xf fontId="4" fillId="0" borderId="29" numFmtId="1" xfId="0" applyNumberFormat="1" applyFont="1" applyBorder="1"/>
    <xf fontId="4" fillId="0" borderId="115" numFmtId="1" xfId="0" applyNumberFormat="1" applyFont="1" applyBorder="1"/>
    <xf fontId="5" fillId="0" borderId="35" numFmtId="1" xfId="0" applyNumberFormat="1" applyFont="1" applyBorder="1" applyAlignment="1">
      <alignment horizontal="center"/>
    </xf>
    <xf fontId="4" fillId="0" borderId="26" numFmtId="1" xfId="0" applyNumberFormat="1" applyFont="1" applyBorder="1"/>
    <xf fontId="4" fillId="0" borderId="46" numFmtId="1" xfId="0" applyNumberFormat="1" applyFont="1" applyBorder="1"/>
    <xf fontId="4" fillId="0" borderId="68" numFmtId="1" xfId="0" applyNumberFormat="1" applyFont="1" applyBorder="1"/>
    <xf fontId="4" fillId="0" borderId="54" numFmtId="1" xfId="0" applyNumberFormat="1" applyFont="1" applyBorder="1"/>
    <xf fontId="4" fillId="0" borderId="9" numFmtId="1" xfId="0" applyNumberFormat="1" applyFont="1" applyBorder="1"/>
    <xf fontId="4" fillId="0" borderId="51" numFmtId="1" xfId="0" applyNumberFormat="1" applyFont="1" applyBorder="1"/>
    <xf fontId="8" fillId="14" borderId="51" numFmtId="1" xfId="0" applyNumberFormat="1" applyFont="1" applyFill="1" applyBorder="1" applyAlignment="1">
      <alignment vertical="center"/>
    </xf>
    <xf fontId="4" fillId="28" borderId="41" numFmtId="1" xfId="0" applyNumberFormat="1" applyFont="1" applyFill="1" applyBorder="1" applyAlignment="1">
      <alignment vertical="center"/>
    </xf>
    <xf fontId="4" fillId="0" borderId="51" numFmtId="0" xfId="0" applyFont="1" applyBorder="1" applyAlignment="1">
      <alignment horizontal="center" vertical="center"/>
    </xf>
    <xf fontId="4" fillId="0" borderId="116" numFmtId="1" xfId="0" applyNumberFormat="1" applyFont="1" applyBorder="1"/>
    <xf fontId="4" fillId="0" borderId="117" numFmtId="1" xfId="0" applyNumberFormat="1" applyFont="1" applyBorder="1"/>
    <xf fontId="4" fillId="28" borderId="42" numFmtId="1" xfId="0" applyNumberFormat="1" applyFont="1" applyFill="1" applyBorder="1" applyAlignment="1">
      <alignment vertical="center"/>
    </xf>
    <xf fontId="64" fillId="0" borderId="0" numFmtId="0" xfId="0" applyFont="1"/>
    <xf fontId="3" fillId="0" borderId="0" numFmtId="0" xfId="0" applyFont="1"/>
    <xf fontId="65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 vertical="center"/>
    </xf>
    <xf fontId="65" fillId="0" borderId="0" numFmtId="3" xfId="0" applyNumberFormat="1" applyFont="1"/>
    <xf fontId="2" fillId="0" borderId="0" numFmtId="3" xfId="0" applyNumberFormat="1" applyFont="1"/>
    <xf fontId="5" fillId="0" borderId="0" numFmtId="0" xfId="0" applyFont="1" applyAlignment="1">
      <alignment horizontal="center"/>
    </xf>
    <xf fontId="66" fillId="0" borderId="0" numFmtId="164" xfId="0" applyNumberFormat="1" applyFont="1"/>
    <xf fontId="65" fillId="0" borderId="0" numFmtId="0" xfId="0" applyFont="1"/>
    <xf fontId="2" fillId="0" borderId="0" numFmtId="0" xfId="0" applyFont="1"/>
  </cellXfs>
  <cellStyles count="3">
    <cellStyle name="Обычный" xfId="0" builtinId="0"/>
    <cellStyle name="Обычный 16" xfId="1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21" Type="http://schemas.openxmlformats.org/officeDocument/2006/relationships/styles" Target="styles.xml"/><Relationship  Id="rId13" Type="http://schemas.openxmlformats.org/officeDocument/2006/relationships/externalLink" Target="externalLinks/externalLink13.xml"/><Relationship  Id="rId11" Type="http://schemas.openxmlformats.org/officeDocument/2006/relationships/externalLink" Target="externalLinks/externalLink11.xml"/><Relationship  Id="rId18" Type="http://schemas.openxmlformats.org/officeDocument/2006/relationships/worksheet" Target="worksheets/sheet4.xml"/><Relationship  Id="rId17" Type="http://schemas.openxmlformats.org/officeDocument/2006/relationships/worksheet" Target="worksheets/sheet3.xml"/><Relationship  Id="rId10" Type="http://schemas.openxmlformats.org/officeDocument/2006/relationships/externalLink" Target="externalLinks/externalLink10.xml"/><Relationship  Id="rId15" Type="http://schemas.openxmlformats.org/officeDocument/2006/relationships/worksheet" Target="worksheets/sheet1.xml"/><Relationship  Id="rId9" Type="http://schemas.openxmlformats.org/officeDocument/2006/relationships/externalLink" Target="externalLinks/externalLink9.xml"/><Relationship  Id="rId20" Type="http://schemas.openxmlformats.org/officeDocument/2006/relationships/sharedStrings" Target="sharedStrings.xml"/><Relationship  Id="rId19" Type="http://schemas.openxmlformats.org/officeDocument/2006/relationships/theme" Target="theme/theme1.xml"/><Relationship  Id="rId8" Type="http://schemas.openxmlformats.org/officeDocument/2006/relationships/externalLink" Target="externalLinks/externalLink8.xml"/><Relationship  Id="rId7" Type="http://schemas.openxmlformats.org/officeDocument/2006/relationships/externalLink" Target="externalLinks/externalLink7.xml"/><Relationship  Id="rId14" Type="http://schemas.microsoft.com/office/2017/10/relationships/person" Target="persons/person.xml"/><Relationship  Id="rId6" Type="http://schemas.openxmlformats.org/officeDocument/2006/relationships/externalLink" Target="externalLinks/externalLink6.xml"/><Relationship  Id="rId5" Type="http://schemas.openxmlformats.org/officeDocument/2006/relationships/externalLink" Target="externalLinks/externalLink5.xml"/><Relationship  Id="rId4" Type="http://schemas.openxmlformats.org/officeDocument/2006/relationships/externalLink" Target="externalLinks/externalLink4.xml"/><Relationship  Id="rId16" Type="http://schemas.openxmlformats.org/officeDocument/2006/relationships/worksheet" Target="worksheets/sheet2.xml"/><Relationship  Id="rId12" Type="http://schemas.openxmlformats.org/officeDocument/2006/relationships/externalLink" Target="externalLinks/externalLink12.xml"/><Relationship  Id="rId3" Type="http://schemas.openxmlformats.org/officeDocument/2006/relationships/externalLink" Target="externalLinks/externalLink3.xml"/><Relationship  Id="rId2" Type="http://schemas.openxmlformats.org/officeDocument/2006/relationships/externalLink" Target="externalLinks/externalLink2.xml"/><Relationship  Id="rId1" Type="http://schemas.openxmlformats.org/officeDocument/2006/relationships/externalLink" Target="externalLinks/externalLink1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10.%20&#1054;&#1082;&#1090;&#1103;&#1073;&#1088;&#1100;/10.1.%20&#1055;&#1083;&#1072;&#1085;%20&#1087;&#1088;&#1086;&#1080;&#1079;&#1074;&#1086;&#1076;&#1089;&#1090;&#1074;&#1072;%20&#1085;&#1072;%20&#1054;&#1082;&#1090;&#1103;&#1073;&#1088;&#1100;%2021%20&#1075;&#1086;&#1076;&#1072;%20(1-14%20&#1086;&#1082;&#1090;).xlsx" TargetMode="External"/></Relationships>
</file>

<file path=xl/externalLinks/_rels/externalLink10.xml.rels><?xml version="1.0" encoding="UTF-8" standalone="yes"?><Relationships xmlns="http://schemas.openxmlformats.org/package/2006/relationships"><Relationship  Id="rId1" Type="http://schemas.openxmlformats.org/officeDocument/2006/relationships/externalLinkPath" Target="/Users/User/Downloads/8.%20&#1055;&#1083;&#1072;&#1085;%20&#1087;&#1088;&#1086;&#1080;&#1079;&#1074;&#1086;&#1076;&#1089;&#1090;&#1074;&#1072;%20&#1085;&#1072;%20&#1040;&#1074;&#1075;&#1091;&#1089;&#1090;%2021%20&#1075;&#1086;&#1076;&#1072;.xlsx" TargetMode="External"/></Relationships>
</file>

<file path=xl/externalLinks/_rels/externalLink11.xml.rels><?xml version="1.0" encoding="UTF-8" standalone="yes"?><Relationships xmlns="http://schemas.openxmlformats.org/package/2006/relationships"><Relationship  Id="rId1" Type="http://schemas.openxmlformats.org/officeDocument/2006/relationships/externalLinkPath" Target="/Users/Imv/Desktop/0/&#1089;%20&#1101;&#1083;.%20&#1087;.&#1055;&#1086;%20&#1076;&#1085;&#1103;&#1084;%20&#1055;&#1051;&#1040;&#1053;%20&#1087;&#1088;&#1086;&#1080;&#1079;&#1074;&#1086;&#1076;&#1089;&#1090;&#1074;&#1072;%20&#1085;&#1072;%20&#1044;&#1077;&#1082;&#1072;&#1073;&#1088;&#1100;%2021&#1075;.%20(1).xlsx" TargetMode="External"/></Relationships>
</file>

<file path=xl/externalLinks/_rels/externalLink12.xml.rels><?xml version="1.0" encoding="UTF-8" standalone="yes"?><Relationships xmlns="http://schemas.openxmlformats.org/package/2006/relationships"><Relationship  Id="rId1" Type="http://schemas.openxmlformats.org/officeDocument/2006/relationships/externalLinkPath" Target="/Users/User/Downloads/9.3.%20&#1055;&#1083;&#1072;&#1085;%20&#1087;&#1088;&#1086;&#1080;&#1079;&#1074;&#1086;&#1076;&#1089;&#1090;&#1074;&#1072;%20&#1085;&#1072;%20&#1057;&#1077;&#1085;&#1090;&#1103;&#1073;&#1088;&#1100;%2021%20&#1075;&#1086;&#1076;&#1072;.xlsx" TargetMode="External"/></Relationships>
</file>

<file path=xl/externalLinks/_rels/externalLink13.xml.rels><?xml version="1.0" encoding="UTF-8" standalone="yes"?><Relationships xmlns="http://schemas.openxmlformats.org/package/2006/relationships"><Relationship  Id="rId1" Type="http://schemas.openxmlformats.org/officeDocument/2006/relationships/externalLinkPath" Target="1.%20&#1055;&#1083;&#1072;&#1085;%20&#1087;&#1088;&#1086;&#1080;&#1079;&#1074;&#1086;&#1076;&#1089;&#1090;&#1074;&#1072;%20&#1085;&#1072;%20&#1071;&#1085;&#1074;&#1072;&#1088;&#1100;%202022&#1075;.%20(9%20650).xlsx" TargetMode="External"/></Relationships>
</file>

<file path=xl/externalLinks/_rels/externalLink2.xml.rels><?xml version="1.0" encoding="UTF-8" standalone="yes"?><Relationships xmlns="http://schemas.openxmlformats.org/package/2006/relationships"><Relationship  Id="rId1" Type="http://schemas.openxmlformats.org/officeDocument/2006/relationships/externalLinkPath" Target="10.%20&#1054;&#1082;&#1090;&#1103;&#1073;&#1088;&#1100;/10.2.%20&#1055;&#1083;&#1072;&#1085;%20&#1087;&#1088;&#1086;&#1080;&#1079;&#1074;&#1086;&#1076;&#1089;&#1090;&#1074;&#1072;%20&#1085;&#1072;%20&#1054;&#1082;&#1090;&#1103;&#1073;&#1088;&#1100;%2021%20&#1075;&#1086;&#1076;&#1072;%20(15-27%20&#1086;&#1082;&#1090;)%20.xlsx" TargetMode="External"/></Relationships>
</file>

<file path=xl/externalLinks/_rels/externalLink3.xml.rels><?xml version="1.0" encoding="UTF-8" standalone="yes"?><Relationships xmlns="http://schemas.openxmlformats.org/package/2006/relationships"><Relationship  Id="rId1" Type="http://schemas.openxmlformats.org/officeDocument/2006/relationships/externalLinkPath" Target="1.%20&#1055;&#1083;&#1072;&#1085;%20&#1087;&#1088;&#1086;&#1080;&#1079;&#1074;&#1086;&#1076;&#1089;&#1090;&#1074;&#1072;%20&#1085;&#1072;%20&#1071;&#1085;&#1074;&#1072;&#1088;&#1100;%202022&#1075;..xlsx" TargetMode="External"/></Relationships>
</file>

<file path=xl/externalLinks/_rels/externalLink4.xml.rels><?xml version="1.0" encoding="UTF-8" standalone="yes"?><Relationships xmlns="http://schemas.openxmlformats.org/package/2006/relationships"><Relationship  Id="rId1" Type="http://schemas.openxmlformats.org/officeDocument/2006/relationships/externalLinkPath" Target="/Users/User/Downloads/10.%20&#1054;&#1082;&#1090;&#1103;&#1073;&#1088;&#1100;/10.1.%20&#1055;&#1083;&#1072;&#1085;%20&#1087;&#1088;&#1086;&#1080;&#1079;&#1074;&#1086;&#1076;&#1089;&#1090;&#1074;&#1072;%20&#1085;&#1072;%20&#1054;&#1082;&#1090;&#1103;&#1073;&#1088;&#1100;%2021%20&#1075;&#1086;&#1076;&#1072;%20(1-14%20&#1086;&#1082;&#1090;).xlsx" TargetMode="External"/></Relationships>
</file>

<file path=xl/externalLinks/_rels/externalLink5.xml.rels><?xml version="1.0" encoding="UTF-8" standalone="yes"?><Relationships xmlns="http://schemas.openxmlformats.org/package/2006/relationships"><Relationship  Id="rId1" Type="http://schemas.openxmlformats.org/officeDocument/2006/relationships/externalLinkPath" Target="/Users/User/Downloads/10.%20&#1054;&#1082;&#1090;&#1103;&#1073;&#1088;&#1100;/10.2.%20&#1055;&#1083;&#1072;&#1085;%20&#1087;&#1088;&#1086;&#1080;&#1079;&#1074;&#1086;&#1076;&#1089;&#1090;&#1074;&#1072;%20&#1085;&#1072;%20&#1054;&#1082;&#1090;&#1103;&#1073;&#1088;&#1100;%2021%20&#1075;&#1086;&#1076;&#1072;%20(15-27%20&#1086;&#1082;&#1090;)%20.xlsx" TargetMode="External"/></Relationships>
</file>

<file path=xl/externalLinks/_rels/externalLink6.xml.rels><?xml version="1.0" encoding="UTF-8" standalone="yes"?><Relationships xmlns="http://schemas.openxmlformats.org/package/2006/relationships"><Relationship  Id="rId1" Type="http://schemas.openxmlformats.org/officeDocument/2006/relationships/externalLinkPath" Target="1.%20&#1055;&#1083;&#1072;&#1085;%20&#1087;&#1088;&#1086;&#1080;&#1079;&#1074;&#1086;&#1076;&#1089;&#1090;&#1074;&#1072;%20&#1085;&#1072;%20&#1071;&#1085;&#1074;&#1072;&#1088;&#1100;%202022&#1075;.%20(9%20615).xlsx" TargetMode="External"/></Relationships>
</file>

<file path=xl/externalLinks/_rels/externalLink7.xml.rels><?xml version="1.0" encoding="UTF-8" standalone="yes"?><Relationships xmlns="http://schemas.openxmlformats.org/package/2006/relationships"><Relationship  Id="rId1" Type="http://schemas.openxmlformats.org/officeDocument/2006/relationships/externalLinkPath" Target="/Users/User/Downloads/11.%20&#1053;&#1086;&#1103;&#1073;&#1088;&#1100;/11%20%20&#1055;&#1083;&#1072;&#1085;%20&#1087;&#1088;&#1086;&#1080;&#1079;&#1074;&#1086;&#1076;&#1089;&#1090;&#1074;&#1072;%20&#1085;&#1072;%20&#1053;&#1086;&#1103;&#1073;&#1088;&#1100;%202021%20&#1075;&#1086;&#1076;&#1072;%20.xlsx" TargetMode="External"/></Relationships>
</file>

<file path=xl/externalLinks/_rels/externalLink8.xml.rels><?xml version="1.0" encoding="UTF-8" standalone="yes"?><Relationships xmlns="http://schemas.openxmlformats.org/package/2006/relationships"><Relationship  Id="rId1" Type="http://schemas.openxmlformats.org/officeDocument/2006/relationships/externalLinkPath" Target="/Users/User/Downloads/10.%20&#1054;&#1082;&#1090;&#1103;&#1073;&#1088;&#1100;/10.3.%20&#1055;&#1083;&#1072;&#1085;%20&#1087;&#1088;&#1086;&#1080;&#1079;&#1074;&#1086;&#1076;&#1089;&#1090;&#1074;&#1072;%20&#1085;&#1072;%20&#1054;&#1082;&#1090;&#1103;&#1073;&#1088;&#1100;%2021%20&#1075;&#1086;&#1076;&#1072;%20(28-31%20&#1086;&#1082;&#1090;)%20.xlsx" TargetMode="External"/></Relationships>
</file>

<file path=xl/externalLinks/_rels/externalLink9.xml.rels><?xml version="1.0" encoding="UTF-8" standalone="yes"?><Relationships xmlns="http://schemas.openxmlformats.org/package/2006/relationships"><Relationship  Id="rId1" Type="http://schemas.openxmlformats.org/officeDocument/2006/relationships/externalLinkPath" Target="/Users/User/Downloads/7.1%20&#1055;&#1083;&#1072;&#1085;%20&#1087;&#1088;&#1086;&#1080;&#1079;&#1074;&#1086;&#1076;&#1089;&#1090;&#1074;&#1072;%20&#1085;&#1072;%20&#1048;&#1102;&#1083;&#1100;%2021%20&#1075;&#1086;&#1076;&#1072;%20(1-18%20&#1080;&#1102;&#1083;&#1103;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Октябрь"/>
      <sheetName val="План пр-ва по единицам обор"/>
      <sheetName val="План пр-ва по сменам"/>
      <sheetName val="Спецификация пр-ва"/>
      <sheetName val="Спецификация ЦПКФ"/>
      <sheetName val="Баланс  шпона ЦПКФ"/>
      <sheetName val="Спецификация ЦПБФ"/>
      <sheetName val="Баланс ЦПБФ"/>
      <sheetName val="План для Энкоста"/>
      <sheetName val="Фанпол от переобреза"/>
      <sheetName val="Упаковка ЦПКФ"/>
      <sheetName val="Упаковка БФ"/>
      <sheetName val="Заказы на круги"/>
    </sheetNames>
    <sheetDataSet>
      <sheetData sheetId="0" refreshError="1"/>
      <sheetData sheetId="1">
        <row r="11">
          <cell r="G11">
            <v>14</v>
          </cell>
        </row>
        <row r="15">
          <cell r="K15">
            <v>2742.3318181818181</v>
          </cell>
        </row>
        <row r="16">
          <cell r="K16">
            <v>225.39393939393938</v>
          </cell>
        </row>
      </sheetData>
      <sheetData sheetId="2" refreshError="1"/>
      <sheetData sheetId="3">
        <row r="59">
          <cell r="AC59">
            <v>0</v>
          </cell>
        </row>
      </sheetData>
      <sheetData sheetId="4" refreshError="1"/>
      <sheetData sheetId="5">
        <row r="68">
          <cell r="E68">
            <v>0.124</v>
          </cell>
        </row>
      </sheetData>
      <sheetData sheetId="6" refreshError="1"/>
      <sheetData sheetId="7">
        <row r="71">
          <cell r="D71">
            <v>9.0999999999999998E-2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Покупной шпон"/>
      <sheetName val="Спецификацияпр-ва  (2)"/>
      <sheetName val="Лист1 (2)"/>
      <sheetName val="План эталон"/>
      <sheetName val="Баланс  шп ЦПКФ"/>
      <sheetName val="Баланс шп ЦПБФ"/>
      <sheetName val="Вместо внутр - евро"/>
      <sheetName val="Спецификация пр-ва"/>
      <sheetName val="Спецификация пр-ва1 "/>
      <sheetName val="План пр-ва по единицам обор"/>
      <sheetName val="План  пр-ва на август"/>
      <sheetName val="Произв.ребросклейки 4"/>
      <sheetName val="План пр-ва по сменам"/>
      <sheetName val="Спецификацияпр-ва с ценой 17500"/>
      <sheetName val="Режим работы предпрятия"/>
      <sheetName val="Лист1"/>
      <sheetName val="Заказы на круги"/>
      <sheetName val="Фанпол от переобреза"/>
      <sheetName val="Упаковка БФ"/>
      <sheetName val="Упаковка ЦПКФ"/>
      <sheetName val="Заказ на круги"/>
      <sheetName val="Статистика по кругам и деталям"/>
      <sheetName val="Расчет эффект.покуп.шп"/>
      <sheetName val="План для Энкост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K11">
            <v>9150.6659409090898</v>
          </cell>
        </row>
        <row r="61">
          <cell r="E61">
            <v>10.303442028985508</v>
          </cell>
          <cell r="F61">
            <v>3500</v>
          </cell>
        </row>
        <row r="72">
          <cell r="I72">
            <v>62</v>
          </cell>
          <cell r="S72">
            <v>9.2999999999999989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Табель"/>
      <sheetName val="ЦПБФ"/>
      <sheetName val="ЦПКФ"/>
      <sheetName val="Свод"/>
    </sheetNames>
    <sheetDataSet>
      <sheetData sheetId="0">
        <row r="34">
          <cell r="B34">
            <v>15</v>
          </cell>
          <cell r="C34">
            <v>16</v>
          </cell>
          <cell r="D34">
            <v>14</v>
          </cell>
          <cell r="E34">
            <v>15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Покупной шпон"/>
      <sheetName val="Спецификацияпр-ва  (2)"/>
      <sheetName val="Лист1 (2)"/>
      <sheetName val="План эталон"/>
      <sheetName val="Баланс  шп ЦПКФ"/>
      <sheetName val="Баланс шп ЦПБФ"/>
      <sheetName val="Вместо внутр - евро"/>
      <sheetName val="Спецификация пр-ва"/>
      <sheetName val="Спецификация пр-ва1 "/>
      <sheetName val="План пр-ва по единицам обор"/>
      <sheetName val="План  пр-ва на сентябрь"/>
      <sheetName val="Произв.ребросклейки 4"/>
      <sheetName val="План пр-ва по сменам"/>
      <sheetName val="Спецификацияпр-ва с ценой 17500"/>
      <sheetName val="Режим работы предпрятия"/>
      <sheetName val="Лист1"/>
      <sheetName val="Заказы на круги"/>
      <sheetName val="Фанпол от переобреза"/>
      <sheetName val="Упаковка БФ"/>
      <sheetName val="Упаковка ЦПКФ"/>
      <sheetName val="Заказ на круги"/>
      <sheetName val="Статистика по кругам и деталям"/>
      <sheetName val="Расчет эффект.покуп.шп"/>
      <sheetName val="План для Энкоста"/>
    </sheetNames>
    <sheetDataSet>
      <sheetData sheetId="0"/>
      <sheetData sheetId="1"/>
      <sheetData sheetId="2"/>
      <sheetData sheetId="3"/>
      <sheetData sheetId="4">
        <row r="65">
          <cell r="I65">
            <v>67.094357078145208</v>
          </cell>
        </row>
      </sheetData>
      <sheetData sheetId="5"/>
      <sheetData sheetId="6">
        <row r="61">
          <cell r="AJ61">
            <v>42328</v>
          </cell>
        </row>
      </sheetData>
      <sheetData sheetId="7">
        <row r="281">
          <cell r="AB281">
            <v>110.48174457641423</v>
          </cell>
        </row>
      </sheetData>
      <sheetData sheetId="8"/>
      <sheetData sheetId="9">
        <row r="11">
          <cell r="B11" t="str">
            <v xml:space="preserve">Подача сырья ЦПБФ</v>
          </cell>
        </row>
        <row r="61">
          <cell r="I61">
            <v>60</v>
          </cell>
          <cell r="S61">
            <v>9.5</v>
          </cell>
        </row>
      </sheetData>
      <sheetData sheetId="10">
        <row r="46">
          <cell r="H46">
            <v>3027.9481929801036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Декабрь"/>
      <sheetName val="План пр-ва по единицам обор"/>
      <sheetName val="План пр-ва по сменам"/>
      <sheetName val="Спецификация пр-ва"/>
      <sheetName val="Спецификация ЦПКФ"/>
      <sheetName val="Баланс  шпона ЦПКФ"/>
      <sheetName val="Спецификация ЦПБФ"/>
      <sheetName val="Баланс ЦПБФ"/>
      <sheetName val="План для Энкоста"/>
      <sheetName val="Фанпол от переобреза"/>
      <sheetName val="Упаковка ЦПКФ"/>
      <sheetName val="Упаковка БФ"/>
      <sheetName val="Заказы на круги"/>
    </sheetNames>
    <sheetDataSet>
      <sheetData sheetId="0" refreshError="1"/>
      <sheetData sheetId="1">
        <row r="11">
          <cell r="K11">
            <v>14375.534787207576</v>
          </cell>
        </row>
        <row r="56">
          <cell r="F56">
            <v>923</v>
          </cell>
        </row>
        <row r="57">
          <cell r="F57">
            <v>923</v>
          </cell>
        </row>
        <row r="58">
          <cell r="F58">
            <v>923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Октябрь"/>
      <sheetName val="План пр-ва по единицам обор"/>
      <sheetName val="План пр-ва по сменам"/>
      <sheetName val="Спецификация пр-ва"/>
      <sheetName val="Спецификация ЦПКФ"/>
      <sheetName val="Баланс  шпона ЦПКФ"/>
      <sheetName val="Спецификация ЦПБФ"/>
      <sheetName val="Баланс ЦПБФ"/>
      <sheetName val="План для Энкоста"/>
      <sheetName val="Фанпол от переобреза"/>
      <sheetName val="Упаковка ЦПКФ"/>
      <sheetName val="Упаковка БФ"/>
      <sheetName val="Заказы на круги"/>
    </sheetNames>
    <sheetDataSet>
      <sheetData sheetId="0" refreshError="1"/>
      <sheetData sheetId="1">
        <row r="11">
          <cell r="G11">
            <v>13</v>
          </cell>
        </row>
        <row r="15">
          <cell r="K15">
            <v>2724.3818181818183</v>
          </cell>
        </row>
        <row r="16">
          <cell r="K16">
            <v>14.581818181818182</v>
          </cell>
        </row>
      </sheetData>
      <sheetData sheetId="2" refreshError="1"/>
      <sheetData sheetId="3">
        <row r="59">
          <cell r="AC59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Январь"/>
      <sheetName val="План пр-ва по единицам обор"/>
      <sheetName val="План пр-ва по сменам"/>
      <sheetName val="Спецификация пр-ва"/>
      <sheetName val="Спецификация ЦПКФ"/>
      <sheetName val="Баланс  шпона ЦПКФ"/>
      <sheetName val="Спецификация ЦПБФ"/>
      <sheetName val="Баланс ЦПБФ"/>
      <sheetName val="План для Энкоста"/>
      <sheetName val="Фанпол от переобреза"/>
      <sheetName val="Упаковка ЦПКФ"/>
      <sheetName val="Упаковка БФ"/>
      <sheetName val="Заказы на круги"/>
    </sheetNames>
    <sheetDataSet>
      <sheetData sheetId="0"/>
      <sheetData sheetId="1">
        <row r="11">
          <cell r="K11">
            <v>13731.779827575758</v>
          </cell>
        </row>
        <row r="15">
          <cell r="K15">
            <v>4960.3878787878784</v>
          </cell>
        </row>
        <row r="16">
          <cell r="K16">
            <v>4200.2390909090909</v>
          </cell>
        </row>
        <row r="19">
          <cell r="AS19">
            <v>100</v>
          </cell>
        </row>
        <row r="22">
          <cell r="K22">
            <v>9160.6269696969684</v>
          </cell>
        </row>
        <row r="25">
          <cell r="AS25">
            <v>90</v>
          </cell>
        </row>
        <row r="27">
          <cell r="K27">
            <v>2670.3765296274851</v>
          </cell>
        </row>
        <row r="29">
          <cell r="L29">
            <v>2463.1999999999998</v>
          </cell>
        </row>
        <row r="31">
          <cell r="L31">
            <v>3341.9818181818182</v>
          </cell>
        </row>
        <row r="34">
          <cell r="L34">
            <v>6853.893542964679</v>
          </cell>
          <cell r="AS34">
            <v>45.495905368516837</v>
          </cell>
        </row>
        <row r="41">
          <cell r="AS41">
            <v>28</v>
          </cell>
        </row>
        <row r="42">
          <cell r="AY42">
            <v>1246.9990909090909</v>
          </cell>
        </row>
        <row r="46">
          <cell r="AS46">
            <v>44</v>
          </cell>
        </row>
        <row r="53">
          <cell r="AN53">
            <v>38631.515151515152</v>
          </cell>
        </row>
        <row r="54">
          <cell r="AN54">
            <v>38631.515151515152</v>
          </cell>
          <cell r="AS54">
            <v>56</v>
          </cell>
        </row>
        <row r="55">
          <cell r="AN55">
            <v>19061.21212121212</v>
          </cell>
        </row>
        <row r="61">
          <cell r="F61">
            <v>4000</v>
          </cell>
        </row>
        <row r="62">
          <cell r="AN62">
            <v>80892.181818181823</v>
          </cell>
        </row>
        <row r="63">
          <cell r="AN63">
            <v>125643.0303030303</v>
          </cell>
        </row>
        <row r="64">
          <cell r="F64">
            <v>4000</v>
          </cell>
        </row>
        <row r="71">
          <cell r="L71">
            <v>1393.6</v>
          </cell>
        </row>
        <row r="72">
          <cell r="L72">
            <v>1447.2</v>
          </cell>
        </row>
        <row r="73">
          <cell r="E73">
            <v>21</v>
          </cell>
          <cell r="L73">
            <v>612.18818181818187</v>
          </cell>
        </row>
        <row r="74">
          <cell r="L74">
            <v>1150.5518181818181</v>
          </cell>
        </row>
        <row r="75">
          <cell r="L75">
            <v>1150.5518181818181</v>
          </cell>
        </row>
        <row r="80">
          <cell r="K80">
            <v>895.22727272727275</v>
          </cell>
        </row>
      </sheetData>
      <sheetData sheetId="2"/>
      <sheetData sheetId="3">
        <row r="297">
          <cell r="AC297">
            <v>5536.667057736001</v>
          </cell>
        </row>
        <row r="532">
          <cell r="AC532">
            <v>885.26459999999997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Октябрь"/>
      <sheetName val="План пр-ва по единицам обор"/>
      <sheetName val="План пр-ва по сменам"/>
      <sheetName val="Спецификация пр-ва"/>
      <sheetName val="Спецификация ЦПКФ"/>
      <sheetName val="Баланс  шпона ЦПКФ"/>
      <sheetName val="Спецификация ЦПБФ"/>
      <sheetName val="Баланс ЦПБФ"/>
      <sheetName val="План для Энкоста"/>
      <sheetName val="Фанпол от переобреза"/>
      <sheetName val="Упаковка ЦПКФ"/>
      <sheetName val="Упаковка БФ"/>
      <sheetName val="Заказы на круги"/>
    </sheetNames>
    <sheetDataSet>
      <sheetData sheetId="0" refreshError="1"/>
      <sheetData sheetId="1" refreshError="1">
        <row r="11">
          <cell r="G11">
            <v>14</v>
          </cell>
        </row>
        <row r="27">
          <cell r="K27">
            <v>2364.6545454545453</v>
          </cell>
        </row>
        <row r="77">
          <cell r="E77">
            <v>55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Октябрь"/>
      <sheetName val="План пр-ва по единицам обор"/>
      <sheetName val="План пр-ва по сменам"/>
      <sheetName val="Спецификация пр-ва"/>
      <sheetName val="Спецификация ЦПКФ"/>
      <sheetName val="Баланс  шпона ЦПКФ"/>
      <sheetName val="Спецификация ЦПБФ"/>
      <sheetName val="Баланс ЦПБФ"/>
      <sheetName val="План для Энкоста"/>
      <sheetName val="Фанпол от переобреза"/>
      <sheetName val="Упаковка ЦПКФ"/>
      <sheetName val="Упаковка БФ"/>
      <sheetName val="Заказы на круги"/>
    </sheetNames>
    <sheetDataSet>
      <sheetData sheetId="0" refreshError="1"/>
      <sheetData sheetId="1" refreshError="1">
        <row r="11">
          <cell r="G11">
            <v>13</v>
          </cell>
        </row>
        <row r="27">
          <cell r="K27">
            <v>2064.9333333333334</v>
          </cell>
        </row>
        <row r="77">
          <cell r="E77">
            <v>55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Январь"/>
      <sheetName val="План пр-ва по единицам обор"/>
      <sheetName val="План пр-ва по сменам"/>
      <sheetName val="Спецификация пр-ва"/>
      <sheetName val="Спецификация ЦПКФ"/>
      <sheetName val="Баланс  шпона ЦПКФ"/>
      <sheetName val="Спецификация ЦПБФ"/>
      <sheetName val="Баланс ЦПБФ"/>
      <sheetName val="План для Энкоста"/>
      <sheetName val="Фанпол от переобреза"/>
      <sheetName val="Упаковка ЦПКФ"/>
      <sheetName val="Упаковка БФ"/>
      <sheetName val="Заказы на круги"/>
    </sheetNames>
    <sheetDataSet>
      <sheetData sheetId="0" refreshError="1"/>
      <sheetData sheetId="1" refreshError="1">
        <row r="11">
          <cell r="K11">
            <v>11694.766015454547</v>
          </cell>
        </row>
        <row r="12">
          <cell r="L12">
            <v>1994.7567490909087</v>
          </cell>
        </row>
        <row r="18">
          <cell r="E18">
            <v>54.3</v>
          </cell>
          <cell r="L18">
            <v>585.55145454545448</v>
          </cell>
        </row>
        <row r="19">
          <cell r="E19">
            <v>59</v>
          </cell>
          <cell r="L19">
            <v>630.76363636363635</v>
          </cell>
        </row>
        <row r="22">
          <cell r="L22">
            <v>1216.3150909090909</v>
          </cell>
        </row>
        <row r="23">
          <cell r="L23">
            <v>6626.3013454545462</v>
          </cell>
        </row>
        <row r="24">
          <cell r="L24">
            <v>312.06847272727276</v>
          </cell>
        </row>
        <row r="44">
          <cell r="F44">
            <v>5640</v>
          </cell>
          <cell r="AN44">
            <v>65557.309090909097</v>
          </cell>
        </row>
        <row r="53">
          <cell r="F53">
            <v>700</v>
          </cell>
          <cell r="AN53">
            <v>38631.515151515152</v>
          </cell>
        </row>
        <row r="54">
          <cell r="F54">
            <v>700</v>
          </cell>
          <cell r="AN54">
            <v>38631.515151515152</v>
          </cell>
        </row>
        <row r="55">
          <cell r="F55">
            <v>700</v>
          </cell>
          <cell r="AN55">
            <v>19061.21212121212</v>
          </cell>
        </row>
        <row r="56">
          <cell r="AN56">
            <v>50602.775757575757</v>
          </cell>
        </row>
        <row r="57">
          <cell r="AN57">
            <v>50938.412121212124</v>
          </cell>
        </row>
        <row r="58">
          <cell r="AN58">
            <v>50602.775757575757</v>
          </cell>
        </row>
        <row r="61">
          <cell r="AN61">
            <v>199442.42424242425</v>
          </cell>
        </row>
        <row r="62">
          <cell r="F62">
            <v>1700</v>
          </cell>
          <cell r="AN62">
            <v>80892.181818181823</v>
          </cell>
        </row>
        <row r="63">
          <cell r="F63">
            <v>2600</v>
          </cell>
          <cell r="AN63">
            <v>125643.0303030303</v>
          </cell>
        </row>
        <row r="64">
          <cell r="AN64">
            <v>199442.42424242425</v>
          </cell>
        </row>
        <row r="71">
          <cell r="E71">
            <v>26</v>
          </cell>
        </row>
        <row r="72">
          <cell r="E72">
            <v>27</v>
          </cell>
        </row>
        <row r="74">
          <cell r="E74">
            <v>21</v>
          </cell>
        </row>
        <row r="75">
          <cell r="E75">
            <v>21</v>
          </cell>
        </row>
        <row r="77">
          <cell r="E77">
            <v>75</v>
          </cell>
        </row>
        <row r="86">
          <cell r="E86">
            <v>0</v>
          </cell>
        </row>
        <row r="89">
          <cell r="E89">
            <v>107.28076053746467</v>
          </cell>
          <cell r="L89">
            <v>5724.4363636363651</v>
          </cell>
        </row>
        <row r="90">
          <cell r="E90">
            <v>111.90340909090909</v>
          </cell>
          <cell r="K90">
            <v>895.22727272727275</v>
          </cell>
        </row>
        <row r="93">
          <cell r="E93">
            <v>11.803790282739227</v>
          </cell>
          <cell r="L93">
            <v>564.73625000000004</v>
          </cell>
        </row>
        <row r="94">
          <cell r="E94">
            <v>15.69454845178614</v>
          </cell>
          <cell r="K94">
            <v>839.54420000000005</v>
          </cell>
        </row>
        <row r="97">
          <cell r="E97">
            <v>45</v>
          </cell>
          <cell r="L97">
            <v>2422.3636363636365</v>
          </cell>
        </row>
        <row r="99">
          <cell r="E99">
            <v>108.93922628368669</v>
          </cell>
          <cell r="K99">
            <v>871.51381026949355</v>
          </cell>
        </row>
      </sheetData>
      <sheetData sheetId="2" refreshError="1"/>
      <sheetData sheetId="3" refreshError="1">
        <row r="285">
          <cell r="AB285">
            <v>214</v>
          </cell>
        </row>
        <row r="295">
          <cell r="AC295">
            <v>3.8000672640000008</v>
          </cell>
        </row>
        <row r="528">
          <cell r="AB528">
            <v>39</v>
          </cell>
        </row>
        <row r="530">
          <cell r="AC530">
            <v>0</v>
          </cell>
        </row>
      </sheetData>
      <sheetData sheetId="4" refreshError="1"/>
      <sheetData sheetId="5" refreshError="1"/>
      <sheetData sheetId="6" refreshError="1"/>
      <sheetData sheetId="7" refreshError="1">
        <row r="32">
          <cell r="C32">
            <v>2.8000000000000001E-2</v>
          </cell>
        </row>
        <row r="33">
          <cell r="C33">
            <v>0.08</v>
          </cell>
        </row>
        <row r="34">
          <cell r="C34">
            <v>8.699999999999998E-2</v>
          </cell>
        </row>
        <row r="35">
          <cell r="C35">
            <v>5.2999999999999999E-2</v>
          </cell>
        </row>
        <row r="36">
          <cell r="C36">
            <v>0.17200000000000001</v>
          </cell>
        </row>
        <row r="92">
          <cell r="G92">
            <v>-775.64288925784695</v>
          </cell>
          <cell r="H92">
            <v>0</v>
          </cell>
        </row>
        <row r="99">
          <cell r="G99">
            <v>181.7014547533833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Ноябрь"/>
      <sheetName val="План пр-ва по единицам обор"/>
      <sheetName val="План пр-ва по сменам"/>
      <sheetName val="Спецификация пр-ва"/>
      <sheetName val="Спецификация ЦПКФ"/>
      <sheetName val="Баланс  шпона ЦПКФ"/>
      <sheetName val="Спецификация ЦПБФ"/>
      <sheetName val="Баланс ЦПБФ"/>
      <sheetName val="План для Энкоста"/>
      <sheetName val="Фанпол от переобреза"/>
      <sheetName val="Упаковка ЦПКФ"/>
      <sheetName val="Упаковка БФ"/>
      <sheetName val="Заказы на круги"/>
    </sheetNames>
    <sheetDataSet>
      <sheetData sheetId="0" refreshError="1"/>
      <sheetData sheetId="1" refreshError="1">
        <row r="11">
          <cell r="K11">
            <v>9039.6731672727274</v>
          </cell>
        </row>
        <row r="56">
          <cell r="E56">
            <v>2.7264705882352942</v>
          </cell>
          <cell r="F56">
            <v>927</v>
          </cell>
        </row>
        <row r="62">
          <cell r="E62">
            <v>6.746031746031746</v>
          </cell>
          <cell r="F62">
            <v>1700</v>
          </cell>
        </row>
        <row r="63">
          <cell r="E63">
            <v>10.317460317460318</v>
          </cell>
          <cell r="F63">
            <v>2600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Октябрь"/>
      <sheetName val="План пр-ва по единицам обор"/>
      <sheetName val="План пр-ва по сменам"/>
      <sheetName val="Спецификация пр-ва"/>
      <sheetName val="Спецификация ЦПКФ"/>
      <sheetName val="Баланс  шпона ЦПКФ"/>
      <sheetName val="Спецификация ЦПБФ"/>
      <sheetName val="Баланс ЦПБФ"/>
      <sheetName val="План для Энкоста"/>
      <sheetName val="Фанпол от переобреза"/>
      <sheetName val="Упаковка ЦПКФ"/>
      <sheetName val="Упаковка БФ"/>
      <sheetName val="Заказы на круги"/>
    </sheetNames>
    <sheetDataSet>
      <sheetData sheetId="0" refreshError="1"/>
      <sheetData sheetId="1" refreshError="1">
        <row r="11">
          <cell r="G11">
            <v>4</v>
          </cell>
        </row>
        <row r="77">
          <cell r="E77">
            <v>55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Покупной шпон"/>
      <sheetName val="Спецификацияпр-ва  (2)"/>
      <sheetName val="Лист1 (2)"/>
      <sheetName val="План эталон"/>
      <sheetName val="Баланс  шп ЦПКФ"/>
      <sheetName val="Баланс шп ЦПБФ"/>
      <sheetName val="Вместо внутр - евро"/>
      <sheetName val="Спецификация пр-ва"/>
      <sheetName val="Спецификация пр-ва1 "/>
      <sheetName val="План пр-ва по единицам обор"/>
      <sheetName val="План  пр-ва на июль"/>
      <sheetName val="Произв.ребросклейки 4"/>
      <sheetName val="План пр-ва по сменам"/>
      <sheetName val="Спецификацияпр-ва с ценой 17500"/>
      <sheetName val="Режим работы предпрятия"/>
      <sheetName val="Лист1"/>
      <sheetName val="Заказы на круги"/>
      <sheetName val="Фанпол от переобреза"/>
      <sheetName val="Упаковка БФ"/>
      <sheetName val="Упаковка ЦПКФ"/>
      <sheetName val="Заказ на круги"/>
      <sheetName val="Статистика по кругам и деталям"/>
      <sheetName val="Расчет эффект.покуп.шп"/>
      <sheetName val="План для Энкост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K11">
            <v>5480.020352272727</v>
          </cell>
        </row>
        <row r="17">
          <cell r="I17">
            <v>6</v>
          </cell>
        </row>
        <row r="29">
          <cell r="I29">
            <v>10.82</v>
          </cell>
        </row>
        <row r="71">
          <cell r="I71">
            <v>36</v>
          </cell>
        </row>
        <row r="72">
          <cell r="I72">
            <v>36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mv" id="{EE88B4CE-8DC1-F66B-1E7A-003A8DA2AD75}"/>
  <person displayName="kau" id="{C8BB46AE-5317-9C79-11C1-62C2300928F1}"/>
  <person displayName="Imv" id="{29526697-1064-DE24-7338-96C07AE7FA18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30" personId="{EE88B4CE-8DC1-F66B-1E7A-003A8DA2AD75}" id="{00C6005C-001F-4DD7-A2F4-0067000400B4}" done="0">
    <text xml:space="preserve">1 обр
</text>
  </threadedComment>
  <threadedComment ref="T3" personId="{29526697-1064-DE24-7338-96C07AE7FA18}" id="{00E20070-0029-4E71-931B-002900170011}" done="0">
    <text xml:space="preserve">1 обрезное
</text>
  </threadedComment>
  <threadedComment ref="T4" personId="{29526697-1064-DE24-7338-96C07AE7FA18}" id="{006F002E-0040-43D7-B376-0072007200ED}" done="0">
    <text xml:space="preserve">2 обрезное
</text>
  </threadedComment>
  <threadedComment ref="C114" personId="{29526697-1064-DE24-7338-96C07AE7FA18}" id="{00D300EF-007F-49F9-BD49-00C800AA00EF}" done="0">
    <text xml:space="preserve">1 обрезное
</text>
  </threadedComment>
  <threadedComment ref="R116" personId="{EE88B4CE-8DC1-F66B-1E7A-003A8DA2AD75}" id="{008E00B8-00D2-491A-BD03-0094008B0070}" done="0">
    <text xml:space="preserve">3 обр
</text>
  </threadedComment>
  <threadedComment ref="O114" personId="{EE88B4CE-8DC1-F66B-1E7A-003A8DA2AD75}" id="{00C40000-005A-429A-BE76-00E900D10097}" done="0">
    <text xml:space="preserve">1 обр
</text>
  </threadedComment>
  <threadedComment ref="P114" personId="{EE88B4CE-8DC1-F66B-1E7A-003A8DA2AD75}" id="{008F00CD-0065-4DB1-9E1A-0082006E00DA}" done="0">
    <text xml:space="preserve">1 обр
</text>
  </threadedComment>
  <threadedComment ref="C117" personId="{29526697-1064-DE24-7338-96C07AE7FA18}" id="{003800B7-004E-48C8-9AE5-00F2001C0074}" done="0">
    <text xml:space="preserve">2 обрезное
</text>
  </threadedComment>
  <threadedComment ref="S114" personId="{EE88B4CE-8DC1-F66B-1E7A-003A8DA2AD75}" id="{00460071-00C9-4B22-A43E-0004003200DD}" done="0">
    <text xml:space="preserve">3 обр
</text>
  </threadedComment>
  <threadedComment ref="Q117" personId="{EE88B4CE-8DC1-F66B-1E7A-003A8DA2AD75}" id="{0033003E-008F-4514-A317-008B00160029}" done="0">
    <text xml:space="preserve">2 обр
</text>
  </threadedComment>
  <threadedComment ref="P115" personId="{EE88B4CE-8DC1-F66B-1E7A-003A8DA2AD75}" id="{002E00E3-0043-47C4-9C6A-00B6008C0070}" done="0">
    <text xml:space="preserve">2 обр
</text>
  </threadedComment>
  <threadedComment ref="C115" personId="{29526697-1064-DE24-7338-96C07AE7FA18}" id="{006D0004-00FE-40A7-9635-00A400600023}" done="0">
    <text xml:space="preserve">2 обрезное
</text>
  </threadedComment>
  <threadedComment ref="Q115" personId="{EE88B4CE-8DC1-F66B-1E7A-003A8DA2AD75}" id="{007D005C-00AB-47C6-9CEF-00DE00E5001E}" done="0">
    <text xml:space="preserve">1 обр
</text>
  </threadedComment>
  <threadedComment ref="Q133" personId="{EE88B4CE-8DC1-F66B-1E7A-003A8DA2AD75}" id="{0099008D-0038-44D9-AE4F-003000C500B7}" done="0">
    <text xml:space="preserve">2 обр
</text>
  </threadedComment>
  <threadedComment ref="C116" personId="{29526697-1064-DE24-7338-96C07AE7FA18}" id="{001700C5-00F0-4A7C-B4F5-004F009A006A}" done="0">
    <text xml:space="preserve">1 обрезное
</text>
  </threadedComment>
  <threadedComment ref="R117" personId="{EE88B4CE-8DC1-F66B-1E7A-003A8DA2AD75}" id="{009C00CD-00E1-4EA1-AA6D-00E1002000C6}" done="0">
    <text xml:space="preserve">2 обр
</text>
  </threadedComment>
  <threadedComment ref="P130" personId="{EE88B4CE-8DC1-F66B-1E7A-003A8DA2AD75}" id="{00BF005A-0046-4321-A3E7-009B0033009B}" done="0">
    <text xml:space="preserve">1 обр
</text>
  </threadedComment>
  <threadedComment ref="Q131" personId="{EE88B4CE-8DC1-F66B-1E7A-003A8DA2AD75}" id="{00540008-0014-4581-9D4F-00F800D600FB}" done="0">
    <text xml:space="preserve">1 обр
</text>
  </threadedComment>
  <threadedComment ref="S130" personId="{EE88B4CE-8DC1-F66B-1E7A-003A8DA2AD75}" id="{00EF00A1-00E2-466B-A243-000D003100BF}" done="0">
    <text xml:space="preserve">3 обр
</text>
  </threadedComment>
  <threadedComment ref="E184" personId="{C8BB46AE-5317-9C79-11C1-62C2300928F1}" id="{00CD00AB-00EE-4AF2-A738-009100B80084}" done="0">
    <text xml:space="preserve">55+10 на 2-ых вальцах
</text>
  </threadedComment>
  <threadedComment ref="P131" personId="{EE88B4CE-8DC1-F66B-1E7A-003A8DA2AD75}" id="{005C0000-0081-45AA-B123-00C60080009D}" done="0">
    <text xml:space="preserve">2 обр
</text>
  </threadedComment>
  <threadedComment ref="R132" personId="{EE88B4CE-8DC1-F66B-1E7A-003A8DA2AD75}" id="{00EB00D5-003A-40F6-AF6E-002900AB00D2}" done="0">
    <text xml:space="preserve">3 обр
</text>
  </threadedComment>
  <threadedComment ref="R133" personId="{EE88B4CE-8DC1-F66B-1E7A-003A8DA2AD75}" id="{0075001C-00AB-4C98-B70F-00D6007A00B1}" done="0">
    <text xml:space="preserve">2 обр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8" personId="{29526697-1064-DE24-7338-96C07AE7FA18}" id="{00F1005E-00BC-4939-BDC7-00B700A200D5}" done="0">
    <text xml:space="preserve">Был станок №1
</text>
  </threadedComment>
  <threadedComment ref="G204" personId="{29526697-1064-DE24-7338-96C07AE7FA18}" id="{00620027-0050-4F49-B6CE-0060000E002D}" done="0">
    <text xml:space="preserve">чистка
</text>
  </threadedComment>
  <threadedComment ref="G52" personId="{29526697-1064-DE24-7338-96C07AE7FA18}" id="{004F0080-005D-4940-A94E-006800C50016}" done="0">
    <text xml:space="preserve">чистка
</text>
  </threadedComment>
  <threadedComment ref="G201" personId="{29526697-1064-DE24-7338-96C07AE7FA18}" id="{008A0061-0072-4AFB-812B-00C8009C00B8}" done="0">
    <text xml:space="preserve">чистка
</text>
  </threadedComment>
  <threadedComment ref="G53" personId="{29526697-1064-DE24-7338-96C07AE7FA18}" id="{00480005-0096-4740-9B0A-007B00850019}" done="0">
    <text xml:space="preserve">чистка
</text>
  </threadedComment>
  <threadedComment ref="G55" personId="{29526697-1064-DE24-7338-96C07AE7FA18}" id="{00B900F0-003B-4440-A168-008E00D0000F}" done="0">
    <text xml:space="preserve">чистка
</text>
  </threadedComment>
  <threadedComment ref="G213" personId="{29526697-1064-DE24-7338-96C07AE7FA18}" id="{007100F5-007B-4CF8-9AD5-006300A3008F}" done="0">
    <text xml:space="preserve">чистка
</text>
  </threadedComment>
  <threadedComment ref="G54" personId="{29526697-1064-DE24-7338-96C07AE7FA18}" id="{001200AA-005F-4D97-A26B-009700210008}" done="0">
    <text xml:space="preserve">чистка
</text>
  </threadedComment>
  <threadedComment ref="G203" personId="{29526697-1064-DE24-7338-96C07AE7FA18}" id="{00B0001B-00BA-4B3B-BE8F-009500DD0079}" done="0">
    <text xml:space="preserve">чистка
</text>
  </threadedComment>
  <threadedComment ref="G212" personId="{29526697-1064-DE24-7338-96C07AE7FA18}" id="{00DF00AD-0070-4201-B229-00DA00940079}" done="0">
    <text xml:space="preserve">чистка
</text>
  </threadedComment>
  <threadedComment ref="G221" personId="{29526697-1064-DE24-7338-96C07AE7FA18}" id="{00180017-0055-4A4E-84AF-00F9002F007A}" done="0">
    <text xml:space="preserve">чистка
</text>
  </threadedComment>
  <threadedComment ref="G220" personId="{29526697-1064-DE24-7338-96C07AE7FA18}" id="{002B00C8-0076-4C77-AC01-0006004E0075}" done="0">
    <text xml:space="preserve">чистка
</text>
  </threadedComment>
  <threadedComment ref="G229" personId="{29526697-1064-DE24-7338-96C07AE7FA18}" id="{005A0025-005E-4E48-AC7F-0030000800DE}" done="0">
    <text xml:space="preserve">чистка
</text>
  </threadedComment>
  <threadedComment ref="G228" personId="{29526697-1064-DE24-7338-96C07AE7FA18}" id="{00910096-006C-40A3-8BB7-007D002400C9}" done="0">
    <text xml:space="preserve">чистка
</text>
  </threadedComment>
</ThreadedComments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_rels/sheet3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2.vml"/><Relationship  Id="rId2" Type="http://schemas.openxmlformats.org/officeDocument/2006/relationships/comments" Target="../comments2.xml"/><Relationship  Id="rId1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activePane="bottomRight" state="frozen" topLeftCell="B3" xSplit="1" ySplit="2"/>
      <selection activeCell="G20" activeCellId="0" sqref="G20"/>
    </sheetView>
  </sheetViews>
  <sheetFormatPr defaultRowHeight="15"/>
  <cols>
    <col customWidth="1" min="1" max="1" style="1" width="10.28515625"/>
    <col customWidth="1" min="2" max="2" width="10.85546875"/>
    <col customWidth="1" min="3" max="3" width="11.140625"/>
    <col customWidth="1" min="4" max="4" width="12"/>
    <col customWidth="1" min="5" max="5" width="11.85546875"/>
    <col customWidth="1" min="6" max="6" width="7.85546875"/>
  </cols>
  <sheetData>
    <row r="1" ht="15.75"/>
    <row r="2" ht="21" customHeight="1">
      <c r="B2" s="2" t="s">
        <v>0</v>
      </c>
      <c r="C2" s="3" t="s">
        <v>1</v>
      </c>
      <c r="D2" s="4" t="s">
        <v>2</v>
      </c>
      <c r="E2" s="5" t="s">
        <v>3</v>
      </c>
    </row>
    <row r="3">
      <c r="A3" s="6">
        <v>44531</v>
      </c>
      <c r="B3" s="7">
        <v>2</v>
      </c>
      <c r="C3" s="8">
        <v>1</v>
      </c>
      <c r="D3" s="8"/>
      <c r="E3" s="9"/>
      <c r="F3" s="1"/>
    </row>
    <row r="4">
      <c r="A4" s="6">
        <v>44532</v>
      </c>
      <c r="B4" s="10"/>
      <c r="C4" s="11">
        <v>2</v>
      </c>
      <c r="D4" s="11"/>
      <c r="E4" s="12">
        <v>1</v>
      </c>
      <c r="F4" s="1"/>
    </row>
    <row r="5">
      <c r="A5" s="6">
        <v>44533</v>
      </c>
      <c r="B5" s="10"/>
      <c r="C5" s="11"/>
      <c r="D5" s="11">
        <v>1</v>
      </c>
      <c r="E5" s="12">
        <v>2</v>
      </c>
      <c r="F5" s="1"/>
    </row>
    <row r="6">
      <c r="A6" s="6">
        <v>44534</v>
      </c>
      <c r="B6" s="13">
        <v>1</v>
      </c>
      <c r="C6" s="14"/>
      <c r="D6" s="14">
        <v>2</v>
      </c>
      <c r="E6" s="15"/>
      <c r="F6" s="1"/>
    </row>
    <row r="7">
      <c r="A7" s="6">
        <v>44535</v>
      </c>
      <c r="B7" s="13">
        <v>2</v>
      </c>
      <c r="C7" s="14">
        <v>1</v>
      </c>
      <c r="D7" s="14"/>
      <c r="E7" s="15"/>
      <c r="F7" s="1"/>
    </row>
    <row r="8">
      <c r="A8" s="6">
        <v>44536</v>
      </c>
      <c r="B8" s="10"/>
      <c r="C8" s="11">
        <v>2</v>
      </c>
      <c r="D8" s="11"/>
      <c r="E8" s="12">
        <v>1</v>
      </c>
      <c r="F8" s="1"/>
    </row>
    <row r="9">
      <c r="A9" s="6">
        <v>44537</v>
      </c>
      <c r="B9" s="10"/>
      <c r="C9" s="11"/>
      <c r="D9" s="11">
        <v>1</v>
      </c>
      <c r="E9" s="12">
        <v>2</v>
      </c>
      <c r="F9" s="1"/>
    </row>
    <row r="10">
      <c r="A10" s="6">
        <v>44538</v>
      </c>
      <c r="B10" s="10">
        <v>1</v>
      </c>
      <c r="C10" s="11"/>
      <c r="D10" s="11">
        <v>2</v>
      </c>
      <c r="E10" s="12"/>
      <c r="F10" s="1"/>
    </row>
    <row r="11">
      <c r="A11" s="6">
        <v>44539</v>
      </c>
      <c r="B11" s="10">
        <v>2</v>
      </c>
      <c r="C11" s="11">
        <v>1</v>
      </c>
      <c r="D11" s="11"/>
      <c r="E11" s="12"/>
      <c r="F11" s="1"/>
    </row>
    <row r="12">
      <c r="A12" s="6">
        <v>44540</v>
      </c>
      <c r="B12" s="10"/>
      <c r="C12" s="11">
        <v>2</v>
      </c>
      <c r="D12" s="11"/>
      <c r="E12" s="12">
        <v>1</v>
      </c>
      <c r="F12" s="1"/>
    </row>
    <row r="13">
      <c r="A13" s="6">
        <v>44541</v>
      </c>
      <c r="B13" s="10"/>
      <c r="C13" s="11"/>
      <c r="D13" s="11">
        <v>1</v>
      </c>
      <c r="E13" s="12">
        <v>2</v>
      </c>
      <c r="F13" s="1"/>
    </row>
    <row r="14">
      <c r="A14" s="6">
        <v>44542</v>
      </c>
      <c r="B14" s="10">
        <v>1</v>
      </c>
      <c r="C14" s="11"/>
      <c r="D14" s="11">
        <v>2</v>
      </c>
      <c r="E14" s="12"/>
      <c r="F14" s="1"/>
    </row>
    <row r="15">
      <c r="A15" s="6">
        <v>44543</v>
      </c>
      <c r="B15" s="10">
        <v>2</v>
      </c>
      <c r="C15" s="11">
        <v>1</v>
      </c>
      <c r="D15" s="11"/>
      <c r="E15" s="12"/>
      <c r="F15" s="1"/>
    </row>
    <row r="16">
      <c r="A16" s="6">
        <v>44544</v>
      </c>
      <c r="B16" s="10"/>
      <c r="C16" s="11">
        <v>2</v>
      </c>
      <c r="D16" s="11"/>
      <c r="E16" s="12">
        <v>1</v>
      </c>
      <c r="F16" s="1"/>
    </row>
    <row r="17">
      <c r="A17" s="6">
        <v>44545</v>
      </c>
      <c r="B17" s="10"/>
      <c r="C17" s="11"/>
      <c r="D17" s="11">
        <v>1</v>
      </c>
      <c r="E17" s="12">
        <v>2</v>
      </c>
      <c r="F17" s="1"/>
    </row>
    <row r="18">
      <c r="A18" s="6">
        <v>44546</v>
      </c>
      <c r="B18" s="10">
        <v>1</v>
      </c>
      <c r="C18" s="11"/>
      <c r="D18" s="11">
        <v>2</v>
      </c>
      <c r="E18" s="12"/>
      <c r="F18" s="1"/>
    </row>
    <row r="19">
      <c r="A19" s="6">
        <v>44547</v>
      </c>
      <c r="B19" s="10">
        <v>2</v>
      </c>
      <c r="C19" s="11">
        <v>1</v>
      </c>
      <c r="D19" s="11"/>
      <c r="E19" s="12"/>
      <c r="F19" s="1"/>
    </row>
    <row r="20">
      <c r="A20" s="6">
        <v>44548</v>
      </c>
      <c r="B20" s="10"/>
      <c r="C20" s="11">
        <v>2</v>
      </c>
      <c r="D20" s="11"/>
      <c r="E20" s="12">
        <v>1</v>
      </c>
      <c r="F20" s="1"/>
    </row>
    <row r="21">
      <c r="A21" s="6">
        <v>44549</v>
      </c>
      <c r="B21" s="10"/>
      <c r="C21" s="11"/>
      <c r="D21" s="11">
        <v>1</v>
      </c>
      <c r="E21" s="12">
        <v>2</v>
      </c>
      <c r="F21" s="1"/>
    </row>
    <row r="22">
      <c r="A22" s="6">
        <v>44550</v>
      </c>
      <c r="B22" s="10">
        <v>1</v>
      </c>
      <c r="C22" s="11"/>
      <c r="D22" s="11">
        <v>2</v>
      </c>
      <c r="E22" s="12"/>
      <c r="F22" s="1"/>
    </row>
    <row r="23">
      <c r="A23" s="6">
        <v>44551</v>
      </c>
      <c r="B23" s="10">
        <v>2</v>
      </c>
      <c r="C23" s="11">
        <v>1</v>
      </c>
      <c r="D23" s="11"/>
      <c r="E23" s="12"/>
      <c r="F23" s="1"/>
    </row>
    <row r="24">
      <c r="A24" s="6">
        <v>44552</v>
      </c>
      <c r="B24" s="10"/>
      <c r="C24" s="11">
        <v>2</v>
      </c>
      <c r="D24" s="11"/>
      <c r="E24" s="12">
        <v>1</v>
      </c>
      <c r="F24" s="1"/>
    </row>
    <row r="25">
      <c r="A25" s="6">
        <v>44553</v>
      </c>
      <c r="B25" s="10"/>
      <c r="C25" s="11"/>
      <c r="D25" s="11">
        <v>1</v>
      </c>
      <c r="E25" s="12">
        <v>2</v>
      </c>
      <c r="F25" s="1"/>
    </row>
    <row r="26">
      <c r="A26" s="6">
        <v>44554</v>
      </c>
      <c r="B26" s="10">
        <v>1</v>
      </c>
      <c r="C26" s="11"/>
      <c r="D26" s="11">
        <v>2</v>
      </c>
      <c r="E26" s="12"/>
      <c r="F26" s="1"/>
    </row>
    <row r="27">
      <c r="A27" s="6">
        <v>44555</v>
      </c>
      <c r="B27" s="10">
        <v>2</v>
      </c>
      <c r="C27" s="11">
        <v>1</v>
      </c>
      <c r="D27" s="11"/>
      <c r="E27" s="12"/>
      <c r="F27" s="1"/>
    </row>
    <row r="28">
      <c r="A28" s="6">
        <v>44556</v>
      </c>
      <c r="B28" s="10"/>
      <c r="C28" s="11">
        <v>2</v>
      </c>
      <c r="D28" s="11"/>
      <c r="E28" s="12">
        <v>1</v>
      </c>
      <c r="F28" s="1"/>
    </row>
    <row r="29">
      <c r="A29" s="6">
        <v>44557</v>
      </c>
      <c r="B29" s="10"/>
      <c r="C29" s="11"/>
      <c r="D29" s="11">
        <v>1</v>
      </c>
      <c r="E29" s="12">
        <v>2</v>
      </c>
      <c r="F29" s="1"/>
    </row>
    <row r="30">
      <c r="A30" s="6">
        <v>44558</v>
      </c>
      <c r="B30" s="10">
        <v>1</v>
      </c>
      <c r="C30" s="11"/>
      <c r="D30" s="11">
        <v>2</v>
      </c>
      <c r="E30" s="12"/>
      <c r="F30" s="1"/>
    </row>
    <row r="31">
      <c r="A31" s="6">
        <v>44559</v>
      </c>
      <c r="B31" s="10">
        <v>2</v>
      </c>
      <c r="C31" s="11">
        <v>1</v>
      </c>
      <c r="D31" s="11"/>
      <c r="E31" s="12"/>
      <c r="F31" s="1"/>
    </row>
    <row r="32" ht="15.75">
      <c r="A32" s="6">
        <v>44560</v>
      </c>
      <c r="B32" s="10"/>
      <c r="C32" s="11">
        <v>2</v>
      </c>
      <c r="D32" s="11"/>
      <c r="E32" s="12">
        <v>1</v>
      </c>
      <c r="F32" s="1"/>
    </row>
    <row r="33" ht="15.75" hidden="1">
      <c r="A33" s="6">
        <v>44561</v>
      </c>
      <c r="B33" s="16"/>
      <c r="C33" s="17"/>
      <c r="D33" s="17"/>
      <c r="E33" s="18"/>
      <c r="F33" s="1"/>
    </row>
    <row r="34" ht="15.75">
      <c r="A34" s="19"/>
      <c r="B34" s="20">
        <f>COUNTA(B3:B33)</f>
        <v>15</v>
      </c>
      <c r="C34" s="21">
        <f>COUNTA(C3:C33)</f>
        <v>16</v>
      </c>
      <c r="D34" s="21">
        <f t="shared" ref="D34:E34" si="0">COUNTA(D3:D33)</f>
        <v>14</v>
      </c>
      <c r="E34" s="22">
        <f t="shared" si="0"/>
        <v>15</v>
      </c>
      <c r="F34" s="23">
        <f>SUM(B34:E34)</f>
        <v>60</v>
      </c>
    </row>
    <row r="35">
      <c r="B35" s="1"/>
      <c r="C35" s="1"/>
      <c r="D35" s="1"/>
      <c r="E35" s="1"/>
      <c r="F35" s="1"/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Zeros="0" workbookViewId="0" zoomScale="85">
      <pane activePane="bottomRight" state="frozen" topLeftCell="G7" xSplit="6" ySplit="6"/>
      <selection activeCell="N38" activeCellId="0" sqref="N38"/>
    </sheetView>
  </sheetViews>
  <sheetFormatPr defaultColWidth="8.85546875" defaultRowHeight="12.75" outlineLevelCol="2" outlineLevelRow="2"/>
  <cols>
    <col customWidth="1" min="1" max="1" style="24" width="28.5703125"/>
    <col customWidth="1" min="2" max="2" style="24" width="12"/>
    <col customWidth="1" min="3" max="3" outlineLevel="1" style="25" width="11.28515625"/>
    <col customWidth="1" min="4" max="4" style="25" width="9.42578125"/>
    <col customWidth="1" min="5" max="5" outlineLevel="1" style="26" width="8.28515625"/>
    <col customWidth="1" min="6" max="6" outlineLevel="1" style="25" width="5.7109375"/>
    <col customWidth="1" min="7" max="7" outlineLevel="2" style="25" width="5.5703125"/>
    <col customWidth="1" min="8" max="8" outlineLevel="2" style="24" width="7.140625"/>
    <col customWidth="1" min="9" max="9" outlineLevel="2" style="24" width="8.28515625"/>
    <col customWidth="1" min="10" max="10" outlineLevel="2" style="24" width="6.42578125"/>
    <col customWidth="1" min="11" max="31" outlineLevel="1" style="24" width="6.85546875"/>
    <col customWidth="1" min="32" max="41" outlineLevel="1" style="24" width="6.42578125"/>
    <col customWidth="1" min="42" max="42" style="24" width="10.28515625"/>
    <col min="43" max="16384" style="24" width="8.85546875"/>
  </cols>
  <sheetData>
    <row r="1" hidden="1"/>
    <row r="2" hidden="1"/>
    <row r="3" ht="25.899999999999999" customHeight="1">
      <c r="A3" s="27" t="s">
        <v>4</v>
      </c>
      <c r="B3" s="27"/>
      <c r="C3" s="27"/>
      <c r="D3" s="27"/>
      <c r="L3" s="28" t="s">
        <v>5</v>
      </c>
      <c r="M3" s="29" t="s">
        <v>5</v>
      </c>
      <c r="N3" s="30" t="s">
        <v>5</v>
      </c>
      <c r="O3" s="31" t="s">
        <v>5</v>
      </c>
      <c r="P3" s="25"/>
      <c r="Q3" s="32" t="s">
        <v>6</v>
      </c>
      <c r="R3" s="25"/>
      <c r="T3" s="33"/>
      <c r="U3" s="34" t="s">
        <v>7</v>
      </c>
      <c r="V3" s="34"/>
      <c r="X3" s="35">
        <f>'[1]План пр-ва по единицам обор'!$K$15</f>
        <v>2742.3318181818181</v>
      </c>
      <c r="AK3" s="36">
        <f>'[2]План пр-ва по единицам обор'!K15</f>
        <v>2724.3818181818183</v>
      </c>
      <c r="AO3" s="35"/>
    </row>
    <row r="4">
      <c r="D4" s="37"/>
      <c r="E4" s="37"/>
      <c r="F4" s="38"/>
      <c r="G4" s="39"/>
      <c r="H4" s="40"/>
      <c r="I4" s="40"/>
      <c r="J4" s="40"/>
      <c r="L4" s="40"/>
      <c r="M4" s="40"/>
      <c r="N4" s="40"/>
      <c r="O4" s="40"/>
      <c r="P4" s="40"/>
      <c r="Q4" s="40"/>
      <c r="R4" s="40"/>
      <c r="S4" s="40"/>
      <c r="T4" s="41"/>
      <c r="U4" s="34" t="s">
        <v>8</v>
      </c>
      <c r="V4" s="34"/>
      <c r="W4" s="40"/>
      <c r="X4" s="42">
        <f>'[1]План пр-ва по единицам обор'!$K$16</f>
        <v>225.39393939393938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6">
        <f>'[2]План пр-ва по единицам обор'!K16</f>
        <v>14.581818181818182</v>
      </c>
      <c r="AL4" s="40"/>
      <c r="AM4" s="40"/>
      <c r="AN4" s="40"/>
      <c r="AO4" s="35"/>
      <c r="AP4" s="40"/>
    </row>
    <row r="5" ht="19.5">
      <c r="A5" s="43" t="s">
        <v>9</v>
      </c>
      <c r="B5" s="43"/>
      <c r="D5" s="44">
        <v>1.4990000000000001</v>
      </c>
      <c r="K5" s="45">
        <f>K23/1.099-K37</f>
        <v>0</v>
      </c>
      <c r="L5" s="45">
        <f>L23/1.099-L37</f>
        <v>0</v>
      </c>
      <c r="M5" s="45">
        <f>M23/1.099-M37</f>
        <v>0</v>
      </c>
      <c r="N5" s="45">
        <f t="shared" ref="N5:AN5" si="1">N23/1.099-N37</f>
        <v>0</v>
      </c>
      <c r="O5" s="45">
        <f>O23/1.099-O37</f>
        <v>0</v>
      </c>
      <c r="P5" s="45">
        <f t="shared" si="1"/>
        <v>75.172090330052129</v>
      </c>
      <c r="Q5" s="45">
        <f t="shared" si="1"/>
        <v>75.172090330052129</v>
      </c>
      <c r="R5" s="45">
        <f t="shared" si="1"/>
        <v>0</v>
      </c>
      <c r="S5" s="45">
        <f t="shared" si="1"/>
        <v>0</v>
      </c>
      <c r="T5" s="45">
        <f t="shared" si="1"/>
        <v>122.61146496815287</v>
      </c>
      <c r="U5" s="45">
        <f t="shared" si="1"/>
        <v>122.61146496815287</v>
      </c>
      <c r="V5" s="45">
        <f t="shared" si="1"/>
        <v>0</v>
      </c>
      <c r="W5" s="45">
        <f t="shared" si="1"/>
        <v>0</v>
      </c>
      <c r="X5" s="45">
        <f>X23/1.099-X37</f>
        <v>110.25312267350486</v>
      </c>
      <c r="Y5" s="45">
        <f t="shared" si="1"/>
        <v>110.25312267350486</v>
      </c>
      <c r="Z5" s="45">
        <f t="shared" si="1"/>
        <v>0</v>
      </c>
      <c r="AA5" s="45">
        <f t="shared" si="1"/>
        <v>0</v>
      </c>
      <c r="AB5" s="45">
        <f t="shared" si="1"/>
        <v>110.25312267350486</v>
      </c>
      <c r="AC5" s="45">
        <f t="shared" si="1"/>
        <v>110.25312267350486</v>
      </c>
      <c r="AD5" s="45">
        <f t="shared" si="1"/>
        <v>0</v>
      </c>
      <c r="AE5" s="45">
        <f t="shared" si="1"/>
        <v>0</v>
      </c>
      <c r="AF5" s="45">
        <f t="shared" si="1"/>
        <v>110.25312267350486</v>
      </c>
      <c r="AG5" s="45">
        <f t="shared" si="1"/>
        <v>110.25312267350486</v>
      </c>
      <c r="AH5" s="45">
        <f t="shared" si="1"/>
        <v>0</v>
      </c>
      <c r="AI5" s="45">
        <f t="shared" si="1"/>
        <v>0</v>
      </c>
      <c r="AJ5" s="45">
        <f t="shared" si="1"/>
        <v>110.25312267350486</v>
      </c>
      <c r="AK5" s="45">
        <f t="shared" si="1"/>
        <v>110.25312267350486</v>
      </c>
      <c r="AL5" s="45">
        <f t="shared" si="1"/>
        <v>0</v>
      </c>
      <c r="AM5" s="45">
        <f t="shared" si="1"/>
        <v>0</v>
      </c>
      <c r="AN5" s="45">
        <f t="shared" si="1"/>
        <v>110.25312267350486</v>
      </c>
      <c r="AO5" s="40"/>
    </row>
    <row r="6" s="46" customFormat="1" ht="33.600000000000001" customHeight="1" outlineLevel="1">
      <c r="A6" s="47" t="s">
        <v>10</v>
      </c>
      <c r="B6" s="48"/>
      <c r="C6" s="49" t="s">
        <v>11</v>
      </c>
      <c r="D6" s="50" t="s">
        <v>12</v>
      </c>
      <c r="E6" s="51" t="s">
        <v>13</v>
      </c>
      <c r="F6" s="52" t="s">
        <v>14</v>
      </c>
      <c r="G6" s="53" t="s">
        <v>15</v>
      </c>
      <c r="H6" s="54" t="s">
        <v>16</v>
      </c>
      <c r="I6" s="54" t="s">
        <v>17</v>
      </c>
      <c r="J6" s="55" t="s">
        <v>18</v>
      </c>
      <c r="K6" s="56">
        <v>44562</v>
      </c>
      <c r="L6" s="56">
        <v>44563</v>
      </c>
      <c r="M6" s="56">
        <v>44564</v>
      </c>
      <c r="N6" s="56">
        <v>44565</v>
      </c>
      <c r="O6" s="56">
        <v>44566</v>
      </c>
      <c r="P6" s="57">
        <v>44567</v>
      </c>
      <c r="Q6" s="56">
        <v>44568</v>
      </c>
      <c r="R6" s="56">
        <v>44569</v>
      </c>
      <c r="S6" s="56">
        <v>44570</v>
      </c>
      <c r="T6" s="56">
        <v>44571</v>
      </c>
      <c r="U6" s="56">
        <v>44572</v>
      </c>
      <c r="V6" s="56">
        <v>44573</v>
      </c>
      <c r="W6" s="58">
        <v>44574</v>
      </c>
      <c r="X6" s="56">
        <v>44575</v>
      </c>
      <c r="Y6" s="56">
        <v>44576</v>
      </c>
      <c r="Z6" s="56">
        <v>44577</v>
      </c>
      <c r="AA6" s="56">
        <v>44578</v>
      </c>
      <c r="AB6" s="56">
        <v>44579</v>
      </c>
      <c r="AC6" s="56">
        <v>44580</v>
      </c>
      <c r="AD6" s="59">
        <v>44581</v>
      </c>
      <c r="AE6" s="56">
        <v>44582</v>
      </c>
      <c r="AF6" s="56">
        <v>44583</v>
      </c>
      <c r="AG6" s="56">
        <v>44584</v>
      </c>
      <c r="AH6" s="56">
        <v>44585</v>
      </c>
      <c r="AI6" s="56">
        <v>44586</v>
      </c>
      <c r="AJ6" s="56">
        <v>44587</v>
      </c>
      <c r="AK6" s="60">
        <v>44588</v>
      </c>
      <c r="AL6" s="56">
        <v>44589</v>
      </c>
      <c r="AM6" s="56">
        <v>44590</v>
      </c>
      <c r="AN6" s="56">
        <v>44591</v>
      </c>
      <c r="AO6" s="56">
        <v>44592</v>
      </c>
      <c r="AP6" s="61"/>
    </row>
    <row r="7" outlineLevel="2">
      <c r="A7" s="62" t="s">
        <v>10</v>
      </c>
      <c r="B7" s="63" t="s">
        <v>0</v>
      </c>
      <c r="C7" s="64">
        <f t="shared" ref="C7:C9" si="2">$C$11/$F$11*F7</f>
        <v>1240.0969696969696</v>
      </c>
      <c r="D7" s="65">
        <f t="shared" ref="D7:D9" si="3">SUM(K7:AO7)</f>
        <v>1223.7598484848484</v>
      </c>
      <c r="E7" s="66">
        <f>'[3]План пр-ва по единицам обор'!$AS$19</f>
        <v>100</v>
      </c>
      <c r="F7" s="25">
        <f t="shared" ref="F7:F9" si="4">COUNTA(K7:AO7)</f>
        <v>14</v>
      </c>
      <c r="G7" s="67">
        <v>8</v>
      </c>
      <c r="H7" s="68">
        <f t="shared" ref="H7:H10" si="5">48.7/60</f>
        <v>0.81166666666666676</v>
      </c>
      <c r="I7" s="69">
        <f t="shared" ref="I7:I17" si="6">(15+3.4)/60</f>
        <v>0.30666666666666664</v>
      </c>
      <c r="J7" s="70">
        <f t="shared" ref="J7:J10" si="7">SUM(G7:I7)</f>
        <v>9.1183333333333341</v>
      </c>
      <c r="K7" s="71"/>
      <c r="L7" s="72"/>
      <c r="M7" s="71"/>
      <c r="N7" s="73"/>
      <c r="O7" s="74">
        <f>115/11*(11-($H7+$I7))</f>
        <v>103.30833333333334</v>
      </c>
      <c r="P7" s="74">
        <f t="shared" ref="P7:P8" si="8">115/11*(11-($H7+$I7))</f>
        <v>103.30833333333334</v>
      </c>
      <c r="Q7" s="73"/>
      <c r="R7" s="73"/>
      <c r="S7" s="74">
        <f>115/11*(11-($H7+$I7))</f>
        <v>103.30833333333334</v>
      </c>
      <c r="T7" s="74">
        <f t="shared" ref="T7:T8" si="9">90/11*(11-($H7+$I7))</f>
        <v>80.849999999999994</v>
      </c>
      <c r="U7" s="73"/>
      <c r="V7" s="73"/>
      <c r="W7" s="75">
        <f>$E7/11*(11-($G7+$I7))</f>
        <v>24.484848484848488</v>
      </c>
      <c r="X7" s="74">
        <f t="shared" ref="X7:X8" si="10">$E7/11*(11-($H7+$I7))</f>
        <v>89.833333333333329</v>
      </c>
      <c r="Y7" s="73"/>
      <c r="Z7" s="73"/>
      <c r="AA7" s="74">
        <f>$E7/11*(11-($H7+$I7))</f>
        <v>89.833333333333329</v>
      </c>
      <c r="AB7" s="74">
        <f t="shared" ref="AB7:AB8" si="11">$E7/11*(11-($H7+$I7))</f>
        <v>89.833333333333329</v>
      </c>
      <c r="AC7" s="73"/>
      <c r="AD7" s="73"/>
      <c r="AE7" s="74">
        <f>$E7/11*(11-($H7+$I7))</f>
        <v>89.833333333333329</v>
      </c>
      <c r="AF7" s="74">
        <f t="shared" ref="AF7:AF8" si="12">$E7/11*(11-($H7+$I7))</f>
        <v>89.833333333333329</v>
      </c>
      <c r="AG7" s="73"/>
      <c r="AH7" s="73"/>
      <c r="AI7" s="74">
        <f>$E7/11*(11-($H7+$I7))</f>
        <v>89.833333333333329</v>
      </c>
      <c r="AJ7" s="74">
        <f t="shared" ref="AJ7:AJ8" si="13">$E7/11*(11-($H7+$I7))</f>
        <v>89.833333333333329</v>
      </c>
      <c r="AK7" s="73"/>
      <c r="AL7" s="73"/>
      <c r="AM7" s="74">
        <f>$E7/11*(11-($H7+$I7))</f>
        <v>89.833333333333329</v>
      </c>
      <c r="AN7" s="74">
        <f t="shared" ref="AN7:AN8" si="14">$E7/11*(11-($H7+$I7))</f>
        <v>89.833333333333329</v>
      </c>
      <c r="AO7" s="73"/>
      <c r="AP7" s="61"/>
    </row>
    <row r="8" outlineLevel="2">
      <c r="A8" s="76"/>
      <c r="B8" s="77" t="s">
        <v>1</v>
      </c>
      <c r="C8" s="78">
        <f t="shared" si="2"/>
        <v>1240.0969696969696</v>
      </c>
      <c r="D8" s="79">
        <f t="shared" si="3"/>
        <v>1266.6500000000001</v>
      </c>
      <c r="E8" s="66">
        <f t="shared" ref="E8:E10" si="15">E7</f>
        <v>100</v>
      </c>
      <c r="F8" s="25">
        <f t="shared" si="4"/>
        <v>14</v>
      </c>
      <c r="G8" s="80"/>
      <c r="H8" s="81">
        <f t="shared" si="5"/>
        <v>0.81166666666666676</v>
      </c>
      <c r="I8" s="82">
        <f t="shared" si="6"/>
        <v>0.30666666666666664</v>
      </c>
      <c r="J8" s="83">
        <f t="shared" si="7"/>
        <v>1.1183333333333334</v>
      </c>
      <c r="K8" s="72"/>
      <c r="L8" s="72"/>
      <c r="M8" s="72"/>
      <c r="N8" s="84"/>
      <c r="O8" s="73"/>
      <c r="P8" s="74">
        <f t="shared" si="8"/>
        <v>103.30833333333334</v>
      </c>
      <c r="Q8" s="74">
        <f>115/11*(11-($H8+$I8))</f>
        <v>103.30833333333334</v>
      </c>
      <c r="R8" s="84"/>
      <c r="S8" s="73"/>
      <c r="T8" s="74">
        <f t="shared" si="9"/>
        <v>80.849999999999994</v>
      </c>
      <c r="U8" s="74">
        <f>90/11*(11-($H8+$I8))</f>
        <v>80.849999999999994</v>
      </c>
      <c r="V8" s="84"/>
      <c r="W8" s="73"/>
      <c r="X8" s="74">
        <f t="shared" si="10"/>
        <v>89.833333333333329</v>
      </c>
      <c r="Y8" s="74">
        <f>$E8/11*(11-($H8+$I8))</f>
        <v>89.833333333333329</v>
      </c>
      <c r="Z8" s="84"/>
      <c r="AA8" s="73"/>
      <c r="AB8" s="74">
        <f t="shared" si="11"/>
        <v>89.833333333333329</v>
      </c>
      <c r="AC8" s="74">
        <f>$E8/11*(11-($H8+$I8))</f>
        <v>89.833333333333329</v>
      </c>
      <c r="AD8" s="84"/>
      <c r="AE8" s="73"/>
      <c r="AF8" s="74">
        <f t="shared" si="12"/>
        <v>89.833333333333329</v>
      </c>
      <c r="AG8" s="74">
        <f>$E8/11*(11-($H8+$I8))</f>
        <v>89.833333333333329</v>
      </c>
      <c r="AH8" s="84"/>
      <c r="AI8" s="73"/>
      <c r="AJ8" s="74">
        <f t="shared" si="13"/>
        <v>89.833333333333329</v>
      </c>
      <c r="AK8" s="74">
        <f>$E8/11*(11-($H8+$I8))</f>
        <v>89.833333333333329</v>
      </c>
      <c r="AL8" s="84"/>
      <c r="AM8" s="73"/>
      <c r="AN8" s="74">
        <f t="shared" si="14"/>
        <v>89.833333333333329</v>
      </c>
      <c r="AO8" s="74">
        <f>$E8/11*(11-($H8+$I8))</f>
        <v>89.833333333333329</v>
      </c>
      <c r="AP8" s="61"/>
    </row>
    <row r="9" outlineLevel="2">
      <c r="A9" s="76"/>
      <c r="B9" s="85" t="s">
        <v>2</v>
      </c>
      <c r="C9" s="86">
        <f t="shared" si="2"/>
        <v>1240.0969696969696</v>
      </c>
      <c r="D9" s="87">
        <f t="shared" si="3"/>
        <v>1246.2181818181818</v>
      </c>
      <c r="E9" s="66">
        <f t="shared" si="15"/>
        <v>100</v>
      </c>
      <c r="F9" s="25">
        <f t="shared" si="4"/>
        <v>14</v>
      </c>
      <c r="G9" s="80">
        <v>8</v>
      </c>
      <c r="H9" s="81">
        <f t="shared" si="5"/>
        <v>0.81166666666666676</v>
      </c>
      <c r="I9" s="82">
        <f t="shared" si="6"/>
        <v>0.30666666666666664</v>
      </c>
      <c r="J9" s="83">
        <f t="shared" si="7"/>
        <v>9.1183333333333341</v>
      </c>
      <c r="K9" s="88"/>
      <c r="L9" s="72"/>
      <c r="M9" s="71"/>
      <c r="N9" s="74">
        <f>115/11*(11-($H9+$I9))</f>
        <v>103.30833333333334</v>
      </c>
      <c r="O9" s="74">
        <f>115/11*(11-($H9+$I9))</f>
        <v>103.30833333333334</v>
      </c>
      <c r="P9" s="74"/>
      <c r="Q9" s="73"/>
      <c r="R9" s="74">
        <f>115/11*(11-($H9+$I9))</f>
        <v>103.30833333333334</v>
      </c>
      <c r="S9" s="74">
        <f>115/11*(11-($H9+$I9))</f>
        <v>103.30833333333334</v>
      </c>
      <c r="T9" s="74"/>
      <c r="U9" s="73"/>
      <c r="V9" s="74">
        <f>$E9/11*(11-($H9+$I9))</f>
        <v>89.833333333333329</v>
      </c>
      <c r="W9" s="74">
        <f>$E9/11*(11-($H9+$I9))</f>
        <v>89.833333333333329</v>
      </c>
      <c r="X9" s="74"/>
      <c r="Y9" s="73"/>
      <c r="Z9" s="74">
        <f>$E9/11*(11-($H9+$I9))</f>
        <v>89.833333333333329</v>
      </c>
      <c r="AA9" s="74">
        <f>$E9/11*(11-($H9+$I9))</f>
        <v>89.833333333333329</v>
      </c>
      <c r="AB9" s="74"/>
      <c r="AC9" s="73"/>
      <c r="AD9" s="75">
        <f>$E9/11*(11-($G9+$I9))</f>
        <v>24.484848484848488</v>
      </c>
      <c r="AE9" s="74">
        <f>$E9/11*(11-($H9+$I9))</f>
        <v>89.833333333333329</v>
      </c>
      <c r="AF9" s="74"/>
      <c r="AG9" s="74"/>
      <c r="AH9" s="74">
        <f>$E9/11*(11-($H9+$I9))</f>
        <v>89.833333333333329</v>
      </c>
      <c r="AI9" s="74">
        <f>$E9/11*(11-($H9+$I9))</f>
        <v>89.833333333333329</v>
      </c>
      <c r="AJ9" s="74"/>
      <c r="AK9" s="73"/>
      <c r="AL9" s="74">
        <f>$E9/11*(11-($H9+$I9))</f>
        <v>89.833333333333329</v>
      </c>
      <c r="AM9" s="74">
        <f>$E9/11*(11-($H9+$I9))</f>
        <v>89.833333333333329</v>
      </c>
      <c r="AN9" s="74"/>
      <c r="AO9" s="73"/>
      <c r="AP9" s="61"/>
    </row>
    <row r="10" ht="16.149999999999999" customHeight="1" outlineLevel="2">
      <c r="A10" s="89"/>
      <c r="B10" s="90" t="s">
        <v>3</v>
      </c>
      <c r="C10" s="91">
        <f>$C$11/$F$11*F10</f>
        <v>1240.0969696969696</v>
      </c>
      <c r="D10" s="92">
        <f>SUM(K10:AO10)</f>
        <v>1223.7598484848484</v>
      </c>
      <c r="E10" s="66">
        <f t="shared" si="15"/>
        <v>100</v>
      </c>
      <c r="F10" s="25">
        <f>COUNTA(K10:AO10)</f>
        <v>14</v>
      </c>
      <c r="G10" s="93">
        <v>8</v>
      </c>
      <c r="H10" s="94">
        <f t="shared" si="5"/>
        <v>0.81166666666666676</v>
      </c>
      <c r="I10" s="95">
        <f t="shared" si="6"/>
        <v>0.30666666666666664</v>
      </c>
      <c r="J10" s="96">
        <f t="shared" si="7"/>
        <v>9.1183333333333341</v>
      </c>
      <c r="K10" s="97"/>
      <c r="L10" s="72"/>
      <c r="M10" s="71"/>
      <c r="N10" s="74">
        <f>115/11*(11-($H10+$I10))</f>
        <v>103.30833333333334</v>
      </c>
      <c r="O10" s="98"/>
      <c r="P10" s="74"/>
      <c r="Q10" s="74">
        <f>115/11*(11-($H10+$I10))</f>
        <v>103.30833333333334</v>
      </c>
      <c r="R10" s="74">
        <f>115/11*(11-($H10+$I10))</f>
        <v>103.30833333333334</v>
      </c>
      <c r="S10" s="74"/>
      <c r="T10" s="74"/>
      <c r="U10" s="74">
        <f>90/11*(11-($H10+$I10))</f>
        <v>80.849999999999994</v>
      </c>
      <c r="V10" s="74">
        <f>$E10/11*(11-($H10+$I10))</f>
        <v>89.833333333333329</v>
      </c>
      <c r="W10" s="98"/>
      <c r="X10" s="74"/>
      <c r="Y10" s="74">
        <f>$E10/11*(11-($H10+$I10))</f>
        <v>89.833333333333329</v>
      </c>
      <c r="Z10" s="74">
        <f>$E10/11*(11-($H10+$I10))</f>
        <v>89.833333333333329</v>
      </c>
      <c r="AA10" s="98"/>
      <c r="AB10" s="74"/>
      <c r="AC10" s="74">
        <f>$E10/11*(11-($H10+$I10))</f>
        <v>89.833333333333329</v>
      </c>
      <c r="AD10" s="74">
        <f>$E10/11*(11-($H10+$I10))</f>
        <v>89.833333333333329</v>
      </c>
      <c r="AE10" s="98"/>
      <c r="AF10" s="74"/>
      <c r="AG10" s="74">
        <f>$E10/11*(11-($H10+$I10))</f>
        <v>89.833333333333329</v>
      </c>
      <c r="AH10" s="74">
        <f>$E10/11*(11-($H10+$I10))</f>
        <v>89.833333333333329</v>
      </c>
      <c r="AI10" s="98"/>
      <c r="AJ10" s="74"/>
      <c r="AK10" s="75">
        <f>$E10/11*(11-($G10+$I10))</f>
        <v>24.484848484848488</v>
      </c>
      <c r="AL10" s="74">
        <f>$E10/11*(11-($H10+$I10))</f>
        <v>89.833333333333329</v>
      </c>
      <c r="AM10" s="98"/>
      <c r="AN10" s="74"/>
      <c r="AO10" s="74">
        <f>$E10/11*(11-($H10+$I10))</f>
        <v>89.833333333333329</v>
      </c>
      <c r="AP10" s="61"/>
    </row>
    <row r="11" s="99" customFormat="1" ht="25.149999999999999" customHeight="1" outlineLevel="1">
      <c r="A11" s="100"/>
      <c r="B11" s="101" t="s">
        <v>18</v>
      </c>
      <c r="C11" s="102">
        <f>'[3]План пр-ва по единицам обор'!$K$15</f>
        <v>4960.3878787878784</v>
      </c>
      <c r="D11" s="103">
        <f>SUM(D7:D10)</f>
        <v>4960.3878787878784</v>
      </c>
      <c r="E11" s="104" t="s">
        <v>19</v>
      </c>
      <c r="F11" s="105">
        <f>SUM(F7:F10)</f>
        <v>56</v>
      </c>
      <c r="G11" s="106">
        <f>SUM(G7:G10)</f>
        <v>24</v>
      </c>
      <c r="H11" s="107">
        <f>SUM(H7:H10)</f>
        <v>3.246666666666667</v>
      </c>
      <c r="I11" s="108" t="s">
        <v>19</v>
      </c>
      <c r="J11" s="109">
        <f t="shared" ref="J11:AO11" si="16">SUM(J7:J10)</f>
        <v>28.473333333333336</v>
      </c>
      <c r="K11" s="110">
        <f t="shared" si="16"/>
        <v>0</v>
      </c>
      <c r="L11" s="111">
        <f t="shared" si="16"/>
        <v>0</v>
      </c>
      <c r="M11" s="111">
        <f t="shared" si="16"/>
        <v>0</v>
      </c>
      <c r="N11" s="111">
        <f t="shared" si="16"/>
        <v>206.61666666666667</v>
      </c>
      <c r="O11" s="111">
        <f t="shared" si="16"/>
        <v>206.61666666666667</v>
      </c>
      <c r="P11" s="111">
        <f t="shared" si="16"/>
        <v>206.61666666666667</v>
      </c>
      <c r="Q11" s="111">
        <f t="shared" si="16"/>
        <v>206.61666666666667</v>
      </c>
      <c r="R11" s="111">
        <f t="shared" si="16"/>
        <v>206.61666666666667</v>
      </c>
      <c r="S11" s="111">
        <f t="shared" si="16"/>
        <v>206.61666666666667</v>
      </c>
      <c r="T11" s="111">
        <f t="shared" si="16"/>
        <v>161.69999999999999</v>
      </c>
      <c r="U11" s="111">
        <f t="shared" si="16"/>
        <v>161.69999999999999</v>
      </c>
      <c r="V11" s="111">
        <f t="shared" si="16"/>
        <v>179.66666666666666</v>
      </c>
      <c r="W11" s="111">
        <f t="shared" si="16"/>
        <v>114.31818181818181</v>
      </c>
      <c r="X11" s="111">
        <f t="shared" si="16"/>
        <v>179.66666666666666</v>
      </c>
      <c r="Y11" s="111">
        <f t="shared" si="16"/>
        <v>179.66666666666666</v>
      </c>
      <c r="Z11" s="111">
        <f t="shared" si="16"/>
        <v>179.66666666666666</v>
      </c>
      <c r="AA11" s="111">
        <f t="shared" si="16"/>
        <v>179.66666666666666</v>
      </c>
      <c r="AB11" s="112">
        <f t="shared" si="16"/>
        <v>179.66666666666666</v>
      </c>
      <c r="AC11" s="113">
        <f t="shared" si="16"/>
        <v>179.66666666666666</v>
      </c>
      <c r="AD11" s="114">
        <f t="shared" si="16"/>
        <v>114.31818181818181</v>
      </c>
      <c r="AE11" s="114">
        <f t="shared" si="16"/>
        <v>179.66666666666666</v>
      </c>
      <c r="AF11" s="114">
        <f t="shared" si="16"/>
        <v>179.66666666666666</v>
      </c>
      <c r="AG11" s="114">
        <f t="shared" si="16"/>
        <v>179.66666666666666</v>
      </c>
      <c r="AH11" s="114">
        <f t="shared" si="16"/>
        <v>179.66666666666666</v>
      </c>
      <c r="AI11" s="114">
        <f t="shared" si="16"/>
        <v>179.66666666666666</v>
      </c>
      <c r="AJ11" s="114">
        <f t="shared" si="16"/>
        <v>179.66666666666666</v>
      </c>
      <c r="AK11" s="114">
        <f t="shared" si="16"/>
        <v>114.31818181818181</v>
      </c>
      <c r="AL11" s="114">
        <f t="shared" si="16"/>
        <v>179.66666666666666</v>
      </c>
      <c r="AM11" s="114">
        <f t="shared" si="16"/>
        <v>179.66666666666666</v>
      </c>
      <c r="AN11" s="114">
        <f t="shared" si="16"/>
        <v>179.66666666666666</v>
      </c>
      <c r="AO11" s="114">
        <f t="shared" si="16"/>
        <v>179.66666666666666</v>
      </c>
      <c r="AP11" s="61"/>
    </row>
    <row r="12" s="24" customFormat="1" ht="13.5" outlineLevel="1">
      <c r="A12" s="115"/>
      <c r="B12" s="115"/>
      <c r="C12" s="116"/>
      <c r="D12" s="116"/>
      <c r="E12" s="117"/>
      <c r="F12" s="118"/>
      <c r="G12" s="119"/>
      <c r="H12" s="120"/>
      <c r="I12" s="121"/>
      <c r="J12" s="120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61"/>
    </row>
    <row r="13" s="123" customFormat="1" ht="30" customHeight="1" outlineLevel="1">
      <c r="A13" s="124" t="s">
        <v>20</v>
      </c>
      <c r="B13" s="125"/>
      <c r="C13" s="49" t="s">
        <v>11</v>
      </c>
      <c r="D13" s="50" t="s">
        <v>12</v>
      </c>
      <c r="E13" s="51" t="s">
        <v>13</v>
      </c>
      <c r="F13" s="52" t="s">
        <v>14</v>
      </c>
      <c r="G13" s="53" t="s">
        <v>15</v>
      </c>
      <c r="H13" s="54" t="s">
        <v>16</v>
      </c>
      <c r="I13" s="54" t="s">
        <v>17</v>
      </c>
      <c r="J13" s="55" t="s">
        <v>18</v>
      </c>
      <c r="K13" s="56">
        <v>44562</v>
      </c>
      <c r="L13" s="56">
        <v>44563</v>
      </c>
      <c r="M13" s="56">
        <v>44564</v>
      </c>
      <c r="N13" s="56">
        <v>44565</v>
      </c>
      <c r="O13" s="56">
        <v>44566</v>
      </c>
      <c r="P13" s="57">
        <v>44567</v>
      </c>
      <c r="Q13" s="56">
        <v>44568</v>
      </c>
      <c r="R13" s="56">
        <v>44569</v>
      </c>
      <c r="S13" s="56">
        <v>44570</v>
      </c>
      <c r="T13" s="56">
        <v>44571</v>
      </c>
      <c r="U13" s="56">
        <v>44572</v>
      </c>
      <c r="V13" s="56">
        <v>44573</v>
      </c>
      <c r="W13" s="58">
        <v>44574</v>
      </c>
      <c r="X13" s="56">
        <v>44575</v>
      </c>
      <c r="Y13" s="56">
        <v>44576</v>
      </c>
      <c r="Z13" s="56">
        <v>44577</v>
      </c>
      <c r="AA13" s="56">
        <v>44578</v>
      </c>
      <c r="AB13" s="56">
        <v>44579</v>
      </c>
      <c r="AC13" s="56">
        <v>44580</v>
      </c>
      <c r="AD13" s="59">
        <v>44581</v>
      </c>
      <c r="AE13" s="56">
        <v>44582</v>
      </c>
      <c r="AF13" s="56">
        <v>44583</v>
      </c>
      <c r="AG13" s="56">
        <v>44584</v>
      </c>
      <c r="AH13" s="56">
        <v>44585</v>
      </c>
      <c r="AI13" s="56">
        <v>44586</v>
      </c>
      <c r="AJ13" s="56">
        <v>44587</v>
      </c>
      <c r="AK13" s="60">
        <v>44588</v>
      </c>
      <c r="AL13" s="56">
        <v>44589</v>
      </c>
      <c r="AM13" s="56">
        <v>44590</v>
      </c>
      <c r="AN13" s="56">
        <v>44591</v>
      </c>
      <c r="AO13" s="56">
        <v>44561</v>
      </c>
      <c r="AP13" s="61"/>
    </row>
    <row r="14" outlineLevel="2">
      <c r="A14" s="126" t="s">
        <v>20</v>
      </c>
      <c r="B14" s="63" t="s">
        <v>0</v>
      </c>
      <c r="C14" s="127">
        <f t="shared" ref="C14:C17" si="17">$C$18/$F$18*F14</f>
        <v>1050.0597727272727</v>
      </c>
      <c r="D14" s="65">
        <f t="shared" ref="D14:D17" si="18">SUM(K14:AO14)</f>
        <v>1035.3563636363638</v>
      </c>
      <c r="E14" s="128">
        <f>'[3]План пр-ва по единицам обор'!$AS$25</f>
        <v>90</v>
      </c>
      <c r="F14" s="129">
        <f t="shared" ref="F14:F17" si="19">COUNTA(K14:AO14)</f>
        <v>14</v>
      </c>
      <c r="G14" s="67">
        <v>8</v>
      </c>
      <c r="H14" s="68">
        <f t="shared" ref="H14:H17" si="20">48.7/60</f>
        <v>0.81166666666666676</v>
      </c>
      <c r="I14" s="69">
        <f t="shared" si="6"/>
        <v>0.30666666666666664</v>
      </c>
      <c r="J14" s="70">
        <f t="shared" ref="J14:J17" si="21">SUM(G14:I14)</f>
        <v>9.1183333333333341</v>
      </c>
      <c r="K14" s="71"/>
      <c r="L14" s="72"/>
      <c r="M14" s="71"/>
      <c r="N14" s="73"/>
      <c r="O14" s="74">
        <f>86/11*(11-($H14+$I14))</f>
        <v>77.256666666666661</v>
      </c>
      <c r="P14" s="74">
        <f t="shared" ref="P14:P15" si="22">86/11*(11-($H14+$I14))</f>
        <v>77.256666666666661</v>
      </c>
      <c r="Q14" s="73"/>
      <c r="R14" s="73"/>
      <c r="S14" s="74">
        <f>86/11*(11-($H14+$I14))</f>
        <v>77.256666666666661</v>
      </c>
      <c r="T14" s="74">
        <f t="shared" ref="T14:T15" si="23">60/11*(11-($H14+$I14))</f>
        <v>53.899999999999991</v>
      </c>
      <c r="U14" s="73"/>
      <c r="V14" s="73"/>
      <c r="W14" s="75">
        <f>$E14/11*(11-($G14+$I14))</f>
        <v>22.036363636363635</v>
      </c>
      <c r="X14" s="74">
        <f t="shared" ref="X14:X15" si="24">$E14/11*(11-($H14+$I14))</f>
        <v>80.849999999999994</v>
      </c>
      <c r="Y14" s="73"/>
      <c r="Z14" s="73"/>
      <c r="AA14" s="74">
        <f>$E14/11*(11-($H14+$I14))</f>
        <v>80.849999999999994</v>
      </c>
      <c r="AB14" s="74">
        <f t="shared" ref="AB14:AB15" si="25">$E14/11*(11-($H14+$I14))</f>
        <v>80.849999999999994</v>
      </c>
      <c r="AC14" s="73"/>
      <c r="AD14" s="73"/>
      <c r="AE14" s="74">
        <f>$E14/11*(11-($H14+$I14))</f>
        <v>80.849999999999994</v>
      </c>
      <c r="AF14" s="74">
        <f t="shared" ref="AF14:AF15" si="26">$E14/11*(11-($H14+$I14))</f>
        <v>80.849999999999994</v>
      </c>
      <c r="AG14" s="73"/>
      <c r="AH14" s="73"/>
      <c r="AI14" s="74">
        <f>$E14/11*(11-($H14+$I14))</f>
        <v>80.849999999999994</v>
      </c>
      <c r="AJ14" s="74">
        <f t="shared" ref="AJ14:AJ15" si="27">$E14/11*(11-($H14+$I14))</f>
        <v>80.849999999999994</v>
      </c>
      <c r="AK14" s="73"/>
      <c r="AL14" s="73"/>
      <c r="AM14" s="74">
        <f>$E14/11*(11-($H14+$I14))</f>
        <v>80.849999999999994</v>
      </c>
      <c r="AN14" s="74">
        <f t="shared" ref="AN14:AN15" si="28">$E14/11*(11-($H14+$I14))</f>
        <v>80.849999999999994</v>
      </c>
      <c r="AO14" s="73"/>
      <c r="AP14" s="61"/>
      <c r="AQ14" s="123"/>
      <c r="AR14" s="122"/>
    </row>
    <row r="15" outlineLevel="2">
      <c r="A15" s="126"/>
      <c r="B15" s="77" t="s">
        <v>1</v>
      </c>
      <c r="C15" s="78">
        <f t="shared" si="17"/>
        <v>1050.0597727272727</v>
      </c>
      <c r="D15" s="79">
        <f t="shared" si="18"/>
        <v>1070.8133333333335</v>
      </c>
      <c r="E15" s="117">
        <f t="shared" ref="E15:E17" si="29">E14</f>
        <v>90</v>
      </c>
      <c r="F15" s="130">
        <f t="shared" si="19"/>
        <v>14</v>
      </c>
      <c r="G15" s="80"/>
      <c r="H15" s="81">
        <f t="shared" si="20"/>
        <v>0.81166666666666676</v>
      </c>
      <c r="I15" s="82">
        <f t="shared" si="6"/>
        <v>0.30666666666666664</v>
      </c>
      <c r="J15" s="83">
        <f t="shared" si="21"/>
        <v>1.1183333333333334</v>
      </c>
      <c r="K15" s="72"/>
      <c r="L15" s="72"/>
      <c r="M15" s="72"/>
      <c r="N15" s="84"/>
      <c r="O15" s="73"/>
      <c r="P15" s="74">
        <f t="shared" si="22"/>
        <v>77.256666666666661</v>
      </c>
      <c r="Q15" s="74">
        <f>86/11*(11-($H15+$I15))</f>
        <v>77.256666666666661</v>
      </c>
      <c r="R15" s="84"/>
      <c r="S15" s="73"/>
      <c r="T15" s="74">
        <f t="shared" si="23"/>
        <v>53.899999999999991</v>
      </c>
      <c r="U15" s="74">
        <f>60/11*(11-($H15+$I15))</f>
        <v>53.899999999999991</v>
      </c>
      <c r="V15" s="84"/>
      <c r="W15" s="73"/>
      <c r="X15" s="74">
        <f t="shared" si="24"/>
        <v>80.849999999999994</v>
      </c>
      <c r="Y15" s="74">
        <f>$E15/11*(11-($H15+$I15))</f>
        <v>80.849999999999994</v>
      </c>
      <c r="Z15" s="84"/>
      <c r="AA15" s="73"/>
      <c r="AB15" s="74">
        <f t="shared" si="25"/>
        <v>80.849999999999994</v>
      </c>
      <c r="AC15" s="74">
        <f>$E15/11*(11-($H15+$I15))</f>
        <v>80.849999999999994</v>
      </c>
      <c r="AD15" s="84"/>
      <c r="AE15" s="73"/>
      <c r="AF15" s="74">
        <f t="shared" si="26"/>
        <v>80.849999999999994</v>
      </c>
      <c r="AG15" s="74">
        <f t="shared" ref="AG15:AG17" si="30">$E15/11*(11-($H15+$I15))</f>
        <v>80.849999999999994</v>
      </c>
      <c r="AH15" s="84"/>
      <c r="AI15" s="73"/>
      <c r="AJ15" s="74">
        <f t="shared" si="27"/>
        <v>80.849999999999994</v>
      </c>
      <c r="AK15" s="74">
        <f>$E15/11*(11-($H15+$I15))</f>
        <v>80.849999999999994</v>
      </c>
      <c r="AL15" s="84"/>
      <c r="AM15" s="73"/>
      <c r="AN15" s="74">
        <f t="shared" si="28"/>
        <v>80.849999999999994</v>
      </c>
      <c r="AO15" s="74">
        <f>$E15/11*(11-($H15+$I15))</f>
        <v>80.849999999999994</v>
      </c>
      <c r="AP15" s="61"/>
      <c r="AQ15" s="123"/>
      <c r="AR15" s="122"/>
    </row>
    <row r="16" outlineLevel="2">
      <c r="A16" s="126"/>
      <c r="B16" s="85" t="s">
        <v>2</v>
      </c>
      <c r="C16" s="131">
        <f t="shared" si="17"/>
        <v>1050.0597727272727</v>
      </c>
      <c r="D16" s="87">
        <f t="shared" si="18"/>
        <v>1058.7130303030303</v>
      </c>
      <c r="E16" s="117">
        <f t="shared" si="29"/>
        <v>90</v>
      </c>
      <c r="F16" s="130">
        <f t="shared" si="19"/>
        <v>14</v>
      </c>
      <c r="G16" s="80">
        <v>8</v>
      </c>
      <c r="H16" s="81">
        <f t="shared" si="20"/>
        <v>0.81166666666666676</v>
      </c>
      <c r="I16" s="82">
        <f t="shared" si="6"/>
        <v>0.30666666666666664</v>
      </c>
      <c r="J16" s="83">
        <f t="shared" si="21"/>
        <v>9.1183333333333341</v>
      </c>
      <c r="K16" s="88"/>
      <c r="L16" s="72"/>
      <c r="M16" s="71"/>
      <c r="N16" s="74">
        <f t="shared" ref="N16:N17" si="31">86/11*(11-($H16+$I16))</f>
        <v>77.256666666666661</v>
      </c>
      <c r="O16" s="74">
        <f>86/11*(11-($H16+$I16))</f>
        <v>77.256666666666661</v>
      </c>
      <c r="P16" s="74"/>
      <c r="Q16" s="73"/>
      <c r="R16" s="74">
        <f t="shared" ref="R16:R17" si="32">86/11*(11-($H16+$I16))</f>
        <v>77.256666666666661</v>
      </c>
      <c r="S16" s="74">
        <f>86/11*(11-($H16+$I16))</f>
        <v>77.256666666666661</v>
      </c>
      <c r="T16" s="74"/>
      <c r="U16" s="73"/>
      <c r="V16" s="74">
        <f t="shared" ref="V16:V17" si="33">$E16/11*(11-($H16+$I16))</f>
        <v>80.849999999999994</v>
      </c>
      <c r="W16" s="74">
        <f>$E16/11*(11-($H16+$I16))</f>
        <v>80.849999999999994</v>
      </c>
      <c r="X16" s="74"/>
      <c r="Y16" s="73"/>
      <c r="Z16" s="74">
        <f t="shared" ref="Z16:Z17" si="34">$E16/11*(11-($H16+$I16))</f>
        <v>80.849999999999994</v>
      </c>
      <c r="AA16" s="74">
        <f>$E16/11*(11-($H16+$I16))</f>
        <v>80.849999999999994</v>
      </c>
      <c r="AB16" s="74"/>
      <c r="AC16" s="73"/>
      <c r="AD16" s="75">
        <f>$E16/11*(11-($G16+$I16))</f>
        <v>22.036363636363635</v>
      </c>
      <c r="AE16" s="74">
        <f>$E16/11*(11-($H16+$I16))</f>
        <v>80.849999999999994</v>
      </c>
      <c r="AF16" s="74"/>
      <c r="AG16" s="74"/>
      <c r="AH16" s="74">
        <f t="shared" ref="AH16:AH17" si="35">$E16/11*(11-($H16+$I16))</f>
        <v>80.849999999999994</v>
      </c>
      <c r="AI16" s="74">
        <f>$E16/11*(11-($H16+$I16))</f>
        <v>80.849999999999994</v>
      </c>
      <c r="AJ16" s="74"/>
      <c r="AK16" s="73"/>
      <c r="AL16" s="74">
        <f t="shared" ref="AL16:AL17" si="36">$E16/11*(11-($H16+$I16))</f>
        <v>80.849999999999994</v>
      </c>
      <c r="AM16" s="74">
        <f>$E16/11*(11-($H16+$I16))</f>
        <v>80.849999999999994</v>
      </c>
      <c r="AN16" s="74"/>
      <c r="AO16" s="73"/>
      <c r="AP16" s="61"/>
      <c r="AQ16" s="123"/>
      <c r="AR16" s="122"/>
    </row>
    <row r="17" ht="13.5" outlineLevel="2">
      <c r="A17" s="132"/>
      <c r="B17" s="90" t="s">
        <v>3</v>
      </c>
      <c r="C17" s="133">
        <f t="shared" si="17"/>
        <v>1050.0597727272727</v>
      </c>
      <c r="D17" s="92">
        <f t="shared" si="18"/>
        <v>1035.3563636363638</v>
      </c>
      <c r="E17" s="134">
        <f t="shared" si="29"/>
        <v>90</v>
      </c>
      <c r="F17" s="135">
        <f t="shared" si="19"/>
        <v>14</v>
      </c>
      <c r="G17" s="93">
        <v>8</v>
      </c>
      <c r="H17" s="94">
        <f t="shared" si="20"/>
        <v>0.81166666666666676</v>
      </c>
      <c r="I17" s="95">
        <f t="shared" si="6"/>
        <v>0.30666666666666664</v>
      </c>
      <c r="J17" s="96">
        <f t="shared" si="21"/>
        <v>9.1183333333333341</v>
      </c>
      <c r="K17" s="97"/>
      <c r="L17" s="72"/>
      <c r="M17" s="71"/>
      <c r="N17" s="74">
        <f t="shared" si="31"/>
        <v>77.256666666666661</v>
      </c>
      <c r="O17" s="98"/>
      <c r="P17" s="74"/>
      <c r="Q17" s="74">
        <f>86/11*(11-($H17+$I17))</f>
        <v>77.256666666666661</v>
      </c>
      <c r="R17" s="74">
        <f t="shared" si="32"/>
        <v>77.256666666666661</v>
      </c>
      <c r="S17" s="74"/>
      <c r="T17" s="74"/>
      <c r="U17" s="74">
        <f>60/11*(11-($H17+$I17))</f>
        <v>53.899999999999991</v>
      </c>
      <c r="V17" s="74">
        <f t="shared" si="33"/>
        <v>80.849999999999994</v>
      </c>
      <c r="W17" s="98"/>
      <c r="X17" s="74"/>
      <c r="Y17" s="74">
        <f>$E17/11*(11-($H17+$I17))</f>
        <v>80.849999999999994</v>
      </c>
      <c r="Z17" s="74">
        <f t="shared" si="34"/>
        <v>80.849999999999994</v>
      </c>
      <c r="AA17" s="98"/>
      <c r="AB17" s="74"/>
      <c r="AC17" s="74">
        <f>$E17/11*(11-($H17+$I17))</f>
        <v>80.849999999999994</v>
      </c>
      <c r="AD17" s="74">
        <f>$E17/11*(11-($H17+$I17))</f>
        <v>80.849999999999994</v>
      </c>
      <c r="AE17" s="98"/>
      <c r="AF17" s="74"/>
      <c r="AG17" s="74">
        <f t="shared" si="30"/>
        <v>80.849999999999994</v>
      </c>
      <c r="AH17" s="74">
        <f t="shared" si="35"/>
        <v>80.849999999999994</v>
      </c>
      <c r="AI17" s="98"/>
      <c r="AJ17" s="74"/>
      <c r="AK17" s="75">
        <f>$E17/11*(11-($G17+$I17))</f>
        <v>22.036363636363635</v>
      </c>
      <c r="AL17" s="74">
        <f t="shared" si="36"/>
        <v>80.849999999999994</v>
      </c>
      <c r="AM17" s="98"/>
      <c r="AN17" s="74"/>
      <c r="AO17" s="74">
        <f>$E17/11*(11-($H17+$I17))</f>
        <v>80.849999999999994</v>
      </c>
      <c r="AP17" s="61"/>
      <c r="AQ17" s="123"/>
      <c r="AR17" s="122"/>
    </row>
    <row r="18" s="99" customFormat="1" ht="20.449999999999999" customHeight="1" outlineLevel="1">
      <c r="B18" s="136" t="s">
        <v>18</v>
      </c>
      <c r="C18" s="102">
        <f>'[3]План пр-ва по единицам обор'!$K$16</f>
        <v>4200.2390909090909</v>
      </c>
      <c r="D18" s="103">
        <f>D14+D15+D16+D17</f>
        <v>4200.2390909090918</v>
      </c>
      <c r="E18" s="137" t="s">
        <v>19</v>
      </c>
      <c r="F18" s="138">
        <f>SUM(F14:F17)</f>
        <v>56</v>
      </c>
      <c r="G18" s="139">
        <f>SUM(G14:G17)</f>
        <v>24</v>
      </c>
      <c r="H18" s="140">
        <f>SUM(H14:H17)</f>
        <v>3.246666666666667</v>
      </c>
      <c r="I18" s="141" t="s">
        <v>19</v>
      </c>
      <c r="J18" s="142">
        <f>SUM(J14:J17)</f>
        <v>28.473333333333336</v>
      </c>
      <c r="K18" s="143">
        <f t="shared" ref="K18:AO18" si="37">SUM(K14:K17)</f>
        <v>0</v>
      </c>
      <c r="L18" s="111">
        <f t="shared" si="37"/>
        <v>0</v>
      </c>
      <c r="M18" s="111">
        <f t="shared" si="37"/>
        <v>0</v>
      </c>
      <c r="N18" s="111">
        <f t="shared" si="37"/>
        <v>154.51333333333332</v>
      </c>
      <c r="O18" s="111">
        <f t="shared" si="37"/>
        <v>154.51333333333332</v>
      </c>
      <c r="P18" s="112">
        <f t="shared" si="37"/>
        <v>154.51333333333332</v>
      </c>
      <c r="Q18" s="111">
        <f t="shared" si="37"/>
        <v>154.51333333333332</v>
      </c>
      <c r="R18" s="111">
        <f t="shared" si="37"/>
        <v>154.51333333333332</v>
      </c>
      <c r="S18" s="111">
        <f t="shared" si="37"/>
        <v>154.51333333333332</v>
      </c>
      <c r="T18" s="111">
        <f t="shared" si="37"/>
        <v>107.79999999999998</v>
      </c>
      <c r="U18" s="111">
        <f t="shared" si="37"/>
        <v>107.79999999999998</v>
      </c>
      <c r="V18" s="111">
        <f t="shared" si="37"/>
        <v>161.69999999999999</v>
      </c>
      <c r="W18" s="111">
        <f t="shared" si="37"/>
        <v>102.88636363636363</v>
      </c>
      <c r="X18" s="111">
        <f t="shared" si="37"/>
        <v>161.69999999999999</v>
      </c>
      <c r="Y18" s="111">
        <f t="shared" si="37"/>
        <v>161.69999999999999</v>
      </c>
      <c r="Z18" s="111">
        <f t="shared" si="37"/>
        <v>161.69999999999999</v>
      </c>
      <c r="AA18" s="111">
        <f t="shared" si="37"/>
        <v>161.69999999999999</v>
      </c>
      <c r="AB18" s="112">
        <f t="shared" si="37"/>
        <v>161.69999999999999</v>
      </c>
      <c r="AC18" s="144">
        <f t="shared" si="37"/>
        <v>161.69999999999999</v>
      </c>
      <c r="AD18" s="145">
        <f t="shared" si="37"/>
        <v>102.88636363636363</v>
      </c>
      <c r="AE18" s="145">
        <f t="shared" si="37"/>
        <v>161.69999999999999</v>
      </c>
      <c r="AF18" s="145">
        <f t="shared" si="37"/>
        <v>161.69999999999999</v>
      </c>
      <c r="AG18" s="145">
        <f t="shared" si="37"/>
        <v>161.69999999999999</v>
      </c>
      <c r="AH18" s="145">
        <f t="shared" si="37"/>
        <v>161.69999999999999</v>
      </c>
      <c r="AI18" s="145">
        <f t="shared" si="37"/>
        <v>161.69999999999999</v>
      </c>
      <c r="AJ18" s="145">
        <f t="shared" si="37"/>
        <v>161.69999999999999</v>
      </c>
      <c r="AK18" s="145">
        <f t="shared" si="37"/>
        <v>102.88636363636363</v>
      </c>
      <c r="AL18" s="145">
        <f t="shared" si="37"/>
        <v>161.69999999999999</v>
      </c>
      <c r="AM18" s="145">
        <f t="shared" si="37"/>
        <v>161.69999999999999</v>
      </c>
      <c r="AN18" s="145">
        <f t="shared" si="37"/>
        <v>161.69999999999999</v>
      </c>
      <c r="AO18" s="145">
        <f t="shared" si="37"/>
        <v>161.69999999999999</v>
      </c>
      <c r="AP18" s="61"/>
      <c r="AQ18" s="123"/>
    </row>
    <row r="19" s="99" customFormat="1">
      <c r="B19" s="136"/>
      <c r="C19" s="116"/>
      <c r="D19" s="116"/>
      <c r="E19" s="117"/>
      <c r="F19" s="146"/>
      <c r="G19" s="119"/>
      <c r="H19" s="120"/>
      <c r="I19" s="121"/>
      <c r="J19" s="120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61"/>
      <c r="AQ19" s="123"/>
    </row>
    <row r="20" s="99" customFormat="1" ht="4.1500000000000004" customHeight="1">
      <c r="B20" s="136"/>
      <c r="C20" s="136"/>
      <c r="D20" s="136"/>
      <c r="E20" s="136"/>
      <c r="F20" s="136"/>
      <c r="G20" s="136"/>
      <c r="H20" s="120"/>
      <c r="I20" s="121"/>
      <c r="J20" s="120"/>
      <c r="K20" s="147"/>
      <c r="L20" s="147"/>
      <c r="M20" s="147"/>
      <c r="N20" s="147"/>
      <c r="O20" s="147"/>
      <c r="P20" s="147"/>
      <c r="Q20" s="148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61"/>
      <c r="AQ20" s="123"/>
    </row>
    <row r="21" s="123" customFormat="1" ht="33.600000000000001" customHeight="1">
      <c r="A21" s="149" t="s">
        <v>21</v>
      </c>
      <c r="B21" s="150"/>
      <c r="C21" s="49" t="s">
        <v>11</v>
      </c>
      <c r="D21" s="50" t="s">
        <v>12</v>
      </c>
      <c r="E21" s="51" t="s">
        <v>13</v>
      </c>
      <c r="F21" s="52" t="s">
        <v>14</v>
      </c>
      <c r="G21" s="151" t="s">
        <v>15</v>
      </c>
      <c r="H21" s="152" t="s">
        <v>16</v>
      </c>
      <c r="I21" s="152" t="s">
        <v>17</v>
      </c>
      <c r="J21" s="153" t="s">
        <v>18</v>
      </c>
      <c r="K21" s="56">
        <v>44562</v>
      </c>
      <c r="L21" s="56">
        <v>44563</v>
      </c>
      <c r="M21" s="56">
        <v>44564</v>
      </c>
      <c r="N21" s="56">
        <v>44565</v>
      </c>
      <c r="O21" s="56">
        <v>44566</v>
      </c>
      <c r="P21" s="57">
        <v>44567</v>
      </c>
      <c r="Q21" s="56">
        <v>44568</v>
      </c>
      <c r="R21" s="56">
        <v>44569</v>
      </c>
      <c r="S21" s="56">
        <v>44570</v>
      </c>
      <c r="T21" s="56">
        <v>44571</v>
      </c>
      <c r="U21" s="56">
        <v>44572</v>
      </c>
      <c r="V21" s="56">
        <v>44573</v>
      </c>
      <c r="W21" s="58">
        <v>44574</v>
      </c>
      <c r="X21" s="56">
        <v>44575</v>
      </c>
      <c r="Y21" s="56">
        <v>44576</v>
      </c>
      <c r="Z21" s="56">
        <v>44577</v>
      </c>
      <c r="AA21" s="56">
        <v>44578</v>
      </c>
      <c r="AB21" s="56">
        <v>44579</v>
      </c>
      <c r="AC21" s="56">
        <v>44580</v>
      </c>
      <c r="AD21" s="59">
        <v>44581</v>
      </c>
      <c r="AE21" s="56">
        <v>44582</v>
      </c>
      <c r="AF21" s="56">
        <v>44583</v>
      </c>
      <c r="AG21" s="56">
        <v>44584</v>
      </c>
      <c r="AH21" s="56">
        <v>44585</v>
      </c>
      <c r="AI21" s="56">
        <v>44586</v>
      </c>
      <c r="AJ21" s="56">
        <v>44587</v>
      </c>
      <c r="AK21" s="60">
        <v>44588</v>
      </c>
      <c r="AL21" s="56">
        <v>44589</v>
      </c>
      <c r="AM21" s="56">
        <v>44590</v>
      </c>
      <c r="AN21" s="56">
        <v>44591</v>
      </c>
      <c r="AO21" s="56">
        <v>44561</v>
      </c>
      <c r="AP21" s="61"/>
    </row>
    <row r="22" outlineLevel="1">
      <c r="A22" s="154" t="s">
        <v>22</v>
      </c>
      <c r="B22" s="155" t="s">
        <v>0</v>
      </c>
      <c r="C22" s="64">
        <f t="shared" ref="C22:C25" si="38">$C$26/$F$26*F22</f>
        <v>2290.1567424242421</v>
      </c>
      <c r="D22" s="65">
        <f t="shared" ref="D22:D25" si="39">SUM(K22:AO22)</f>
        <v>2259.1162121212124</v>
      </c>
      <c r="E22" s="66">
        <f>E7+E14</f>
        <v>190</v>
      </c>
      <c r="F22" s="118">
        <f t="shared" ref="F22:I25" si="40">F7+F14</f>
        <v>28</v>
      </c>
      <c r="G22" s="80">
        <f>G7+G14</f>
        <v>16</v>
      </c>
      <c r="H22" s="81">
        <f>H7+H14</f>
        <v>1.6233333333333335</v>
      </c>
      <c r="I22" s="81">
        <f>I7+I14</f>
        <v>0.61333333333333329</v>
      </c>
      <c r="J22" s="83">
        <f t="shared" ref="J22:J25" si="41">SUM(G22:I22)</f>
        <v>18.236666666666668</v>
      </c>
      <c r="K22" s="156">
        <f t="shared" ref="K22:M25" si="42">K7+K14</f>
        <v>0</v>
      </c>
      <c r="L22" s="156">
        <f>L7+L14</f>
        <v>0</v>
      </c>
      <c r="M22" s="156">
        <f t="shared" ref="M22:M23" si="43">M7+M14</f>
        <v>0</v>
      </c>
      <c r="N22" s="157">
        <f t="shared" ref="N22:AC25" si="44">N7+N14</f>
        <v>0</v>
      </c>
      <c r="O22" s="157">
        <f t="shared" ref="O22:AO25" si="45">O7+O14</f>
        <v>180.565</v>
      </c>
      <c r="P22" s="157">
        <f t="shared" si="45"/>
        <v>180.565</v>
      </c>
      <c r="Q22" s="157">
        <f t="shared" si="45"/>
        <v>0</v>
      </c>
      <c r="R22" s="157">
        <f t="shared" si="45"/>
        <v>0</v>
      </c>
      <c r="S22" s="157">
        <f t="shared" si="45"/>
        <v>180.565</v>
      </c>
      <c r="T22" s="157">
        <f t="shared" si="45"/>
        <v>134.75</v>
      </c>
      <c r="U22" s="157">
        <f t="shared" si="45"/>
        <v>0</v>
      </c>
      <c r="V22" s="157">
        <f t="shared" si="45"/>
        <v>0</v>
      </c>
      <c r="W22" s="158">
        <f t="shared" si="45"/>
        <v>46.521212121212123</v>
      </c>
      <c r="X22" s="157">
        <f t="shared" si="45"/>
        <v>170.68333333333334</v>
      </c>
      <c r="Y22" s="157">
        <f t="shared" si="45"/>
        <v>0</v>
      </c>
      <c r="Z22" s="157">
        <f t="shared" si="45"/>
        <v>0</v>
      </c>
      <c r="AA22" s="157">
        <f t="shared" si="45"/>
        <v>170.68333333333334</v>
      </c>
      <c r="AB22" s="157">
        <f t="shared" si="45"/>
        <v>170.68333333333334</v>
      </c>
      <c r="AC22" s="157">
        <f t="shared" si="45"/>
        <v>0</v>
      </c>
      <c r="AD22" s="157">
        <f t="shared" si="45"/>
        <v>0</v>
      </c>
      <c r="AE22" s="157">
        <f t="shared" si="45"/>
        <v>170.68333333333334</v>
      </c>
      <c r="AF22" s="157">
        <f t="shared" si="45"/>
        <v>170.68333333333334</v>
      </c>
      <c r="AG22" s="157">
        <f t="shared" si="45"/>
        <v>0</v>
      </c>
      <c r="AH22" s="157">
        <f t="shared" si="45"/>
        <v>0</v>
      </c>
      <c r="AI22" s="157">
        <f t="shared" si="45"/>
        <v>170.68333333333334</v>
      </c>
      <c r="AJ22" s="157">
        <f t="shared" si="45"/>
        <v>170.68333333333334</v>
      </c>
      <c r="AK22" s="157">
        <f t="shared" si="45"/>
        <v>0</v>
      </c>
      <c r="AL22" s="157">
        <f t="shared" si="45"/>
        <v>0</v>
      </c>
      <c r="AM22" s="157">
        <f t="shared" si="45"/>
        <v>170.68333333333334</v>
      </c>
      <c r="AN22" s="157">
        <f t="shared" si="45"/>
        <v>170.68333333333334</v>
      </c>
      <c r="AO22" s="157">
        <f t="shared" si="45"/>
        <v>0</v>
      </c>
      <c r="AP22" s="61"/>
      <c r="AQ22" s="123"/>
      <c r="AR22" s="122"/>
    </row>
    <row r="23" outlineLevel="1">
      <c r="A23" s="154"/>
      <c r="B23" s="159" t="s">
        <v>1</v>
      </c>
      <c r="C23" s="78">
        <f t="shared" si="38"/>
        <v>2290.1567424242421</v>
      </c>
      <c r="D23" s="79">
        <f t="shared" si="39"/>
        <v>2337.4633333333336</v>
      </c>
      <c r="E23" s="66">
        <f t="shared" ref="E23:E25" si="46">E22</f>
        <v>190</v>
      </c>
      <c r="F23" s="118">
        <f t="shared" si="40"/>
        <v>28</v>
      </c>
      <c r="G23" s="80">
        <f t="shared" si="40"/>
        <v>0</v>
      </c>
      <c r="H23" s="81">
        <f t="shared" si="40"/>
        <v>1.6233333333333335</v>
      </c>
      <c r="I23" s="81">
        <f t="shared" si="40"/>
        <v>0.61333333333333329</v>
      </c>
      <c r="J23" s="83">
        <f t="shared" si="41"/>
        <v>2.2366666666666668</v>
      </c>
      <c r="K23" s="156">
        <f t="shared" si="42"/>
        <v>0</v>
      </c>
      <c r="L23" s="156">
        <f t="shared" si="42"/>
        <v>0</v>
      </c>
      <c r="M23" s="156">
        <f t="shared" si="43"/>
        <v>0</v>
      </c>
      <c r="N23" s="157">
        <f t="shared" si="44"/>
        <v>0</v>
      </c>
      <c r="O23" s="157">
        <f t="shared" si="44"/>
        <v>0</v>
      </c>
      <c r="P23" s="158">
        <f t="shared" si="44"/>
        <v>180.565</v>
      </c>
      <c r="Q23" s="157">
        <f t="shared" si="44"/>
        <v>180.565</v>
      </c>
      <c r="R23" s="157">
        <f t="shared" si="44"/>
        <v>0</v>
      </c>
      <c r="S23" s="157">
        <f t="shared" si="44"/>
        <v>0</v>
      </c>
      <c r="T23" s="157">
        <f t="shared" si="44"/>
        <v>134.75</v>
      </c>
      <c r="U23" s="157">
        <f t="shared" si="44"/>
        <v>134.75</v>
      </c>
      <c r="V23" s="157">
        <f t="shared" si="44"/>
        <v>0</v>
      </c>
      <c r="W23" s="157">
        <f t="shared" si="44"/>
        <v>0</v>
      </c>
      <c r="X23" s="157">
        <f t="shared" si="44"/>
        <v>170.68333333333334</v>
      </c>
      <c r="Y23" s="157">
        <f t="shared" si="44"/>
        <v>170.68333333333334</v>
      </c>
      <c r="Z23" s="157">
        <f t="shared" si="44"/>
        <v>0</v>
      </c>
      <c r="AA23" s="157">
        <f t="shared" si="44"/>
        <v>0</v>
      </c>
      <c r="AB23" s="157">
        <f t="shared" si="44"/>
        <v>170.68333333333334</v>
      </c>
      <c r="AC23" s="157">
        <f t="shared" si="44"/>
        <v>170.68333333333334</v>
      </c>
      <c r="AD23" s="157">
        <f t="shared" si="45"/>
        <v>0</v>
      </c>
      <c r="AE23" s="157">
        <f t="shared" si="45"/>
        <v>0</v>
      </c>
      <c r="AF23" s="157">
        <f t="shared" si="45"/>
        <v>170.68333333333334</v>
      </c>
      <c r="AG23" s="157">
        <f t="shared" si="45"/>
        <v>170.68333333333334</v>
      </c>
      <c r="AH23" s="157">
        <f t="shared" si="45"/>
        <v>0</v>
      </c>
      <c r="AI23" s="157">
        <f t="shared" si="45"/>
        <v>0</v>
      </c>
      <c r="AJ23" s="157">
        <f t="shared" si="45"/>
        <v>170.68333333333334</v>
      </c>
      <c r="AK23" s="157">
        <f t="shared" si="45"/>
        <v>170.68333333333334</v>
      </c>
      <c r="AL23" s="157">
        <f t="shared" si="45"/>
        <v>0</v>
      </c>
      <c r="AM23" s="157">
        <f t="shared" si="45"/>
        <v>0</v>
      </c>
      <c r="AN23" s="157">
        <f t="shared" si="45"/>
        <v>170.68333333333334</v>
      </c>
      <c r="AO23" s="157">
        <f t="shared" si="45"/>
        <v>170.68333333333334</v>
      </c>
      <c r="AP23" s="61"/>
      <c r="AR23" s="122"/>
    </row>
    <row r="24" outlineLevel="1">
      <c r="A24" s="154"/>
      <c r="B24" s="160" t="s">
        <v>2</v>
      </c>
      <c r="C24" s="131">
        <f t="shared" si="38"/>
        <v>2290.1567424242421</v>
      </c>
      <c r="D24" s="87">
        <f t="shared" si="39"/>
        <v>2304.9312121212124</v>
      </c>
      <c r="E24" s="66">
        <f t="shared" si="46"/>
        <v>190</v>
      </c>
      <c r="F24" s="118">
        <f t="shared" si="40"/>
        <v>28</v>
      </c>
      <c r="G24" s="80">
        <f t="shared" si="40"/>
        <v>16</v>
      </c>
      <c r="H24" s="81">
        <f t="shared" si="40"/>
        <v>1.6233333333333335</v>
      </c>
      <c r="I24" s="81">
        <f t="shared" si="40"/>
        <v>0.61333333333333329</v>
      </c>
      <c r="J24" s="83">
        <f t="shared" si="41"/>
        <v>18.236666666666668</v>
      </c>
      <c r="K24" s="156">
        <f t="shared" si="42"/>
        <v>0</v>
      </c>
      <c r="L24" s="156">
        <f t="shared" si="42"/>
        <v>0</v>
      </c>
      <c r="M24" s="156">
        <f t="shared" si="42"/>
        <v>0</v>
      </c>
      <c r="N24" s="157">
        <f t="shared" si="44"/>
        <v>180.565</v>
      </c>
      <c r="O24" s="157">
        <f t="shared" si="45"/>
        <v>180.565</v>
      </c>
      <c r="P24" s="157">
        <f t="shared" si="45"/>
        <v>0</v>
      </c>
      <c r="Q24" s="157">
        <f t="shared" si="45"/>
        <v>0</v>
      </c>
      <c r="R24" s="157">
        <f t="shared" si="45"/>
        <v>180.565</v>
      </c>
      <c r="S24" s="157">
        <f t="shared" si="45"/>
        <v>180.565</v>
      </c>
      <c r="T24" s="157">
        <f t="shared" si="45"/>
        <v>0</v>
      </c>
      <c r="U24" s="157">
        <f t="shared" si="45"/>
        <v>0</v>
      </c>
      <c r="V24" s="157">
        <f t="shared" si="45"/>
        <v>170.68333333333334</v>
      </c>
      <c r="W24" s="157">
        <f t="shared" si="45"/>
        <v>170.68333333333334</v>
      </c>
      <c r="X24" s="157">
        <f t="shared" si="45"/>
        <v>0</v>
      </c>
      <c r="Y24" s="157">
        <f t="shared" si="45"/>
        <v>0</v>
      </c>
      <c r="Z24" s="157">
        <f t="shared" si="45"/>
        <v>170.68333333333334</v>
      </c>
      <c r="AA24" s="157">
        <f t="shared" si="45"/>
        <v>170.68333333333334</v>
      </c>
      <c r="AB24" s="157">
        <f t="shared" si="45"/>
        <v>0</v>
      </c>
      <c r="AC24" s="157">
        <f t="shared" si="45"/>
        <v>0</v>
      </c>
      <c r="AD24" s="158">
        <f t="shared" si="45"/>
        <v>46.521212121212123</v>
      </c>
      <c r="AE24" s="157">
        <f t="shared" si="45"/>
        <v>170.68333333333334</v>
      </c>
      <c r="AF24" s="157">
        <f t="shared" si="45"/>
        <v>0</v>
      </c>
      <c r="AG24" s="157">
        <f t="shared" si="45"/>
        <v>0</v>
      </c>
      <c r="AH24" s="157">
        <f t="shared" si="45"/>
        <v>170.68333333333334</v>
      </c>
      <c r="AI24" s="157">
        <f t="shared" si="45"/>
        <v>170.68333333333334</v>
      </c>
      <c r="AJ24" s="157">
        <f t="shared" si="45"/>
        <v>0</v>
      </c>
      <c r="AK24" s="157">
        <f t="shared" si="45"/>
        <v>0</v>
      </c>
      <c r="AL24" s="157">
        <f t="shared" si="45"/>
        <v>170.68333333333334</v>
      </c>
      <c r="AM24" s="157">
        <f t="shared" si="45"/>
        <v>170.68333333333334</v>
      </c>
      <c r="AN24" s="157">
        <f t="shared" si="45"/>
        <v>0</v>
      </c>
      <c r="AO24" s="157">
        <f t="shared" si="45"/>
        <v>0</v>
      </c>
      <c r="AP24" s="61"/>
      <c r="AR24" s="122"/>
    </row>
    <row r="25" ht="13.5" outlineLevel="1">
      <c r="A25" s="161"/>
      <c r="B25" s="162" t="s">
        <v>3</v>
      </c>
      <c r="C25" s="133">
        <f t="shared" si="38"/>
        <v>2290.1567424242421</v>
      </c>
      <c r="D25" s="92">
        <f t="shared" si="39"/>
        <v>2259.1162121212124</v>
      </c>
      <c r="E25" s="66">
        <f t="shared" si="46"/>
        <v>190</v>
      </c>
      <c r="F25" s="118">
        <f t="shared" si="40"/>
        <v>28</v>
      </c>
      <c r="G25" s="80">
        <f t="shared" si="40"/>
        <v>16</v>
      </c>
      <c r="H25" s="81">
        <f t="shared" si="40"/>
        <v>1.6233333333333335</v>
      </c>
      <c r="I25" s="81">
        <f t="shared" si="40"/>
        <v>0.61333333333333329</v>
      </c>
      <c r="J25" s="83">
        <f t="shared" si="41"/>
        <v>18.236666666666668</v>
      </c>
      <c r="K25" s="156">
        <f t="shared" si="42"/>
        <v>0</v>
      </c>
      <c r="L25" s="163">
        <f>L10+L17</f>
        <v>0</v>
      </c>
      <c r="M25" s="156">
        <f>M10+M17</f>
        <v>0</v>
      </c>
      <c r="N25" s="157">
        <f t="shared" si="44"/>
        <v>180.565</v>
      </c>
      <c r="O25" s="157">
        <f t="shared" si="45"/>
        <v>0</v>
      </c>
      <c r="P25" s="157">
        <f t="shared" si="45"/>
        <v>0</v>
      </c>
      <c r="Q25" s="157">
        <f t="shared" si="45"/>
        <v>180.565</v>
      </c>
      <c r="R25" s="157">
        <f t="shared" si="45"/>
        <v>180.565</v>
      </c>
      <c r="S25" s="157">
        <f t="shared" si="45"/>
        <v>0</v>
      </c>
      <c r="T25" s="157">
        <f t="shared" si="45"/>
        <v>0</v>
      </c>
      <c r="U25" s="157">
        <f t="shared" si="45"/>
        <v>134.75</v>
      </c>
      <c r="V25" s="157">
        <f t="shared" si="45"/>
        <v>170.68333333333334</v>
      </c>
      <c r="W25" s="157">
        <f t="shared" si="45"/>
        <v>0</v>
      </c>
      <c r="X25" s="157">
        <f t="shared" si="45"/>
        <v>0</v>
      </c>
      <c r="Y25" s="157">
        <f t="shared" si="45"/>
        <v>170.68333333333334</v>
      </c>
      <c r="Z25" s="157">
        <f t="shared" si="45"/>
        <v>170.68333333333334</v>
      </c>
      <c r="AA25" s="157">
        <f t="shared" si="45"/>
        <v>0</v>
      </c>
      <c r="AB25" s="157">
        <f t="shared" si="45"/>
        <v>0</v>
      </c>
      <c r="AC25" s="157">
        <f t="shared" si="45"/>
        <v>170.68333333333334</v>
      </c>
      <c r="AD25" s="157">
        <f t="shared" si="45"/>
        <v>170.68333333333334</v>
      </c>
      <c r="AE25" s="157">
        <f t="shared" si="45"/>
        <v>0</v>
      </c>
      <c r="AF25" s="157">
        <f t="shared" si="45"/>
        <v>0</v>
      </c>
      <c r="AG25" s="157">
        <f t="shared" si="45"/>
        <v>170.68333333333334</v>
      </c>
      <c r="AH25" s="157">
        <f t="shared" si="45"/>
        <v>170.68333333333334</v>
      </c>
      <c r="AI25" s="157">
        <f t="shared" si="45"/>
        <v>0</v>
      </c>
      <c r="AJ25" s="157">
        <f t="shared" si="45"/>
        <v>0</v>
      </c>
      <c r="AK25" s="158">
        <f t="shared" si="45"/>
        <v>46.521212121212123</v>
      </c>
      <c r="AL25" s="157">
        <f t="shared" si="45"/>
        <v>170.68333333333334</v>
      </c>
      <c r="AM25" s="157">
        <f t="shared" si="45"/>
        <v>0</v>
      </c>
      <c r="AN25" s="157">
        <f t="shared" si="45"/>
        <v>0</v>
      </c>
      <c r="AO25" s="157">
        <f t="shared" si="45"/>
        <v>170.68333333333334</v>
      </c>
      <c r="AP25" s="61"/>
      <c r="AR25" s="122"/>
    </row>
    <row r="26" s="99" customFormat="1" ht="18.600000000000001" customHeight="1">
      <c r="A26" s="164"/>
      <c r="B26" s="165" t="s">
        <v>18</v>
      </c>
      <c r="C26" s="166">
        <f>'[3]План пр-ва по единицам обор'!$K$22</f>
        <v>9160.6269696969684</v>
      </c>
      <c r="D26" s="103">
        <f>SUM(D22:D25)</f>
        <v>9160.6269696969703</v>
      </c>
      <c r="E26" s="104" t="s">
        <v>19</v>
      </c>
      <c r="F26" s="105">
        <f>SUM(F22:F25)</f>
        <v>112</v>
      </c>
      <c r="G26" s="106">
        <f>SUM(G22:G25)</f>
        <v>48</v>
      </c>
      <c r="H26" s="167">
        <f>SUM(H22:H25)</f>
        <v>6.4933333333333341</v>
      </c>
      <c r="I26" s="168" t="s">
        <v>19</v>
      </c>
      <c r="J26" s="169">
        <f t="shared" ref="J26:N33" si="47">SUM(J22:J25)</f>
        <v>56.946666666666673</v>
      </c>
      <c r="K26" s="170">
        <f t="shared" si="47"/>
        <v>0</v>
      </c>
      <c r="L26" s="171">
        <f t="shared" si="47"/>
        <v>0</v>
      </c>
      <c r="M26" s="171">
        <f t="shared" si="47"/>
        <v>0</v>
      </c>
      <c r="N26" s="171">
        <f t="shared" si="47"/>
        <v>361.13</v>
      </c>
      <c r="O26" s="171">
        <f>SUM(O22:O25)</f>
        <v>361.13</v>
      </c>
      <c r="P26" s="172">
        <f>SUM(P22:P25)</f>
        <v>361.13</v>
      </c>
      <c r="Q26" s="171">
        <f t="shared" ref="Q26:AO26" si="48">SUM(Q22:Q25)</f>
        <v>361.13</v>
      </c>
      <c r="R26" s="171">
        <f t="shared" si="48"/>
        <v>361.13</v>
      </c>
      <c r="S26" s="171">
        <f t="shared" si="48"/>
        <v>361.13</v>
      </c>
      <c r="T26" s="171">
        <f t="shared" si="48"/>
        <v>269.5</v>
      </c>
      <c r="U26" s="171">
        <f t="shared" si="48"/>
        <v>269.5</v>
      </c>
      <c r="V26" s="171">
        <f t="shared" si="48"/>
        <v>341.36666666666667</v>
      </c>
      <c r="W26" s="171">
        <f t="shared" si="48"/>
        <v>217.20454545454547</v>
      </c>
      <c r="X26" s="171">
        <f t="shared" si="48"/>
        <v>341.36666666666667</v>
      </c>
      <c r="Y26" s="171">
        <f t="shared" si="48"/>
        <v>341.36666666666667</v>
      </c>
      <c r="Z26" s="171">
        <f t="shared" si="48"/>
        <v>341.36666666666667</v>
      </c>
      <c r="AA26" s="171">
        <f t="shared" si="48"/>
        <v>341.36666666666667</v>
      </c>
      <c r="AB26" s="172">
        <f t="shared" si="48"/>
        <v>341.36666666666667</v>
      </c>
      <c r="AC26" s="113">
        <f t="shared" si="48"/>
        <v>341.36666666666667</v>
      </c>
      <c r="AD26" s="114">
        <f t="shared" si="48"/>
        <v>217.20454545454547</v>
      </c>
      <c r="AE26" s="114">
        <f t="shared" si="48"/>
        <v>341.36666666666667</v>
      </c>
      <c r="AF26" s="114">
        <f t="shared" si="48"/>
        <v>341.36666666666667</v>
      </c>
      <c r="AG26" s="114">
        <f t="shared" si="48"/>
        <v>341.36666666666667</v>
      </c>
      <c r="AH26" s="114">
        <f t="shared" si="48"/>
        <v>341.36666666666667</v>
      </c>
      <c r="AI26" s="114">
        <f t="shared" si="48"/>
        <v>341.36666666666667</v>
      </c>
      <c r="AJ26" s="114">
        <f t="shared" si="48"/>
        <v>341.36666666666667</v>
      </c>
      <c r="AK26" s="114">
        <f t="shared" si="48"/>
        <v>217.20454545454547</v>
      </c>
      <c r="AL26" s="114">
        <f t="shared" si="48"/>
        <v>341.36666666666667</v>
      </c>
      <c r="AM26" s="114">
        <f t="shared" si="48"/>
        <v>341.36666666666667</v>
      </c>
      <c r="AN26" s="114">
        <f t="shared" si="48"/>
        <v>341.36666666666667</v>
      </c>
      <c r="AO26" s="114">
        <f t="shared" si="48"/>
        <v>341.36666666666667</v>
      </c>
      <c r="AP26" s="61"/>
    </row>
    <row r="27" s="173" customFormat="1" ht="18" customHeight="1">
      <c r="A27" s="174" t="s">
        <v>23</v>
      </c>
      <c r="B27" s="174"/>
      <c r="C27" s="175"/>
      <c r="D27" s="176"/>
      <c r="E27" s="177"/>
      <c r="F27" s="178"/>
      <c r="G27" s="178"/>
      <c r="H27" s="177"/>
      <c r="I27" s="179"/>
      <c r="J27" s="177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61"/>
    </row>
    <row r="28" s="123" customFormat="1" ht="30" customHeight="1">
      <c r="A28" s="181" t="s">
        <v>24</v>
      </c>
      <c r="B28" s="182"/>
      <c r="C28" s="49" t="s">
        <v>11</v>
      </c>
      <c r="D28" s="50" t="s">
        <v>12</v>
      </c>
      <c r="E28" s="51" t="s">
        <v>13</v>
      </c>
      <c r="F28" s="52" t="s">
        <v>14</v>
      </c>
      <c r="G28" s="151" t="s">
        <v>15</v>
      </c>
      <c r="H28" s="152" t="s">
        <v>16</v>
      </c>
      <c r="I28" s="152" t="s">
        <v>17</v>
      </c>
      <c r="J28" s="153" t="s">
        <v>18</v>
      </c>
      <c r="K28" s="56">
        <v>44562</v>
      </c>
      <c r="L28" s="56">
        <v>44563</v>
      </c>
      <c r="M28" s="56">
        <v>44564</v>
      </c>
      <c r="N28" s="56">
        <v>44565</v>
      </c>
      <c r="O28" s="56">
        <v>44566</v>
      </c>
      <c r="P28" s="56">
        <v>44567</v>
      </c>
      <c r="Q28" s="56">
        <v>44568</v>
      </c>
      <c r="R28" s="56">
        <v>44569</v>
      </c>
      <c r="S28" s="56">
        <v>44570</v>
      </c>
      <c r="T28" s="56">
        <v>44571</v>
      </c>
      <c r="U28" s="56">
        <v>44572</v>
      </c>
      <c r="V28" s="56">
        <v>44573</v>
      </c>
      <c r="W28" s="56">
        <v>44574</v>
      </c>
      <c r="X28" s="56">
        <v>44575</v>
      </c>
      <c r="Y28" s="56">
        <v>44576</v>
      </c>
      <c r="Z28" s="56">
        <v>44577</v>
      </c>
      <c r="AA28" s="56">
        <v>44578</v>
      </c>
      <c r="AB28" s="56">
        <v>44579</v>
      </c>
      <c r="AC28" s="56">
        <v>44580</v>
      </c>
      <c r="AD28" s="56">
        <v>44581</v>
      </c>
      <c r="AE28" s="56">
        <v>44582</v>
      </c>
      <c r="AF28" s="56">
        <v>44583</v>
      </c>
      <c r="AG28" s="56">
        <v>44584</v>
      </c>
      <c r="AH28" s="56">
        <v>44585</v>
      </c>
      <c r="AI28" s="56">
        <v>44586</v>
      </c>
      <c r="AJ28" s="56">
        <v>44587</v>
      </c>
      <c r="AK28" s="56">
        <v>44588</v>
      </c>
      <c r="AL28" s="56">
        <v>44589</v>
      </c>
      <c r="AM28" s="56">
        <v>44590</v>
      </c>
      <c r="AN28" s="56">
        <v>44591</v>
      </c>
      <c r="AO28" s="56">
        <v>44561</v>
      </c>
      <c r="AP28" s="61"/>
    </row>
    <row r="29" ht="13.15" customHeight="1" outlineLevel="1">
      <c r="A29" s="183" t="s">
        <v>25</v>
      </c>
      <c r="B29" s="184" t="s">
        <v>0</v>
      </c>
      <c r="C29" s="64"/>
      <c r="D29" s="65">
        <f t="shared" ref="D29:D32" si="49">SUM(K29:AO29)</f>
        <v>3386.4152019696976</v>
      </c>
      <c r="E29" s="185">
        <f t="shared" ref="E29:E31" si="50">E7*$D$5+E14*$D$5</f>
        <v>284.81</v>
      </c>
      <c r="F29" s="25">
        <f t="shared" ref="F29:F32" si="51">F7</f>
        <v>14</v>
      </c>
      <c r="G29" s="80"/>
      <c r="H29" s="186"/>
      <c r="I29" s="186"/>
      <c r="J29" s="187"/>
      <c r="K29" s="188">
        <f t="shared" ref="K29:AN31" si="52">K7*$D$5+K14*$D$5</f>
        <v>0</v>
      </c>
      <c r="L29" s="188">
        <f t="shared" ref="L29:AB30" si="53">L7*$D$5+L14*$D$5</f>
        <v>0</v>
      </c>
      <c r="M29" s="188">
        <f t="shared" ref="M29:AA29" si="54">M7*$D$5+M14*$D$5</f>
        <v>0</v>
      </c>
      <c r="N29" s="189">
        <f t="shared" si="54"/>
        <v>0</v>
      </c>
      <c r="O29" s="189">
        <f t="shared" si="54"/>
        <v>270.66693500000002</v>
      </c>
      <c r="P29" s="189">
        <f t="shared" si="54"/>
        <v>270.66693500000002</v>
      </c>
      <c r="Q29" s="189">
        <f t="shared" si="54"/>
        <v>0</v>
      </c>
      <c r="R29" s="189">
        <f t="shared" si="54"/>
        <v>0</v>
      </c>
      <c r="S29" s="189">
        <f t="shared" si="54"/>
        <v>270.66693500000002</v>
      </c>
      <c r="T29" s="189">
        <f t="shared" si="54"/>
        <v>201.99025</v>
      </c>
      <c r="U29" s="189">
        <f t="shared" si="54"/>
        <v>0</v>
      </c>
      <c r="V29" s="189">
        <f t="shared" si="54"/>
        <v>0</v>
      </c>
      <c r="W29" s="189">
        <f t="shared" si="54"/>
        <v>69.735296969696975</v>
      </c>
      <c r="X29" s="189">
        <f t="shared" si="54"/>
        <v>255.85431666666665</v>
      </c>
      <c r="Y29" s="189">
        <f t="shared" si="54"/>
        <v>0</v>
      </c>
      <c r="Z29" s="189">
        <f t="shared" si="54"/>
        <v>0</v>
      </c>
      <c r="AA29" s="189">
        <f t="shared" si="54"/>
        <v>255.85431666666665</v>
      </c>
      <c r="AB29" s="190">
        <f>AB7*$D$5+AB14*$D$5</f>
        <v>255.85431666666665</v>
      </c>
      <c r="AC29" s="191">
        <f t="shared" ref="AC29:AN30" si="55">AC7*$D$5+AC14*$D$5</f>
        <v>0</v>
      </c>
      <c r="AD29" s="192">
        <f t="shared" si="55"/>
        <v>0</v>
      </c>
      <c r="AE29" s="193">
        <f t="shared" si="55"/>
        <v>255.85431666666665</v>
      </c>
      <c r="AF29" s="189">
        <f t="shared" si="55"/>
        <v>255.85431666666665</v>
      </c>
      <c r="AG29" s="189">
        <f t="shared" si="55"/>
        <v>0</v>
      </c>
      <c r="AH29" s="189">
        <f t="shared" si="55"/>
        <v>0</v>
      </c>
      <c r="AI29" s="189">
        <f t="shared" si="55"/>
        <v>255.85431666666665</v>
      </c>
      <c r="AJ29" s="189">
        <f t="shared" si="55"/>
        <v>255.85431666666665</v>
      </c>
      <c r="AK29" s="189">
        <f t="shared" si="55"/>
        <v>0</v>
      </c>
      <c r="AL29" s="189">
        <f t="shared" si="55"/>
        <v>0</v>
      </c>
      <c r="AM29" s="189">
        <f t="shared" si="55"/>
        <v>255.85431666666665</v>
      </c>
      <c r="AN29" s="189">
        <f t="shared" si="55"/>
        <v>255.85431666666665</v>
      </c>
      <c r="AO29" s="189">
        <f t="shared" ref="AO29:AO31" si="56">AO7*$D$5+AO14*$D$5</f>
        <v>0</v>
      </c>
      <c r="AP29" s="61"/>
      <c r="AR29" s="122"/>
    </row>
    <row r="30" ht="13.15" customHeight="1" outlineLevel="1">
      <c r="A30" s="183"/>
      <c r="B30" s="194" t="s">
        <v>1</v>
      </c>
      <c r="C30" s="78"/>
      <c r="D30" s="79">
        <f t="shared" si="49"/>
        <v>3503.8575366666673</v>
      </c>
      <c r="E30" s="185">
        <f t="shared" si="50"/>
        <v>284.81</v>
      </c>
      <c r="F30" s="25">
        <f t="shared" si="51"/>
        <v>14</v>
      </c>
      <c r="G30" s="80"/>
      <c r="H30" s="186"/>
      <c r="I30" s="186"/>
      <c r="J30" s="187"/>
      <c r="K30" s="188">
        <f t="shared" si="52"/>
        <v>0</v>
      </c>
      <c r="L30" s="188">
        <f t="shared" si="53"/>
        <v>0</v>
      </c>
      <c r="M30" s="188">
        <f t="shared" si="53"/>
        <v>0</v>
      </c>
      <c r="N30" s="189">
        <f t="shared" si="53"/>
        <v>0</v>
      </c>
      <c r="O30" s="189">
        <f t="shared" si="53"/>
        <v>0</v>
      </c>
      <c r="P30" s="189">
        <f t="shared" si="53"/>
        <v>270.66693500000002</v>
      </c>
      <c r="Q30" s="189">
        <f t="shared" si="53"/>
        <v>270.66693500000002</v>
      </c>
      <c r="R30" s="189">
        <f t="shared" si="53"/>
        <v>0</v>
      </c>
      <c r="S30" s="189">
        <f t="shared" si="53"/>
        <v>0</v>
      </c>
      <c r="T30" s="189">
        <f t="shared" si="53"/>
        <v>201.99025</v>
      </c>
      <c r="U30" s="189">
        <f t="shared" si="53"/>
        <v>201.99025</v>
      </c>
      <c r="V30" s="189">
        <f t="shared" si="53"/>
        <v>0</v>
      </c>
      <c r="W30" s="189">
        <f t="shared" si="53"/>
        <v>0</v>
      </c>
      <c r="X30" s="195">
        <f t="shared" si="53"/>
        <v>255.85431666666665</v>
      </c>
      <c r="Y30" s="189">
        <f t="shared" si="53"/>
        <v>255.85431666666665</v>
      </c>
      <c r="Z30" s="189">
        <f t="shared" si="53"/>
        <v>0</v>
      </c>
      <c r="AA30" s="189">
        <f t="shared" si="53"/>
        <v>0</v>
      </c>
      <c r="AB30" s="190">
        <f t="shared" si="53"/>
        <v>255.85431666666665</v>
      </c>
      <c r="AC30" s="190">
        <f t="shared" si="55"/>
        <v>255.85431666666665</v>
      </c>
      <c r="AD30" s="189">
        <f t="shared" si="55"/>
        <v>0</v>
      </c>
      <c r="AE30" s="189">
        <f t="shared" si="55"/>
        <v>0</v>
      </c>
      <c r="AF30" s="189">
        <f t="shared" si="55"/>
        <v>255.85431666666665</v>
      </c>
      <c r="AG30" s="189">
        <f t="shared" si="55"/>
        <v>255.85431666666665</v>
      </c>
      <c r="AH30" s="189">
        <f t="shared" si="55"/>
        <v>0</v>
      </c>
      <c r="AI30" s="189">
        <f t="shared" si="55"/>
        <v>0</v>
      </c>
      <c r="AJ30" s="189">
        <f t="shared" si="55"/>
        <v>255.85431666666665</v>
      </c>
      <c r="AK30" s="189">
        <f t="shared" si="55"/>
        <v>255.85431666666665</v>
      </c>
      <c r="AL30" s="189">
        <f t="shared" si="55"/>
        <v>0</v>
      </c>
      <c r="AM30" s="189">
        <f t="shared" si="55"/>
        <v>0</v>
      </c>
      <c r="AN30" s="189">
        <f t="shared" si="55"/>
        <v>255.85431666666665</v>
      </c>
      <c r="AO30" s="189">
        <f t="shared" si="56"/>
        <v>255.85431666666665</v>
      </c>
      <c r="AP30" s="61"/>
      <c r="AR30" s="122"/>
    </row>
    <row r="31" ht="13.15" customHeight="1" outlineLevel="1">
      <c r="A31" s="183"/>
      <c r="B31" s="196" t="s">
        <v>2</v>
      </c>
      <c r="C31" s="131"/>
      <c r="D31" s="197">
        <f t="shared" si="49"/>
        <v>3455.091886969698</v>
      </c>
      <c r="E31" s="185">
        <f t="shared" si="50"/>
        <v>284.81</v>
      </c>
      <c r="F31" s="25">
        <f t="shared" si="51"/>
        <v>14</v>
      </c>
      <c r="G31" s="80"/>
      <c r="H31" s="186"/>
      <c r="I31" s="186"/>
      <c r="J31" s="187"/>
      <c r="K31" s="188">
        <f t="shared" si="52"/>
        <v>0</v>
      </c>
      <c r="L31" s="188">
        <f t="shared" si="52"/>
        <v>0</v>
      </c>
      <c r="M31" s="188">
        <f t="shared" si="52"/>
        <v>0</v>
      </c>
      <c r="N31" s="189">
        <f t="shared" si="52"/>
        <v>270.66693500000002</v>
      </c>
      <c r="O31" s="189">
        <f>O9*$D$5+O16*$D$5</f>
        <v>270.66693500000002</v>
      </c>
      <c r="P31" s="189">
        <f t="shared" si="52"/>
        <v>0</v>
      </c>
      <c r="Q31" s="189">
        <f t="shared" si="52"/>
        <v>0</v>
      </c>
      <c r="R31" s="189">
        <f t="shared" si="52"/>
        <v>270.66693500000002</v>
      </c>
      <c r="S31" s="189">
        <f>S9*$D$5+S16*$D$5</f>
        <v>270.66693500000002</v>
      </c>
      <c r="T31" s="189">
        <f t="shared" si="52"/>
        <v>0</v>
      </c>
      <c r="U31" s="189">
        <f t="shared" si="52"/>
        <v>0</v>
      </c>
      <c r="V31" s="189">
        <f t="shared" si="52"/>
        <v>255.85431666666665</v>
      </c>
      <c r="W31" s="189">
        <f t="shared" si="52"/>
        <v>255.85431666666665</v>
      </c>
      <c r="X31" s="189">
        <f t="shared" si="52"/>
        <v>0</v>
      </c>
      <c r="Y31" s="189">
        <f t="shared" si="52"/>
        <v>0</v>
      </c>
      <c r="Z31" s="189">
        <f t="shared" si="52"/>
        <v>255.85431666666665</v>
      </c>
      <c r="AA31" s="189">
        <f t="shared" si="52"/>
        <v>255.85431666666665</v>
      </c>
      <c r="AB31" s="190">
        <f t="shared" si="52"/>
        <v>0</v>
      </c>
      <c r="AC31" s="190">
        <f t="shared" si="52"/>
        <v>0</v>
      </c>
      <c r="AD31" s="189">
        <f t="shared" si="52"/>
        <v>69.735296969696975</v>
      </c>
      <c r="AE31" s="189">
        <f t="shared" si="52"/>
        <v>255.85431666666665</v>
      </c>
      <c r="AF31" s="189">
        <f t="shared" si="52"/>
        <v>0</v>
      </c>
      <c r="AG31" s="189">
        <f t="shared" si="52"/>
        <v>0</v>
      </c>
      <c r="AH31" s="189">
        <f>AH9*$D$5+AH16*$D$5</f>
        <v>255.85431666666665</v>
      </c>
      <c r="AI31" s="189">
        <f t="shared" si="52"/>
        <v>255.85431666666665</v>
      </c>
      <c r="AJ31" s="189">
        <f t="shared" si="52"/>
        <v>0</v>
      </c>
      <c r="AK31" s="189">
        <f t="shared" si="52"/>
        <v>0</v>
      </c>
      <c r="AL31" s="81">
        <f t="shared" si="52"/>
        <v>255.85431666666665</v>
      </c>
      <c r="AM31" s="189">
        <f t="shared" si="52"/>
        <v>255.85431666666665</v>
      </c>
      <c r="AN31" s="189">
        <f t="shared" si="52"/>
        <v>0</v>
      </c>
      <c r="AO31" s="189">
        <f t="shared" si="56"/>
        <v>0</v>
      </c>
      <c r="AP31" s="61"/>
      <c r="AR31" s="122"/>
    </row>
    <row r="32" ht="13.9" customHeight="1" outlineLevel="1">
      <c r="A32" s="198"/>
      <c r="B32" s="199" t="s">
        <v>3</v>
      </c>
      <c r="C32" s="133"/>
      <c r="D32" s="200">
        <f t="shared" si="49"/>
        <v>3386.4152019696976</v>
      </c>
      <c r="E32" s="185">
        <f>E10*$D$5+E17*$D$5</f>
        <v>284.81</v>
      </c>
      <c r="F32" s="25">
        <f t="shared" si="51"/>
        <v>14</v>
      </c>
      <c r="G32" s="80"/>
      <c r="H32" s="186"/>
      <c r="I32" s="186"/>
      <c r="J32" s="187"/>
      <c r="K32" s="188">
        <f>K10*$D$5+K17*$D$5</f>
        <v>0</v>
      </c>
      <c r="L32" s="188">
        <f>L10*$D$5+L17*$D$5</f>
        <v>0</v>
      </c>
      <c r="M32" s="188">
        <f>M10*$D$5+M17*$D$5</f>
        <v>0</v>
      </c>
      <c r="N32" s="189">
        <f>N10*$D$5+N17*$D$5</f>
        <v>270.66693500000002</v>
      </c>
      <c r="O32" s="189">
        <f>O10*$D$5+O17*$D$5</f>
        <v>0</v>
      </c>
      <c r="P32" s="189">
        <f>P10*$D$5+P17*$D$5</f>
        <v>0</v>
      </c>
      <c r="Q32" s="201">
        <f>Q10*$D$5+Q17*$D$5</f>
        <v>270.66693500000002</v>
      </c>
      <c r="R32" s="189">
        <f>R10*$D$5+R17*$D$5</f>
        <v>270.66693500000002</v>
      </c>
      <c r="S32" s="189">
        <f>S10*$D$5+S17*$D$5</f>
        <v>0</v>
      </c>
      <c r="T32" s="189">
        <f t="shared" ref="T32:AG32" si="57">T10*$D$5+T17*$D$5</f>
        <v>0</v>
      </c>
      <c r="U32" s="189">
        <f t="shared" si="57"/>
        <v>201.99025</v>
      </c>
      <c r="V32" s="189">
        <f t="shared" si="57"/>
        <v>255.85431666666665</v>
      </c>
      <c r="W32" s="189">
        <f t="shared" si="57"/>
        <v>0</v>
      </c>
      <c r="X32" s="189">
        <f t="shared" si="57"/>
        <v>0</v>
      </c>
      <c r="Y32" s="189">
        <f t="shared" si="57"/>
        <v>255.85431666666665</v>
      </c>
      <c r="Z32" s="189">
        <f t="shared" si="57"/>
        <v>255.85431666666665</v>
      </c>
      <c r="AA32" s="189">
        <f t="shared" si="57"/>
        <v>0</v>
      </c>
      <c r="AB32" s="190">
        <f t="shared" si="57"/>
        <v>0</v>
      </c>
      <c r="AC32" s="202">
        <f t="shared" si="57"/>
        <v>255.85431666666665</v>
      </c>
      <c r="AD32" s="203">
        <f t="shared" si="57"/>
        <v>255.85431666666665</v>
      </c>
      <c r="AE32" s="189">
        <f t="shared" si="57"/>
        <v>0</v>
      </c>
      <c r="AF32" s="189">
        <f t="shared" si="57"/>
        <v>0</v>
      </c>
      <c r="AG32" s="189">
        <f t="shared" si="57"/>
        <v>255.85431666666665</v>
      </c>
      <c r="AH32" s="189">
        <f>AH10*$D$5+AH17*$D$5</f>
        <v>255.85431666666665</v>
      </c>
      <c r="AI32" s="189">
        <f t="shared" ref="AI32:AO32" si="58">AI10*$D$5+AI17*$D$5</f>
        <v>0</v>
      </c>
      <c r="AJ32" s="189">
        <f t="shared" si="58"/>
        <v>0</v>
      </c>
      <c r="AK32" s="189">
        <f t="shared" si="58"/>
        <v>69.735296969696975</v>
      </c>
      <c r="AL32" s="189">
        <f t="shared" si="58"/>
        <v>255.85431666666665</v>
      </c>
      <c r="AM32" s="189">
        <f t="shared" si="58"/>
        <v>0</v>
      </c>
      <c r="AN32" s="189">
        <f t="shared" si="58"/>
        <v>0</v>
      </c>
      <c r="AO32" s="189">
        <f t="shared" si="58"/>
        <v>255.85431666666665</v>
      </c>
      <c r="AP32" s="61"/>
      <c r="AR32" s="122"/>
    </row>
    <row r="33" s="99" customFormat="1" ht="18.600000000000001" customHeight="1">
      <c r="A33" s="204"/>
      <c r="B33" s="205" t="s">
        <v>18</v>
      </c>
      <c r="C33" s="166">
        <f>'[3]План пр-ва по единицам обор'!$K$11</f>
        <v>13731.779827575758</v>
      </c>
      <c r="D33" s="103">
        <f>SUM(D29:D32)</f>
        <v>13731.779827575761</v>
      </c>
      <c r="E33" s="104" t="s">
        <v>19</v>
      </c>
      <c r="F33" s="105">
        <f>SUM(F29:F32)</f>
        <v>56</v>
      </c>
      <c r="G33" s="106">
        <f>SUM(G29:G32)</f>
        <v>0</v>
      </c>
      <c r="H33" s="167">
        <f>SUM(H29:H32)</f>
        <v>0</v>
      </c>
      <c r="I33" s="168" t="s">
        <v>19</v>
      </c>
      <c r="J33" s="169">
        <f t="shared" si="47"/>
        <v>0</v>
      </c>
      <c r="K33" s="170">
        <f t="shared" si="47"/>
        <v>0</v>
      </c>
      <c r="L33" s="171">
        <f t="shared" si="47"/>
        <v>0</v>
      </c>
      <c r="M33" s="171">
        <f t="shared" si="47"/>
        <v>0</v>
      </c>
      <c r="N33" s="171">
        <f t="shared" si="47"/>
        <v>541.33387000000005</v>
      </c>
      <c r="O33" s="171">
        <f>SUM(O29:O32)</f>
        <v>541.33387000000005</v>
      </c>
      <c r="P33" s="172">
        <f>SUM(P29:P32)</f>
        <v>541.33387000000005</v>
      </c>
      <c r="Q33" s="171">
        <f t="shared" ref="Q33:AO33" si="59">SUM(Q29:Q32)</f>
        <v>541.33387000000005</v>
      </c>
      <c r="R33" s="171">
        <f t="shared" si="59"/>
        <v>541.33387000000005</v>
      </c>
      <c r="S33" s="171">
        <f t="shared" si="59"/>
        <v>541.33387000000005</v>
      </c>
      <c r="T33" s="171">
        <f t="shared" si="59"/>
        <v>403.98050000000001</v>
      </c>
      <c r="U33" s="171">
        <f t="shared" si="59"/>
        <v>403.98050000000001</v>
      </c>
      <c r="V33" s="171">
        <f t="shared" si="59"/>
        <v>511.7086333333333</v>
      </c>
      <c r="W33" s="171">
        <f t="shared" si="59"/>
        <v>325.58961363636365</v>
      </c>
      <c r="X33" s="171">
        <f t="shared" si="59"/>
        <v>511.7086333333333</v>
      </c>
      <c r="Y33" s="171">
        <f t="shared" si="59"/>
        <v>511.7086333333333</v>
      </c>
      <c r="Z33" s="171">
        <f t="shared" si="59"/>
        <v>511.7086333333333</v>
      </c>
      <c r="AA33" s="171">
        <f t="shared" si="59"/>
        <v>511.7086333333333</v>
      </c>
      <c r="AB33" s="172">
        <f t="shared" si="59"/>
        <v>511.7086333333333</v>
      </c>
      <c r="AC33" s="113">
        <f t="shared" si="59"/>
        <v>511.7086333333333</v>
      </c>
      <c r="AD33" s="114">
        <f t="shared" si="59"/>
        <v>325.58961363636365</v>
      </c>
      <c r="AE33" s="114">
        <f t="shared" si="59"/>
        <v>511.7086333333333</v>
      </c>
      <c r="AF33" s="114">
        <f t="shared" si="59"/>
        <v>511.7086333333333</v>
      </c>
      <c r="AG33" s="114">
        <f t="shared" si="59"/>
        <v>511.7086333333333</v>
      </c>
      <c r="AH33" s="114">
        <f t="shared" si="59"/>
        <v>511.7086333333333</v>
      </c>
      <c r="AI33" s="114">
        <f t="shared" si="59"/>
        <v>511.7086333333333</v>
      </c>
      <c r="AJ33" s="114">
        <f t="shared" si="59"/>
        <v>511.7086333333333</v>
      </c>
      <c r="AK33" s="114">
        <f t="shared" si="59"/>
        <v>325.58961363636365</v>
      </c>
      <c r="AL33" s="114">
        <f t="shared" si="59"/>
        <v>511.7086333333333</v>
      </c>
      <c r="AM33" s="114">
        <f t="shared" si="59"/>
        <v>511.7086333333333</v>
      </c>
      <c r="AN33" s="114">
        <f t="shared" si="59"/>
        <v>511.7086333333333</v>
      </c>
      <c r="AO33" s="114">
        <f t="shared" si="59"/>
        <v>511.7086333333333</v>
      </c>
      <c r="AP33" s="61"/>
    </row>
    <row r="34" ht="30" customHeight="1">
      <c r="A34" s="43" t="s">
        <v>26</v>
      </c>
      <c r="B34" s="43"/>
      <c r="C34" s="206"/>
      <c r="D34" s="206"/>
      <c r="G34" s="146"/>
      <c r="H34" s="147"/>
      <c r="I34" s="207"/>
      <c r="J34" s="147"/>
      <c r="X34" s="42">
        <f>'[4]План пр-ва по единицам обор'!$K$27</f>
        <v>2364.6545454545453</v>
      </c>
      <c r="AK34" s="42">
        <f>'[5]План пр-ва по единицам обор'!$K$27</f>
        <v>2064.9333333333334</v>
      </c>
      <c r="AP34" s="61"/>
    </row>
    <row r="35" s="123" customFormat="1" ht="34.149999999999999" customHeight="1">
      <c r="A35" s="208" t="s">
        <v>27</v>
      </c>
      <c r="B35" s="209"/>
      <c r="C35" s="49" t="s">
        <v>11</v>
      </c>
      <c r="D35" s="50" t="s">
        <v>12</v>
      </c>
      <c r="E35" s="51" t="s">
        <v>13</v>
      </c>
      <c r="F35" s="210" t="s">
        <v>14</v>
      </c>
      <c r="G35" s="211" t="s">
        <v>15</v>
      </c>
      <c r="H35" s="212" t="s">
        <v>16</v>
      </c>
      <c r="I35" s="212" t="s">
        <v>17</v>
      </c>
      <c r="J35" s="213" t="s">
        <v>18</v>
      </c>
      <c r="K35" s="56">
        <v>44562</v>
      </c>
      <c r="L35" s="56">
        <v>44563</v>
      </c>
      <c r="M35" s="56">
        <v>44564</v>
      </c>
      <c r="N35" s="56">
        <v>44565</v>
      </c>
      <c r="O35" s="58">
        <v>44566</v>
      </c>
      <c r="P35" s="56">
        <v>44567</v>
      </c>
      <c r="Q35" s="56">
        <v>44568</v>
      </c>
      <c r="R35" s="56">
        <v>44569</v>
      </c>
      <c r="S35" s="56">
        <v>44570</v>
      </c>
      <c r="T35" s="56">
        <v>44571</v>
      </c>
      <c r="U35" s="56">
        <v>44572</v>
      </c>
      <c r="V35" s="56">
        <v>44573</v>
      </c>
      <c r="W35" s="56">
        <v>44574</v>
      </c>
      <c r="X35" s="56">
        <v>44575</v>
      </c>
      <c r="Y35" s="56">
        <v>44576</v>
      </c>
      <c r="Z35" s="56">
        <v>44577</v>
      </c>
      <c r="AA35" s="56">
        <v>44578</v>
      </c>
      <c r="AB35" s="56">
        <v>44579</v>
      </c>
      <c r="AC35" s="60">
        <v>44580</v>
      </c>
      <c r="AD35" s="56">
        <v>44581</v>
      </c>
      <c r="AE35" s="56">
        <v>44582</v>
      </c>
      <c r="AF35" s="56">
        <v>44583</v>
      </c>
      <c r="AG35" s="56">
        <v>44584</v>
      </c>
      <c r="AH35" s="56">
        <v>44585</v>
      </c>
      <c r="AI35" s="56">
        <v>44586</v>
      </c>
      <c r="AJ35" s="214">
        <v>44587</v>
      </c>
      <c r="AK35" s="56">
        <v>44588</v>
      </c>
      <c r="AL35" s="56">
        <v>44589</v>
      </c>
      <c r="AM35" s="56">
        <v>44590</v>
      </c>
      <c r="AN35" s="56">
        <v>44591</v>
      </c>
      <c r="AO35" s="56">
        <v>44592</v>
      </c>
      <c r="AP35" s="61"/>
    </row>
    <row r="36" ht="13.15" customHeight="1" outlineLevel="1">
      <c r="A36" s="215" t="s">
        <v>28</v>
      </c>
      <c r="B36" s="63" t="s">
        <v>0</v>
      </c>
      <c r="C36" s="64">
        <f t="shared" ref="C36:C39" si="60">$C$40/$F$40*F36</f>
        <v>653.96976235775151</v>
      </c>
      <c r="D36" s="65">
        <f t="shared" ref="D36:D39" si="61">SUM(K36:AO36)</f>
        <v>639.78648358011424</v>
      </c>
      <c r="E36" s="66">
        <f>'[3]План пр-ва по единицам обор'!$AS$34</f>
        <v>45.495905368516837</v>
      </c>
      <c r="F36" s="130">
        <f t="shared" ref="F36:F39" si="62">COUNTA(K36:AO36)</f>
        <v>12</v>
      </c>
      <c r="G36" s="80">
        <v>8</v>
      </c>
      <c r="H36" s="186"/>
      <c r="I36" s="82">
        <f t="shared" ref="I36:I39" si="63">(6+0.4)/60</f>
        <v>0.10666666666666667</v>
      </c>
      <c r="J36" s="83">
        <f t="shared" ref="J36:J39" si="64">SUM(G36:I36)</f>
        <v>8.1066666666666674</v>
      </c>
      <c r="K36" s="71"/>
      <c r="L36" s="72"/>
      <c r="M36" s="71"/>
      <c r="N36" s="73"/>
      <c r="O36" s="74">
        <f>90/11*(11-($H36+$I36))</f>
        <v>89.127272727272725</v>
      </c>
      <c r="P36" s="74">
        <f t="shared" ref="P36:P37" si="65">90/11*(11-($H36+$I36))</f>
        <v>89.127272727272725</v>
      </c>
      <c r="Q36" s="73"/>
      <c r="R36" s="73"/>
      <c r="S36" s="74">
        <f>90/11*(11-($H36+$I36))</f>
        <v>89.127272727272725</v>
      </c>
      <c r="T36" s="72"/>
      <c r="U36" s="71"/>
      <c r="V36" s="71"/>
      <c r="W36" s="216"/>
      <c r="X36" s="74">
        <f t="shared" ref="X36:X37" si="66">$E36/11*(11-($H36+$I36))</f>
        <v>45.054732952822121</v>
      </c>
      <c r="Y36" s="73"/>
      <c r="Z36" s="73"/>
      <c r="AA36" s="74">
        <f>$E36/11*(11-($H36+$I36))</f>
        <v>45.054732952822121</v>
      </c>
      <c r="AB36" s="74">
        <f t="shared" ref="AB36:AB37" si="67">$E36/11*(11-($H36+$I36))</f>
        <v>45.054732952822121</v>
      </c>
      <c r="AC36" s="73"/>
      <c r="AD36" s="73"/>
      <c r="AE36" s="74">
        <f>$E36/11*(11-($H36+$I36))</f>
        <v>45.054732952822121</v>
      </c>
      <c r="AF36" s="74">
        <f t="shared" ref="AF36:AF37" si="68">$E36/11*(11-($H36+$I36))</f>
        <v>45.054732952822121</v>
      </c>
      <c r="AG36" s="73"/>
      <c r="AH36" s="73"/>
      <c r="AI36" s="74">
        <f>$E36/11*(11-($H36+$I36))</f>
        <v>45.054732952822121</v>
      </c>
      <c r="AJ36" s="75">
        <f>$E36/11*(11-($G36+$I36))</f>
        <v>11.96680177571897</v>
      </c>
      <c r="AK36" s="73"/>
      <c r="AL36" s="73"/>
      <c r="AM36" s="74">
        <f>$E36/11*(11-($H36+$I36))</f>
        <v>45.054732952822121</v>
      </c>
      <c r="AN36" s="74">
        <f t="shared" ref="AN36:AN37" si="69">$E36/11*(11-($H36+$I36))</f>
        <v>45.054732952822121</v>
      </c>
      <c r="AO36" s="73"/>
      <c r="AP36" s="61"/>
    </row>
    <row r="37" ht="13.15" customHeight="1" outlineLevel="1">
      <c r="A37" s="217"/>
      <c r="B37" s="77" t="s">
        <v>1</v>
      </c>
      <c r="C37" s="78">
        <f t="shared" si="60"/>
        <v>653.96976235775151</v>
      </c>
      <c r="D37" s="79">
        <f t="shared" si="61"/>
        <v>628.80187498276678</v>
      </c>
      <c r="E37" s="66">
        <f t="shared" ref="E37:E39" si="70">E36</f>
        <v>45.495905368516837</v>
      </c>
      <c r="F37" s="130">
        <f t="shared" si="62"/>
        <v>12</v>
      </c>
      <c r="G37" s="80"/>
      <c r="H37" s="186"/>
      <c r="I37" s="82">
        <f t="shared" si="63"/>
        <v>0.10666666666666667</v>
      </c>
      <c r="J37" s="83">
        <f t="shared" si="64"/>
        <v>0.10666666666666667</v>
      </c>
      <c r="K37" s="72"/>
      <c r="L37" s="72"/>
      <c r="M37" s="72"/>
      <c r="N37" s="84"/>
      <c r="O37" s="73"/>
      <c r="P37" s="74">
        <f t="shared" si="65"/>
        <v>89.127272727272725</v>
      </c>
      <c r="Q37" s="74">
        <f>90/11*(11-($H37+$I37))</f>
        <v>89.127272727272725</v>
      </c>
      <c r="R37" s="84"/>
      <c r="S37" s="73"/>
      <c r="T37" s="72"/>
      <c r="U37" s="72"/>
      <c r="V37" s="218"/>
      <c r="W37" s="73"/>
      <c r="X37" s="74">
        <f t="shared" si="66"/>
        <v>45.054732952822121</v>
      </c>
      <c r="Y37" s="74">
        <f>$E37/11*(11-($H37+$I37))</f>
        <v>45.054732952822121</v>
      </c>
      <c r="Z37" s="84"/>
      <c r="AA37" s="73"/>
      <c r="AB37" s="74">
        <f t="shared" si="67"/>
        <v>45.054732952822121</v>
      </c>
      <c r="AC37" s="74">
        <f>$E37/11*(11-($H37+$I37))</f>
        <v>45.054732952822121</v>
      </c>
      <c r="AD37" s="84"/>
      <c r="AE37" s="73"/>
      <c r="AF37" s="74">
        <f t="shared" si="68"/>
        <v>45.054732952822121</v>
      </c>
      <c r="AG37" s="74">
        <f t="shared" ref="AG37:AG39" si="71">$E37/11*(11-($H37+$I37))</f>
        <v>45.054732952822121</v>
      </c>
      <c r="AH37" s="84"/>
      <c r="AI37" s="73"/>
      <c r="AJ37" s="74">
        <f>$E37/11*(11-($H37+$I37))</f>
        <v>45.054732952822121</v>
      </c>
      <c r="AK37" s="74">
        <f>$E37/11*(11-($H37+$I37))</f>
        <v>45.054732952822121</v>
      </c>
      <c r="AL37" s="84"/>
      <c r="AM37" s="73"/>
      <c r="AN37" s="74">
        <f t="shared" si="69"/>
        <v>45.054732952822121</v>
      </c>
      <c r="AO37" s="74">
        <f>$E37/11*(11-($H37+$I37))</f>
        <v>45.054732952822121</v>
      </c>
      <c r="AP37" s="61"/>
    </row>
    <row r="38" ht="13.15" customHeight="1" outlineLevel="1">
      <c r="A38" s="217"/>
      <c r="B38" s="85" t="s">
        <v>2</v>
      </c>
      <c r="C38" s="131">
        <f t="shared" si="60"/>
        <v>708.46724255423078</v>
      </c>
      <c r="D38" s="197">
        <f t="shared" si="61"/>
        <v>762.00168748449028</v>
      </c>
      <c r="E38" s="66">
        <f t="shared" si="70"/>
        <v>45.495905368516837</v>
      </c>
      <c r="F38" s="130">
        <f t="shared" si="62"/>
        <v>13</v>
      </c>
      <c r="G38" s="80"/>
      <c r="H38" s="186"/>
      <c r="I38" s="82">
        <f t="shared" si="63"/>
        <v>0.10666666666666667</v>
      </c>
      <c r="J38" s="83">
        <f t="shared" si="64"/>
        <v>0.10666666666666667</v>
      </c>
      <c r="K38" s="88"/>
      <c r="L38" s="72"/>
      <c r="M38" s="71"/>
      <c r="N38" s="74">
        <f t="shared" ref="N38:N39" si="72">90/11*(11-($H38+$I38))</f>
        <v>89.127272727272725</v>
      </c>
      <c r="O38" s="74">
        <f>90/11*(11-($H38+$I38))</f>
        <v>89.127272727272725</v>
      </c>
      <c r="P38" s="74"/>
      <c r="Q38" s="73"/>
      <c r="R38" s="74">
        <f t="shared" ref="R38:R39" si="73">90/11*(11-($H38+$I38))</f>
        <v>89.127272727272725</v>
      </c>
      <c r="S38" s="74">
        <f>90/11*(11-($H38+$I38))</f>
        <v>89.127272727272725</v>
      </c>
      <c r="T38" s="72"/>
      <c r="U38" s="71"/>
      <c r="V38" s="216"/>
      <c r="W38" s="74">
        <f>$E38/11*(11-($H38+$I38))</f>
        <v>45.054732952822121</v>
      </c>
      <c r="X38" s="74"/>
      <c r="Y38" s="73"/>
      <c r="Z38" s="74">
        <f t="shared" ref="Z38:Z39" si="74">$E38/11*(11-($H38+$I38))</f>
        <v>45.054732952822121</v>
      </c>
      <c r="AA38" s="74">
        <f>$E38/11*(11-($H38+$I38))</f>
        <v>45.054732952822121</v>
      </c>
      <c r="AB38" s="74"/>
      <c r="AC38" s="73"/>
      <c r="AD38" s="74">
        <f t="shared" ref="AD38:AD39" si="75">$E38/11*(11-($H38+$I38))</f>
        <v>45.054732952822121</v>
      </c>
      <c r="AE38" s="74">
        <f>$E38/11*(11-($H38+$I38))</f>
        <v>45.054732952822121</v>
      </c>
      <c r="AF38" s="74"/>
      <c r="AG38" s="74"/>
      <c r="AH38" s="74">
        <f t="shared" ref="AH38:AH39" si="76">$E38/11*(11-($H38+$I38))</f>
        <v>45.054732952822121</v>
      </c>
      <c r="AI38" s="74">
        <f>$E38/11*(11-($H38+$I38))</f>
        <v>45.054732952822121</v>
      </c>
      <c r="AJ38" s="74"/>
      <c r="AK38" s="73"/>
      <c r="AL38" s="74">
        <f t="shared" ref="AL38:AL39" si="77">$E38/11*(11-($H38+$I38))</f>
        <v>45.054732952822121</v>
      </c>
      <c r="AM38" s="74">
        <f>$E38/11*(11-($H38+$I38))</f>
        <v>45.054732952822121</v>
      </c>
      <c r="AN38" s="74"/>
      <c r="AO38" s="73"/>
      <c r="AP38" s="61"/>
    </row>
    <row r="39" ht="13.9" customHeight="1" outlineLevel="1">
      <c r="A39" s="219"/>
      <c r="B39" s="90" t="s">
        <v>3</v>
      </c>
      <c r="C39" s="133">
        <f t="shared" si="60"/>
        <v>653.96976235775151</v>
      </c>
      <c r="D39" s="200">
        <f t="shared" si="61"/>
        <v>639.78648358011424</v>
      </c>
      <c r="E39" s="66">
        <f t="shared" si="70"/>
        <v>45.495905368516837</v>
      </c>
      <c r="F39" s="130">
        <f t="shared" si="62"/>
        <v>12</v>
      </c>
      <c r="G39" s="80">
        <v>8</v>
      </c>
      <c r="H39" s="186"/>
      <c r="I39" s="82">
        <f t="shared" si="63"/>
        <v>0.10666666666666667</v>
      </c>
      <c r="J39" s="83">
        <f t="shared" si="64"/>
        <v>8.1066666666666674</v>
      </c>
      <c r="K39" s="97"/>
      <c r="L39" s="72"/>
      <c r="M39" s="71"/>
      <c r="N39" s="74">
        <f t="shared" si="72"/>
        <v>89.127272727272725</v>
      </c>
      <c r="O39" s="98"/>
      <c r="P39" s="74"/>
      <c r="Q39" s="74">
        <f>90/11*(11-($H39+$I39))</f>
        <v>89.127272727272725</v>
      </c>
      <c r="R39" s="74">
        <f t="shared" si="73"/>
        <v>89.127272727272725</v>
      </c>
      <c r="S39" s="74"/>
      <c r="T39" s="72"/>
      <c r="U39" s="72"/>
      <c r="V39" s="72"/>
      <c r="W39" s="98"/>
      <c r="X39" s="74"/>
      <c r="Y39" s="74">
        <f>$E39/11*(11-($H39+$I39))</f>
        <v>45.054732952822121</v>
      </c>
      <c r="Z39" s="74">
        <f t="shared" si="74"/>
        <v>45.054732952822121</v>
      </c>
      <c r="AA39" s="98"/>
      <c r="AB39" s="74"/>
      <c r="AC39" s="75">
        <f>$E39/11*(11-($G39+$I39))</f>
        <v>11.96680177571897</v>
      </c>
      <c r="AD39" s="74">
        <f t="shared" si="75"/>
        <v>45.054732952822121</v>
      </c>
      <c r="AE39" s="98"/>
      <c r="AF39" s="74"/>
      <c r="AG39" s="74">
        <f t="shared" si="71"/>
        <v>45.054732952822121</v>
      </c>
      <c r="AH39" s="74">
        <f t="shared" si="76"/>
        <v>45.054732952822121</v>
      </c>
      <c r="AI39" s="98"/>
      <c r="AJ39" s="74"/>
      <c r="AK39" s="74">
        <f>$E39/11*(11-($H39+$I39))</f>
        <v>45.054732952822121</v>
      </c>
      <c r="AL39" s="74">
        <f t="shared" si="77"/>
        <v>45.054732952822121</v>
      </c>
      <c r="AM39" s="98"/>
      <c r="AN39" s="74"/>
      <c r="AO39" s="74">
        <f>$E39/11*(11-($H39+$I39))</f>
        <v>45.054732952822121</v>
      </c>
      <c r="AP39" s="61"/>
    </row>
    <row r="40" s="220" customFormat="1" ht="18.600000000000001" customHeight="1">
      <c r="A40" s="221"/>
      <c r="B40" s="165" t="s">
        <v>18</v>
      </c>
      <c r="C40" s="102">
        <f>'[3]План пр-ва по единицам обор'!$K$27</f>
        <v>2670.3765296274851</v>
      </c>
      <c r="D40" s="166">
        <f>SUM(D36:D39)</f>
        <v>2670.3765296274855</v>
      </c>
      <c r="E40" s="222" t="s">
        <v>19</v>
      </c>
      <c r="F40" s="223">
        <f>SUM(F36:F39)</f>
        <v>49</v>
      </c>
      <c r="G40" s="224">
        <f>SUM(G36:G39)</f>
        <v>16</v>
      </c>
      <c r="H40" s="225">
        <f>SUM(H36:H39)</f>
        <v>0</v>
      </c>
      <c r="I40" s="226" t="s">
        <v>19</v>
      </c>
      <c r="J40" s="227">
        <f t="shared" ref="J40:AO40" si="78">SUM(J36:J39)</f>
        <v>16.426666666666669</v>
      </c>
      <c r="K40" s="228">
        <f t="shared" si="78"/>
        <v>0</v>
      </c>
      <c r="L40" s="229">
        <f t="shared" si="78"/>
        <v>0</v>
      </c>
      <c r="M40" s="229">
        <f t="shared" si="78"/>
        <v>0</v>
      </c>
      <c r="N40" s="229">
        <f t="shared" si="78"/>
        <v>178.25454545454545</v>
      </c>
      <c r="O40" s="229">
        <f t="shared" si="78"/>
        <v>178.25454545454545</v>
      </c>
      <c r="P40" s="229">
        <f t="shared" si="78"/>
        <v>178.25454545454545</v>
      </c>
      <c r="Q40" s="229">
        <f t="shared" si="78"/>
        <v>178.25454545454545</v>
      </c>
      <c r="R40" s="229">
        <f t="shared" si="78"/>
        <v>178.25454545454545</v>
      </c>
      <c r="S40" s="229">
        <f t="shared" si="78"/>
        <v>178.25454545454545</v>
      </c>
      <c r="T40" s="229">
        <f t="shared" si="78"/>
        <v>0</v>
      </c>
      <c r="U40" s="229">
        <f t="shared" si="78"/>
        <v>0</v>
      </c>
      <c r="V40" s="229">
        <f t="shared" si="78"/>
        <v>0</v>
      </c>
      <c r="W40" s="229">
        <f t="shared" si="78"/>
        <v>45.054732952822121</v>
      </c>
      <c r="X40" s="229">
        <f t="shared" si="78"/>
        <v>90.109465905644242</v>
      </c>
      <c r="Y40" s="230">
        <f t="shared" si="78"/>
        <v>90.109465905644242</v>
      </c>
      <c r="Z40" s="231">
        <f t="shared" si="78"/>
        <v>90.109465905644242</v>
      </c>
      <c r="AA40" s="229">
        <f t="shared" si="78"/>
        <v>90.109465905644242</v>
      </c>
      <c r="AB40" s="230">
        <f t="shared" si="78"/>
        <v>90.109465905644242</v>
      </c>
      <c r="AC40" s="144">
        <f t="shared" si="78"/>
        <v>57.021534728541091</v>
      </c>
      <c r="AD40" s="145">
        <f t="shared" si="78"/>
        <v>90.109465905644242</v>
      </c>
      <c r="AE40" s="145">
        <f t="shared" si="78"/>
        <v>90.109465905644242</v>
      </c>
      <c r="AF40" s="145">
        <f t="shared" si="78"/>
        <v>90.109465905644242</v>
      </c>
      <c r="AG40" s="145">
        <f t="shared" si="78"/>
        <v>90.109465905644242</v>
      </c>
      <c r="AH40" s="145">
        <f t="shared" si="78"/>
        <v>90.109465905644242</v>
      </c>
      <c r="AI40" s="145">
        <f t="shared" si="78"/>
        <v>90.109465905644242</v>
      </c>
      <c r="AJ40" s="145">
        <f t="shared" si="78"/>
        <v>57.021534728541091</v>
      </c>
      <c r="AK40" s="145">
        <f t="shared" si="78"/>
        <v>90.109465905644242</v>
      </c>
      <c r="AL40" s="145">
        <f t="shared" si="78"/>
        <v>90.109465905644242</v>
      </c>
      <c r="AM40" s="145">
        <f t="shared" si="78"/>
        <v>90.109465905644242</v>
      </c>
      <c r="AN40" s="145">
        <f t="shared" si="78"/>
        <v>90.109465905644242</v>
      </c>
      <c r="AO40" s="145">
        <f t="shared" si="78"/>
        <v>90.109465905644242</v>
      </c>
      <c r="AP40" s="61"/>
    </row>
    <row r="41" ht="19.5">
      <c r="A41" s="43" t="s">
        <v>29</v>
      </c>
      <c r="B41" s="43"/>
      <c r="C41" s="206"/>
      <c r="D41" s="232"/>
      <c r="I41" s="24">
        <f>I36*F40</f>
        <v>5.2266666666666666</v>
      </c>
      <c r="AP41" s="61"/>
    </row>
    <row r="42" s="123" customFormat="1" ht="37.149999999999999" customHeight="1">
      <c r="A42" s="149" t="s">
        <v>30</v>
      </c>
      <c r="B42" s="150"/>
      <c r="C42" s="49" t="s">
        <v>11</v>
      </c>
      <c r="D42" s="50" t="s">
        <v>12</v>
      </c>
      <c r="E42" s="51" t="s">
        <v>13</v>
      </c>
      <c r="F42" s="210" t="s">
        <v>14</v>
      </c>
      <c r="G42" s="211" t="s">
        <v>15</v>
      </c>
      <c r="H42" s="212" t="s">
        <v>16</v>
      </c>
      <c r="I42" s="212" t="s">
        <v>17</v>
      </c>
      <c r="J42" s="213" t="s">
        <v>18</v>
      </c>
      <c r="K42" s="56">
        <v>44562</v>
      </c>
      <c r="L42" s="56">
        <v>44563</v>
      </c>
      <c r="M42" s="56">
        <v>44564</v>
      </c>
      <c r="N42" s="56">
        <v>44565</v>
      </c>
      <c r="O42" s="58">
        <v>44566</v>
      </c>
      <c r="P42" s="56">
        <v>44567</v>
      </c>
      <c r="Q42" s="56">
        <v>44568</v>
      </c>
      <c r="R42" s="56">
        <v>44569</v>
      </c>
      <c r="S42" s="56">
        <v>44570</v>
      </c>
      <c r="T42" s="56">
        <v>44571</v>
      </c>
      <c r="U42" s="56">
        <v>44572</v>
      </c>
      <c r="V42" s="59">
        <v>44573</v>
      </c>
      <c r="W42" s="56">
        <v>44574</v>
      </c>
      <c r="X42" s="56">
        <v>44575</v>
      </c>
      <c r="Y42" s="56">
        <v>44576</v>
      </c>
      <c r="Z42" s="56">
        <v>44577</v>
      </c>
      <c r="AA42" s="56">
        <v>44578</v>
      </c>
      <c r="AB42" s="56">
        <v>44579</v>
      </c>
      <c r="AC42" s="60">
        <v>44580</v>
      </c>
      <c r="AD42" s="56">
        <v>44581</v>
      </c>
      <c r="AE42" s="56">
        <v>44582</v>
      </c>
      <c r="AF42" s="56">
        <v>44583</v>
      </c>
      <c r="AG42" s="56">
        <v>44584</v>
      </c>
      <c r="AH42" s="56">
        <v>44585</v>
      </c>
      <c r="AI42" s="56">
        <v>44586</v>
      </c>
      <c r="AJ42" s="57">
        <v>44587</v>
      </c>
      <c r="AK42" s="56">
        <v>44588</v>
      </c>
      <c r="AL42" s="56">
        <v>44589</v>
      </c>
      <c r="AM42" s="56">
        <v>44590</v>
      </c>
      <c r="AN42" s="56">
        <v>44591</v>
      </c>
      <c r="AO42" s="56">
        <v>44561</v>
      </c>
      <c r="AP42" s="61"/>
    </row>
    <row r="43" outlineLevel="1">
      <c r="A43" s="233" t="s">
        <v>30</v>
      </c>
      <c r="B43" s="155" t="s">
        <v>0</v>
      </c>
      <c r="C43" s="64">
        <v>502.32196969696997</v>
      </c>
      <c r="D43" s="65">
        <f t="shared" ref="D43:D46" si="79">SUM(K43:AO43)</f>
        <v>223.80681818181819</v>
      </c>
      <c r="E43" s="117">
        <f>'[6]План пр-ва по единицам обор'!$E$77</f>
        <v>75</v>
      </c>
      <c r="F43" s="130">
        <f t="shared" ref="F43:F46" si="80">COUNTA(K43:AO43)</f>
        <v>3</v>
      </c>
      <c r="G43" s="80"/>
      <c r="H43" s="234"/>
      <c r="I43" s="82">
        <f t="shared" ref="I43:I46" si="81">(3+0.5)/60</f>
        <v>0.058333333333333334</v>
      </c>
      <c r="J43" s="235">
        <f t="shared" ref="J43:J46" si="82">SUM(G43:I43)</f>
        <v>0.058333333333333334</v>
      </c>
      <c r="K43" s="71"/>
      <c r="L43" s="72"/>
      <c r="M43" s="71"/>
      <c r="N43" s="73"/>
      <c r="O43" s="74">
        <f>$E43/11*(11-($H43+$I43))</f>
        <v>74.602272727272734</v>
      </c>
      <c r="P43" s="74">
        <f t="shared" ref="P43:P44" si="83">$E43/11*(11-($H43+$I43))</f>
        <v>74.602272727272734</v>
      </c>
      <c r="Q43" s="73"/>
      <c r="R43" s="73"/>
      <c r="S43" s="74">
        <f>$E43/11*(11-($H43+$I43))</f>
        <v>74.602272727272734</v>
      </c>
      <c r="T43" s="74"/>
      <c r="U43" s="73"/>
      <c r="V43" s="73"/>
      <c r="W43" s="74"/>
      <c r="X43" s="74"/>
      <c r="Y43" s="73"/>
      <c r="Z43" s="73"/>
      <c r="AA43" s="74"/>
      <c r="AB43" s="74"/>
      <c r="AC43" s="73"/>
      <c r="AD43" s="73"/>
      <c r="AE43" s="74"/>
      <c r="AF43" s="74"/>
      <c r="AG43" s="73"/>
      <c r="AH43" s="73"/>
      <c r="AI43" s="74"/>
      <c r="AJ43" s="74"/>
      <c r="AK43" s="73"/>
      <c r="AL43" s="73"/>
      <c r="AM43" s="74"/>
      <c r="AN43" s="74"/>
      <c r="AO43" s="73"/>
      <c r="AP43" s="61"/>
    </row>
    <row r="44" outlineLevel="1">
      <c r="A44" s="236"/>
      <c r="B44" s="159" t="s">
        <v>1</v>
      </c>
      <c r="C44" s="78">
        <v>452.0897727272727</v>
      </c>
      <c r="D44" s="79">
        <f t="shared" si="79"/>
        <v>149.20454545454547</v>
      </c>
      <c r="E44" s="117">
        <f t="shared" ref="E44:E46" si="84">E43</f>
        <v>75</v>
      </c>
      <c r="F44" s="130">
        <f t="shared" si="80"/>
        <v>2</v>
      </c>
      <c r="G44" s="80"/>
      <c r="H44" s="237"/>
      <c r="I44" s="82">
        <f t="shared" si="81"/>
        <v>0.058333333333333334</v>
      </c>
      <c r="J44" s="238">
        <f t="shared" si="82"/>
        <v>0.058333333333333334</v>
      </c>
      <c r="K44" s="72"/>
      <c r="L44" s="72"/>
      <c r="M44" s="72"/>
      <c r="N44" s="84"/>
      <c r="O44" s="73"/>
      <c r="P44" s="74">
        <f t="shared" si="83"/>
        <v>74.602272727272734</v>
      </c>
      <c r="Q44" s="74">
        <f>$E44/11*(11-($H44+$I44))</f>
        <v>74.602272727272734</v>
      </c>
      <c r="R44" s="84"/>
      <c r="S44" s="73"/>
      <c r="T44" s="74"/>
      <c r="U44" s="74"/>
      <c r="V44" s="84"/>
      <c r="W44" s="73"/>
      <c r="X44" s="74"/>
      <c r="Y44" s="74"/>
      <c r="Z44" s="84"/>
      <c r="AA44" s="73"/>
      <c r="AB44" s="74"/>
      <c r="AC44" s="74"/>
      <c r="AD44" s="84"/>
      <c r="AE44" s="73"/>
      <c r="AF44" s="74"/>
      <c r="AG44" s="74"/>
      <c r="AH44" s="84"/>
      <c r="AI44" s="73"/>
      <c r="AJ44" s="75"/>
      <c r="AK44" s="74"/>
      <c r="AL44" s="84"/>
      <c r="AM44" s="73"/>
      <c r="AN44" s="74"/>
      <c r="AO44" s="74"/>
      <c r="AP44" s="61"/>
    </row>
    <row r="45" outlineLevel="1">
      <c r="A45" s="236"/>
      <c r="B45" s="160" t="s">
        <v>2</v>
      </c>
      <c r="C45" s="131">
        <v>452.0897727272727</v>
      </c>
      <c r="D45" s="197">
        <f t="shared" si="79"/>
        <v>298.40909090909093</v>
      </c>
      <c r="E45" s="117">
        <f t="shared" si="84"/>
        <v>75</v>
      </c>
      <c r="F45" s="130">
        <f t="shared" si="80"/>
        <v>4</v>
      </c>
      <c r="G45" s="80"/>
      <c r="H45" s="237"/>
      <c r="I45" s="82">
        <f t="shared" si="81"/>
        <v>0.058333333333333334</v>
      </c>
      <c r="J45" s="238">
        <f t="shared" si="82"/>
        <v>0.058333333333333334</v>
      </c>
      <c r="K45" s="88"/>
      <c r="L45" s="72"/>
      <c r="M45" s="71"/>
      <c r="N45" s="74">
        <f t="shared" ref="N45:N46" si="85">$E45/11*(11-($H45+$I45))</f>
        <v>74.602272727272734</v>
      </c>
      <c r="O45" s="74">
        <f>$E45/11*(11-($H45+$I45))</f>
        <v>74.602272727272734</v>
      </c>
      <c r="P45" s="74"/>
      <c r="Q45" s="73"/>
      <c r="R45" s="74">
        <f t="shared" ref="R45:R46" si="86">$E45/11*(11-($H45+$I45))</f>
        <v>74.602272727272734</v>
      </c>
      <c r="S45" s="74">
        <f>$E45/11*(11-($H45+$I45))</f>
        <v>74.602272727272734</v>
      </c>
      <c r="T45" s="74"/>
      <c r="U45" s="73"/>
      <c r="V45" s="75"/>
      <c r="W45" s="74"/>
      <c r="X45" s="74"/>
      <c r="Y45" s="73"/>
      <c r="Z45" s="74"/>
      <c r="AA45" s="74"/>
      <c r="AB45" s="74"/>
      <c r="AC45" s="73"/>
      <c r="AD45" s="74"/>
      <c r="AE45" s="74"/>
      <c r="AF45" s="74"/>
      <c r="AG45" s="74"/>
      <c r="AH45" s="74"/>
      <c r="AI45" s="74"/>
      <c r="AJ45" s="74"/>
      <c r="AK45" s="73"/>
      <c r="AL45" s="74"/>
      <c r="AM45" s="74"/>
      <c r="AN45" s="74"/>
      <c r="AO45" s="73"/>
      <c r="AP45" s="61"/>
    </row>
    <row r="46" ht="13.5" outlineLevel="1">
      <c r="A46" s="239"/>
      <c r="B46" s="162" t="s">
        <v>3</v>
      </c>
      <c r="C46" s="131">
        <v>401.85757575757572</v>
      </c>
      <c r="D46" s="200">
        <f t="shared" si="79"/>
        <v>223.80681818181819</v>
      </c>
      <c r="E46" s="117">
        <f t="shared" si="84"/>
        <v>75</v>
      </c>
      <c r="F46" s="130">
        <f t="shared" si="80"/>
        <v>3</v>
      </c>
      <c r="G46" s="80"/>
      <c r="H46" s="240"/>
      <c r="I46" s="82">
        <f t="shared" si="81"/>
        <v>0.058333333333333334</v>
      </c>
      <c r="J46" s="241">
        <f t="shared" si="82"/>
        <v>0.058333333333333334</v>
      </c>
      <c r="K46" s="97"/>
      <c r="L46" s="72"/>
      <c r="M46" s="71"/>
      <c r="N46" s="74">
        <f t="shared" si="85"/>
        <v>74.602272727272734</v>
      </c>
      <c r="O46" s="98"/>
      <c r="P46" s="74"/>
      <c r="Q46" s="74">
        <f>$E46/11*(11-($H46+$I46))</f>
        <v>74.602272727272734</v>
      </c>
      <c r="R46" s="74">
        <f t="shared" si="86"/>
        <v>74.602272727272734</v>
      </c>
      <c r="S46" s="74"/>
      <c r="T46" s="74"/>
      <c r="U46" s="74"/>
      <c r="V46" s="74"/>
      <c r="W46" s="98"/>
      <c r="X46" s="74"/>
      <c r="Y46" s="74"/>
      <c r="Z46" s="74"/>
      <c r="AA46" s="98"/>
      <c r="AB46" s="74"/>
      <c r="AC46" s="75"/>
      <c r="AD46" s="74"/>
      <c r="AE46" s="98"/>
      <c r="AF46" s="74"/>
      <c r="AG46" s="74"/>
      <c r="AH46" s="74"/>
      <c r="AI46" s="98"/>
      <c r="AJ46" s="74"/>
      <c r="AK46" s="74"/>
      <c r="AL46" s="74"/>
      <c r="AM46" s="98"/>
      <c r="AN46" s="74"/>
      <c r="AO46" s="74"/>
      <c r="AP46" s="61"/>
    </row>
    <row r="47" s="220" customFormat="1" ht="20.449999999999999" customHeight="1">
      <c r="A47" s="221"/>
      <c r="B47" s="165" t="s">
        <v>18</v>
      </c>
      <c r="C47" s="102">
        <f>'[3]План пр-ва по единицам обор'!$K$80</f>
        <v>895.22727272727275</v>
      </c>
      <c r="D47" s="166">
        <f>SUM(D43:D46)</f>
        <v>895.22727272727275</v>
      </c>
      <c r="E47" s="242" t="s">
        <v>19</v>
      </c>
      <c r="F47" s="105">
        <f>SUM(F43:F46)</f>
        <v>12</v>
      </c>
      <c r="G47" s="224">
        <f>SUM(G43:G46)</f>
        <v>0</v>
      </c>
      <c r="H47" s="243">
        <f>SUM(H43:H46)</f>
        <v>0</v>
      </c>
      <c r="I47" s="244" t="s">
        <v>19</v>
      </c>
      <c r="J47" s="245">
        <f t="shared" ref="J47:N47" si="87">SUM(J43:J46)</f>
        <v>0.23333333333333334</v>
      </c>
      <c r="K47" s="231">
        <f t="shared" si="87"/>
        <v>0</v>
      </c>
      <c r="L47" s="229">
        <f t="shared" si="87"/>
        <v>0</v>
      </c>
      <c r="M47" s="229">
        <f t="shared" si="87"/>
        <v>0</v>
      </c>
      <c r="N47" s="229">
        <f t="shared" si="87"/>
        <v>149.20454545454547</v>
      </c>
      <c r="O47" s="229">
        <f>SUM(O43:O46)</f>
        <v>149.20454545454547</v>
      </c>
      <c r="P47" s="229">
        <f>SUM(P43:P46)</f>
        <v>149.20454545454547</v>
      </c>
      <c r="Q47" s="229">
        <f t="shared" ref="Q47:AO47" si="88">SUM(Q43:Q46)</f>
        <v>149.20454545454547</v>
      </c>
      <c r="R47" s="229">
        <f t="shared" si="88"/>
        <v>149.20454545454547</v>
      </c>
      <c r="S47" s="229">
        <f t="shared" si="88"/>
        <v>149.20454545454547</v>
      </c>
      <c r="T47" s="229">
        <f t="shared" si="88"/>
        <v>0</v>
      </c>
      <c r="U47" s="229">
        <f t="shared" si="88"/>
        <v>0</v>
      </c>
      <c r="V47" s="229">
        <f t="shared" si="88"/>
        <v>0</v>
      </c>
      <c r="W47" s="229">
        <f t="shared" si="88"/>
        <v>0</v>
      </c>
      <c r="X47" s="229">
        <f t="shared" si="88"/>
        <v>0</v>
      </c>
      <c r="Y47" s="230">
        <f t="shared" si="88"/>
        <v>0</v>
      </c>
      <c r="Z47" s="246">
        <f t="shared" si="88"/>
        <v>0</v>
      </c>
      <c r="AA47" s="228">
        <f t="shared" si="88"/>
        <v>0</v>
      </c>
      <c r="AB47" s="230">
        <f t="shared" si="88"/>
        <v>0</v>
      </c>
      <c r="AC47" s="144">
        <f t="shared" si="88"/>
        <v>0</v>
      </c>
      <c r="AD47" s="145">
        <f t="shared" si="88"/>
        <v>0</v>
      </c>
      <c r="AE47" s="145">
        <f t="shared" si="88"/>
        <v>0</v>
      </c>
      <c r="AF47" s="145">
        <f t="shared" si="88"/>
        <v>0</v>
      </c>
      <c r="AG47" s="145">
        <f t="shared" si="88"/>
        <v>0</v>
      </c>
      <c r="AH47" s="145">
        <f t="shared" si="88"/>
        <v>0</v>
      </c>
      <c r="AI47" s="145">
        <f t="shared" si="88"/>
        <v>0</v>
      </c>
      <c r="AJ47" s="145">
        <f t="shared" si="88"/>
        <v>0</v>
      </c>
      <c r="AK47" s="145">
        <f t="shared" si="88"/>
        <v>0</v>
      </c>
      <c r="AL47" s="145">
        <f t="shared" si="88"/>
        <v>0</v>
      </c>
      <c r="AM47" s="145">
        <f t="shared" si="88"/>
        <v>0</v>
      </c>
      <c r="AN47" s="145">
        <f t="shared" si="88"/>
        <v>0</v>
      </c>
      <c r="AO47" s="145">
        <f t="shared" si="88"/>
        <v>0</v>
      </c>
      <c r="AP47" s="61"/>
    </row>
    <row r="48" ht="19.5">
      <c r="A48" s="174" t="s">
        <v>31</v>
      </c>
      <c r="B48" s="174"/>
      <c r="D48" s="206">
        <f>D47-C47</f>
        <v>0</v>
      </c>
      <c r="E48" s="117"/>
      <c r="AP48" s="61"/>
    </row>
    <row r="49" ht="26.449999999999999" customHeight="1">
      <c r="A49" s="247" t="s">
        <v>32</v>
      </c>
      <c r="B49" s="247"/>
      <c r="D49" s="248" t="s">
        <v>33</v>
      </c>
      <c r="E49" s="51" t="s">
        <v>13</v>
      </c>
      <c r="F49" s="249" t="s">
        <v>14</v>
      </c>
      <c r="G49" s="211"/>
      <c r="H49" s="212"/>
      <c r="I49" s="212"/>
      <c r="J49" s="250"/>
      <c r="K49" s="56">
        <v>44562</v>
      </c>
      <c r="L49" s="56">
        <v>44563</v>
      </c>
      <c r="M49" s="56">
        <v>44564</v>
      </c>
      <c r="N49" s="56">
        <v>44565</v>
      </c>
      <c r="O49" s="56">
        <v>44566</v>
      </c>
      <c r="P49" s="56">
        <v>44567</v>
      </c>
      <c r="Q49" s="56">
        <v>44568</v>
      </c>
      <c r="R49" s="56">
        <v>44569</v>
      </c>
      <c r="S49" s="56">
        <v>44570</v>
      </c>
      <c r="T49" s="56">
        <v>44571</v>
      </c>
      <c r="U49" s="56">
        <v>44572</v>
      </c>
      <c r="V49" s="56">
        <v>44573</v>
      </c>
      <c r="W49" s="56">
        <v>44574</v>
      </c>
      <c r="X49" s="56">
        <v>44575</v>
      </c>
      <c r="Y49" s="56">
        <v>44576</v>
      </c>
      <c r="Z49" s="56">
        <v>44577</v>
      </c>
      <c r="AA49" s="56">
        <v>44578</v>
      </c>
      <c r="AB49" s="56">
        <v>44579</v>
      </c>
      <c r="AC49" s="56">
        <v>44580</v>
      </c>
      <c r="AD49" s="56">
        <v>44581</v>
      </c>
      <c r="AE49" s="56">
        <v>44582</v>
      </c>
      <c r="AF49" s="56">
        <v>44583</v>
      </c>
      <c r="AG49" s="56">
        <v>44584</v>
      </c>
      <c r="AH49" s="56">
        <v>44585</v>
      </c>
      <c r="AI49" s="56">
        <v>44586</v>
      </c>
      <c r="AJ49" s="56">
        <v>44587</v>
      </c>
      <c r="AK49" s="56">
        <v>44588</v>
      </c>
      <c r="AL49" s="56">
        <v>44589</v>
      </c>
      <c r="AM49" s="56">
        <v>44590</v>
      </c>
      <c r="AN49" s="56">
        <v>44591</v>
      </c>
      <c r="AO49" s="56">
        <v>44561</v>
      </c>
      <c r="AP49" s="61"/>
    </row>
    <row r="50" ht="17.449999999999999" customHeight="1" outlineLevel="1">
      <c r="A50" s="251" t="s">
        <v>34</v>
      </c>
      <c r="B50" s="116">
        <f>D47</f>
        <v>895.22727272727275</v>
      </c>
      <c r="C50" s="63" t="s">
        <v>0</v>
      </c>
      <c r="D50" s="65">
        <f>SUM(K50:AN50)</f>
        <v>314.44641818181805</v>
      </c>
      <c r="E50" s="252">
        <f t="shared" ref="E50:E53" si="89">E184*2*$B$56</f>
        <v>105.20792079207921</v>
      </c>
      <c r="F50" s="130">
        <f t="shared" ref="F50:F53" si="90">COUNTA(K50:AO50)</f>
        <v>15</v>
      </c>
      <c r="K50" s="253">
        <f>(B51-SUM(L50:AO53))</f>
        <v>29.037327272727111</v>
      </c>
      <c r="L50" s="254"/>
      <c r="M50" s="73"/>
      <c r="N50" s="254">
        <f>SUM(M45)*$B$56</f>
        <v>0</v>
      </c>
      <c r="O50" s="254">
        <f>SUM(N47)*$B$56</f>
        <v>142.70454545454547</v>
      </c>
      <c r="P50" s="73"/>
      <c r="Q50" s="73"/>
      <c r="R50" s="254">
        <f>SUM(Q45)*$B$56</f>
        <v>0</v>
      </c>
      <c r="S50" s="254">
        <f>SUM(R47)*$B$56</f>
        <v>142.70454545454547</v>
      </c>
      <c r="T50" s="73"/>
      <c r="U50" s="73"/>
      <c r="V50" s="254">
        <f t="shared" ref="V50:V52" si="91">SUM(U45)*$B$56</f>
        <v>0</v>
      </c>
      <c r="W50" s="254">
        <f>SUM(V47)*$B$56</f>
        <v>0</v>
      </c>
      <c r="X50" s="73"/>
      <c r="Y50" s="73"/>
      <c r="Z50" s="254">
        <f t="shared" ref="Z50:Z52" si="92">SUM(Y45)*$B$56</f>
        <v>0</v>
      </c>
      <c r="AA50" s="254">
        <f>SUM(Z47)*$B$56</f>
        <v>0</v>
      </c>
      <c r="AB50" s="73"/>
      <c r="AC50" s="73"/>
      <c r="AD50" s="254">
        <f t="shared" ref="AD50:AD52" si="93">SUM(AC45)*$B$56</f>
        <v>0</v>
      </c>
      <c r="AE50" s="254">
        <f>SUM(AD47)*$B$56</f>
        <v>0</v>
      </c>
      <c r="AF50" s="73"/>
      <c r="AG50" s="73"/>
      <c r="AH50" s="254">
        <f t="shared" ref="AH50:AH52" si="94">SUM(AG45)*$B$56</f>
        <v>0</v>
      </c>
      <c r="AI50" s="254">
        <f>SUM(AH47)*$B$56</f>
        <v>0</v>
      </c>
      <c r="AJ50" s="73"/>
      <c r="AK50" s="73"/>
      <c r="AL50" s="254">
        <f t="shared" ref="AL50:AL52" si="95">SUM(AK45)*$B$56</f>
        <v>0</v>
      </c>
      <c r="AM50" s="254">
        <f>SUM(AL47)*$B$56</f>
        <v>0</v>
      </c>
      <c r="AN50" s="73"/>
      <c r="AO50" s="73"/>
      <c r="AP50" s="122"/>
      <c r="AQ50" s="24"/>
    </row>
    <row r="51" ht="19.149999999999999" customHeight="1" outlineLevel="1">
      <c r="A51" s="251" t="s">
        <v>35</v>
      </c>
      <c r="B51" s="255">
        <f>'[3]Спецификация пр-ва'!$AC$532</f>
        <v>885.26459999999997</v>
      </c>
      <c r="C51" s="77" t="s">
        <v>1</v>
      </c>
      <c r="D51" s="79">
        <f t="shared" ref="D51:D53" si="96">SUM(K51:AO51)</f>
        <v>285.40909090909093</v>
      </c>
      <c r="E51" s="252">
        <f t="shared" si="89"/>
        <v>105.20792079207921</v>
      </c>
      <c r="F51" s="130">
        <f t="shared" si="90"/>
        <v>15</v>
      </c>
      <c r="K51" s="256"/>
      <c r="L51" s="254">
        <f>SUM(K44)*$B$56</f>
        <v>0</v>
      </c>
      <c r="M51" s="73"/>
      <c r="N51" s="84"/>
      <c r="O51" s="254">
        <f>SUM(N43)*$B$56</f>
        <v>0</v>
      </c>
      <c r="P51" s="254">
        <f>SUM(O47)*$B$56</f>
        <v>142.70454545454547</v>
      </c>
      <c r="Q51" s="73"/>
      <c r="R51" s="84"/>
      <c r="S51" s="254">
        <f>SUM(R43)*$B$56</f>
        <v>0</v>
      </c>
      <c r="T51" s="254">
        <f>SUM(S47)*$B$56</f>
        <v>142.70454545454547</v>
      </c>
      <c r="U51" s="73"/>
      <c r="V51" s="84"/>
      <c r="W51" s="254">
        <f>SUM(V43)*$B$56</f>
        <v>0</v>
      </c>
      <c r="X51" s="254">
        <f>SUM(W47)*$B$56</f>
        <v>0</v>
      </c>
      <c r="Y51" s="73"/>
      <c r="Z51" s="84"/>
      <c r="AA51" s="254">
        <f>SUM(Z43)*$B$56</f>
        <v>0</v>
      </c>
      <c r="AB51" s="254">
        <f>SUM(AA47)*$B$56</f>
        <v>0</v>
      </c>
      <c r="AC51" s="73"/>
      <c r="AD51" s="84"/>
      <c r="AE51" s="254">
        <f>SUM(AD43)*$B$56</f>
        <v>0</v>
      </c>
      <c r="AF51" s="254">
        <f>SUM(AE47)*$B$56</f>
        <v>0</v>
      </c>
      <c r="AG51" s="73"/>
      <c r="AH51" s="84"/>
      <c r="AI51" s="254">
        <f>SUM(AH43)*$B$56</f>
        <v>0</v>
      </c>
      <c r="AJ51" s="254">
        <f>SUM(AI47)*$B$56</f>
        <v>0</v>
      </c>
      <c r="AK51" s="73"/>
      <c r="AL51" s="84"/>
      <c r="AM51" s="254">
        <f>SUM(AL43)*$B$56</f>
        <v>0</v>
      </c>
      <c r="AN51" s="254">
        <f>SUM(AM47)*$B$56</f>
        <v>0</v>
      </c>
      <c r="AO51" s="73"/>
      <c r="AP51" s="61"/>
      <c r="AQ51" s="24"/>
    </row>
    <row r="52" ht="17.449999999999999" customHeight="1" outlineLevel="1">
      <c r="A52" s="251"/>
      <c r="B52" s="116"/>
      <c r="C52" s="85" t="s">
        <v>2</v>
      </c>
      <c r="D52" s="197">
        <f t="shared" si="96"/>
        <v>142.70454545454547</v>
      </c>
      <c r="E52" s="252">
        <f t="shared" si="89"/>
        <v>105.20792079207921</v>
      </c>
      <c r="F52" s="130">
        <f t="shared" si="90"/>
        <v>15</v>
      </c>
      <c r="K52" s="257"/>
      <c r="L52" s="254"/>
      <c r="M52" s="254">
        <f>SUM(L46)*$B$56</f>
        <v>0</v>
      </c>
      <c r="N52" s="254">
        <f>SUM(M46)*$B$56</f>
        <v>0</v>
      </c>
      <c r="O52" s="258"/>
      <c r="P52" s="74"/>
      <c r="Q52" s="254">
        <f t="shared" ref="Q52:Q53" si="97">SUM(P46)*$B$56</f>
        <v>0</v>
      </c>
      <c r="R52" s="254">
        <f>SUM(Q47)*$B$56</f>
        <v>142.70454545454547</v>
      </c>
      <c r="S52" s="258"/>
      <c r="T52" s="74"/>
      <c r="U52" s="254">
        <f t="shared" ref="U52:U53" si="98">SUM(T46)*$B$56</f>
        <v>0</v>
      </c>
      <c r="V52" s="254">
        <f t="shared" si="91"/>
        <v>0</v>
      </c>
      <c r="W52" s="258"/>
      <c r="X52" s="74"/>
      <c r="Y52" s="254">
        <f t="shared" ref="Y52:Y53" si="99">SUM(X46)*$B$56</f>
        <v>0</v>
      </c>
      <c r="Z52" s="254">
        <f t="shared" si="92"/>
        <v>0</v>
      </c>
      <c r="AA52" s="258"/>
      <c r="AB52" s="74"/>
      <c r="AC52" s="254">
        <f t="shared" ref="AC52:AC53" si="100">SUM(AB46)*$B$56</f>
        <v>0</v>
      </c>
      <c r="AD52" s="254">
        <f t="shared" si="93"/>
        <v>0</v>
      </c>
      <c r="AE52" s="258"/>
      <c r="AF52" s="74"/>
      <c r="AG52" s="254">
        <f t="shared" ref="AG52:AG53" si="101">SUM(AF46)*$B$56</f>
        <v>0</v>
      </c>
      <c r="AH52" s="254">
        <f t="shared" si="94"/>
        <v>0</v>
      </c>
      <c r="AI52" s="258"/>
      <c r="AJ52" s="74"/>
      <c r="AK52" s="254">
        <f t="shared" ref="AK52:AK53" si="102">SUM(AJ46)*$B$56</f>
        <v>0</v>
      </c>
      <c r="AL52" s="254">
        <f t="shared" si="95"/>
        <v>0</v>
      </c>
      <c r="AM52" s="258"/>
      <c r="AN52" s="74"/>
      <c r="AO52" s="254">
        <f t="shared" ref="AO52:AO53" si="103">SUM(AN46)*$B$56</f>
        <v>0</v>
      </c>
      <c r="AP52" s="122"/>
      <c r="AQ52" s="24"/>
    </row>
    <row r="53" ht="19.149999999999999" customHeight="1" outlineLevel="1">
      <c r="A53" s="251"/>
      <c r="B53" s="255"/>
      <c r="C53" s="90" t="s">
        <v>3</v>
      </c>
      <c r="D53" s="200">
        <f t="shared" si="96"/>
        <v>142.70454545454547</v>
      </c>
      <c r="E53" s="252">
        <f t="shared" si="89"/>
        <v>105.20792079207921</v>
      </c>
      <c r="F53" s="130">
        <f t="shared" si="90"/>
        <v>16</v>
      </c>
      <c r="K53" s="259"/>
      <c r="L53" s="254">
        <f>SUM(K43)*$B$56</f>
        <v>0</v>
      </c>
      <c r="M53" s="254">
        <f>SUM(L44)*$B$56</f>
        <v>0</v>
      </c>
      <c r="N53" s="75"/>
      <c r="O53" s="98"/>
      <c r="P53" s="254">
        <f>SUM(O44)*$B$56</f>
        <v>0</v>
      </c>
      <c r="Q53" s="254">
        <f t="shared" si="97"/>
        <v>142.70454545454547</v>
      </c>
      <c r="R53" s="75"/>
      <c r="S53" s="98"/>
      <c r="T53" s="254">
        <f>SUM(S44)*$B$56</f>
        <v>0</v>
      </c>
      <c r="U53" s="254">
        <f t="shared" si="98"/>
        <v>0</v>
      </c>
      <c r="V53" s="75"/>
      <c r="W53" s="98"/>
      <c r="X53" s="254">
        <f>SUM(W44)*$B$56</f>
        <v>0</v>
      </c>
      <c r="Y53" s="254">
        <f t="shared" si="99"/>
        <v>0</v>
      </c>
      <c r="Z53" s="75"/>
      <c r="AA53" s="98"/>
      <c r="AB53" s="254">
        <f>SUM(AA44)*$B$56</f>
        <v>0</v>
      </c>
      <c r="AC53" s="254">
        <f t="shared" si="100"/>
        <v>0</v>
      </c>
      <c r="AD53" s="75"/>
      <c r="AE53" s="98"/>
      <c r="AF53" s="254">
        <f>SUM(AE44)*$B$56</f>
        <v>0</v>
      </c>
      <c r="AG53" s="254">
        <f t="shared" si="101"/>
        <v>0</v>
      </c>
      <c r="AH53" s="75"/>
      <c r="AI53" s="98"/>
      <c r="AJ53" s="254">
        <f>SUM(AI44)*$B$56</f>
        <v>0</v>
      </c>
      <c r="AK53" s="254">
        <f t="shared" si="102"/>
        <v>0</v>
      </c>
      <c r="AL53" s="75"/>
      <c r="AM53" s="98"/>
      <c r="AN53" s="254">
        <f>SUM(AM44)*$B$56</f>
        <v>0</v>
      </c>
      <c r="AO53" s="254">
        <f t="shared" si="103"/>
        <v>0</v>
      </c>
      <c r="AP53" s="61"/>
      <c r="AQ53" s="24"/>
    </row>
    <row r="54" ht="19.149999999999999" customHeight="1">
      <c r="A54" s="251" t="s">
        <v>36</v>
      </c>
      <c r="B54" s="206">
        <f>'[6]Спецификация пр-ва'!$AB$528+'[6]Спецификация пр-ва'!$AC$530</f>
        <v>39</v>
      </c>
      <c r="C54" s="102"/>
      <c r="D54" s="103">
        <f>SUM(D50:D53)</f>
        <v>885.26459999999997</v>
      </c>
      <c r="E54" s="260" t="s">
        <v>19</v>
      </c>
      <c r="F54" s="261">
        <f>F50+F51</f>
        <v>30</v>
      </c>
      <c r="G54" s="262"/>
      <c r="H54" s="263"/>
      <c r="I54" s="263"/>
      <c r="J54" s="263"/>
      <c r="K54" s="264">
        <f>SUM(K50:K53)</f>
        <v>29.037327272727111</v>
      </c>
      <c r="L54" s="264">
        <f t="shared" ref="L54:AO54" si="104">SUM(L50:L53)</f>
        <v>0</v>
      </c>
      <c r="M54" s="264">
        <f t="shared" si="104"/>
        <v>0</v>
      </c>
      <c r="N54" s="264">
        <f t="shared" si="104"/>
        <v>0</v>
      </c>
      <c r="O54" s="264">
        <f t="shared" si="104"/>
        <v>142.70454545454547</v>
      </c>
      <c r="P54" s="264">
        <f>SUM(P50:P53)</f>
        <v>142.70454545454547</v>
      </c>
      <c r="Q54" s="264">
        <f t="shared" si="104"/>
        <v>142.70454545454547</v>
      </c>
      <c r="R54" s="264">
        <f>SUM(R50:R53)</f>
        <v>142.70454545454547</v>
      </c>
      <c r="S54" s="264">
        <f t="shared" si="104"/>
        <v>142.70454545454547</v>
      </c>
      <c r="T54" s="264">
        <f t="shared" si="104"/>
        <v>142.70454545454547</v>
      </c>
      <c r="U54" s="264">
        <f t="shared" si="104"/>
        <v>0</v>
      </c>
      <c r="V54" s="264">
        <f t="shared" si="104"/>
        <v>0</v>
      </c>
      <c r="W54" s="264">
        <f t="shared" si="104"/>
        <v>0</v>
      </c>
      <c r="X54" s="264">
        <f t="shared" si="104"/>
        <v>0</v>
      </c>
      <c r="Y54" s="264">
        <f t="shared" si="104"/>
        <v>0</v>
      </c>
      <c r="Z54" s="264">
        <f t="shared" si="104"/>
        <v>0</v>
      </c>
      <c r="AA54" s="264">
        <f t="shared" si="104"/>
        <v>0</v>
      </c>
      <c r="AB54" s="264">
        <f t="shared" si="104"/>
        <v>0</v>
      </c>
      <c r="AC54" s="264">
        <f t="shared" si="104"/>
        <v>0</v>
      </c>
      <c r="AD54" s="264">
        <f t="shared" si="104"/>
        <v>0</v>
      </c>
      <c r="AE54" s="264">
        <f t="shared" si="104"/>
        <v>0</v>
      </c>
      <c r="AF54" s="264">
        <f t="shared" si="104"/>
        <v>0</v>
      </c>
      <c r="AG54" s="264">
        <f t="shared" si="104"/>
        <v>0</v>
      </c>
      <c r="AH54" s="264">
        <f t="shared" si="104"/>
        <v>0</v>
      </c>
      <c r="AI54" s="264">
        <f t="shared" si="104"/>
        <v>0</v>
      </c>
      <c r="AJ54" s="264">
        <f t="shared" si="104"/>
        <v>0</v>
      </c>
      <c r="AK54" s="264">
        <f t="shared" si="104"/>
        <v>0</v>
      </c>
      <c r="AL54" s="264">
        <f t="shared" si="104"/>
        <v>0</v>
      </c>
      <c r="AM54" s="264">
        <f t="shared" si="104"/>
        <v>0</v>
      </c>
      <c r="AN54" s="264">
        <f t="shared" si="104"/>
        <v>0</v>
      </c>
      <c r="AO54" s="264">
        <f t="shared" si="104"/>
        <v>0</v>
      </c>
      <c r="AP54" s="61"/>
    </row>
    <row r="55">
      <c r="B55" s="265">
        <f>B54/B50</f>
        <v>0.043564356435643561</v>
      </c>
      <c r="C55" s="266"/>
      <c r="D55" s="267">
        <f>D54-B51</f>
        <v>0</v>
      </c>
      <c r="E55" s="268"/>
      <c r="F55" s="268"/>
      <c r="G55" s="66"/>
      <c r="H55" s="268"/>
      <c r="I55" s="268"/>
      <c r="J55" s="268"/>
      <c r="K55" s="268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P55" s="61"/>
    </row>
    <row r="56" ht="18.600000000000001" customHeight="1">
      <c r="A56" s="251" t="s">
        <v>35</v>
      </c>
      <c r="B56" s="269">
        <f>100%-B55</f>
        <v>0.9564356435643564</v>
      </c>
      <c r="C56" s="270">
        <f>SUM(K47:AN47)/B51</f>
        <v>1.0112538925958101</v>
      </c>
      <c r="E56" s="66"/>
      <c r="H56" s="271"/>
      <c r="I56" s="271"/>
      <c r="J56" s="272"/>
      <c r="K56" s="273" t="s">
        <v>37</v>
      </c>
      <c r="L56" s="274"/>
      <c r="M56" s="275">
        <f>SUM(N47:AN47)*B56</f>
        <v>856.22727272727286</v>
      </c>
      <c r="O56" s="276">
        <f>M56+ЦПКФ!B104</f>
        <v>6392.8943304632739</v>
      </c>
      <c r="AC56" s="277"/>
      <c r="AD56" s="277"/>
      <c r="AE56" s="277"/>
      <c r="AF56" s="277"/>
      <c r="AG56" s="277"/>
      <c r="AH56" s="277"/>
      <c r="AI56" s="277"/>
      <c r="AJ56" s="277"/>
      <c r="AK56" s="277"/>
      <c r="AL56" s="277"/>
      <c r="AM56" s="277"/>
      <c r="AN56" s="277"/>
      <c r="AO56" s="277"/>
      <c r="AP56" s="277">
        <f>SUM(K50:AG51)</f>
        <v>599.85550909090898</v>
      </c>
      <c r="AQ56" s="42">
        <f>B51-AP56</f>
        <v>285.40909090909099</v>
      </c>
    </row>
    <row r="57" ht="17.449999999999999" customHeight="1">
      <c r="B57" s="269"/>
      <c r="D57" s="206"/>
      <c r="J57" s="274" t="s">
        <v>38</v>
      </c>
      <c r="K57" s="273"/>
      <c r="L57" s="273"/>
      <c r="M57" s="273">
        <f>M56-B51</f>
        <v>-29.037327272727111</v>
      </c>
      <c r="N57" s="268"/>
      <c r="O57" s="268"/>
      <c r="P57" s="268"/>
      <c r="Q57" s="268"/>
      <c r="R57" s="268"/>
      <c r="S57" s="268"/>
      <c r="T57" s="268"/>
      <c r="U57" s="268"/>
      <c r="V57" s="268"/>
      <c r="W57" s="268"/>
      <c r="X57" s="268"/>
      <c r="Y57" s="268"/>
      <c r="Z57" s="268"/>
      <c r="AA57" s="268"/>
      <c r="AB57" s="268"/>
      <c r="AC57" s="268"/>
      <c r="AD57" s="268"/>
      <c r="AE57" s="268"/>
      <c r="AF57" s="268"/>
      <c r="AG57" s="268"/>
      <c r="AH57" s="268"/>
      <c r="AI57" s="268"/>
      <c r="AJ57" s="268"/>
      <c r="AK57" s="268"/>
      <c r="AL57" s="268"/>
      <c r="AM57" s="268"/>
      <c r="AN57" s="268"/>
      <c r="AO57" s="268"/>
      <c r="AP57" s="277">
        <f>SUM(AG43:AN46)</f>
        <v>0</v>
      </c>
    </row>
    <row r="58" s="24" customFormat="1" ht="13.5">
      <c r="C58" s="25"/>
      <c r="D58" s="25"/>
      <c r="E58" s="26"/>
      <c r="F58" s="25"/>
      <c r="G58" s="25"/>
      <c r="K58" s="268" t="s">
        <v>39</v>
      </c>
      <c r="L58" s="268"/>
      <c r="M58" s="278">
        <v>194.70294000000001</v>
      </c>
      <c r="N58" s="268"/>
      <c r="O58" s="268"/>
      <c r="P58" s="268"/>
      <c r="Q58" s="268"/>
      <c r="R58" s="268"/>
      <c r="S58" s="268"/>
      <c r="T58" s="268"/>
      <c r="U58" s="268"/>
      <c r="V58" s="268"/>
      <c r="W58" s="268"/>
      <c r="X58" s="268"/>
      <c r="Y58" s="268"/>
      <c r="Z58" s="268"/>
      <c r="AA58" s="268"/>
      <c r="AB58" s="268"/>
      <c r="AC58" s="268"/>
      <c r="AD58" s="268"/>
      <c r="AE58" s="268"/>
      <c r="AF58" s="268"/>
      <c r="AG58" s="268"/>
      <c r="AH58" s="268"/>
      <c r="AI58" s="268"/>
      <c r="AJ58" s="268"/>
      <c r="AK58" s="268"/>
      <c r="AL58" s="268"/>
      <c r="AM58" s="268"/>
      <c r="AN58" s="268"/>
      <c r="AO58" s="268"/>
      <c r="AP58" s="277"/>
    </row>
    <row r="59" ht="19.5">
      <c r="A59" s="43" t="s">
        <v>40</v>
      </c>
      <c r="B59" s="43"/>
      <c r="K59" s="24"/>
      <c r="L59" s="24"/>
      <c r="M59" s="24"/>
      <c r="N59" s="24"/>
      <c r="O59" s="24"/>
      <c r="AP59" s="277"/>
    </row>
    <row r="60" s="46" customFormat="1" ht="33.600000000000001" customHeight="1" outlineLevel="1">
      <c r="A60" s="47" t="s">
        <v>41</v>
      </c>
      <c r="B60" s="48"/>
      <c r="C60" s="49" t="s">
        <v>11</v>
      </c>
      <c r="D60" s="50" t="s">
        <v>12</v>
      </c>
      <c r="E60" s="51" t="s">
        <v>13</v>
      </c>
      <c r="F60" s="52" t="s">
        <v>14</v>
      </c>
      <c r="G60" s="151" t="s">
        <v>15</v>
      </c>
      <c r="H60" s="152" t="s">
        <v>16</v>
      </c>
      <c r="I60" s="152" t="s">
        <v>17</v>
      </c>
      <c r="J60" s="153" t="s">
        <v>18</v>
      </c>
      <c r="K60" s="56">
        <v>44562</v>
      </c>
      <c r="L60" s="56">
        <v>44563</v>
      </c>
      <c r="M60" s="56">
        <v>44564</v>
      </c>
      <c r="N60" s="59">
        <v>44565</v>
      </c>
      <c r="O60" s="56">
        <v>44566</v>
      </c>
      <c r="P60" s="56">
        <v>44567</v>
      </c>
      <c r="Q60" s="56">
        <v>44568</v>
      </c>
      <c r="R60" s="56">
        <v>44569</v>
      </c>
      <c r="S60" s="56">
        <v>44570</v>
      </c>
      <c r="T60" s="56">
        <v>44571</v>
      </c>
      <c r="U60" s="60">
        <v>44572</v>
      </c>
      <c r="V60" s="56">
        <v>44573</v>
      </c>
      <c r="W60" s="56">
        <v>44574</v>
      </c>
      <c r="X60" s="56">
        <v>44575</v>
      </c>
      <c r="Y60" s="56">
        <v>44576</v>
      </c>
      <c r="Z60" s="56">
        <v>44577</v>
      </c>
      <c r="AA60" s="56">
        <v>44578</v>
      </c>
      <c r="AB60" s="57">
        <v>44579</v>
      </c>
      <c r="AC60" s="56">
        <v>44580</v>
      </c>
      <c r="AD60" s="56">
        <v>44581</v>
      </c>
      <c r="AE60" s="56">
        <v>44582</v>
      </c>
      <c r="AF60" s="56">
        <v>44583</v>
      </c>
      <c r="AG60" s="56">
        <v>44584</v>
      </c>
      <c r="AH60" s="56">
        <v>44585</v>
      </c>
      <c r="AI60" s="58">
        <v>44586</v>
      </c>
      <c r="AJ60" s="56">
        <v>44587</v>
      </c>
      <c r="AK60" s="56">
        <v>44588</v>
      </c>
      <c r="AL60" s="56">
        <v>44589</v>
      </c>
      <c r="AM60" s="56">
        <v>44590</v>
      </c>
      <c r="AN60" s="56">
        <v>44591</v>
      </c>
      <c r="AO60" s="56">
        <v>44561</v>
      </c>
      <c r="AP60" s="277"/>
    </row>
    <row r="61" outlineLevel="2">
      <c r="A61" s="62" t="s">
        <v>42</v>
      </c>
      <c r="B61" s="63" t="s">
        <v>0</v>
      </c>
      <c r="C61" s="64">
        <f t="shared" ref="C61:C64" si="105">$C$65/$F$65*F61</f>
        <v>20223.045454545456</v>
      </c>
      <c r="D61" s="65">
        <f>SUM(K61:AN61)</f>
        <v>19473.242424242424</v>
      </c>
      <c r="E61" s="66">
        <f>'[6]План пр-ва по единицам обор'!$F$62</f>
        <v>1700</v>
      </c>
      <c r="F61" s="130">
        <f t="shared" ref="F61:F64" si="106">COUNTA(K61:AO61)</f>
        <v>14</v>
      </c>
      <c r="G61" s="80">
        <v>6</v>
      </c>
      <c r="H61" s="81">
        <f t="shared" ref="H61:H64" si="107">68.9/60</f>
        <v>1.1483333333333334</v>
      </c>
      <c r="I61" s="81">
        <f t="shared" ref="I61:I71" si="108">(8.5+1)/60</f>
        <v>0.15833333333333333</v>
      </c>
      <c r="J61" s="83">
        <f t="shared" ref="J61:J64" si="109">SUM(G61:I61)</f>
        <v>7.3066666666666666</v>
      </c>
      <c r="K61" s="71"/>
      <c r="L61" s="72"/>
      <c r="M61" s="71"/>
      <c r="N61" s="73"/>
      <c r="O61" s="75">
        <f>$E61/11*(11-($G61+$I61))</f>
        <v>748.25757575757575</v>
      </c>
      <c r="P61" s="74">
        <f t="shared" ref="P61:Q62" si="110">$E61/11*(11-($H61+$I61))</f>
        <v>1498.060606060606</v>
      </c>
      <c r="Q61" s="73"/>
      <c r="R61" s="73"/>
      <c r="S61" s="74">
        <f t="shared" ref="S61:U62" si="111">$E61/11*(11-($H61+$I61))</f>
        <v>1498.060606060606</v>
      </c>
      <c r="T61" s="74">
        <f t="shared" si="111"/>
        <v>1498.060606060606</v>
      </c>
      <c r="U61" s="73"/>
      <c r="V61" s="73"/>
      <c r="W61" s="74">
        <f t="shared" ref="W61:Y63" si="112">$E61/11*(11-($H61+$I61))</f>
        <v>1498.060606060606</v>
      </c>
      <c r="X61" s="74">
        <f t="shared" si="112"/>
        <v>1498.060606060606</v>
      </c>
      <c r="Y61" s="73"/>
      <c r="Z61" s="73"/>
      <c r="AA61" s="74">
        <f t="shared" ref="AA61:AO64" si="113">$E61/11*(11-($H61+$I61))</f>
        <v>1498.060606060606</v>
      </c>
      <c r="AB61" s="74">
        <f t="shared" si="113"/>
        <v>1498.060606060606</v>
      </c>
      <c r="AC61" s="73"/>
      <c r="AD61" s="73"/>
      <c r="AE61" s="74">
        <f t="shared" ref="AE61:AG62" si="114">$E61/11*(11-($H61+$I61))</f>
        <v>1498.060606060606</v>
      </c>
      <c r="AF61" s="74">
        <f t="shared" si="114"/>
        <v>1498.060606060606</v>
      </c>
      <c r="AG61" s="73"/>
      <c r="AH61" s="73"/>
      <c r="AI61" s="75">
        <f>$E61/11*(11-($G61+$I61))</f>
        <v>748.25757575757575</v>
      </c>
      <c r="AJ61" s="74">
        <f t="shared" ref="AJ61:AK62" si="115">$E61/11*(11-($H61+$I61))</f>
        <v>1498.060606060606</v>
      </c>
      <c r="AK61" s="73"/>
      <c r="AL61" s="73"/>
      <c r="AM61" s="74">
        <f t="shared" ref="AM61:AO62" si="116">$E61/11*(11-($H61+$I61))</f>
        <v>1498.060606060606</v>
      </c>
      <c r="AN61" s="74">
        <f t="shared" si="116"/>
        <v>1498.060606060606</v>
      </c>
      <c r="AO61" s="73"/>
      <c r="AP61" s="279">
        <f t="shared" ref="AP61:AP64" si="117">D61/$AQ$61</f>
        <v>77.274771524771523</v>
      </c>
      <c r="AQ61" s="24">
        <f>'[7]План пр-ва по единицам обор'!$F$62/'[7]План пр-ва по единицам обор'!$E$62</f>
        <v>252</v>
      </c>
    </row>
    <row r="62" outlineLevel="2">
      <c r="A62" s="76"/>
      <c r="B62" s="77" t="s">
        <v>1</v>
      </c>
      <c r="C62" s="78">
        <f t="shared" si="105"/>
        <v>20223.045454545456</v>
      </c>
      <c r="D62" s="79">
        <f t="shared" ref="D62:D64" si="118">SUM(K62:AO62)</f>
        <v>20223.045454545456</v>
      </c>
      <c r="E62" s="66">
        <f t="shared" ref="E62:E64" si="119">E61</f>
        <v>1700</v>
      </c>
      <c r="F62" s="130">
        <f t="shared" si="106"/>
        <v>14</v>
      </c>
      <c r="G62" s="80">
        <v>6</v>
      </c>
      <c r="H62" s="81">
        <f t="shared" si="107"/>
        <v>1.1483333333333334</v>
      </c>
      <c r="I62" s="81">
        <f t="shared" si="108"/>
        <v>0.15833333333333333</v>
      </c>
      <c r="J62" s="83">
        <f t="shared" si="109"/>
        <v>7.3066666666666666</v>
      </c>
      <c r="K62" s="72"/>
      <c r="L62" s="72"/>
      <c r="M62" s="72"/>
      <c r="N62" s="84"/>
      <c r="O62" s="73"/>
      <c r="P62" s="74">
        <f t="shared" si="110"/>
        <v>1498.060606060606</v>
      </c>
      <c r="Q62" s="74">
        <f t="shared" si="110"/>
        <v>1498.060606060606</v>
      </c>
      <c r="R62" s="84"/>
      <c r="S62" s="73"/>
      <c r="T62" s="74">
        <f t="shared" si="111"/>
        <v>1498.060606060606</v>
      </c>
      <c r="U62" s="74">
        <f t="shared" si="111"/>
        <v>1498.060606060606</v>
      </c>
      <c r="V62" s="84"/>
      <c r="W62" s="73"/>
      <c r="X62" s="74">
        <f t="shared" si="112"/>
        <v>1498.060606060606</v>
      </c>
      <c r="Y62" s="74">
        <f t="shared" si="112"/>
        <v>1498.060606060606</v>
      </c>
      <c r="Z62" s="84"/>
      <c r="AA62" s="73"/>
      <c r="AB62" s="75">
        <f>$E62/11*(11-($G62+$I62))</f>
        <v>748.25757575757575</v>
      </c>
      <c r="AC62" s="74">
        <f t="shared" si="113"/>
        <v>1498.060606060606</v>
      </c>
      <c r="AD62" s="84"/>
      <c r="AE62" s="73"/>
      <c r="AF62" s="74">
        <f t="shared" si="114"/>
        <v>1498.060606060606</v>
      </c>
      <c r="AG62" s="74">
        <f t="shared" si="114"/>
        <v>1498.060606060606</v>
      </c>
      <c r="AH62" s="84"/>
      <c r="AI62" s="73"/>
      <c r="AJ62" s="74">
        <f t="shared" si="115"/>
        <v>1498.060606060606</v>
      </c>
      <c r="AK62" s="74">
        <f t="shared" si="115"/>
        <v>1498.060606060606</v>
      </c>
      <c r="AL62" s="84"/>
      <c r="AM62" s="73"/>
      <c r="AN62" s="74">
        <f t="shared" si="116"/>
        <v>1498.060606060606</v>
      </c>
      <c r="AO62" s="74">
        <f t="shared" si="116"/>
        <v>1498.060606060606</v>
      </c>
      <c r="AP62" s="279">
        <f t="shared" si="117"/>
        <v>80.250180375180378</v>
      </c>
    </row>
    <row r="63" outlineLevel="2">
      <c r="A63" s="76"/>
      <c r="B63" s="85" t="s">
        <v>2</v>
      </c>
      <c r="C63" s="131">
        <f t="shared" si="105"/>
        <v>20223.045454545456</v>
      </c>
      <c r="D63" s="197">
        <f t="shared" si="118"/>
        <v>20972.848484848488</v>
      </c>
      <c r="E63" s="66">
        <f t="shared" si="119"/>
        <v>1700</v>
      </c>
      <c r="F63" s="130">
        <f t="shared" si="106"/>
        <v>14</v>
      </c>
      <c r="G63" s="80">
        <v>6</v>
      </c>
      <c r="H63" s="81">
        <f t="shared" si="107"/>
        <v>1.1483333333333334</v>
      </c>
      <c r="I63" s="81">
        <f t="shared" si="108"/>
        <v>0.15833333333333333</v>
      </c>
      <c r="J63" s="83">
        <f t="shared" si="109"/>
        <v>7.3066666666666666</v>
      </c>
      <c r="K63" s="88"/>
      <c r="L63" s="72"/>
      <c r="M63" s="71"/>
      <c r="N63" s="74">
        <f t="shared" ref="N63:Z64" si="120">$E63/11*(11-($H63+$I63))</f>
        <v>1498.060606060606</v>
      </c>
      <c r="O63" s="74">
        <f>$E63/11*(11-($H63+$I63))</f>
        <v>1498.060606060606</v>
      </c>
      <c r="P63" s="74"/>
      <c r="Q63" s="73"/>
      <c r="R63" s="74">
        <f t="shared" ref="R63:S63" si="121">$E63/11*(11-($H63+$I63))</f>
        <v>1498.060606060606</v>
      </c>
      <c r="S63" s="74">
        <f t="shared" si="121"/>
        <v>1498.060606060606</v>
      </c>
      <c r="T63" s="74"/>
      <c r="U63" s="73"/>
      <c r="V63" s="74">
        <f>$E63/11*(11-($H63+$I63))</f>
        <v>1498.060606060606</v>
      </c>
      <c r="W63" s="74">
        <f t="shared" si="112"/>
        <v>1498.060606060606</v>
      </c>
      <c r="X63" s="74"/>
      <c r="Y63" s="73"/>
      <c r="Z63" s="74">
        <f t="shared" ref="Z63:AA63" si="122">$E63/11*(11-($H63+$I63))</f>
        <v>1498.060606060606</v>
      </c>
      <c r="AA63" s="74">
        <f t="shared" si="122"/>
        <v>1498.060606060606</v>
      </c>
      <c r="AB63" s="74"/>
      <c r="AC63" s="73"/>
      <c r="AD63" s="74">
        <f t="shared" ref="AD63:AE63" si="123">$E63/11*(11-($H63+$I63))</f>
        <v>1498.060606060606</v>
      </c>
      <c r="AE63" s="74">
        <f t="shared" si="123"/>
        <v>1498.060606060606</v>
      </c>
      <c r="AF63" s="74"/>
      <c r="AG63" s="73"/>
      <c r="AH63" s="74">
        <f t="shared" ref="AH63:AI63" si="124">$E63/11*(11-($H63+$I63))</f>
        <v>1498.060606060606</v>
      </c>
      <c r="AI63" s="74">
        <f t="shared" si="124"/>
        <v>1498.060606060606</v>
      </c>
      <c r="AJ63" s="74"/>
      <c r="AK63" s="73"/>
      <c r="AL63" s="74">
        <f t="shared" ref="AL63:AM63" si="125">$E63/11*(11-($H63+$I63))</f>
        <v>1498.060606060606</v>
      </c>
      <c r="AM63" s="74">
        <f t="shared" si="125"/>
        <v>1498.060606060606</v>
      </c>
      <c r="AN63" s="74"/>
      <c r="AO63" s="73"/>
      <c r="AP63" s="279">
        <f t="shared" si="117"/>
        <v>83.225589225589232</v>
      </c>
    </row>
    <row r="64" ht="16.149999999999999" customHeight="1" outlineLevel="2">
      <c r="A64" s="89"/>
      <c r="B64" s="90" t="s">
        <v>3</v>
      </c>
      <c r="C64" s="133">
        <f t="shared" si="105"/>
        <v>20223.045454545456</v>
      </c>
      <c r="D64" s="200">
        <f t="shared" si="118"/>
        <v>20223.045454545456</v>
      </c>
      <c r="E64" s="66">
        <f t="shared" si="119"/>
        <v>1700</v>
      </c>
      <c r="F64" s="130">
        <f t="shared" si="106"/>
        <v>14</v>
      </c>
      <c r="G64" s="80">
        <v>6</v>
      </c>
      <c r="H64" s="81">
        <f t="shared" si="107"/>
        <v>1.1483333333333334</v>
      </c>
      <c r="I64" s="81">
        <f t="shared" si="108"/>
        <v>0.15833333333333333</v>
      </c>
      <c r="J64" s="83">
        <f t="shared" si="109"/>
        <v>7.3066666666666666</v>
      </c>
      <c r="K64" s="97"/>
      <c r="L64" s="72"/>
      <c r="M64" s="71"/>
      <c r="N64" s="73">
        <f t="shared" si="120"/>
        <v>1498.060606060606</v>
      </c>
      <c r="O64" s="98"/>
      <c r="P64" s="74"/>
      <c r="Q64" s="73">
        <f t="shared" si="120"/>
        <v>1498.060606060606</v>
      </c>
      <c r="R64" s="73">
        <f t="shared" si="120"/>
        <v>1498.060606060606</v>
      </c>
      <c r="S64" s="98"/>
      <c r="T64" s="74"/>
      <c r="U64" s="75">
        <f>$E64/11*(11-($G64+$I64))</f>
        <v>748.25757575757575</v>
      </c>
      <c r="V64" s="73">
        <f t="shared" si="120"/>
        <v>1498.060606060606</v>
      </c>
      <c r="W64" s="98"/>
      <c r="X64" s="74"/>
      <c r="Y64" s="73">
        <f t="shared" si="120"/>
        <v>1498.060606060606</v>
      </c>
      <c r="Z64" s="73">
        <f t="shared" si="120"/>
        <v>1498.060606060606</v>
      </c>
      <c r="AA64" s="98"/>
      <c r="AB64" s="74"/>
      <c r="AC64" s="73">
        <f t="shared" si="113"/>
        <v>1498.060606060606</v>
      </c>
      <c r="AD64" s="73">
        <f t="shared" si="113"/>
        <v>1498.060606060606</v>
      </c>
      <c r="AE64" s="98"/>
      <c r="AF64" s="74"/>
      <c r="AG64" s="73">
        <f t="shared" si="113"/>
        <v>1498.060606060606</v>
      </c>
      <c r="AH64" s="73">
        <f t="shared" si="113"/>
        <v>1498.060606060606</v>
      </c>
      <c r="AI64" s="98"/>
      <c r="AJ64" s="74"/>
      <c r="AK64" s="73">
        <f t="shared" si="113"/>
        <v>1498.060606060606</v>
      </c>
      <c r="AL64" s="73">
        <f t="shared" si="113"/>
        <v>1498.060606060606</v>
      </c>
      <c r="AM64" s="98"/>
      <c r="AN64" s="74"/>
      <c r="AO64" s="73">
        <f t="shared" si="113"/>
        <v>1498.060606060606</v>
      </c>
      <c r="AP64" s="279">
        <f t="shared" si="117"/>
        <v>80.250180375180378</v>
      </c>
    </row>
    <row r="65" s="99" customFormat="1" ht="25.149999999999999" customHeight="1" outlineLevel="1">
      <c r="A65" s="100"/>
      <c r="B65" s="101" t="s">
        <v>18</v>
      </c>
      <c r="C65" s="102">
        <f>'[3]План пр-ва по единицам обор'!$AN$62</f>
        <v>80892.181818181823</v>
      </c>
      <c r="D65" s="103">
        <f>SUM(D61:D64)</f>
        <v>80892.181818181823</v>
      </c>
      <c r="E65" s="280" t="s">
        <v>19</v>
      </c>
      <c r="F65" s="105">
        <f>SUM(F61:F64)</f>
        <v>56</v>
      </c>
      <c r="G65" s="106">
        <f>SUM(G61:G64)</f>
        <v>24</v>
      </c>
      <c r="H65" s="167">
        <f>SUM(H61:H64)</f>
        <v>4.5933333333333337</v>
      </c>
      <c r="I65" s="168" t="s">
        <v>19</v>
      </c>
      <c r="J65" s="169">
        <f t="shared" ref="J65:AO65" si="126">SUM(J61:J64)</f>
        <v>29.226666666666667</v>
      </c>
      <c r="K65" s="281">
        <f t="shared" si="126"/>
        <v>0</v>
      </c>
      <c r="L65" s="282">
        <f t="shared" si="126"/>
        <v>0</v>
      </c>
      <c r="M65" s="282">
        <f t="shared" si="126"/>
        <v>0</v>
      </c>
      <c r="N65" s="282">
        <f t="shared" si="126"/>
        <v>2996.121212121212</v>
      </c>
      <c r="O65" s="282">
        <f t="shared" si="126"/>
        <v>2246.318181818182</v>
      </c>
      <c r="P65" s="282">
        <f t="shared" si="126"/>
        <v>2996.121212121212</v>
      </c>
      <c r="Q65" s="282">
        <f t="shared" si="126"/>
        <v>2996.121212121212</v>
      </c>
      <c r="R65" s="282">
        <f t="shared" si="126"/>
        <v>2996.121212121212</v>
      </c>
      <c r="S65" s="282">
        <f t="shared" si="126"/>
        <v>2996.121212121212</v>
      </c>
      <c r="T65" s="282">
        <f t="shared" si="126"/>
        <v>2996.121212121212</v>
      </c>
      <c r="U65" s="282">
        <f t="shared" si="126"/>
        <v>2246.318181818182</v>
      </c>
      <c r="V65" s="282">
        <f t="shared" si="126"/>
        <v>2996.121212121212</v>
      </c>
      <c r="W65" s="282">
        <f t="shared" si="126"/>
        <v>2996.121212121212</v>
      </c>
      <c r="X65" s="282">
        <f t="shared" si="126"/>
        <v>2996.121212121212</v>
      </c>
      <c r="Y65" s="282">
        <f t="shared" si="126"/>
        <v>2996.121212121212</v>
      </c>
      <c r="Z65" s="282">
        <f t="shared" si="126"/>
        <v>2996.121212121212</v>
      </c>
      <c r="AA65" s="282">
        <f t="shared" si="126"/>
        <v>2996.121212121212</v>
      </c>
      <c r="AB65" s="283">
        <f t="shared" si="126"/>
        <v>2246.318181818182</v>
      </c>
      <c r="AC65" s="284">
        <f t="shared" si="126"/>
        <v>2996.121212121212</v>
      </c>
      <c r="AD65" s="285">
        <f t="shared" si="126"/>
        <v>2996.121212121212</v>
      </c>
      <c r="AE65" s="285">
        <f t="shared" si="126"/>
        <v>2996.121212121212</v>
      </c>
      <c r="AF65" s="285">
        <f t="shared" si="126"/>
        <v>2996.121212121212</v>
      </c>
      <c r="AG65" s="285">
        <f t="shared" si="126"/>
        <v>2996.121212121212</v>
      </c>
      <c r="AH65" s="285">
        <f t="shared" si="126"/>
        <v>2996.121212121212</v>
      </c>
      <c r="AI65" s="285">
        <f t="shared" si="126"/>
        <v>2246.318181818182</v>
      </c>
      <c r="AJ65" s="285">
        <f t="shared" si="126"/>
        <v>2996.121212121212</v>
      </c>
      <c r="AK65" s="285">
        <f t="shared" si="126"/>
        <v>2996.121212121212</v>
      </c>
      <c r="AL65" s="285">
        <f t="shared" si="126"/>
        <v>2996.121212121212</v>
      </c>
      <c r="AM65" s="285">
        <f t="shared" si="126"/>
        <v>2996.121212121212</v>
      </c>
      <c r="AN65" s="285">
        <f t="shared" si="126"/>
        <v>2996.121212121212</v>
      </c>
      <c r="AO65" s="285">
        <f t="shared" si="126"/>
        <v>2996.121212121212</v>
      </c>
      <c r="AP65" s="279">
        <f>AP61+AP62+AP63+AP64</f>
        <v>321.00072150072151</v>
      </c>
    </row>
    <row r="66" s="24" customFormat="1" ht="13.5" outlineLevel="1">
      <c r="A66" s="115"/>
      <c r="B66" s="115"/>
      <c r="C66" s="116"/>
      <c r="D66" s="116">
        <f>C65-D65</f>
        <v>0</v>
      </c>
      <c r="E66" s="117"/>
      <c r="F66" s="118"/>
      <c r="G66" s="119"/>
      <c r="H66" s="120"/>
      <c r="I66" s="121"/>
      <c r="J66" s="120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  <c r="AN66" s="122"/>
      <c r="AO66" s="122"/>
      <c r="AP66" s="61"/>
    </row>
    <row r="67" s="123" customFormat="1" ht="30" customHeight="1" outlineLevel="1">
      <c r="A67" s="47" t="s">
        <v>43</v>
      </c>
      <c r="B67" s="48"/>
      <c r="C67" s="49" t="s">
        <v>11</v>
      </c>
      <c r="D67" s="50" t="s">
        <v>12</v>
      </c>
      <c r="E67" s="51" t="s">
        <v>13</v>
      </c>
      <c r="F67" s="52" t="s">
        <v>14</v>
      </c>
      <c r="G67" s="53" t="s">
        <v>15</v>
      </c>
      <c r="H67" s="54" t="s">
        <v>16</v>
      </c>
      <c r="I67" s="54" t="s">
        <v>17</v>
      </c>
      <c r="J67" s="55" t="s">
        <v>18</v>
      </c>
      <c r="K67" s="56">
        <v>44562</v>
      </c>
      <c r="L67" s="56">
        <v>44563</v>
      </c>
      <c r="M67" s="56">
        <v>44564</v>
      </c>
      <c r="N67" s="56">
        <v>44565</v>
      </c>
      <c r="O67" s="56">
        <v>44566</v>
      </c>
      <c r="P67" s="214">
        <v>44567</v>
      </c>
      <c r="Q67" s="56">
        <v>44568</v>
      </c>
      <c r="R67" s="56">
        <v>44569</v>
      </c>
      <c r="S67" s="56">
        <v>44570</v>
      </c>
      <c r="T67" s="56">
        <v>44571</v>
      </c>
      <c r="U67" s="56">
        <v>44572</v>
      </c>
      <c r="V67" s="56">
        <v>44573</v>
      </c>
      <c r="W67" s="56">
        <v>44574</v>
      </c>
      <c r="X67" s="214">
        <v>44575</v>
      </c>
      <c r="Y67" s="56">
        <v>44576</v>
      </c>
      <c r="Z67" s="56">
        <v>44577</v>
      </c>
      <c r="AA67" s="56">
        <v>44578</v>
      </c>
      <c r="AB67" s="56">
        <v>44579</v>
      </c>
      <c r="AC67" s="56">
        <v>44580</v>
      </c>
      <c r="AD67" s="56">
        <v>44581</v>
      </c>
      <c r="AE67" s="58">
        <v>44582</v>
      </c>
      <c r="AF67" s="56">
        <v>44583</v>
      </c>
      <c r="AG67" s="56">
        <v>44584</v>
      </c>
      <c r="AH67" s="56">
        <v>44585</v>
      </c>
      <c r="AI67" s="56">
        <v>44586</v>
      </c>
      <c r="AJ67" s="56">
        <v>44587</v>
      </c>
      <c r="AK67" s="56">
        <v>44588</v>
      </c>
      <c r="AL67" s="59">
        <v>44589</v>
      </c>
      <c r="AM67" s="56">
        <v>44590</v>
      </c>
      <c r="AN67" s="56">
        <v>44591</v>
      </c>
      <c r="AO67" s="56">
        <v>44561</v>
      </c>
      <c r="AP67" s="61"/>
    </row>
    <row r="68" outlineLevel="2">
      <c r="A68" s="126" t="s">
        <v>43</v>
      </c>
      <c r="B68" s="63" t="s">
        <v>0</v>
      </c>
      <c r="C68" s="64">
        <f t="shared" ref="C68:C71" si="127">$C$72/$F$72*F68</f>
        <v>31410.757575757576</v>
      </c>
      <c r="D68" s="65">
        <f t="shared" ref="D68:D71" si="128">SUM(K68:AO68)</f>
        <v>31410.757575757569</v>
      </c>
      <c r="E68" s="66">
        <f>'[6]План пр-ва по единицам обор'!$F$63</f>
        <v>2600</v>
      </c>
      <c r="F68" s="130">
        <f t="shared" ref="F68:F71" si="129">COUNTA(K68:AO68)</f>
        <v>14</v>
      </c>
      <c r="G68" s="80">
        <v>6</v>
      </c>
      <c r="H68" s="82">
        <f t="shared" ref="H68:H71" si="130">59.5/60</f>
        <v>0.9916666666666667</v>
      </c>
      <c r="I68" s="81">
        <f t="shared" si="108"/>
        <v>0.15833333333333333</v>
      </c>
      <c r="J68" s="83">
        <f t="shared" ref="J68:J71" si="131">SUM(G68:I68)</f>
        <v>7.1500000000000004</v>
      </c>
      <c r="K68" s="71"/>
      <c r="L68" s="72"/>
      <c r="M68" s="71"/>
      <c r="N68" s="73"/>
      <c r="O68" s="74">
        <f>$E68/11*(11-($H68+$I68))</f>
        <v>2328.181818181818</v>
      </c>
      <c r="P68" s="74">
        <f>$E68/11*(11-($H68+$I68))</f>
        <v>2328.181818181818</v>
      </c>
      <c r="Q68" s="73"/>
      <c r="R68" s="73"/>
      <c r="S68" s="74">
        <f>$E68/11*(11-($H68+$I68))</f>
        <v>2328.181818181818</v>
      </c>
      <c r="T68" s="74">
        <f t="shared" ref="T68:T69" si="132">$E68/11*(11-($H68+$I68))</f>
        <v>2328.181818181818</v>
      </c>
      <c r="U68" s="73"/>
      <c r="V68" s="73"/>
      <c r="W68" s="74">
        <f>$E68/11*(11-($H68+$I68))</f>
        <v>2328.181818181818</v>
      </c>
      <c r="X68" s="74">
        <f>$E68/11*(11-($H68+$I68))</f>
        <v>2328.181818181818</v>
      </c>
      <c r="Y68" s="73"/>
      <c r="Z68" s="73"/>
      <c r="AA68" s="74">
        <f>$E68/11*(11-($H68+$I68))</f>
        <v>2328.181818181818</v>
      </c>
      <c r="AB68" s="74">
        <f t="shared" ref="AB68:AO71" si="133">$E68/11*(11-($H68+$I68))</f>
        <v>2328.181818181818</v>
      </c>
      <c r="AC68" s="73"/>
      <c r="AD68" s="73"/>
      <c r="AE68" s="75">
        <f>$E68/11*(11-($G68+$I68))</f>
        <v>1144.3939393939395</v>
      </c>
      <c r="AF68" s="74">
        <f t="shared" ref="AF68:AG69" si="134">$E68/11*(11-($H68+$I68))</f>
        <v>2328.181818181818</v>
      </c>
      <c r="AG68" s="73"/>
      <c r="AH68" s="73"/>
      <c r="AI68" s="74">
        <f t="shared" ref="AI68:AK69" si="135">$E68/11*(11-($H68+$I68))</f>
        <v>2328.181818181818</v>
      </c>
      <c r="AJ68" s="74">
        <f t="shared" si="135"/>
        <v>2328.181818181818</v>
      </c>
      <c r="AK68" s="73"/>
      <c r="AL68" s="73"/>
      <c r="AM68" s="74">
        <f t="shared" ref="AM68:AO70" si="136">$E68/11*(11-($H68+$I68))</f>
        <v>2328.181818181818</v>
      </c>
      <c r="AN68" s="74">
        <f t="shared" si="136"/>
        <v>2328.181818181818</v>
      </c>
      <c r="AO68" s="73"/>
      <c r="AP68" s="279">
        <f t="shared" ref="AP68:AP71" si="137">D68/$AQ$68</f>
        <v>124.64586339586339</v>
      </c>
      <c r="AQ68" s="122">
        <f>'[7]План пр-ва по единицам обор'!$F$63/'[7]План пр-ва по единицам обор'!$E$63</f>
        <v>251.99999999999997</v>
      </c>
      <c r="AR68" s="122"/>
    </row>
    <row r="69" outlineLevel="2">
      <c r="A69" s="126"/>
      <c r="B69" s="77" t="s">
        <v>1</v>
      </c>
      <c r="C69" s="78">
        <f t="shared" si="127"/>
        <v>31410.757575757576</v>
      </c>
      <c r="D69" s="79">
        <f t="shared" si="128"/>
        <v>30226.969696969689</v>
      </c>
      <c r="E69" s="66">
        <f t="shared" ref="E69:E71" si="138">E68</f>
        <v>2600</v>
      </c>
      <c r="F69" s="130">
        <f t="shared" si="129"/>
        <v>14</v>
      </c>
      <c r="G69" s="80">
        <v>12</v>
      </c>
      <c r="H69" s="82">
        <f t="shared" si="130"/>
        <v>0.9916666666666667</v>
      </c>
      <c r="I69" s="81">
        <f t="shared" si="108"/>
        <v>0.15833333333333333</v>
      </c>
      <c r="J69" s="83">
        <f t="shared" si="131"/>
        <v>13.15</v>
      </c>
      <c r="K69" s="72"/>
      <c r="L69" s="72"/>
      <c r="M69" s="72"/>
      <c r="N69" s="84"/>
      <c r="O69" s="73"/>
      <c r="P69" s="75">
        <f>$E69/11*(11-($G69/2+$I69))</f>
        <v>1144.3939393939395</v>
      </c>
      <c r="Q69" s="74">
        <f>$E69/11*(11-($H69+$I69))</f>
        <v>2328.181818181818</v>
      </c>
      <c r="R69" s="84"/>
      <c r="S69" s="73"/>
      <c r="T69" s="74">
        <f t="shared" si="132"/>
        <v>2328.181818181818</v>
      </c>
      <c r="U69" s="74">
        <f>$E69/11*(11-($H69+$I69))</f>
        <v>2328.181818181818</v>
      </c>
      <c r="V69" s="84"/>
      <c r="W69" s="73"/>
      <c r="X69" s="75">
        <f>$E69/11*(11-($G69/2+$I69))</f>
        <v>1144.3939393939395</v>
      </c>
      <c r="Y69" s="74">
        <f>$E69/11*(11-($H69+$I69))</f>
        <v>2328.181818181818</v>
      </c>
      <c r="Z69" s="84"/>
      <c r="AA69" s="73"/>
      <c r="AB69" s="74">
        <f t="shared" si="133"/>
        <v>2328.181818181818</v>
      </c>
      <c r="AC69" s="74">
        <f t="shared" si="133"/>
        <v>2328.181818181818</v>
      </c>
      <c r="AD69" s="84"/>
      <c r="AE69" s="73"/>
      <c r="AF69" s="74">
        <f t="shared" si="134"/>
        <v>2328.181818181818</v>
      </c>
      <c r="AG69" s="74">
        <f t="shared" si="134"/>
        <v>2328.181818181818</v>
      </c>
      <c r="AH69" s="84"/>
      <c r="AI69" s="73"/>
      <c r="AJ69" s="74">
        <f t="shared" si="135"/>
        <v>2328.181818181818</v>
      </c>
      <c r="AK69" s="74">
        <f t="shared" si="135"/>
        <v>2328.181818181818</v>
      </c>
      <c r="AL69" s="84"/>
      <c r="AM69" s="73"/>
      <c r="AN69" s="74">
        <f t="shared" si="136"/>
        <v>2328.181818181818</v>
      </c>
      <c r="AO69" s="74">
        <f t="shared" si="136"/>
        <v>2328.181818181818</v>
      </c>
      <c r="AP69" s="279">
        <f t="shared" si="137"/>
        <v>119.94829244829243</v>
      </c>
      <c r="AR69" s="122"/>
    </row>
    <row r="70" outlineLevel="2">
      <c r="A70" s="126"/>
      <c r="B70" s="85" t="s">
        <v>2</v>
      </c>
      <c r="C70" s="131">
        <f t="shared" si="127"/>
        <v>31410.757575757576</v>
      </c>
      <c r="D70" s="197">
        <f t="shared" si="128"/>
        <v>31410.757575757569</v>
      </c>
      <c r="E70" s="66">
        <f t="shared" si="138"/>
        <v>2600</v>
      </c>
      <c r="F70" s="130">
        <f t="shared" si="129"/>
        <v>14</v>
      </c>
      <c r="G70" s="80">
        <v>6</v>
      </c>
      <c r="H70" s="82">
        <f t="shared" si="130"/>
        <v>0.9916666666666667</v>
      </c>
      <c r="I70" s="81">
        <f t="shared" si="108"/>
        <v>0.15833333333333333</v>
      </c>
      <c r="J70" s="83">
        <f t="shared" si="131"/>
        <v>7.1500000000000004</v>
      </c>
      <c r="K70" s="88"/>
      <c r="L70" s="72"/>
      <c r="M70" s="71"/>
      <c r="N70" s="74">
        <f t="shared" ref="N70:N71" si="139">$E70/11*(11-($H70+$I70))</f>
        <v>2328.181818181818</v>
      </c>
      <c r="O70" s="74">
        <f>$E70/11*(11-($H70+$I70))</f>
        <v>2328.181818181818</v>
      </c>
      <c r="P70" s="74"/>
      <c r="Q70" s="73"/>
      <c r="R70" s="74">
        <f t="shared" ref="R70:R71" si="140">$E70/11*(11-($H70+$I70))</f>
        <v>2328.181818181818</v>
      </c>
      <c r="S70" s="74">
        <f>$E70/11*(11-($H70+$I70))</f>
        <v>2328.181818181818</v>
      </c>
      <c r="T70" s="74"/>
      <c r="U70" s="73"/>
      <c r="V70" s="74">
        <f t="shared" ref="V70:V71" si="141">$E70/11*(11-($H70+$I70))</f>
        <v>2328.181818181818</v>
      </c>
      <c r="W70" s="74">
        <f>$E70/11*(11-($H70+$I70))</f>
        <v>2328.181818181818</v>
      </c>
      <c r="X70" s="74"/>
      <c r="Y70" s="73"/>
      <c r="Z70" s="74">
        <f t="shared" ref="Z70:Z71" si="142">$E70/11*(11-($H70+$I70))</f>
        <v>2328.181818181818</v>
      </c>
      <c r="AA70" s="74">
        <f>$E70/11*(11-($H70+$I70))</f>
        <v>2328.181818181818</v>
      </c>
      <c r="AB70" s="74"/>
      <c r="AC70" s="73"/>
      <c r="AD70" s="74">
        <f t="shared" ref="AD70:AE70" si="143">$E70/11*(11-($H70+$I70))</f>
        <v>2328.181818181818</v>
      </c>
      <c r="AE70" s="74">
        <f t="shared" si="143"/>
        <v>2328.181818181818</v>
      </c>
      <c r="AF70" s="74"/>
      <c r="AG70" s="73"/>
      <c r="AH70" s="74">
        <f t="shared" ref="AH70:AI70" si="144">$E70/11*(11-($H70+$I70))</f>
        <v>2328.181818181818</v>
      </c>
      <c r="AI70" s="74">
        <f t="shared" si="144"/>
        <v>2328.181818181818</v>
      </c>
      <c r="AJ70" s="74"/>
      <c r="AK70" s="73"/>
      <c r="AL70" s="75">
        <f>$E70/11*(11-($G70+$I70))</f>
        <v>1144.3939393939395</v>
      </c>
      <c r="AM70" s="74">
        <f t="shared" si="136"/>
        <v>2328.181818181818</v>
      </c>
      <c r="AN70" s="74"/>
      <c r="AO70" s="73"/>
      <c r="AP70" s="279">
        <f t="shared" si="137"/>
        <v>124.64586339586339</v>
      </c>
      <c r="AR70" s="122"/>
    </row>
    <row r="71" ht="13.5" outlineLevel="2">
      <c r="A71" s="132"/>
      <c r="B71" s="90" t="s">
        <v>3</v>
      </c>
      <c r="C71" s="133">
        <f t="shared" si="127"/>
        <v>31410.757575757576</v>
      </c>
      <c r="D71" s="200">
        <f t="shared" si="128"/>
        <v>32594.545454545441</v>
      </c>
      <c r="E71" s="66">
        <f t="shared" si="138"/>
        <v>2600</v>
      </c>
      <c r="F71" s="130">
        <f t="shared" si="129"/>
        <v>14</v>
      </c>
      <c r="G71" s="80"/>
      <c r="H71" s="82">
        <f t="shared" si="130"/>
        <v>0.9916666666666667</v>
      </c>
      <c r="I71" s="81">
        <f t="shared" si="108"/>
        <v>0.15833333333333333</v>
      </c>
      <c r="J71" s="83">
        <f t="shared" si="131"/>
        <v>1.1499999999999999</v>
      </c>
      <c r="K71" s="97"/>
      <c r="L71" s="72"/>
      <c r="M71" s="71"/>
      <c r="N71" s="74">
        <f t="shared" si="139"/>
        <v>2328.181818181818</v>
      </c>
      <c r="O71" s="98"/>
      <c r="P71" s="74"/>
      <c r="Q71" s="74">
        <f>$E71/11*(11-($H71+$I71))</f>
        <v>2328.181818181818</v>
      </c>
      <c r="R71" s="74">
        <f t="shared" si="140"/>
        <v>2328.181818181818</v>
      </c>
      <c r="S71" s="98"/>
      <c r="T71" s="74"/>
      <c r="U71" s="74">
        <f>$E71/11*(11-($H71+$I71))</f>
        <v>2328.181818181818</v>
      </c>
      <c r="V71" s="74">
        <f t="shared" si="141"/>
        <v>2328.181818181818</v>
      </c>
      <c r="W71" s="98"/>
      <c r="X71" s="74"/>
      <c r="Y71" s="74">
        <f>$E71/11*(11-($H71+$I71))</f>
        <v>2328.181818181818</v>
      </c>
      <c r="Z71" s="74">
        <f t="shared" si="142"/>
        <v>2328.181818181818</v>
      </c>
      <c r="AA71" s="98"/>
      <c r="AB71" s="74"/>
      <c r="AC71" s="73">
        <f t="shared" si="133"/>
        <v>2328.181818181818</v>
      </c>
      <c r="AD71" s="73">
        <f t="shared" si="133"/>
        <v>2328.181818181818</v>
      </c>
      <c r="AE71" s="98"/>
      <c r="AF71" s="74"/>
      <c r="AG71" s="73">
        <f t="shared" si="133"/>
        <v>2328.181818181818</v>
      </c>
      <c r="AH71" s="73">
        <f t="shared" si="133"/>
        <v>2328.181818181818</v>
      </c>
      <c r="AI71" s="98"/>
      <c r="AJ71" s="74"/>
      <c r="AK71" s="73">
        <f t="shared" si="133"/>
        <v>2328.181818181818</v>
      </c>
      <c r="AL71" s="73">
        <f t="shared" si="133"/>
        <v>2328.181818181818</v>
      </c>
      <c r="AM71" s="98"/>
      <c r="AN71" s="74"/>
      <c r="AO71" s="73">
        <f t="shared" si="133"/>
        <v>2328.181818181818</v>
      </c>
      <c r="AP71" s="279">
        <f t="shared" si="137"/>
        <v>129.3434343434343</v>
      </c>
      <c r="AR71" s="122"/>
    </row>
    <row r="72" s="99" customFormat="1" ht="20.449999999999999" customHeight="1" outlineLevel="1">
      <c r="B72" s="136" t="s">
        <v>18</v>
      </c>
      <c r="C72" s="102">
        <f>'[3]План пр-ва по единицам обор'!$AN$63</f>
        <v>125643.0303030303</v>
      </c>
      <c r="D72" s="166">
        <f>SUM(D68:D71)</f>
        <v>125643.03030303027</v>
      </c>
      <c r="E72" s="222" t="s">
        <v>19</v>
      </c>
      <c r="F72" s="105">
        <f>SUM(F68:F71)</f>
        <v>56</v>
      </c>
      <c r="G72" s="106">
        <f>SUM(G68:G71)</f>
        <v>24</v>
      </c>
      <c r="H72" s="167">
        <f>SUM(H68:H71)</f>
        <v>3.9666666666666668</v>
      </c>
      <c r="I72" s="168" t="s">
        <v>19</v>
      </c>
      <c r="J72" s="169">
        <f t="shared" ref="J72:N72" si="145">SUM(J68:J71)</f>
        <v>28.600000000000001</v>
      </c>
      <c r="K72" s="281">
        <f t="shared" si="145"/>
        <v>0</v>
      </c>
      <c r="L72" s="282">
        <f t="shared" si="145"/>
        <v>0</v>
      </c>
      <c r="M72" s="282">
        <f t="shared" si="145"/>
        <v>0</v>
      </c>
      <c r="N72" s="282">
        <f t="shared" si="145"/>
        <v>4656.363636363636</v>
      </c>
      <c r="O72" s="282">
        <f>SUM(O68:O71)</f>
        <v>4656.363636363636</v>
      </c>
      <c r="P72" s="283">
        <f>SUM(P68:P71)</f>
        <v>3472.5757575757575</v>
      </c>
      <c r="Q72" s="282">
        <f t="shared" ref="Q72:AO72" si="146">SUM(Q68:Q71)</f>
        <v>4656.363636363636</v>
      </c>
      <c r="R72" s="282">
        <f t="shared" si="146"/>
        <v>4656.363636363636</v>
      </c>
      <c r="S72" s="282">
        <f t="shared" si="146"/>
        <v>4656.363636363636</v>
      </c>
      <c r="T72" s="282">
        <f t="shared" si="146"/>
        <v>4656.363636363636</v>
      </c>
      <c r="U72" s="282">
        <f t="shared" si="146"/>
        <v>4656.363636363636</v>
      </c>
      <c r="V72" s="282">
        <f t="shared" si="146"/>
        <v>4656.363636363636</v>
      </c>
      <c r="W72" s="282">
        <f t="shared" si="146"/>
        <v>4656.363636363636</v>
      </c>
      <c r="X72" s="282">
        <f t="shared" si="146"/>
        <v>3472.5757575757575</v>
      </c>
      <c r="Y72" s="282">
        <f t="shared" si="146"/>
        <v>4656.363636363636</v>
      </c>
      <c r="Z72" s="282">
        <f t="shared" si="146"/>
        <v>4656.363636363636</v>
      </c>
      <c r="AA72" s="282">
        <f t="shared" si="146"/>
        <v>4656.363636363636</v>
      </c>
      <c r="AB72" s="286">
        <f t="shared" si="146"/>
        <v>4656.363636363636</v>
      </c>
      <c r="AC72" s="287">
        <f t="shared" si="146"/>
        <v>4656.363636363636</v>
      </c>
      <c r="AD72" s="287">
        <f t="shared" si="146"/>
        <v>4656.363636363636</v>
      </c>
      <c r="AE72" s="287">
        <f t="shared" si="146"/>
        <v>3472.5757575757575</v>
      </c>
      <c r="AF72" s="287">
        <f t="shared" si="146"/>
        <v>4656.363636363636</v>
      </c>
      <c r="AG72" s="287">
        <f t="shared" si="146"/>
        <v>4656.363636363636</v>
      </c>
      <c r="AH72" s="287">
        <f t="shared" si="146"/>
        <v>4656.363636363636</v>
      </c>
      <c r="AI72" s="287">
        <f t="shared" si="146"/>
        <v>4656.363636363636</v>
      </c>
      <c r="AJ72" s="287">
        <f t="shared" si="146"/>
        <v>4656.363636363636</v>
      </c>
      <c r="AK72" s="287">
        <f t="shared" si="146"/>
        <v>4656.363636363636</v>
      </c>
      <c r="AL72" s="287">
        <f t="shared" si="146"/>
        <v>3472.5757575757575</v>
      </c>
      <c r="AM72" s="287">
        <f t="shared" si="146"/>
        <v>4656.363636363636</v>
      </c>
      <c r="AN72" s="287">
        <f t="shared" si="146"/>
        <v>4656.363636363636</v>
      </c>
      <c r="AO72" s="287">
        <f t="shared" si="146"/>
        <v>4656.363636363636</v>
      </c>
      <c r="AP72" s="279">
        <f>AP68+AP69+AP70+AP71</f>
        <v>498.58345358345349</v>
      </c>
    </row>
    <row r="73" s="99" customFormat="1">
      <c r="B73" s="136"/>
      <c r="C73" s="116"/>
      <c r="D73" s="116">
        <f>D72-C72</f>
        <v>0</v>
      </c>
      <c r="E73" s="117"/>
      <c r="F73" s="146"/>
      <c r="G73" s="119"/>
      <c r="H73" s="120"/>
      <c r="I73" s="121"/>
      <c r="J73" s="120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147"/>
      <c r="AP73" s="61"/>
    </row>
    <row r="74" s="99" customFormat="1" ht="6.5999999999999996" customHeight="1">
      <c r="B74" s="136"/>
      <c r="C74" s="136"/>
      <c r="D74" s="136"/>
      <c r="E74" s="136"/>
      <c r="F74" s="136"/>
      <c r="G74" s="136"/>
      <c r="H74" s="120"/>
      <c r="I74" s="121"/>
      <c r="J74" s="120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  <c r="AO74" s="147"/>
      <c r="AP74" s="61"/>
    </row>
    <row r="75" s="123" customFormat="1" ht="30" customHeight="1">
      <c r="A75" s="288" t="s">
        <v>44</v>
      </c>
      <c r="B75" s="289"/>
      <c r="C75" s="49" t="s">
        <v>11</v>
      </c>
      <c r="D75" s="50" t="s">
        <v>12</v>
      </c>
      <c r="E75" s="51" t="s">
        <v>13</v>
      </c>
      <c r="F75" s="52" t="s">
        <v>14</v>
      </c>
      <c r="G75" s="151" t="s">
        <v>15</v>
      </c>
      <c r="H75" s="152" t="s">
        <v>16</v>
      </c>
      <c r="I75" s="152" t="s">
        <v>17</v>
      </c>
      <c r="J75" s="153" t="s">
        <v>18</v>
      </c>
      <c r="K75" s="56">
        <v>44562</v>
      </c>
      <c r="L75" s="56">
        <v>44563</v>
      </c>
      <c r="M75" s="56">
        <v>44564</v>
      </c>
      <c r="N75" s="56">
        <v>44565</v>
      </c>
      <c r="O75" s="56">
        <v>44566</v>
      </c>
      <c r="P75" s="56">
        <v>44567</v>
      </c>
      <c r="Q75" s="56">
        <v>44568</v>
      </c>
      <c r="R75" s="56">
        <v>44569</v>
      </c>
      <c r="S75" s="56">
        <v>44570</v>
      </c>
      <c r="T75" s="56">
        <v>44571</v>
      </c>
      <c r="U75" s="56">
        <v>44572</v>
      </c>
      <c r="V75" s="56">
        <v>44573</v>
      </c>
      <c r="W75" s="56">
        <v>44574</v>
      </c>
      <c r="X75" s="56">
        <v>44575</v>
      </c>
      <c r="Y75" s="56">
        <v>44576</v>
      </c>
      <c r="Z75" s="56">
        <v>44577</v>
      </c>
      <c r="AA75" s="56">
        <v>44578</v>
      </c>
      <c r="AB75" s="56">
        <v>44579</v>
      </c>
      <c r="AC75" s="56">
        <v>44580</v>
      </c>
      <c r="AD75" s="56">
        <v>44581</v>
      </c>
      <c r="AE75" s="56">
        <v>44582</v>
      </c>
      <c r="AF75" s="56">
        <v>44583</v>
      </c>
      <c r="AG75" s="56">
        <v>44584</v>
      </c>
      <c r="AH75" s="56">
        <v>44585</v>
      </c>
      <c r="AI75" s="56">
        <v>44586</v>
      </c>
      <c r="AJ75" s="56">
        <v>44587</v>
      </c>
      <c r="AK75" s="56">
        <v>44588</v>
      </c>
      <c r="AL75" s="56">
        <v>44589</v>
      </c>
      <c r="AM75" s="56">
        <v>44590</v>
      </c>
      <c r="AN75" s="56">
        <v>44591</v>
      </c>
      <c r="AO75" s="56">
        <v>44561</v>
      </c>
      <c r="AP75" s="61"/>
    </row>
    <row r="76" ht="13.15" customHeight="1" outlineLevel="1">
      <c r="A76" s="154" t="s">
        <v>45</v>
      </c>
      <c r="B76" s="63" t="s">
        <v>0</v>
      </c>
      <c r="C76" s="64">
        <f t="shared" ref="C76:C79" si="147">$C$80/$F$80*F76</f>
        <v>51633.803030303032</v>
      </c>
      <c r="D76" s="65">
        <f t="shared" ref="D76:D79" si="148">SUM(K76:AO76)</f>
        <v>50883.999999999993</v>
      </c>
      <c r="E76" s="66">
        <f>E61+E68</f>
        <v>4300</v>
      </c>
      <c r="F76" s="118">
        <f t="shared" ref="F76:I79" si="149">F61+F68</f>
        <v>28</v>
      </c>
      <c r="G76" s="80">
        <f>G61+G68</f>
        <v>12</v>
      </c>
      <c r="H76" s="81">
        <f>H61+H68</f>
        <v>2.1400000000000001</v>
      </c>
      <c r="I76" s="81">
        <f>I61+I68</f>
        <v>0.31666666666666665</v>
      </c>
      <c r="J76" s="83">
        <f t="shared" ref="J76:J79" si="150">SUM(G76:I76)</f>
        <v>14.456666666666667</v>
      </c>
      <c r="K76" s="254">
        <f t="shared" ref="K76:AB79" si="151">K61+K68</f>
        <v>0</v>
      </c>
      <c r="L76" s="254">
        <f t="shared" ref="L76:AN79" si="152">L61+L68</f>
        <v>0</v>
      </c>
      <c r="M76" s="254">
        <f t="shared" si="152"/>
        <v>0</v>
      </c>
      <c r="N76" s="254">
        <f>N61+N68</f>
        <v>0</v>
      </c>
      <c r="O76" s="254">
        <f t="shared" si="152"/>
        <v>3076.439393939394</v>
      </c>
      <c r="P76" s="254">
        <f t="shared" si="152"/>
        <v>3826.242424242424</v>
      </c>
      <c r="Q76" s="254">
        <f t="shared" si="152"/>
        <v>0</v>
      </c>
      <c r="R76" s="254">
        <f t="shared" si="152"/>
        <v>0</v>
      </c>
      <c r="S76" s="254">
        <f t="shared" si="152"/>
        <v>3826.242424242424</v>
      </c>
      <c r="T76" s="254">
        <f t="shared" si="152"/>
        <v>3826.242424242424</v>
      </c>
      <c r="U76" s="254">
        <f t="shared" si="152"/>
        <v>0</v>
      </c>
      <c r="V76" s="254">
        <f t="shared" si="152"/>
        <v>0</v>
      </c>
      <c r="W76" s="254">
        <f t="shared" si="152"/>
        <v>3826.242424242424</v>
      </c>
      <c r="X76" s="254">
        <f t="shared" si="152"/>
        <v>3826.242424242424</v>
      </c>
      <c r="Y76" s="254">
        <f t="shared" si="152"/>
        <v>0</v>
      </c>
      <c r="Z76" s="254">
        <f t="shared" si="152"/>
        <v>0</v>
      </c>
      <c r="AA76" s="254">
        <f>AA61+AA68</f>
        <v>3826.242424242424</v>
      </c>
      <c r="AB76" s="254">
        <f t="shared" si="152"/>
        <v>3826.242424242424</v>
      </c>
      <c r="AC76" s="290">
        <f t="shared" si="152"/>
        <v>0</v>
      </c>
      <c r="AD76" s="290">
        <f t="shared" si="152"/>
        <v>0</v>
      </c>
      <c r="AE76" s="291">
        <f t="shared" si="152"/>
        <v>2642.4545454545455</v>
      </c>
      <c r="AF76" s="290">
        <f t="shared" si="152"/>
        <v>3826.242424242424</v>
      </c>
      <c r="AG76" s="290">
        <f t="shared" si="152"/>
        <v>0</v>
      </c>
      <c r="AH76" s="291">
        <f t="shared" si="152"/>
        <v>0</v>
      </c>
      <c r="AI76" s="290">
        <f t="shared" si="152"/>
        <v>3076.439393939394</v>
      </c>
      <c r="AJ76" s="290">
        <f t="shared" si="152"/>
        <v>3826.242424242424</v>
      </c>
      <c r="AK76" s="290">
        <f t="shared" si="152"/>
        <v>0</v>
      </c>
      <c r="AL76" s="291">
        <f t="shared" si="152"/>
        <v>0</v>
      </c>
      <c r="AM76" s="290">
        <f t="shared" si="152"/>
        <v>3826.242424242424</v>
      </c>
      <c r="AN76" s="290">
        <f t="shared" si="152"/>
        <v>3826.242424242424</v>
      </c>
      <c r="AO76" s="290">
        <f t="shared" ref="AO76:AO79" si="153">AO61+AO68</f>
        <v>0</v>
      </c>
      <c r="AP76" s="279">
        <f t="shared" ref="AP76:AP79" si="154">AP68+AP61</f>
        <v>201.92063492063491</v>
      </c>
      <c r="AR76" s="122"/>
    </row>
    <row r="77" ht="13.15" customHeight="1" outlineLevel="1">
      <c r="A77" s="154"/>
      <c r="B77" s="77" t="s">
        <v>1</v>
      </c>
      <c r="C77" s="78">
        <f t="shared" si="147"/>
        <v>51633.803030303032</v>
      </c>
      <c r="D77" s="79">
        <f t="shared" si="148"/>
        <v>50450.015151515152</v>
      </c>
      <c r="E77" s="66">
        <f t="shared" ref="E77:E79" si="155">E76</f>
        <v>4300</v>
      </c>
      <c r="F77" s="118">
        <f t="shared" si="149"/>
        <v>28</v>
      </c>
      <c r="G77" s="80">
        <f t="shared" si="149"/>
        <v>18</v>
      </c>
      <c r="H77" s="81">
        <f t="shared" si="149"/>
        <v>2.1400000000000001</v>
      </c>
      <c r="I77" s="81">
        <f t="shared" si="149"/>
        <v>0.31666666666666665</v>
      </c>
      <c r="J77" s="83">
        <f t="shared" si="150"/>
        <v>20.456666666666667</v>
      </c>
      <c r="K77" s="254">
        <f t="shared" si="151"/>
        <v>0</v>
      </c>
      <c r="L77" s="254">
        <f t="shared" si="151"/>
        <v>0</v>
      </c>
      <c r="M77" s="254">
        <f t="shared" si="151"/>
        <v>0</v>
      </c>
      <c r="N77" s="254">
        <f t="shared" si="151"/>
        <v>0</v>
      </c>
      <c r="O77" s="254">
        <f t="shared" si="151"/>
        <v>0</v>
      </c>
      <c r="P77" s="254">
        <f t="shared" si="151"/>
        <v>2642.4545454545455</v>
      </c>
      <c r="Q77" s="254">
        <f t="shared" si="151"/>
        <v>3826.242424242424</v>
      </c>
      <c r="R77" s="254">
        <f t="shared" si="151"/>
        <v>0</v>
      </c>
      <c r="S77" s="254">
        <f t="shared" si="151"/>
        <v>0</v>
      </c>
      <c r="T77" s="254">
        <f t="shared" si="151"/>
        <v>3826.242424242424</v>
      </c>
      <c r="U77" s="254">
        <f t="shared" si="151"/>
        <v>3826.242424242424</v>
      </c>
      <c r="V77" s="254">
        <f t="shared" si="151"/>
        <v>0</v>
      </c>
      <c r="W77" s="254">
        <f t="shared" si="151"/>
        <v>0</v>
      </c>
      <c r="X77" s="254">
        <f t="shared" si="151"/>
        <v>2642.4545454545455</v>
      </c>
      <c r="Y77" s="254">
        <f t="shared" si="151"/>
        <v>3826.242424242424</v>
      </c>
      <c r="Z77" s="254">
        <f t="shared" si="151"/>
        <v>0</v>
      </c>
      <c r="AA77" s="158">
        <f t="shared" si="151"/>
        <v>0</v>
      </c>
      <c r="AB77" s="254">
        <f t="shared" si="151"/>
        <v>3076.439393939394</v>
      </c>
      <c r="AC77" s="290">
        <f t="shared" si="152"/>
        <v>3826.242424242424</v>
      </c>
      <c r="AD77" s="290">
        <f t="shared" si="152"/>
        <v>0</v>
      </c>
      <c r="AE77" s="290">
        <f t="shared" si="152"/>
        <v>0</v>
      </c>
      <c r="AF77" s="290">
        <f t="shared" si="152"/>
        <v>3826.242424242424</v>
      </c>
      <c r="AG77" s="290">
        <f t="shared" si="152"/>
        <v>3826.242424242424</v>
      </c>
      <c r="AH77" s="290">
        <f t="shared" si="152"/>
        <v>0</v>
      </c>
      <c r="AI77" s="290">
        <f t="shared" si="152"/>
        <v>0</v>
      </c>
      <c r="AJ77" s="290">
        <f t="shared" si="152"/>
        <v>3826.242424242424</v>
      </c>
      <c r="AK77" s="290">
        <f t="shared" si="152"/>
        <v>3826.242424242424</v>
      </c>
      <c r="AL77" s="290">
        <f t="shared" si="152"/>
        <v>0</v>
      </c>
      <c r="AM77" s="290">
        <f t="shared" si="152"/>
        <v>0</v>
      </c>
      <c r="AN77" s="290">
        <f>AN62+AN69</f>
        <v>3826.242424242424</v>
      </c>
      <c r="AO77" s="290">
        <f t="shared" si="153"/>
        <v>3826.242424242424</v>
      </c>
      <c r="AP77" s="279">
        <f t="shared" si="154"/>
        <v>200.1984728234728</v>
      </c>
      <c r="AR77" s="122"/>
    </row>
    <row r="78" ht="13.15" customHeight="1" outlineLevel="1">
      <c r="A78" s="154"/>
      <c r="B78" s="85" t="s">
        <v>2</v>
      </c>
      <c r="C78" s="131">
        <f t="shared" si="147"/>
        <v>51633.803030303032</v>
      </c>
      <c r="D78" s="197">
        <f t="shared" si="148"/>
        <v>52383.606060606056</v>
      </c>
      <c r="E78" s="66">
        <f t="shared" si="155"/>
        <v>4300</v>
      </c>
      <c r="F78" s="118">
        <f t="shared" si="149"/>
        <v>28</v>
      </c>
      <c r="G78" s="80">
        <f t="shared" si="149"/>
        <v>12</v>
      </c>
      <c r="H78" s="81">
        <f t="shared" si="149"/>
        <v>2.1400000000000001</v>
      </c>
      <c r="I78" s="81">
        <f t="shared" si="149"/>
        <v>0.31666666666666665</v>
      </c>
      <c r="J78" s="83">
        <f t="shared" si="150"/>
        <v>14.456666666666667</v>
      </c>
      <c r="K78" s="254">
        <f t="shared" si="151"/>
        <v>0</v>
      </c>
      <c r="L78" s="254">
        <f t="shared" si="151"/>
        <v>0</v>
      </c>
      <c r="M78" s="158">
        <f t="shared" si="151"/>
        <v>0</v>
      </c>
      <c r="N78" s="254">
        <f t="shared" si="151"/>
        <v>3826.242424242424</v>
      </c>
      <c r="O78" s="254">
        <f t="shared" si="151"/>
        <v>3826.242424242424</v>
      </c>
      <c r="P78" s="254">
        <f t="shared" si="151"/>
        <v>0</v>
      </c>
      <c r="Q78" s="158">
        <f t="shared" si="151"/>
        <v>0</v>
      </c>
      <c r="R78" s="254">
        <f t="shared" si="151"/>
        <v>3826.242424242424</v>
      </c>
      <c r="S78" s="254">
        <f t="shared" si="151"/>
        <v>3826.242424242424</v>
      </c>
      <c r="T78" s="254">
        <f t="shared" si="151"/>
        <v>0</v>
      </c>
      <c r="U78" s="254">
        <f t="shared" si="151"/>
        <v>0</v>
      </c>
      <c r="V78" s="254">
        <f t="shared" si="151"/>
        <v>3826.242424242424</v>
      </c>
      <c r="W78" s="254">
        <f t="shared" si="151"/>
        <v>3826.242424242424</v>
      </c>
      <c r="X78" s="254">
        <f t="shared" si="151"/>
        <v>0</v>
      </c>
      <c r="Y78" s="254">
        <f t="shared" si="151"/>
        <v>0</v>
      </c>
      <c r="Z78" s="254">
        <f t="shared" si="151"/>
        <v>3826.242424242424</v>
      </c>
      <c r="AA78" s="254">
        <f t="shared" si="151"/>
        <v>3826.242424242424</v>
      </c>
      <c r="AB78" s="254">
        <f t="shared" si="151"/>
        <v>0</v>
      </c>
      <c r="AC78" s="290">
        <f t="shared" si="152"/>
        <v>0</v>
      </c>
      <c r="AD78" s="290">
        <f t="shared" si="152"/>
        <v>3826.242424242424</v>
      </c>
      <c r="AE78" s="290">
        <f t="shared" si="152"/>
        <v>3826.242424242424</v>
      </c>
      <c r="AF78" s="290">
        <f t="shared" si="152"/>
        <v>0</v>
      </c>
      <c r="AG78" s="290">
        <f t="shared" si="152"/>
        <v>0</v>
      </c>
      <c r="AH78" s="290">
        <f t="shared" si="152"/>
        <v>3826.242424242424</v>
      </c>
      <c r="AI78" s="290">
        <f t="shared" si="152"/>
        <v>3826.242424242424</v>
      </c>
      <c r="AJ78" s="290">
        <f t="shared" si="152"/>
        <v>0</v>
      </c>
      <c r="AK78" s="290">
        <f t="shared" si="152"/>
        <v>0</v>
      </c>
      <c r="AL78" s="290">
        <f t="shared" si="152"/>
        <v>2642.4545454545455</v>
      </c>
      <c r="AM78" s="290">
        <f t="shared" si="152"/>
        <v>3826.242424242424</v>
      </c>
      <c r="AN78" s="290">
        <f t="shared" si="152"/>
        <v>0</v>
      </c>
      <c r="AO78" s="290">
        <f t="shared" si="153"/>
        <v>0</v>
      </c>
      <c r="AP78" s="279">
        <f t="shared" si="154"/>
        <v>207.87145262145262</v>
      </c>
      <c r="AR78" s="122"/>
    </row>
    <row r="79" ht="13.9" customHeight="1" outlineLevel="1">
      <c r="A79" s="161"/>
      <c r="B79" s="90" t="s">
        <v>3</v>
      </c>
      <c r="C79" s="133">
        <f t="shared" si="147"/>
        <v>51633.803030303032</v>
      </c>
      <c r="D79" s="200">
        <f t="shared" si="148"/>
        <v>52817.590909090904</v>
      </c>
      <c r="E79" s="66">
        <f t="shared" si="155"/>
        <v>4300</v>
      </c>
      <c r="F79" s="118">
        <f t="shared" si="149"/>
        <v>28</v>
      </c>
      <c r="G79" s="80">
        <f t="shared" si="149"/>
        <v>6</v>
      </c>
      <c r="H79" s="81">
        <f t="shared" si="149"/>
        <v>2.1400000000000001</v>
      </c>
      <c r="I79" s="81">
        <f t="shared" si="149"/>
        <v>0.31666666666666665</v>
      </c>
      <c r="J79" s="83">
        <f t="shared" si="150"/>
        <v>8.456666666666667</v>
      </c>
      <c r="K79" s="254">
        <f t="shared" si="151"/>
        <v>0</v>
      </c>
      <c r="L79" s="254">
        <f t="shared" si="151"/>
        <v>0</v>
      </c>
      <c r="M79" s="254">
        <f t="shared" si="151"/>
        <v>0</v>
      </c>
      <c r="N79" s="254">
        <f t="shared" si="151"/>
        <v>3826.242424242424</v>
      </c>
      <c r="O79" s="254">
        <f t="shared" si="151"/>
        <v>0</v>
      </c>
      <c r="P79" s="254">
        <f t="shared" si="151"/>
        <v>0</v>
      </c>
      <c r="Q79" s="254">
        <f t="shared" si="151"/>
        <v>3826.242424242424</v>
      </c>
      <c r="R79" s="254">
        <f t="shared" si="151"/>
        <v>3826.242424242424</v>
      </c>
      <c r="S79" s="254">
        <f t="shared" si="151"/>
        <v>0</v>
      </c>
      <c r="T79" s="158">
        <f t="shared" si="151"/>
        <v>0</v>
      </c>
      <c r="U79" s="254">
        <f t="shared" si="151"/>
        <v>3076.439393939394</v>
      </c>
      <c r="V79" s="254">
        <f t="shared" si="151"/>
        <v>3826.242424242424</v>
      </c>
      <c r="W79" s="254">
        <f t="shared" si="151"/>
        <v>0</v>
      </c>
      <c r="X79" s="158">
        <f t="shared" si="151"/>
        <v>0</v>
      </c>
      <c r="Y79" s="254">
        <f t="shared" si="151"/>
        <v>3826.242424242424</v>
      </c>
      <c r="Z79" s="254">
        <f t="shared" si="151"/>
        <v>3826.242424242424</v>
      </c>
      <c r="AA79" s="254">
        <f t="shared" si="151"/>
        <v>0</v>
      </c>
      <c r="AB79" s="254">
        <f t="shared" si="151"/>
        <v>0</v>
      </c>
      <c r="AC79" s="290">
        <f t="shared" si="152"/>
        <v>3826.242424242424</v>
      </c>
      <c r="AD79" s="290">
        <f t="shared" si="152"/>
        <v>3826.242424242424</v>
      </c>
      <c r="AE79" s="290">
        <f t="shared" si="152"/>
        <v>0</v>
      </c>
      <c r="AF79" s="290">
        <f t="shared" si="152"/>
        <v>0</v>
      </c>
      <c r="AG79" s="290">
        <f t="shared" si="152"/>
        <v>3826.242424242424</v>
      </c>
      <c r="AH79" s="290">
        <f t="shared" si="152"/>
        <v>3826.242424242424</v>
      </c>
      <c r="AI79" s="290">
        <f t="shared" si="152"/>
        <v>0</v>
      </c>
      <c r="AJ79" s="290">
        <f t="shared" si="152"/>
        <v>0</v>
      </c>
      <c r="AK79" s="290">
        <f t="shared" si="152"/>
        <v>3826.242424242424</v>
      </c>
      <c r="AL79" s="290">
        <f t="shared" si="152"/>
        <v>3826.242424242424</v>
      </c>
      <c r="AM79" s="290">
        <f t="shared" si="152"/>
        <v>0</v>
      </c>
      <c r="AN79" s="290">
        <f t="shared" si="152"/>
        <v>0</v>
      </c>
      <c r="AO79" s="290">
        <f t="shared" si="153"/>
        <v>3826.242424242424</v>
      </c>
      <c r="AP79" s="279">
        <f t="shared" si="154"/>
        <v>209.59361471861467</v>
      </c>
      <c r="AR79" s="122"/>
    </row>
    <row r="80" s="99" customFormat="1" ht="18.600000000000001" customHeight="1">
      <c r="A80" s="164"/>
      <c r="B80" s="165" t="s">
        <v>18</v>
      </c>
      <c r="C80" s="166">
        <f>'[6]План пр-ва по единицам обор'!$AN$62+'[6]План пр-ва по единицам обор'!$AN$63</f>
        <v>206535.21212121213</v>
      </c>
      <c r="D80" s="103">
        <f>SUM(D76:D79)</f>
        <v>206535.2121212121</v>
      </c>
      <c r="E80" s="104" t="s">
        <v>19</v>
      </c>
      <c r="F80" s="105">
        <f>SUM(F76:F79)</f>
        <v>112</v>
      </c>
      <c r="G80" s="106">
        <f>SUM(G76:G79)</f>
        <v>48</v>
      </c>
      <c r="H80" s="167">
        <f>SUM(H76:H79)</f>
        <v>8.5600000000000005</v>
      </c>
      <c r="I80" s="168" t="s">
        <v>19</v>
      </c>
      <c r="J80" s="169">
        <f t="shared" ref="J80:N80" si="156">SUM(J76:J79)</f>
        <v>57.826666666666668</v>
      </c>
      <c r="K80" s="292">
        <f t="shared" si="156"/>
        <v>0</v>
      </c>
      <c r="L80" s="293">
        <f t="shared" si="156"/>
        <v>0</v>
      </c>
      <c r="M80" s="293">
        <f t="shared" si="156"/>
        <v>0</v>
      </c>
      <c r="N80" s="293">
        <f t="shared" si="156"/>
        <v>7652.484848484848</v>
      </c>
      <c r="O80" s="293">
        <f>SUM(O76:O79)</f>
        <v>6902.681818181818</v>
      </c>
      <c r="P80" s="294">
        <f>SUM(P76:P79)</f>
        <v>6468.69696969697</v>
      </c>
      <c r="Q80" s="293">
        <f t="shared" ref="Q80:AO80" si="157">SUM(Q76:Q79)</f>
        <v>7652.484848484848</v>
      </c>
      <c r="R80" s="293">
        <f t="shared" si="157"/>
        <v>7652.484848484848</v>
      </c>
      <c r="S80" s="293">
        <f t="shared" si="157"/>
        <v>7652.484848484848</v>
      </c>
      <c r="T80" s="293">
        <f t="shared" si="157"/>
        <v>7652.484848484848</v>
      </c>
      <c r="U80" s="293">
        <f t="shared" si="157"/>
        <v>6902.681818181818</v>
      </c>
      <c r="V80" s="293">
        <f t="shared" si="157"/>
        <v>7652.484848484848</v>
      </c>
      <c r="W80" s="293">
        <f t="shared" si="157"/>
        <v>7652.484848484848</v>
      </c>
      <c r="X80" s="293">
        <f t="shared" si="157"/>
        <v>6468.69696969697</v>
      </c>
      <c r="Y80" s="293">
        <f t="shared" si="157"/>
        <v>7652.484848484848</v>
      </c>
      <c r="Z80" s="293">
        <f t="shared" si="157"/>
        <v>7652.484848484848</v>
      </c>
      <c r="AA80" s="293">
        <f t="shared" si="157"/>
        <v>7652.484848484848</v>
      </c>
      <c r="AB80" s="294">
        <f t="shared" si="157"/>
        <v>6902.681818181818</v>
      </c>
      <c r="AC80" s="284">
        <f t="shared" si="157"/>
        <v>7652.484848484848</v>
      </c>
      <c r="AD80" s="285">
        <f t="shared" si="157"/>
        <v>7652.484848484848</v>
      </c>
      <c r="AE80" s="285">
        <f t="shared" si="157"/>
        <v>6468.69696969697</v>
      </c>
      <c r="AF80" s="285">
        <f t="shared" si="157"/>
        <v>7652.484848484848</v>
      </c>
      <c r="AG80" s="285">
        <f t="shared" si="157"/>
        <v>7652.484848484848</v>
      </c>
      <c r="AH80" s="285">
        <f t="shared" si="157"/>
        <v>7652.484848484848</v>
      </c>
      <c r="AI80" s="285">
        <f t="shared" si="157"/>
        <v>6902.681818181818</v>
      </c>
      <c r="AJ80" s="285">
        <f t="shared" si="157"/>
        <v>7652.484848484848</v>
      </c>
      <c r="AK80" s="285">
        <f t="shared" si="157"/>
        <v>7652.484848484848</v>
      </c>
      <c r="AL80" s="285">
        <f t="shared" si="157"/>
        <v>6468.69696969697</v>
      </c>
      <c r="AM80" s="285">
        <f t="shared" si="157"/>
        <v>7652.484848484848</v>
      </c>
      <c r="AN80" s="285">
        <f t="shared" si="157"/>
        <v>7652.484848484848</v>
      </c>
      <c r="AO80" s="285">
        <f t="shared" si="157"/>
        <v>7652.484848484848</v>
      </c>
      <c r="AP80" s="279">
        <f>SUM(AP76:AP79)</f>
        <v>819.58417508417506</v>
      </c>
    </row>
    <row r="81" s="24" customFormat="1" ht="10.9" customHeight="1">
      <c r="C81" s="25"/>
      <c r="D81" s="25"/>
      <c r="E81" s="26"/>
      <c r="F81" s="25"/>
      <c r="G81" s="25"/>
      <c r="AP81" s="61"/>
    </row>
    <row r="82" ht="18.75">
      <c r="A82" s="43" t="s">
        <v>46</v>
      </c>
      <c r="B82" s="43"/>
      <c r="D82" s="206">
        <f>D80-C80</f>
        <v>0</v>
      </c>
      <c r="AP82" s="61"/>
    </row>
    <row r="83" ht="13.5" outlineLevel="1">
      <c r="AP83" s="61"/>
    </row>
    <row r="84" s="46" customFormat="1" ht="22.899999999999999" customHeight="1" outlineLevel="2">
      <c r="A84" s="47" t="s">
        <v>47</v>
      </c>
      <c r="B84" s="295"/>
      <c r="C84" s="49" t="s">
        <v>11</v>
      </c>
      <c r="D84" s="50" t="s">
        <v>12</v>
      </c>
      <c r="E84" s="51" t="s">
        <v>13</v>
      </c>
      <c r="F84" s="52" t="s">
        <v>14</v>
      </c>
      <c r="G84" s="151" t="s">
        <v>15</v>
      </c>
      <c r="H84" s="152" t="s">
        <v>16</v>
      </c>
      <c r="I84" s="152" t="s">
        <v>17</v>
      </c>
      <c r="J84" s="153" t="s">
        <v>18</v>
      </c>
      <c r="K84" s="56">
        <v>44562</v>
      </c>
      <c r="L84" s="56">
        <v>44563</v>
      </c>
      <c r="M84" s="56">
        <v>44564</v>
      </c>
      <c r="N84" s="59">
        <v>44565</v>
      </c>
      <c r="O84" s="56">
        <v>44566</v>
      </c>
      <c r="P84" s="56">
        <v>44567</v>
      </c>
      <c r="Q84" s="56">
        <v>44568</v>
      </c>
      <c r="R84" s="56">
        <v>44569</v>
      </c>
      <c r="S84" s="56">
        <v>44570</v>
      </c>
      <c r="T84" s="56">
        <v>44571</v>
      </c>
      <c r="U84" s="56">
        <v>44572</v>
      </c>
      <c r="V84" s="56">
        <v>44573</v>
      </c>
      <c r="W84" s="56">
        <v>44574</v>
      </c>
      <c r="X84" s="56">
        <v>44575</v>
      </c>
      <c r="Y84" s="56">
        <v>44576</v>
      </c>
      <c r="Z84" s="56">
        <v>44577</v>
      </c>
      <c r="AA84" s="56">
        <v>44578</v>
      </c>
      <c r="AB84" s="214">
        <v>44579</v>
      </c>
      <c r="AC84" s="56">
        <v>44580</v>
      </c>
      <c r="AD84" s="56">
        <v>44581</v>
      </c>
      <c r="AE84" s="56">
        <v>44582</v>
      </c>
      <c r="AF84" s="56">
        <v>44583</v>
      </c>
      <c r="AG84" s="56">
        <v>44584</v>
      </c>
      <c r="AH84" s="56">
        <v>44585</v>
      </c>
      <c r="AI84" s="56">
        <v>44586</v>
      </c>
      <c r="AJ84" s="56">
        <v>44587</v>
      </c>
      <c r="AK84" s="56">
        <v>44588</v>
      </c>
      <c r="AL84" s="56">
        <v>44589</v>
      </c>
      <c r="AM84" s="56">
        <v>44590</v>
      </c>
      <c r="AN84" s="56">
        <v>44591</v>
      </c>
      <c r="AO84" s="56">
        <v>44561</v>
      </c>
      <c r="AP84" s="61"/>
    </row>
    <row r="85" ht="13.15" customHeight="1" outlineLevel="2">
      <c r="A85" s="62" t="s">
        <v>47</v>
      </c>
      <c r="B85" s="63" t="s">
        <v>0</v>
      </c>
      <c r="C85" s="64">
        <f t="shared" ref="C85:C88" si="158">$C$89/$F$89*F85</f>
        <v>9657.878787878788</v>
      </c>
      <c r="D85" s="65">
        <f t="shared" ref="D85:D88" si="159">SUM(K85:AO85)</f>
        <v>9785.1515151515141</v>
      </c>
      <c r="E85" s="66">
        <f>'[6]План пр-ва по единицам обор'!$F$53</f>
        <v>700</v>
      </c>
      <c r="F85" s="130">
        <f t="shared" ref="F85:F88" si="160">COUNTA(K85:AO85)</f>
        <v>14</v>
      </c>
      <c r="G85" s="80"/>
      <c r="H85" s="81"/>
      <c r="I85" s="82">
        <f t="shared" ref="I85:I102" si="161">1/60</f>
        <v>0.016666666666666666</v>
      </c>
      <c r="J85" s="83">
        <f t="shared" ref="J85:J88" si="162">SUM(G85:I85)</f>
        <v>0.016666666666666666</v>
      </c>
      <c r="K85" s="71"/>
      <c r="L85" s="72"/>
      <c r="M85" s="71"/>
      <c r="N85" s="73"/>
      <c r="O85" s="74">
        <f>$E85/11*(11-($H85+$I85))</f>
        <v>698.93939393939388</v>
      </c>
      <c r="P85" s="74">
        <f t="shared" ref="P85:Q86" si="163">$E85/11*(11-($H85+$I85))</f>
        <v>698.93939393939388</v>
      </c>
      <c r="Q85" s="73"/>
      <c r="R85" s="73"/>
      <c r="S85" s="74">
        <f t="shared" ref="S85:U88" si="164">$E85/11*(11-($H85+$I85))</f>
        <v>698.93939393939388</v>
      </c>
      <c r="T85" s="74">
        <f t="shared" si="164"/>
        <v>698.93939393939388</v>
      </c>
      <c r="U85" s="73"/>
      <c r="V85" s="73"/>
      <c r="W85" s="74">
        <f t="shared" ref="W85:Y86" si="165">$E85/11*(11-($H85+$I85))</f>
        <v>698.93939393939388</v>
      </c>
      <c r="X85" s="74">
        <f t="shared" si="165"/>
        <v>698.93939393939388</v>
      </c>
      <c r="Y85" s="73"/>
      <c r="Z85" s="73"/>
      <c r="AA85" s="74">
        <f t="shared" ref="AA85:AO88" si="166">$E85/11*(11-($H85+$I85))</f>
        <v>698.93939393939388</v>
      </c>
      <c r="AB85" s="74">
        <f t="shared" si="166"/>
        <v>698.93939393939388</v>
      </c>
      <c r="AC85" s="73"/>
      <c r="AD85" s="73"/>
      <c r="AE85" s="74">
        <f t="shared" ref="AE85:AG86" si="167">$E85/11*(11-($H85+$I85))</f>
        <v>698.93939393939388</v>
      </c>
      <c r="AF85" s="74">
        <f t="shared" si="167"/>
        <v>698.93939393939388</v>
      </c>
      <c r="AG85" s="73"/>
      <c r="AH85" s="73"/>
      <c r="AI85" s="74">
        <f t="shared" ref="AH85:AI87" si="168">$E85/11*(11-($H85+$I85))</f>
        <v>698.93939393939388</v>
      </c>
      <c r="AJ85" s="74">
        <f t="shared" ref="AJ85:AK86" si="169">$E85/11*(11-($H85+$I85))</f>
        <v>698.93939393939388</v>
      </c>
      <c r="AK85" s="73"/>
      <c r="AL85" s="73"/>
      <c r="AM85" s="74">
        <f t="shared" ref="AM85:AO86" si="170">$E85/11*(11-($H85+$I85))</f>
        <v>698.93939393939388</v>
      </c>
      <c r="AN85" s="74">
        <f t="shared" si="170"/>
        <v>698.93939393939388</v>
      </c>
      <c r="AO85" s="73"/>
      <c r="AP85" s="61"/>
    </row>
    <row r="86" ht="13.15" customHeight="1" outlineLevel="2">
      <c r="A86" s="296"/>
      <c r="B86" s="77" t="s">
        <v>1</v>
      </c>
      <c r="C86" s="78">
        <f t="shared" si="158"/>
        <v>9657.878787878788</v>
      </c>
      <c r="D86" s="79">
        <f t="shared" si="159"/>
        <v>9530.6060606060601</v>
      </c>
      <c r="E86" s="66">
        <f t="shared" ref="E86:E88" si="171">E85</f>
        <v>700</v>
      </c>
      <c r="F86" s="130">
        <f t="shared" si="160"/>
        <v>14</v>
      </c>
      <c r="G86" s="80">
        <v>4</v>
      </c>
      <c r="H86" s="81"/>
      <c r="I86" s="82">
        <f t="shared" si="161"/>
        <v>0.016666666666666666</v>
      </c>
      <c r="J86" s="83">
        <f t="shared" si="162"/>
        <v>4.0166666666666666</v>
      </c>
      <c r="K86" s="72"/>
      <c r="L86" s="72"/>
      <c r="M86" s="72"/>
      <c r="N86" s="84"/>
      <c r="O86" s="73"/>
      <c r="P86" s="74">
        <f t="shared" si="163"/>
        <v>698.93939393939388</v>
      </c>
      <c r="Q86" s="74">
        <f t="shared" si="163"/>
        <v>698.93939393939388</v>
      </c>
      <c r="R86" s="84"/>
      <c r="S86" s="73"/>
      <c r="T86" s="74">
        <f t="shared" si="164"/>
        <v>698.93939393939388</v>
      </c>
      <c r="U86" s="74">
        <f t="shared" si="164"/>
        <v>698.93939393939388</v>
      </c>
      <c r="V86" s="84"/>
      <c r="W86" s="73"/>
      <c r="X86" s="74">
        <f t="shared" si="165"/>
        <v>698.93939393939388</v>
      </c>
      <c r="Y86" s="74">
        <f t="shared" si="165"/>
        <v>698.93939393939388</v>
      </c>
      <c r="Z86" s="84"/>
      <c r="AA86" s="73"/>
      <c r="AB86" s="75">
        <f>$E86/11*(11-($G86+$I86))</f>
        <v>444.39393939393938</v>
      </c>
      <c r="AC86" s="74">
        <f t="shared" si="166"/>
        <v>698.93939393939388</v>
      </c>
      <c r="AD86" s="84"/>
      <c r="AE86" s="73"/>
      <c r="AF86" s="74">
        <f t="shared" si="167"/>
        <v>698.93939393939388</v>
      </c>
      <c r="AG86" s="74">
        <f t="shared" si="167"/>
        <v>698.93939393939388</v>
      </c>
      <c r="AH86" s="84"/>
      <c r="AI86" s="73"/>
      <c r="AJ86" s="74">
        <f t="shared" si="169"/>
        <v>698.93939393939388</v>
      </c>
      <c r="AK86" s="74">
        <f t="shared" si="169"/>
        <v>698.93939393939388</v>
      </c>
      <c r="AL86" s="84"/>
      <c r="AM86" s="73"/>
      <c r="AN86" s="74">
        <f t="shared" si="170"/>
        <v>698.93939393939388</v>
      </c>
      <c r="AO86" s="74">
        <f t="shared" si="170"/>
        <v>698.93939393939388</v>
      </c>
      <c r="AP86" s="61"/>
    </row>
    <row r="87" ht="13.15" customHeight="1" outlineLevel="2">
      <c r="A87" s="296"/>
      <c r="B87" s="85" t="s">
        <v>2</v>
      </c>
      <c r="C87" s="131">
        <f t="shared" si="158"/>
        <v>9657.878787878788</v>
      </c>
      <c r="D87" s="197">
        <f t="shared" si="159"/>
        <v>9530.6060606060601</v>
      </c>
      <c r="E87" s="66">
        <f t="shared" si="171"/>
        <v>700</v>
      </c>
      <c r="F87" s="130">
        <f t="shared" si="160"/>
        <v>14</v>
      </c>
      <c r="G87" s="80">
        <v>4</v>
      </c>
      <c r="H87" s="81"/>
      <c r="I87" s="82">
        <f t="shared" si="161"/>
        <v>0.016666666666666666</v>
      </c>
      <c r="J87" s="83">
        <f t="shared" si="162"/>
        <v>4.0166666666666666</v>
      </c>
      <c r="K87" s="88"/>
      <c r="L87" s="72"/>
      <c r="M87" s="71"/>
      <c r="N87" s="75">
        <f>$E87/11*(11-($G87+$I87))</f>
        <v>444.39393939393938</v>
      </c>
      <c r="O87" s="74">
        <f>$E87/11*(11-($H87+$I87))</f>
        <v>698.93939393939388</v>
      </c>
      <c r="P87" s="74"/>
      <c r="Q87" s="73"/>
      <c r="R87" s="74">
        <f t="shared" ref="R87:S87" si="172">$E87/11*(11-($H87+$I87))</f>
        <v>698.93939393939388</v>
      </c>
      <c r="S87" s="74">
        <f t="shared" si="172"/>
        <v>698.93939393939388</v>
      </c>
      <c r="T87" s="74"/>
      <c r="U87" s="73"/>
      <c r="V87" s="74">
        <f t="shared" ref="V87:W87" si="173">$E87/11*(11-($H87+$I87))</f>
        <v>698.93939393939388</v>
      </c>
      <c r="W87" s="74">
        <f t="shared" si="173"/>
        <v>698.93939393939388</v>
      </c>
      <c r="X87" s="74"/>
      <c r="Y87" s="73"/>
      <c r="Z87" s="74">
        <f t="shared" ref="Z87:AA87" si="174">$E87/11*(11-($H87+$I87))</f>
        <v>698.93939393939388</v>
      </c>
      <c r="AA87" s="74">
        <f t="shared" si="174"/>
        <v>698.93939393939388</v>
      </c>
      <c r="AB87" s="74"/>
      <c r="AC87" s="73"/>
      <c r="AD87" s="74">
        <f t="shared" ref="AD87:AE87" si="175">$E87/11*(11-($H87+$I87))</f>
        <v>698.93939393939388</v>
      </c>
      <c r="AE87" s="74">
        <f t="shared" si="175"/>
        <v>698.93939393939388</v>
      </c>
      <c r="AF87" s="74"/>
      <c r="AG87" s="73"/>
      <c r="AH87" s="74">
        <f t="shared" si="168"/>
        <v>698.93939393939388</v>
      </c>
      <c r="AI87" s="74">
        <f t="shared" si="168"/>
        <v>698.93939393939388</v>
      </c>
      <c r="AJ87" s="74"/>
      <c r="AK87" s="73"/>
      <c r="AL87" s="74">
        <f t="shared" ref="AL87:AM87" si="176">$E87/11*(11-($H87+$I87))</f>
        <v>698.93939393939388</v>
      </c>
      <c r="AM87" s="74">
        <f t="shared" si="176"/>
        <v>698.93939393939388</v>
      </c>
      <c r="AN87" s="74"/>
      <c r="AO87" s="73"/>
      <c r="AP87" s="61"/>
    </row>
    <row r="88" ht="16.899999999999999" customHeight="1" outlineLevel="2">
      <c r="A88" s="297"/>
      <c r="B88" s="90" t="s">
        <v>3</v>
      </c>
      <c r="C88" s="133">
        <f t="shared" si="158"/>
        <v>9657.878787878788</v>
      </c>
      <c r="D88" s="200">
        <f t="shared" si="159"/>
        <v>9785.1515151515141</v>
      </c>
      <c r="E88" s="66">
        <f t="shared" si="171"/>
        <v>700</v>
      </c>
      <c r="F88" s="130">
        <f t="shared" si="160"/>
        <v>14</v>
      </c>
      <c r="G88" s="80"/>
      <c r="H88" s="81"/>
      <c r="I88" s="82">
        <f t="shared" si="161"/>
        <v>0.016666666666666666</v>
      </c>
      <c r="J88" s="83">
        <f t="shared" si="162"/>
        <v>0.016666666666666666</v>
      </c>
      <c r="K88" s="97"/>
      <c r="L88" s="72"/>
      <c r="M88" s="71"/>
      <c r="N88" s="73">
        <f t="shared" ref="N88:Z88" si="177">$E88/11*(11-($H88+$I88))</f>
        <v>698.93939393939388</v>
      </c>
      <c r="O88" s="98"/>
      <c r="P88" s="74"/>
      <c r="Q88" s="73">
        <f t="shared" si="177"/>
        <v>698.93939393939388</v>
      </c>
      <c r="R88" s="73">
        <f t="shared" si="177"/>
        <v>698.93939393939388</v>
      </c>
      <c r="S88" s="98"/>
      <c r="T88" s="74"/>
      <c r="U88" s="74">
        <f t="shared" si="164"/>
        <v>698.93939393939388</v>
      </c>
      <c r="V88" s="73">
        <f t="shared" si="177"/>
        <v>698.93939393939388</v>
      </c>
      <c r="W88" s="98"/>
      <c r="X88" s="74"/>
      <c r="Y88" s="73">
        <f t="shared" si="177"/>
        <v>698.93939393939388</v>
      </c>
      <c r="Z88" s="73">
        <f t="shared" si="177"/>
        <v>698.93939393939388</v>
      </c>
      <c r="AA88" s="98"/>
      <c r="AB88" s="74"/>
      <c r="AC88" s="73">
        <f t="shared" si="166"/>
        <v>698.93939393939388</v>
      </c>
      <c r="AD88" s="73">
        <f t="shared" si="166"/>
        <v>698.93939393939388</v>
      </c>
      <c r="AE88" s="98"/>
      <c r="AF88" s="74"/>
      <c r="AG88" s="73">
        <f t="shared" si="166"/>
        <v>698.93939393939388</v>
      </c>
      <c r="AH88" s="73">
        <f t="shared" si="166"/>
        <v>698.93939393939388</v>
      </c>
      <c r="AI88" s="98"/>
      <c r="AJ88" s="74"/>
      <c r="AK88" s="73">
        <f t="shared" si="166"/>
        <v>698.93939393939388</v>
      </c>
      <c r="AL88" s="73">
        <f t="shared" si="166"/>
        <v>698.93939393939388</v>
      </c>
      <c r="AM88" s="98"/>
      <c r="AN88" s="74"/>
      <c r="AO88" s="73">
        <f t="shared" si="166"/>
        <v>698.93939393939388</v>
      </c>
      <c r="AP88" s="61"/>
    </row>
    <row r="89" s="99" customFormat="1" ht="18.600000000000001" customHeight="1" outlineLevel="1">
      <c r="A89" s="100"/>
      <c r="B89" s="101" t="s">
        <v>18</v>
      </c>
      <c r="C89" s="102">
        <f>'[3]План пр-ва по единицам обор'!$AN$53</f>
        <v>38631.515151515152</v>
      </c>
      <c r="D89" s="103">
        <f>SUM(D85:D88)</f>
        <v>38631.515151515152</v>
      </c>
      <c r="E89" s="280" t="s">
        <v>19</v>
      </c>
      <c r="F89" s="105">
        <f>SUM(F85:F88)</f>
        <v>56</v>
      </c>
      <c r="G89" s="106">
        <f>SUM(G85:G88)</f>
        <v>8</v>
      </c>
      <c r="H89" s="107">
        <f>SUM(H85:H88)</f>
        <v>0</v>
      </c>
      <c r="I89" s="108" t="s">
        <v>19</v>
      </c>
      <c r="J89" s="109">
        <f t="shared" ref="J89:AO89" si="178">SUM(J85:J88)</f>
        <v>8.0666666666666682</v>
      </c>
      <c r="K89" s="281">
        <f t="shared" si="178"/>
        <v>0</v>
      </c>
      <c r="L89" s="282">
        <f t="shared" si="178"/>
        <v>0</v>
      </c>
      <c r="M89" s="282">
        <f t="shared" si="178"/>
        <v>0</v>
      </c>
      <c r="N89" s="282">
        <f t="shared" si="178"/>
        <v>1143.3333333333333</v>
      </c>
      <c r="O89" s="282">
        <f t="shared" si="178"/>
        <v>1397.8787878787878</v>
      </c>
      <c r="P89" s="282">
        <f t="shared" si="178"/>
        <v>1397.8787878787878</v>
      </c>
      <c r="Q89" s="282">
        <f t="shared" si="178"/>
        <v>1397.8787878787878</v>
      </c>
      <c r="R89" s="282">
        <f t="shared" si="178"/>
        <v>1397.8787878787878</v>
      </c>
      <c r="S89" s="282">
        <f t="shared" si="178"/>
        <v>1397.8787878787878</v>
      </c>
      <c r="T89" s="282">
        <f t="shared" si="178"/>
        <v>1397.8787878787878</v>
      </c>
      <c r="U89" s="282">
        <f t="shared" si="178"/>
        <v>1397.8787878787878</v>
      </c>
      <c r="V89" s="282">
        <f t="shared" si="178"/>
        <v>1397.8787878787878</v>
      </c>
      <c r="W89" s="282">
        <f t="shared" si="178"/>
        <v>1397.8787878787878</v>
      </c>
      <c r="X89" s="282">
        <f t="shared" si="178"/>
        <v>1397.8787878787878</v>
      </c>
      <c r="Y89" s="282">
        <f t="shared" si="178"/>
        <v>1397.8787878787878</v>
      </c>
      <c r="Z89" s="282">
        <f t="shared" si="178"/>
        <v>1397.8787878787878</v>
      </c>
      <c r="AA89" s="282">
        <f t="shared" si="178"/>
        <v>1397.8787878787878</v>
      </c>
      <c r="AB89" s="282">
        <f t="shared" si="178"/>
        <v>1143.3333333333333</v>
      </c>
      <c r="AC89" s="282">
        <f t="shared" si="178"/>
        <v>1397.8787878787878</v>
      </c>
      <c r="AD89" s="282">
        <f t="shared" si="178"/>
        <v>1397.8787878787878</v>
      </c>
      <c r="AE89" s="282">
        <f t="shared" si="178"/>
        <v>1397.8787878787878</v>
      </c>
      <c r="AF89" s="282">
        <f t="shared" si="178"/>
        <v>1397.8787878787878</v>
      </c>
      <c r="AG89" s="282">
        <f t="shared" si="178"/>
        <v>1397.8787878787878</v>
      </c>
      <c r="AH89" s="282">
        <f t="shared" si="178"/>
        <v>1397.8787878787878</v>
      </c>
      <c r="AI89" s="282">
        <f t="shared" si="178"/>
        <v>1397.8787878787878</v>
      </c>
      <c r="AJ89" s="282">
        <f t="shared" si="178"/>
        <v>1397.8787878787878</v>
      </c>
      <c r="AK89" s="282">
        <f t="shared" si="178"/>
        <v>1397.8787878787878</v>
      </c>
      <c r="AL89" s="282">
        <f t="shared" si="178"/>
        <v>1397.8787878787878</v>
      </c>
      <c r="AM89" s="282">
        <f t="shared" si="178"/>
        <v>1397.8787878787878</v>
      </c>
      <c r="AN89" s="282">
        <f t="shared" si="178"/>
        <v>1397.8787878787878</v>
      </c>
      <c r="AO89" s="282">
        <f t="shared" si="178"/>
        <v>1397.8787878787878</v>
      </c>
      <c r="AP89" s="61"/>
    </row>
    <row r="90" s="24" customFormat="1" ht="13.15" customHeight="1" outlineLevel="1">
      <c r="A90" s="115"/>
      <c r="B90" s="115"/>
      <c r="C90" s="116"/>
      <c r="D90" s="116">
        <f>D89-C89</f>
        <v>0</v>
      </c>
      <c r="E90" s="117"/>
      <c r="F90" s="118"/>
      <c r="G90" s="119"/>
      <c r="H90" s="120"/>
      <c r="I90" s="121"/>
      <c r="J90" s="120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22"/>
      <c r="AO90" s="122"/>
      <c r="AP90" s="61"/>
    </row>
    <row r="91" s="123" customFormat="1" ht="31.899999999999999" customHeight="1" outlineLevel="1">
      <c r="A91" s="47" t="s">
        <v>48</v>
      </c>
      <c r="B91" s="295"/>
      <c r="C91" s="49" t="s">
        <v>11</v>
      </c>
      <c r="D91" s="50" t="s">
        <v>12</v>
      </c>
      <c r="E91" s="51" t="s">
        <v>13</v>
      </c>
      <c r="F91" s="52" t="s">
        <v>14</v>
      </c>
      <c r="G91" s="151" t="s">
        <v>15</v>
      </c>
      <c r="H91" s="152" t="s">
        <v>16</v>
      </c>
      <c r="I91" s="152" t="s">
        <v>17</v>
      </c>
      <c r="J91" s="153" t="s">
        <v>18</v>
      </c>
      <c r="K91" s="56">
        <v>44562</v>
      </c>
      <c r="L91" s="56">
        <v>44563</v>
      </c>
      <c r="M91" s="56">
        <v>44564</v>
      </c>
      <c r="N91" s="56">
        <v>44565</v>
      </c>
      <c r="O91" s="56">
        <v>44566</v>
      </c>
      <c r="P91" s="56">
        <v>44567</v>
      </c>
      <c r="Q91" s="56">
        <v>44568</v>
      </c>
      <c r="R91" s="56">
        <v>44569</v>
      </c>
      <c r="S91" s="56">
        <v>44570</v>
      </c>
      <c r="T91" s="56">
        <v>44571</v>
      </c>
      <c r="U91" s="60">
        <v>44572</v>
      </c>
      <c r="V91" s="56">
        <v>44573</v>
      </c>
      <c r="W91" s="56">
        <v>44574</v>
      </c>
      <c r="X91" s="56">
        <v>44575</v>
      </c>
      <c r="Y91" s="56">
        <v>44576</v>
      </c>
      <c r="Z91" s="56">
        <v>44577</v>
      </c>
      <c r="AA91" s="56">
        <v>44578</v>
      </c>
      <c r="AB91" s="56">
        <v>44579</v>
      </c>
      <c r="AC91" s="56">
        <v>44580</v>
      </c>
      <c r="AD91" s="56">
        <v>44581</v>
      </c>
      <c r="AE91" s="56">
        <v>44582</v>
      </c>
      <c r="AF91" s="56">
        <v>44583</v>
      </c>
      <c r="AG91" s="56">
        <v>44584</v>
      </c>
      <c r="AH91" s="56">
        <v>44585</v>
      </c>
      <c r="AI91" s="58">
        <v>44586</v>
      </c>
      <c r="AJ91" s="56">
        <v>44587</v>
      </c>
      <c r="AK91" s="56">
        <v>44588</v>
      </c>
      <c r="AL91" s="56">
        <v>44589</v>
      </c>
      <c r="AM91" s="56">
        <v>44590</v>
      </c>
      <c r="AN91" s="56">
        <v>44591</v>
      </c>
      <c r="AO91" s="56">
        <v>44561</v>
      </c>
      <c r="AP91" s="61"/>
    </row>
    <row r="92" ht="13.15" customHeight="1" outlineLevel="2">
      <c r="A92" s="126" t="s">
        <v>48</v>
      </c>
      <c r="B92" s="63" t="s">
        <v>0</v>
      </c>
      <c r="C92" s="64">
        <f t="shared" ref="C92:C95" si="179">$C$96/$F$96*F92</f>
        <v>9657.878787878788</v>
      </c>
      <c r="D92" s="65">
        <f t="shared" ref="D92:D95" si="180">SUM(K92:AO92)</f>
        <v>9530.6060606060601</v>
      </c>
      <c r="E92" s="66">
        <f>'[6]План пр-ва по единицам обор'!$F$54</f>
        <v>700</v>
      </c>
      <c r="F92" s="130">
        <f t="shared" ref="F92:F95" si="181">COUNTA(K92:AO92)</f>
        <v>14</v>
      </c>
      <c r="G92" s="80">
        <v>4</v>
      </c>
      <c r="H92" s="186"/>
      <c r="I92" s="82">
        <f t="shared" si="161"/>
        <v>0.016666666666666666</v>
      </c>
      <c r="J92" s="83">
        <f t="shared" ref="J92:J95" si="182">SUM(G92:I92)</f>
        <v>4.0166666666666666</v>
      </c>
      <c r="K92" s="71"/>
      <c r="L92" s="71"/>
      <c r="M92" s="71"/>
      <c r="N92" s="73"/>
      <c r="O92" s="74">
        <f>$E92/11*(11-($H92+$I92))</f>
        <v>698.93939393939388</v>
      </c>
      <c r="P92" s="74">
        <f t="shared" ref="P92:Q93" si="183">$E92/11*(11-($H92+$I92))</f>
        <v>698.93939393939388</v>
      </c>
      <c r="Q92" s="73"/>
      <c r="R92" s="73"/>
      <c r="S92" s="74">
        <f t="shared" ref="S92:U93" si="184">$E92/11*(11-($H92+$I92))</f>
        <v>698.93939393939388</v>
      </c>
      <c r="T92" s="74">
        <f t="shared" si="184"/>
        <v>698.93939393939388</v>
      </c>
      <c r="U92" s="73"/>
      <c r="V92" s="73"/>
      <c r="W92" s="74">
        <f t="shared" ref="W92:Y93" si="185">$E92/11*(11-($H92+$I92))</f>
        <v>698.93939393939388</v>
      </c>
      <c r="X92" s="74">
        <f t="shared" si="185"/>
        <v>698.93939393939388</v>
      </c>
      <c r="Y92" s="73"/>
      <c r="Z92" s="73"/>
      <c r="AA92" s="74">
        <f t="shared" ref="AA92:AO95" si="186">$E92/11*(11-($H92+$I92))</f>
        <v>698.93939393939388</v>
      </c>
      <c r="AB92" s="74">
        <f t="shared" si="186"/>
        <v>698.93939393939388</v>
      </c>
      <c r="AC92" s="73"/>
      <c r="AD92" s="73"/>
      <c r="AE92" s="74">
        <f t="shared" ref="AE92:AG93" si="187">$E92/11*(11-($H92+$I92))</f>
        <v>698.93939393939388</v>
      </c>
      <c r="AF92" s="74">
        <f t="shared" si="187"/>
        <v>698.93939393939388</v>
      </c>
      <c r="AG92" s="73"/>
      <c r="AH92" s="73"/>
      <c r="AI92" s="75">
        <f>$E92/11*(11-($G92+$I92))</f>
        <v>444.39393939393938</v>
      </c>
      <c r="AJ92" s="74">
        <f t="shared" ref="AH92:AK94" si="188">$E92/11*(11-($H92+$I92))</f>
        <v>698.93939393939388</v>
      </c>
      <c r="AK92" s="73"/>
      <c r="AL92" s="73"/>
      <c r="AM92" s="74">
        <f t="shared" ref="AM92:AO93" si="189">$E92/11*(11-($H92+$I92))</f>
        <v>698.93939393939388</v>
      </c>
      <c r="AN92" s="74">
        <f t="shared" si="189"/>
        <v>698.93939393939388</v>
      </c>
      <c r="AO92" s="73"/>
      <c r="AP92" s="61"/>
      <c r="AR92" s="122"/>
    </row>
    <row r="93" ht="13.15" customHeight="1" outlineLevel="2">
      <c r="A93" s="126"/>
      <c r="B93" s="77" t="s">
        <v>1</v>
      </c>
      <c r="C93" s="78">
        <f t="shared" si="179"/>
        <v>9657.878787878788</v>
      </c>
      <c r="D93" s="79">
        <f t="shared" si="180"/>
        <v>9785.1515151515141</v>
      </c>
      <c r="E93" s="66">
        <f t="shared" ref="E93:E95" si="190">E92</f>
        <v>700</v>
      </c>
      <c r="F93" s="130">
        <f t="shared" si="181"/>
        <v>14</v>
      </c>
      <c r="G93" s="80"/>
      <c r="H93" s="186"/>
      <c r="I93" s="82">
        <f t="shared" si="161"/>
        <v>0.016666666666666666</v>
      </c>
      <c r="J93" s="83">
        <f t="shared" si="182"/>
        <v>0.016666666666666666</v>
      </c>
      <c r="K93" s="72"/>
      <c r="L93" s="72"/>
      <c r="M93" s="71"/>
      <c r="N93" s="84"/>
      <c r="O93" s="73"/>
      <c r="P93" s="74">
        <f t="shared" si="183"/>
        <v>698.93939393939388</v>
      </c>
      <c r="Q93" s="74">
        <f t="shared" si="183"/>
        <v>698.93939393939388</v>
      </c>
      <c r="R93" s="84"/>
      <c r="S93" s="73"/>
      <c r="T93" s="74">
        <f t="shared" si="184"/>
        <v>698.93939393939388</v>
      </c>
      <c r="U93" s="74">
        <f t="shared" si="184"/>
        <v>698.93939393939388</v>
      </c>
      <c r="V93" s="84"/>
      <c r="W93" s="73"/>
      <c r="X93" s="74">
        <f t="shared" si="185"/>
        <v>698.93939393939388</v>
      </c>
      <c r="Y93" s="74">
        <f t="shared" si="185"/>
        <v>698.93939393939388</v>
      </c>
      <c r="Z93" s="84"/>
      <c r="AA93" s="73"/>
      <c r="AB93" s="75">
        <f>$E93/11*(11-($G93+$I93))</f>
        <v>698.93939393939388</v>
      </c>
      <c r="AC93" s="74">
        <f t="shared" si="186"/>
        <v>698.93939393939388</v>
      </c>
      <c r="AD93" s="84"/>
      <c r="AE93" s="73"/>
      <c r="AF93" s="74">
        <f t="shared" si="187"/>
        <v>698.93939393939388</v>
      </c>
      <c r="AG93" s="74">
        <f t="shared" si="187"/>
        <v>698.93939393939388</v>
      </c>
      <c r="AH93" s="84"/>
      <c r="AI93" s="73"/>
      <c r="AJ93" s="74">
        <f t="shared" si="188"/>
        <v>698.93939393939388</v>
      </c>
      <c r="AK93" s="74">
        <f t="shared" si="188"/>
        <v>698.93939393939388</v>
      </c>
      <c r="AL93" s="84"/>
      <c r="AM93" s="73"/>
      <c r="AN93" s="74">
        <f t="shared" si="189"/>
        <v>698.93939393939388</v>
      </c>
      <c r="AO93" s="74">
        <f t="shared" si="189"/>
        <v>698.93939393939388</v>
      </c>
      <c r="AP93" s="61"/>
      <c r="AR93" s="122"/>
    </row>
    <row r="94" ht="13.15" customHeight="1" outlineLevel="2">
      <c r="A94" s="126"/>
      <c r="B94" s="85" t="s">
        <v>2</v>
      </c>
      <c r="C94" s="131">
        <f t="shared" si="179"/>
        <v>9657.878787878788</v>
      </c>
      <c r="D94" s="197">
        <f t="shared" si="180"/>
        <v>9785.1515151515141</v>
      </c>
      <c r="E94" s="66">
        <f t="shared" si="190"/>
        <v>700</v>
      </c>
      <c r="F94" s="130">
        <f t="shared" si="181"/>
        <v>14</v>
      </c>
      <c r="G94" s="80"/>
      <c r="H94" s="186"/>
      <c r="I94" s="82">
        <f t="shared" si="161"/>
        <v>0.016666666666666666</v>
      </c>
      <c r="J94" s="83">
        <f t="shared" si="182"/>
        <v>0.016666666666666666</v>
      </c>
      <c r="K94" s="88"/>
      <c r="L94" s="72"/>
      <c r="M94" s="71"/>
      <c r="N94" s="73">
        <f t="shared" ref="N94:Z95" si="191">$E94/11*(11-($H94+$I94))</f>
        <v>698.93939393939388</v>
      </c>
      <c r="O94" s="74">
        <f>$E94/11*(11-($H94+$I94))</f>
        <v>698.93939393939388</v>
      </c>
      <c r="P94" s="74"/>
      <c r="Q94" s="73"/>
      <c r="R94" s="74">
        <f t="shared" ref="R94:S94" si="192">$E94/11*(11-($H94+$I94))</f>
        <v>698.93939393939388</v>
      </c>
      <c r="S94" s="74">
        <f t="shared" si="192"/>
        <v>698.93939393939388</v>
      </c>
      <c r="T94" s="74"/>
      <c r="U94" s="73"/>
      <c r="V94" s="74">
        <f t="shared" ref="V94:W94" si="193">$E94/11*(11-($H94+$I94))</f>
        <v>698.93939393939388</v>
      </c>
      <c r="W94" s="74">
        <f t="shared" si="193"/>
        <v>698.93939393939388</v>
      </c>
      <c r="X94" s="74"/>
      <c r="Y94" s="73"/>
      <c r="Z94" s="74">
        <f t="shared" ref="Z94:AA94" si="194">$E94/11*(11-($H94+$I94))</f>
        <v>698.93939393939388</v>
      </c>
      <c r="AA94" s="74">
        <f t="shared" si="194"/>
        <v>698.93939393939388</v>
      </c>
      <c r="AB94" s="74"/>
      <c r="AC94" s="73"/>
      <c r="AD94" s="74">
        <f t="shared" ref="AD94:AE94" si="195">$E94/11*(11-($H94+$I94))</f>
        <v>698.93939393939388</v>
      </c>
      <c r="AE94" s="74">
        <f t="shared" si="195"/>
        <v>698.93939393939388</v>
      </c>
      <c r="AF94" s="74"/>
      <c r="AG94" s="73"/>
      <c r="AH94" s="74">
        <f t="shared" si="188"/>
        <v>698.93939393939388</v>
      </c>
      <c r="AI94" s="74">
        <f t="shared" si="188"/>
        <v>698.93939393939388</v>
      </c>
      <c r="AJ94" s="74"/>
      <c r="AK94" s="73"/>
      <c r="AL94" s="74">
        <f t="shared" ref="AL94:AM94" si="196">$E94/11*(11-($H94+$I94))</f>
        <v>698.93939393939388</v>
      </c>
      <c r="AM94" s="74">
        <f t="shared" si="196"/>
        <v>698.93939393939388</v>
      </c>
      <c r="AN94" s="74"/>
      <c r="AO94" s="73"/>
      <c r="AP94" s="61"/>
      <c r="AR94" s="122"/>
    </row>
    <row r="95" ht="13.15" customHeight="1" outlineLevel="2">
      <c r="A95" s="132"/>
      <c r="B95" s="90" t="s">
        <v>3</v>
      </c>
      <c r="C95" s="133">
        <f t="shared" si="179"/>
        <v>9657.878787878788</v>
      </c>
      <c r="D95" s="200">
        <f t="shared" si="180"/>
        <v>9530.6060606060601</v>
      </c>
      <c r="E95" s="66">
        <f t="shared" si="190"/>
        <v>700</v>
      </c>
      <c r="F95" s="130">
        <f t="shared" si="181"/>
        <v>14</v>
      </c>
      <c r="G95" s="80">
        <v>4</v>
      </c>
      <c r="H95" s="186"/>
      <c r="I95" s="82">
        <f t="shared" si="161"/>
        <v>0.016666666666666666</v>
      </c>
      <c r="J95" s="83">
        <f t="shared" si="182"/>
        <v>4.0166666666666666</v>
      </c>
      <c r="K95" s="97"/>
      <c r="L95" s="72"/>
      <c r="M95" s="71"/>
      <c r="N95" s="73">
        <f t="shared" si="191"/>
        <v>698.93939393939388</v>
      </c>
      <c r="O95" s="98"/>
      <c r="P95" s="74"/>
      <c r="Q95" s="73">
        <f t="shared" si="191"/>
        <v>698.93939393939388</v>
      </c>
      <c r="R95" s="73">
        <f t="shared" si="191"/>
        <v>698.93939393939388</v>
      </c>
      <c r="S95" s="98"/>
      <c r="T95" s="74"/>
      <c r="U95" s="75">
        <f>$E95/11*(11-($G95+$I95))</f>
        <v>444.39393939393938</v>
      </c>
      <c r="V95" s="73">
        <f t="shared" si="191"/>
        <v>698.93939393939388</v>
      </c>
      <c r="W95" s="98"/>
      <c r="X95" s="74"/>
      <c r="Y95" s="73">
        <f t="shared" si="191"/>
        <v>698.93939393939388</v>
      </c>
      <c r="Z95" s="73">
        <f t="shared" si="191"/>
        <v>698.93939393939388</v>
      </c>
      <c r="AA95" s="98"/>
      <c r="AB95" s="74"/>
      <c r="AC95" s="73">
        <f t="shared" si="186"/>
        <v>698.93939393939388</v>
      </c>
      <c r="AD95" s="73">
        <f t="shared" si="186"/>
        <v>698.93939393939388</v>
      </c>
      <c r="AE95" s="98"/>
      <c r="AF95" s="74"/>
      <c r="AG95" s="73">
        <f t="shared" si="186"/>
        <v>698.93939393939388</v>
      </c>
      <c r="AH95" s="73">
        <f t="shared" si="186"/>
        <v>698.93939393939388</v>
      </c>
      <c r="AI95" s="98"/>
      <c r="AJ95" s="74"/>
      <c r="AK95" s="73">
        <f t="shared" si="186"/>
        <v>698.93939393939388</v>
      </c>
      <c r="AL95" s="73">
        <f t="shared" si="186"/>
        <v>698.93939393939388</v>
      </c>
      <c r="AM95" s="98"/>
      <c r="AN95" s="74"/>
      <c r="AO95" s="73">
        <f t="shared" si="186"/>
        <v>698.93939393939388</v>
      </c>
      <c r="AP95" s="61"/>
      <c r="AR95" s="122"/>
    </row>
    <row r="96" s="99" customFormat="1" ht="17.449999999999999" customHeight="1" outlineLevel="1">
      <c r="B96" s="136" t="s">
        <v>18</v>
      </c>
      <c r="C96" s="102">
        <f>'[3]План пр-ва по единицам обор'!$AN$54</f>
        <v>38631.515151515152</v>
      </c>
      <c r="D96" s="103">
        <f>SUM(D92:D95)</f>
        <v>38631.515151515152</v>
      </c>
      <c r="E96" s="222" t="s">
        <v>19</v>
      </c>
      <c r="F96" s="105">
        <f>SUM(F92:F95)</f>
        <v>56</v>
      </c>
      <c r="G96" s="106">
        <f>SUM(G92:G95)</f>
        <v>8</v>
      </c>
      <c r="H96" s="107">
        <f>SUM(H92:H95)</f>
        <v>0</v>
      </c>
      <c r="I96" s="108" t="s">
        <v>19</v>
      </c>
      <c r="J96" s="109">
        <f t="shared" ref="J96:AO96" si="197">SUM(J92:J95)</f>
        <v>8.0666666666666664</v>
      </c>
      <c r="K96" s="110">
        <f t="shared" si="197"/>
        <v>0</v>
      </c>
      <c r="L96" s="111">
        <f t="shared" si="197"/>
        <v>0</v>
      </c>
      <c r="M96" s="111">
        <f t="shared" si="197"/>
        <v>0</v>
      </c>
      <c r="N96" s="293">
        <f t="shared" si="197"/>
        <v>1397.8787878787878</v>
      </c>
      <c r="O96" s="293">
        <f t="shared" si="197"/>
        <v>1397.8787878787878</v>
      </c>
      <c r="P96" s="293">
        <f t="shared" si="197"/>
        <v>1397.8787878787878</v>
      </c>
      <c r="Q96" s="293">
        <f t="shared" si="197"/>
        <v>1397.8787878787878</v>
      </c>
      <c r="R96" s="293">
        <f t="shared" si="197"/>
        <v>1397.8787878787878</v>
      </c>
      <c r="S96" s="293">
        <f t="shared" si="197"/>
        <v>1397.8787878787878</v>
      </c>
      <c r="T96" s="293">
        <f t="shared" si="197"/>
        <v>1397.8787878787878</v>
      </c>
      <c r="U96" s="293">
        <f t="shared" si="197"/>
        <v>1143.3333333333333</v>
      </c>
      <c r="V96" s="293">
        <f t="shared" si="197"/>
        <v>1397.8787878787878</v>
      </c>
      <c r="W96" s="293">
        <f t="shared" si="197"/>
        <v>1397.8787878787878</v>
      </c>
      <c r="X96" s="293">
        <f t="shared" si="197"/>
        <v>1397.8787878787878</v>
      </c>
      <c r="Y96" s="293">
        <f t="shared" si="197"/>
        <v>1397.8787878787878</v>
      </c>
      <c r="Z96" s="293">
        <f t="shared" si="197"/>
        <v>1397.8787878787878</v>
      </c>
      <c r="AA96" s="293">
        <f t="shared" si="197"/>
        <v>1397.8787878787878</v>
      </c>
      <c r="AB96" s="293">
        <f t="shared" si="197"/>
        <v>1397.8787878787878</v>
      </c>
      <c r="AC96" s="293">
        <f t="shared" si="197"/>
        <v>1397.8787878787878</v>
      </c>
      <c r="AD96" s="293">
        <f t="shared" si="197"/>
        <v>1397.8787878787878</v>
      </c>
      <c r="AE96" s="293">
        <f t="shared" si="197"/>
        <v>1397.8787878787878</v>
      </c>
      <c r="AF96" s="293">
        <f t="shared" si="197"/>
        <v>1397.8787878787878</v>
      </c>
      <c r="AG96" s="293">
        <f t="shared" si="197"/>
        <v>1397.8787878787878</v>
      </c>
      <c r="AH96" s="293">
        <f t="shared" si="197"/>
        <v>1397.8787878787878</v>
      </c>
      <c r="AI96" s="293">
        <f t="shared" si="197"/>
        <v>1143.3333333333333</v>
      </c>
      <c r="AJ96" s="293">
        <f t="shared" si="197"/>
        <v>1397.8787878787878</v>
      </c>
      <c r="AK96" s="293">
        <f t="shared" si="197"/>
        <v>1397.8787878787878</v>
      </c>
      <c r="AL96" s="293">
        <f t="shared" si="197"/>
        <v>1397.8787878787878</v>
      </c>
      <c r="AM96" s="293">
        <f t="shared" si="197"/>
        <v>1397.8787878787878</v>
      </c>
      <c r="AN96" s="293">
        <f t="shared" si="197"/>
        <v>1397.8787878787878</v>
      </c>
      <c r="AO96" s="293">
        <f t="shared" si="197"/>
        <v>1397.8787878787878</v>
      </c>
      <c r="AP96" s="61"/>
    </row>
    <row r="97" s="99" customFormat="1" ht="13.15" customHeight="1" outlineLevel="1">
      <c r="B97" s="136"/>
      <c r="C97" s="116"/>
      <c r="D97" s="116"/>
      <c r="E97" s="117"/>
      <c r="F97" s="146"/>
      <c r="G97" s="119"/>
      <c r="H97" s="120"/>
      <c r="I97" s="121"/>
      <c r="J97" s="120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  <c r="AN97" s="147"/>
      <c r="AO97" s="147"/>
      <c r="AP97" s="61"/>
    </row>
    <row r="98" s="123" customFormat="1" ht="34.149999999999999" customHeight="1" outlineLevel="1">
      <c r="A98" s="47" t="s">
        <v>49</v>
      </c>
      <c r="B98" s="295"/>
      <c r="C98" s="49" t="s">
        <v>11</v>
      </c>
      <c r="D98" s="50" t="s">
        <v>12</v>
      </c>
      <c r="E98" s="51" t="s">
        <v>13</v>
      </c>
      <c r="F98" s="52" t="s">
        <v>14</v>
      </c>
      <c r="G98" s="151" t="s">
        <v>15</v>
      </c>
      <c r="H98" s="152" t="s">
        <v>16</v>
      </c>
      <c r="I98" s="152" t="s">
        <v>17</v>
      </c>
      <c r="J98" s="153" t="s">
        <v>18</v>
      </c>
      <c r="K98" s="56">
        <v>44562</v>
      </c>
      <c r="L98" s="56">
        <v>44563</v>
      </c>
      <c r="M98" s="56">
        <v>44564</v>
      </c>
      <c r="N98" s="59">
        <v>44565</v>
      </c>
      <c r="O98" s="56">
        <v>44566</v>
      </c>
      <c r="P98" s="56">
        <v>44567</v>
      </c>
      <c r="Q98" s="56">
        <v>44568</v>
      </c>
      <c r="R98" s="56">
        <v>44569</v>
      </c>
      <c r="S98" s="56">
        <v>44570</v>
      </c>
      <c r="T98" s="56">
        <v>44571</v>
      </c>
      <c r="U98" s="56">
        <v>44572</v>
      </c>
      <c r="V98" s="56">
        <v>44573</v>
      </c>
      <c r="W98" s="56">
        <v>44574</v>
      </c>
      <c r="X98" s="56">
        <v>44575</v>
      </c>
      <c r="Y98" s="56">
        <v>44576</v>
      </c>
      <c r="Z98" s="56">
        <v>44577</v>
      </c>
      <c r="AA98" s="56">
        <v>44578</v>
      </c>
      <c r="AB98" s="214">
        <v>44579</v>
      </c>
      <c r="AC98" s="56">
        <v>44580</v>
      </c>
      <c r="AD98" s="56">
        <v>44581</v>
      </c>
      <c r="AE98" s="56">
        <v>44582</v>
      </c>
      <c r="AF98" s="56">
        <v>44583</v>
      </c>
      <c r="AG98" s="56">
        <v>44584</v>
      </c>
      <c r="AH98" s="56">
        <v>44585</v>
      </c>
      <c r="AI98" s="56">
        <v>44586</v>
      </c>
      <c r="AJ98" s="56">
        <v>44587</v>
      </c>
      <c r="AK98" s="56">
        <v>44588</v>
      </c>
      <c r="AL98" s="56">
        <v>44589</v>
      </c>
      <c r="AM98" s="56">
        <v>44590</v>
      </c>
      <c r="AN98" s="56">
        <v>44591</v>
      </c>
      <c r="AO98" s="56">
        <v>44561</v>
      </c>
      <c r="AP98" s="61"/>
    </row>
    <row r="99" ht="13.15" customHeight="1" outlineLevel="2">
      <c r="A99" s="126" t="s">
        <v>49</v>
      </c>
      <c r="B99" s="63" t="s">
        <v>0</v>
      </c>
      <c r="C99" s="64">
        <f>$C$103/$F$103*F99</f>
        <v>4765.30303030303</v>
      </c>
      <c r="D99" s="65">
        <f>SUM(K99:AO99)</f>
        <v>4892.5757575757571</v>
      </c>
      <c r="E99" s="66">
        <f>'[6]План пр-ва по единицам обор'!$F$55</f>
        <v>700</v>
      </c>
      <c r="F99" s="130">
        <f>COUNTA(K99:AO99)</f>
        <v>7</v>
      </c>
      <c r="G99" s="80"/>
      <c r="H99" s="186"/>
      <c r="I99" s="82">
        <f t="shared" si="161"/>
        <v>0.016666666666666666</v>
      </c>
      <c r="J99" s="83">
        <f>SUM(G99:I99)</f>
        <v>0.016666666666666666</v>
      </c>
      <c r="K99" s="71"/>
      <c r="L99" s="72"/>
      <c r="M99" s="71"/>
      <c r="N99" s="73"/>
      <c r="O99" s="74">
        <f>$E99/11*(11-($H99+$I99))</f>
        <v>698.93939393939388</v>
      </c>
      <c r="P99" s="74"/>
      <c r="Q99" s="73"/>
      <c r="R99" s="73"/>
      <c r="S99" s="74">
        <f t="shared" ref="S99:U102" si="198">$E99/11*(11-($H99+$I99))</f>
        <v>698.93939393939388</v>
      </c>
      <c r="T99" s="74"/>
      <c r="U99" s="73"/>
      <c r="V99" s="73"/>
      <c r="W99" s="74">
        <f t="shared" ref="W99:X100" si="199">$E99/11*(11-($H99+$I99))</f>
        <v>698.93939393939388</v>
      </c>
      <c r="X99" s="74"/>
      <c r="Y99" s="73"/>
      <c r="Z99" s="73"/>
      <c r="AA99" s="74">
        <f>$E99/11*(11-($H99+$I99))</f>
        <v>698.93939393939388</v>
      </c>
      <c r="AB99" s="74"/>
      <c r="AC99" s="73"/>
      <c r="AD99" s="73"/>
      <c r="AE99" s="74">
        <f t="shared" ref="AE99:AF100" si="200">$E99/11*(11-($H99+$I99))</f>
        <v>698.93939393939388</v>
      </c>
      <c r="AF99" s="74"/>
      <c r="AG99" s="73"/>
      <c r="AH99" s="73"/>
      <c r="AI99" s="74">
        <f t="shared" ref="AH99:AJ101" si="201">$E99/11*(11-($H99+$I99))</f>
        <v>698.93939393939388</v>
      </c>
      <c r="AJ99" s="74"/>
      <c r="AK99" s="73"/>
      <c r="AL99" s="73"/>
      <c r="AM99" s="74">
        <f t="shared" ref="AM99:AN100" si="202">$E99/11*(11-($H99+$I99))</f>
        <v>698.93939393939388</v>
      </c>
      <c r="AN99" s="74"/>
      <c r="AO99" s="73"/>
      <c r="AP99" s="61"/>
      <c r="AR99" s="122"/>
    </row>
    <row r="100" ht="13.15" customHeight="1" outlineLevel="2">
      <c r="A100" s="126"/>
      <c r="B100" s="77" t="s">
        <v>1</v>
      </c>
      <c r="C100" s="78">
        <f t="shared" ref="C100:C102" si="203">$C$103/$F$103*F100</f>
        <v>4765.30303030303</v>
      </c>
      <c r="D100" s="79">
        <f t="shared" ref="D100:D102" si="204">SUM(K100:AO100)</f>
        <v>4638.030303030303</v>
      </c>
      <c r="E100" s="66">
        <f>E99</f>
        <v>700</v>
      </c>
      <c r="F100" s="130">
        <f t="shared" ref="F100:F102" si="205">COUNTA(K100:AO100)</f>
        <v>7</v>
      </c>
      <c r="G100" s="80">
        <v>4</v>
      </c>
      <c r="H100" s="186"/>
      <c r="I100" s="82">
        <f t="shared" si="161"/>
        <v>0.016666666666666666</v>
      </c>
      <c r="J100" s="83">
        <f t="shared" ref="J100:J102" si="206">SUM(G100:I100)</f>
        <v>4.0166666666666666</v>
      </c>
      <c r="K100" s="72"/>
      <c r="L100" s="72"/>
      <c r="M100" s="72"/>
      <c r="N100" s="84"/>
      <c r="O100" s="73"/>
      <c r="P100" s="74">
        <f>$E100/11*(11-($H100+$I100))</f>
        <v>698.93939393939388</v>
      </c>
      <c r="Q100" s="74"/>
      <c r="R100" s="84"/>
      <c r="S100" s="73"/>
      <c r="T100" s="74">
        <f t="shared" si="198"/>
        <v>698.93939393939388</v>
      </c>
      <c r="U100" s="74"/>
      <c r="V100" s="84"/>
      <c r="W100" s="73"/>
      <c r="X100" s="74">
        <f t="shared" si="199"/>
        <v>698.93939393939388</v>
      </c>
      <c r="Y100" s="74"/>
      <c r="Z100" s="84"/>
      <c r="AA100" s="73"/>
      <c r="AB100" s="75">
        <f>$E100/11*(11-($G100+$I100))</f>
        <v>444.39393939393938</v>
      </c>
      <c r="AC100" s="74"/>
      <c r="AD100" s="84"/>
      <c r="AE100" s="73"/>
      <c r="AF100" s="74">
        <f t="shared" si="200"/>
        <v>698.93939393939388</v>
      </c>
      <c r="AG100" s="74"/>
      <c r="AH100" s="84"/>
      <c r="AI100" s="73"/>
      <c r="AJ100" s="74">
        <f t="shared" si="201"/>
        <v>698.93939393939388</v>
      </c>
      <c r="AK100" s="74"/>
      <c r="AL100" s="84"/>
      <c r="AM100" s="73"/>
      <c r="AN100" s="74">
        <f t="shared" si="202"/>
        <v>698.93939393939388</v>
      </c>
      <c r="AO100" s="74"/>
      <c r="AP100" s="61"/>
      <c r="AR100" s="122"/>
    </row>
    <row r="101" ht="13.15" customHeight="1" outlineLevel="2">
      <c r="A101" s="126"/>
      <c r="B101" s="85" t="s">
        <v>2</v>
      </c>
      <c r="C101" s="131">
        <f t="shared" si="203"/>
        <v>4765.30303030303</v>
      </c>
      <c r="D101" s="197">
        <f t="shared" si="204"/>
        <v>4638.030303030303</v>
      </c>
      <c r="E101" s="66">
        <f t="shared" ref="E101:E102" si="207">E100</f>
        <v>700</v>
      </c>
      <c r="F101" s="130">
        <f t="shared" si="205"/>
        <v>7</v>
      </c>
      <c r="G101" s="80">
        <v>4</v>
      </c>
      <c r="H101" s="186"/>
      <c r="I101" s="82">
        <f t="shared" si="161"/>
        <v>0.016666666666666666</v>
      </c>
      <c r="J101" s="83">
        <f t="shared" si="206"/>
        <v>4.0166666666666666</v>
      </c>
      <c r="K101" s="88"/>
      <c r="L101" s="72"/>
      <c r="M101" s="71"/>
      <c r="N101" s="75">
        <f>$E101/11*(11-($G101+$I101))</f>
        <v>444.39393939393938</v>
      </c>
      <c r="O101" s="74"/>
      <c r="P101" s="74"/>
      <c r="Q101" s="73"/>
      <c r="R101" s="74">
        <f>$E101/11*(11-($H101+$I101))</f>
        <v>698.93939393939388</v>
      </c>
      <c r="S101" s="74"/>
      <c r="T101" s="74"/>
      <c r="U101" s="73"/>
      <c r="V101" s="74">
        <f>$E101/11*(11-($H101+$I101))</f>
        <v>698.93939393939388</v>
      </c>
      <c r="W101" s="74"/>
      <c r="X101" s="74"/>
      <c r="Y101" s="73"/>
      <c r="Z101" s="74">
        <f>$E101/11*(11-($H101+$I101))</f>
        <v>698.93939393939388</v>
      </c>
      <c r="AA101" s="74"/>
      <c r="AB101" s="74"/>
      <c r="AC101" s="73"/>
      <c r="AD101" s="74">
        <f>$E101/11*(11-($H101+$I101))</f>
        <v>698.93939393939388</v>
      </c>
      <c r="AE101" s="74"/>
      <c r="AF101" s="74"/>
      <c r="AG101" s="73"/>
      <c r="AH101" s="74">
        <f t="shared" si="201"/>
        <v>698.93939393939388</v>
      </c>
      <c r="AI101" s="74"/>
      <c r="AJ101" s="74"/>
      <c r="AK101" s="73"/>
      <c r="AL101" s="74">
        <f>$E101/11*(11-($H101+$I101))</f>
        <v>698.93939393939388</v>
      </c>
      <c r="AM101" s="74"/>
      <c r="AN101" s="74"/>
      <c r="AO101" s="73"/>
      <c r="AP101" s="61"/>
      <c r="AR101" s="122"/>
    </row>
    <row r="102" ht="13.15" customHeight="1" outlineLevel="2">
      <c r="A102" s="132"/>
      <c r="B102" s="90" t="s">
        <v>3</v>
      </c>
      <c r="C102" s="133">
        <f t="shared" si="203"/>
        <v>4765.30303030303</v>
      </c>
      <c r="D102" s="200">
        <f t="shared" si="204"/>
        <v>4892.5757575757571</v>
      </c>
      <c r="E102" s="66">
        <f t="shared" si="207"/>
        <v>700</v>
      </c>
      <c r="F102" s="130">
        <f t="shared" si="205"/>
        <v>7</v>
      </c>
      <c r="G102" s="80"/>
      <c r="H102" s="186"/>
      <c r="I102" s="82">
        <f t="shared" si="161"/>
        <v>0.016666666666666666</v>
      </c>
      <c r="J102" s="83">
        <f t="shared" si="206"/>
        <v>0.016666666666666666</v>
      </c>
      <c r="K102" s="97"/>
      <c r="L102" s="72"/>
      <c r="M102" s="71"/>
      <c r="N102" s="73"/>
      <c r="O102" s="98"/>
      <c r="P102" s="74"/>
      <c r="Q102" s="73">
        <f t="shared" ref="Q102:Y102" si="208">$E102/11*(11-($H102+$I102))</f>
        <v>698.93939393939388</v>
      </c>
      <c r="R102" s="73"/>
      <c r="S102" s="98"/>
      <c r="T102" s="74"/>
      <c r="U102" s="74">
        <f t="shared" si="198"/>
        <v>698.93939393939388</v>
      </c>
      <c r="V102" s="73"/>
      <c r="W102" s="98"/>
      <c r="X102" s="74"/>
      <c r="Y102" s="73">
        <f t="shared" si="208"/>
        <v>698.93939393939388</v>
      </c>
      <c r="Z102" s="73"/>
      <c r="AA102" s="98"/>
      <c r="AB102" s="74"/>
      <c r="AC102" s="73">
        <f t="shared" ref="AC102:AO102" si="209">$E102/11*(11-($H102+$I102))</f>
        <v>698.93939393939388</v>
      </c>
      <c r="AD102" s="73"/>
      <c r="AE102" s="98"/>
      <c r="AF102" s="74"/>
      <c r="AG102" s="73">
        <f t="shared" si="209"/>
        <v>698.93939393939388</v>
      </c>
      <c r="AH102" s="73"/>
      <c r="AI102" s="98"/>
      <c r="AJ102" s="74"/>
      <c r="AK102" s="73">
        <f t="shared" si="209"/>
        <v>698.93939393939388</v>
      </c>
      <c r="AL102" s="73"/>
      <c r="AM102" s="98"/>
      <c r="AN102" s="74"/>
      <c r="AO102" s="73">
        <f t="shared" si="209"/>
        <v>698.93939393939388</v>
      </c>
      <c r="AP102" s="61"/>
      <c r="AR102" s="122"/>
    </row>
    <row r="103" s="99" customFormat="1" ht="17.449999999999999" customHeight="1" outlineLevel="1">
      <c r="B103" s="136" t="s">
        <v>18</v>
      </c>
      <c r="C103" s="102">
        <f>'[3]План пр-ва по единицам обор'!$AN$55</f>
        <v>19061.21212121212</v>
      </c>
      <c r="D103" s="166">
        <f>SUM(D99:D102)</f>
        <v>19061.21212121212</v>
      </c>
      <c r="E103" s="298" t="s">
        <v>19</v>
      </c>
      <c r="F103" s="105">
        <f>SUM(F99:F102)</f>
        <v>28</v>
      </c>
      <c r="G103" s="106"/>
      <c r="H103" s="107">
        <f>SUM(H99:H102)</f>
        <v>0</v>
      </c>
      <c r="I103" s="168" t="s">
        <v>19</v>
      </c>
      <c r="J103" s="109">
        <f t="shared" ref="J103:N103" si="210">SUM(J99:J102)</f>
        <v>8.0666666666666682</v>
      </c>
      <c r="K103" s="110">
        <f t="shared" si="210"/>
        <v>0</v>
      </c>
      <c r="L103" s="111">
        <f t="shared" si="210"/>
        <v>0</v>
      </c>
      <c r="M103" s="111">
        <f t="shared" si="210"/>
        <v>0</v>
      </c>
      <c r="N103" s="111">
        <f t="shared" si="210"/>
        <v>444.39393939393938</v>
      </c>
      <c r="O103" s="111">
        <f>SUM(O99:O102)</f>
        <v>698.93939393939388</v>
      </c>
      <c r="P103" s="112">
        <f>SUM(P99:P102)</f>
        <v>698.93939393939388</v>
      </c>
      <c r="Q103" s="111">
        <f t="shared" ref="Q103:AO103" si="211">SUM(Q99:Q102)</f>
        <v>698.93939393939388</v>
      </c>
      <c r="R103" s="111">
        <f t="shared" si="211"/>
        <v>698.93939393939388</v>
      </c>
      <c r="S103" s="111">
        <f t="shared" si="211"/>
        <v>698.93939393939388</v>
      </c>
      <c r="T103" s="111">
        <f t="shared" si="211"/>
        <v>698.93939393939388</v>
      </c>
      <c r="U103" s="111">
        <f t="shared" si="211"/>
        <v>698.93939393939388</v>
      </c>
      <c r="V103" s="111">
        <f t="shared" si="211"/>
        <v>698.93939393939388</v>
      </c>
      <c r="W103" s="111">
        <f t="shared" si="211"/>
        <v>698.93939393939388</v>
      </c>
      <c r="X103" s="111">
        <f t="shared" si="211"/>
        <v>698.93939393939388</v>
      </c>
      <c r="Y103" s="111">
        <f t="shared" si="211"/>
        <v>698.93939393939388</v>
      </c>
      <c r="Z103" s="111">
        <f t="shared" si="211"/>
        <v>698.93939393939388</v>
      </c>
      <c r="AA103" s="111">
        <f t="shared" si="211"/>
        <v>698.93939393939388</v>
      </c>
      <c r="AB103" s="112">
        <f t="shared" si="211"/>
        <v>444.39393939393938</v>
      </c>
      <c r="AC103" s="299">
        <f t="shared" si="211"/>
        <v>698.93939393939388</v>
      </c>
      <c r="AD103" s="300">
        <f t="shared" si="211"/>
        <v>698.93939393939388</v>
      </c>
      <c r="AE103" s="300">
        <f t="shared" si="211"/>
        <v>698.93939393939388</v>
      </c>
      <c r="AF103" s="300">
        <f t="shared" si="211"/>
        <v>698.93939393939388</v>
      </c>
      <c r="AG103" s="300">
        <f t="shared" si="211"/>
        <v>698.93939393939388</v>
      </c>
      <c r="AH103" s="300">
        <f t="shared" si="211"/>
        <v>698.93939393939388</v>
      </c>
      <c r="AI103" s="300">
        <f t="shared" si="211"/>
        <v>698.93939393939388</v>
      </c>
      <c r="AJ103" s="300">
        <f t="shared" si="211"/>
        <v>698.93939393939388</v>
      </c>
      <c r="AK103" s="300">
        <f t="shared" si="211"/>
        <v>698.93939393939388</v>
      </c>
      <c r="AL103" s="300">
        <f t="shared" si="211"/>
        <v>698.93939393939388</v>
      </c>
      <c r="AM103" s="300">
        <f t="shared" si="211"/>
        <v>698.93939393939388</v>
      </c>
      <c r="AN103" s="300">
        <f t="shared" si="211"/>
        <v>698.93939393939388</v>
      </c>
      <c r="AO103" s="300">
        <f t="shared" si="211"/>
        <v>698.93939393939388</v>
      </c>
      <c r="AP103" s="61"/>
    </row>
    <row r="104" s="99" customFormat="1" ht="13.15" customHeight="1">
      <c r="B104" s="136"/>
      <c r="C104" s="136"/>
      <c r="D104" s="136">
        <f>D103-C103</f>
        <v>0</v>
      </c>
      <c r="E104" s="136"/>
      <c r="F104" s="136"/>
      <c r="G104" s="136"/>
      <c r="H104" s="120"/>
      <c r="I104" s="121"/>
      <c r="J104" s="120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61"/>
    </row>
    <row r="105" s="123" customFormat="1" ht="34.899999999999999" customHeight="1">
      <c r="A105" s="149" t="s">
        <v>50</v>
      </c>
      <c r="B105" s="150"/>
      <c r="C105" s="49" t="s">
        <v>11</v>
      </c>
      <c r="D105" s="50" t="s">
        <v>12</v>
      </c>
      <c r="E105" s="51" t="s">
        <v>13</v>
      </c>
      <c r="F105" s="52" t="s">
        <v>14</v>
      </c>
      <c r="G105" s="301" t="s">
        <v>15</v>
      </c>
      <c r="H105" s="302" t="s">
        <v>16</v>
      </c>
      <c r="I105" s="302" t="s">
        <v>17</v>
      </c>
      <c r="J105" s="303" t="s">
        <v>18</v>
      </c>
      <c r="K105" s="56">
        <v>44562</v>
      </c>
      <c r="L105" s="56">
        <v>44563</v>
      </c>
      <c r="M105" s="56">
        <v>44564</v>
      </c>
      <c r="N105" s="56">
        <v>44565</v>
      </c>
      <c r="O105" s="56">
        <v>44566</v>
      </c>
      <c r="P105" s="56">
        <v>44567</v>
      </c>
      <c r="Q105" s="56">
        <v>44568</v>
      </c>
      <c r="R105" s="56">
        <v>44569</v>
      </c>
      <c r="S105" s="56">
        <v>44570</v>
      </c>
      <c r="T105" s="56">
        <v>44571</v>
      </c>
      <c r="U105" s="56">
        <v>44572</v>
      </c>
      <c r="V105" s="56">
        <v>44573</v>
      </c>
      <c r="W105" s="56">
        <v>44574</v>
      </c>
      <c r="X105" s="56">
        <v>44575</v>
      </c>
      <c r="Y105" s="56">
        <v>44576</v>
      </c>
      <c r="Z105" s="56">
        <v>44577</v>
      </c>
      <c r="AA105" s="56">
        <v>44578</v>
      </c>
      <c r="AB105" s="56">
        <v>44579</v>
      </c>
      <c r="AC105" s="56">
        <v>44580</v>
      </c>
      <c r="AD105" s="56">
        <v>44581</v>
      </c>
      <c r="AE105" s="56">
        <v>44582</v>
      </c>
      <c r="AF105" s="56">
        <v>44583</v>
      </c>
      <c r="AG105" s="56">
        <v>44584</v>
      </c>
      <c r="AH105" s="56">
        <v>44585</v>
      </c>
      <c r="AI105" s="56">
        <v>44586</v>
      </c>
      <c r="AJ105" s="56">
        <v>44587</v>
      </c>
      <c r="AK105" s="56">
        <v>44588</v>
      </c>
      <c r="AL105" s="56">
        <v>44589</v>
      </c>
      <c r="AM105" s="56">
        <v>44590</v>
      </c>
      <c r="AN105" s="56">
        <v>44591</v>
      </c>
      <c r="AO105" s="56">
        <v>44561</v>
      </c>
      <c r="AP105" s="61"/>
    </row>
    <row r="106" ht="13.15" customHeight="1" outlineLevel="1">
      <c r="A106" s="154" t="s">
        <v>51</v>
      </c>
      <c r="B106" s="63" t="s">
        <v>0</v>
      </c>
      <c r="C106" s="64">
        <f t="shared" ref="C106:C109" si="212">$C$110/$F$110*F106</f>
        <v>24081.060606060608</v>
      </c>
      <c r="D106" s="65">
        <f t="shared" ref="D106:D109" si="213">SUM(K106:AO106)</f>
        <v>24208.333333333332</v>
      </c>
      <c r="E106" s="66">
        <f>E85+E92+E99</f>
        <v>2100</v>
      </c>
      <c r="F106" s="304">
        <f>F85+F92+F99</f>
        <v>35</v>
      </c>
      <c r="G106" s="305">
        <f>G85+G92+G99</f>
        <v>4</v>
      </c>
      <c r="H106" s="306">
        <f t="shared" ref="H106:I106" si="214">H85+H92+H99</f>
        <v>0</v>
      </c>
      <c r="I106" s="307">
        <f t="shared" si="214"/>
        <v>0.050000000000000003</v>
      </c>
      <c r="J106" s="70">
        <f t="shared" ref="J106:J109" si="215">SUM(G106:I106)</f>
        <v>4.0499999999999998</v>
      </c>
      <c r="K106" s="308">
        <f>K85+K92+K99</f>
        <v>0</v>
      </c>
      <c r="L106" s="308">
        <f t="shared" ref="L106:AO109" si="216">L85+L92+L99</f>
        <v>0</v>
      </c>
      <c r="M106" s="308">
        <f t="shared" si="216"/>
        <v>0</v>
      </c>
      <c r="N106" s="309">
        <f t="shared" si="216"/>
        <v>0</v>
      </c>
      <c r="O106" s="309">
        <f t="shared" si="216"/>
        <v>2096.8181818181815</v>
      </c>
      <c r="P106" s="309">
        <f t="shared" si="216"/>
        <v>1397.8787878787878</v>
      </c>
      <c r="Q106" s="309">
        <f t="shared" si="216"/>
        <v>0</v>
      </c>
      <c r="R106" s="309">
        <f t="shared" si="216"/>
        <v>0</v>
      </c>
      <c r="S106" s="309">
        <f t="shared" si="216"/>
        <v>2096.8181818181815</v>
      </c>
      <c r="T106" s="309">
        <f t="shared" si="216"/>
        <v>1397.8787878787878</v>
      </c>
      <c r="U106" s="309">
        <f t="shared" si="216"/>
        <v>0</v>
      </c>
      <c r="V106" s="309">
        <f t="shared" si="216"/>
        <v>0</v>
      </c>
      <c r="W106" s="309">
        <f t="shared" si="216"/>
        <v>2096.8181818181815</v>
      </c>
      <c r="X106" s="309">
        <f t="shared" si="216"/>
        <v>1397.8787878787878</v>
      </c>
      <c r="Y106" s="309">
        <f t="shared" si="216"/>
        <v>0</v>
      </c>
      <c r="Z106" s="309">
        <f t="shared" si="216"/>
        <v>0</v>
      </c>
      <c r="AA106" s="309">
        <f t="shared" si="216"/>
        <v>2096.8181818181815</v>
      </c>
      <c r="AB106" s="309">
        <f t="shared" si="216"/>
        <v>1397.8787878787878</v>
      </c>
      <c r="AC106" s="309">
        <f t="shared" si="216"/>
        <v>0</v>
      </c>
      <c r="AD106" s="309">
        <f t="shared" si="216"/>
        <v>0</v>
      </c>
      <c r="AE106" s="309">
        <f t="shared" si="216"/>
        <v>2096.8181818181815</v>
      </c>
      <c r="AF106" s="309">
        <f t="shared" si="216"/>
        <v>1397.8787878787878</v>
      </c>
      <c r="AG106" s="309">
        <f t="shared" si="216"/>
        <v>0</v>
      </c>
      <c r="AH106" s="309">
        <f t="shared" si="216"/>
        <v>0</v>
      </c>
      <c r="AI106" s="309">
        <f t="shared" si="216"/>
        <v>1842.272727272727</v>
      </c>
      <c r="AJ106" s="309">
        <f t="shared" si="216"/>
        <v>1397.8787878787878</v>
      </c>
      <c r="AK106" s="309">
        <f t="shared" si="216"/>
        <v>0</v>
      </c>
      <c r="AL106" s="291">
        <f t="shared" si="216"/>
        <v>0</v>
      </c>
      <c r="AM106" s="309">
        <f t="shared" si="216"/>
        <v>2096.8181818181815</v>
      </c>
      <c r="AN106" s="309">
        <f t="shared" si="216"/>
        <v>1397.8787878787878</v>
      </c>
      <c r="AO106" s="309">
        <f t="shared" si="216"/>
        <v>0</v>
      </c>
      <c r="AP106" s="279">
        <f t="shared" ref="AP106:AP109" si="217">D106/128</f>
        <v>189.12760416666666</v>
      </c>
      <c r="AR106" s="122"/>
    </row>
    <row r="107" ht="13.15" customHeight="1" outlineLevel="1">
      <c r="A107" s="154"/>
      <c r="B107" s="77" t="s">
        <v>1</v>
      </c>
      <c r="C107" s="78">
        <f t="shared" si="212"/>
        <v>24081.060606060608</v>
      </c>
      <c r="D107" s="79">
        <f t="shared" si="213"/>
        <v>23953.787878787873</v>
      </c>
      <c r="E107" s="66">
        <f t="shared" ref="E107:E109" si="218">E106</f>
        <v>2100</v>
      </c>
      <c r="F107" s="304">
        <f t="shared" ref="F107:I109" si="219">F86+F93+F100</f>
        <v>35</v>
      </c>
      <c r="G107" s="310">
        <f t="shared" si="219"/>
        <v>8</v>
      </c>
      <c r="H107" s="186">
        <f t="shared" si="219"/>
        <v>0</v>
      </c>
      <c r="I107" s="311">
        <f t="shared" si="219"/>
        <v>0.050000000000000003</v>
      </c>
      <c r="J107" s="83">
        <f t="shared" si="215"/>
        <v>8.0500000000000007</v>
      </c>
      <c r="K107" s="308">
        <f t="shared" ref="K107:Z109" si="220">K86+K93+K100</f>
        <v>0</v>
      </c>
      <c r="L107" s="308">
        <f t="shared" si="220"/>
        <v>0</v>
      </c>
      <c r="M107" s="308">
        <f t="shared" si="220"/>
        <v>0</v>
      </c>
      <c r="N107" s="309">
        <f t="shared" si="220"/>
        <v>0</v>
      </c>
      <c r="O107" s="309">
        <f t="shared" si="220"/>
        <v>0</v>
      </c>
      <c r="P107" s="309">
        <f t="shared" si="220"/>
        <v>2096.8181818181815</v>
      </c>
      <c r="Q107" s="309">
        <f t="shared" si="220"/>
        <v>1397.8787878787878</v>
      </c>
      <c r="R107" s="309">
        <f t="shared" si="220"/>
        <v>0</v>
      </c>
      <c r="S107" s="309">
        <f t="shared" si="220"/>
        <v>0</v>
      </c>
      <c r="T107" s="309">
        <f t="shared" si="220"/>
        <v>2096.8181818181815</v>
      </c>
      <c r="U107" s="309">
        <f t="shared" si="220"/>
        <v>1397.8787878787878</v>
      </c>
      <c r="V107" s="309">
        <f t="shared" si="220"/>
        <v>0</v>
      </c>
      <c r="W107" s="309">
        <f t="shared" si="220"/>
        <v>0</v>
      </c>
      <c r="X107" s="309">
        <f t="shared" si="220"/>
        <v>2096.8181818181815</v>
      </c>
      <c r="Y107" s="309">
        <f t="shared" si="220"/>
        <v>1397.8787878787878</v>
      </c>
      <c r="Z107" s="309">
        <f t="shared" si="220"/>
        <v>0</v>
      </c>
      <c r="AA107" s="309">
        <f t="shared" si="216"/>
        <v>0</v>
      </c>
      <c r="AB107" s="309">
        <f t="shared" si="216"/>
        <v>1587.7272727272725</v>
      </c>
      <c r="AC107" s="309">
        <f t="shared" si="216"/>
        <v>1397.8787878787878</v>
      </c>
      <c r="AD107" s="309">
        <f t="shared" si="216"/>
        <v>0</v>
      </c>
      <c r="AE107" s="291">
        <f t="shared" si="216"/>
        <v>0</v>
      </c>
      <c r="AF107" s="309">
        <f t="shared" si="216"/>
        <v>2096.8181818181815</v>
      </c>
      <c r="AG107" s="309">
        <f t="shared" si="216"/>
        <v>1397.8787878787878</v>
      </c>
      <c r="AH107" s="309">
        <f t="shared" si="216"/>
        <v>0</v>
      </c>
      <c r="AI107" s="309">
        <f t="shared" si="216"/>
        <v>0</v>
      </c>
      <c r="AJ107" s="309">
        <f t="shared" si="216"/>
        <v>2096.8181818181815</v>
      </c>
      <c r="AK107" s="309">
        <f t="shared" si="216"/>
        <v>1397.8787878787878</v>
      </c>
      <c r="AL107" s="309">
        <f t="shared" si="216"/>
        <v>0</v>
      </c>
      <c r="AM107" s="309">
        <f t="shared" si="216"/>
        <v>0</v>
      </c>
      <c r="AN107" s="309">
        <f t="shared" si="216"/>
        <v>2096.8181818181815</v>
      </c>
      <c r="AO107" s="309">
        <f t="shared" si="216"/>
        <v>1397.8787878787878</v>
      </c>
      <c r="AP107" s="279">
        <f t="shared" si="217"/>
        <v>187.13896780303025</v>
      </c>
      <c r="AR107" s="122"/>
    </row>
    <row r="108" ht="13.15" customHeight="1" outlineLevel="1">
      <c r="A108" s="154"/>
      <c r="B108" s="85" t="s">
        <v>2</v>
      </c>
      <c r="C108" s="131">
        <f t="shared" si="212"/>
        <v>24081.060606060608</v>
      </c>
      <c r="D108" s="197">
        <f t="shared" si="213"/>
        <v>23953.787878787876</v>
      </c>
      <c r="E108" s="66">
        <f t="shared" si="218"/>
        <v>2100</v>
      </c>
      <c r="F108" s="304">
        <f t="shared" si="219"/>
        <v>35</v>
      </c>
      <c r="G108" s="310">
        <f t="shared" si="219"/>
        <v>8</v>
      </c>
      <c r="H108" s="186">
        <f t="shared" si="219"/>
        <v>0</v>
      </c>
      <c r="I108" s="311">
        <f t="shared" si="219"/>
        <v>0.050000000000000003</v>
      </c>
      <c r="J108" s="83">
        <f t="shared" si="215"/>
        <v>8.0500000000000007</v>
      </c>
      <c r="K108" s="308">
        <f t="shared" si="220"/>
        <v>0</v>
      </c>
      <c r="L108" s="308">
        <f t="shared" si="216"/>
        <v>0</v>
      </c>
      <c r="M108" s="308">
        <f t="shared" si="216"/>
        <v>0</v>
      </c>
      <c r="N108" s="309">
        <f t="shared" si="216"/>
        <v>1587.7272727272725</v>
      </c>
      <c r="O108" s="309">
        <f t="shared" si="216"/>
        <v>1397.8787878787878</v>
      </c>
      <c r="P108" s="309">
        <f t="shared" si="216"/>
        <v>0</v>
      </c>
      <c r="Q108" s="291">
        <f t="shared" si="216"/>
        <v>0</v>
      </c>
      <c r="R108" s="309">
        <f t="shared" si="216"/>
        <v>2096.8181818181815</v>
      </c>
      <c r="S108" s="309">
        <f t="shared" si="216"/>
        <v>1397.8787878787878</v>
      </c>
      <c r="T108" s="309">
        <f t="shared" si="216"/>
        <v>0</v>
      </c>
      <c r="U108" s="309">
        <f t="shared" si="216"/>
        <v>0</v>
      </c>
      <c r="V108" s="309">
        <f t="shared" si="216"/>
        <v>2096.8181818181815</v>
      </c>
      <c r="W108" s="309">
        <f t="shared" si="216"/>
        <v>1397.8787878787878</v>
      </c>
      <c r="X108" s="309">
        <f t="shared" si="216"/>
        <v>0</v>
      </c>
      <c r="Y108" s="309">
        <f t="shared" si="216"/>
        <v>0</v>
      </c>
      <c r="Z108" s="309">
        <f t="shared" si="216"/>
        <v>2096.8181818181815</v>
      </c>
      <c r="AA108" s="309">
        <f t="shared" si="216"/>
        <v>1397.8787878787878</v>
      </c>
      <c r="AB108" s="309">
        <f t="shared" si="216"/>
        <v>0</v>
      </c>
      <c r="AC108" s="309">
        <f t="shared" si="216"/>
        <v>0</v>
      </c>
      <c r="AD108" s="309">
        <f t="shared" si="216"/>
        <v>2096.8181818181815</v>
      </c>
      <c r="AE108" s="309">
        <f t="shared" si="216"/>
        <v>1397.8787878787878</v>
      </c>
      <c r="AF108" s="309">
        <f t="shared" si="216"/>
        <v>0</v>
      </c>
      <c r="AG108" s="309">
        <f t="shared" si="216"/>
        <v>0</v>
      </c>
      <c r="AH108" s="309">
        <f t="shared" si="216"/>
        <v>2096.8181818181815</v>
      </c>
      <c r="AI108" s="309">
        <f t="shared" si="216"/>
        <v>1397.8787878787878</v>
      </c>
      <c r="AJ108" s="309">
        <f t="shared" si="216"/>
        <v>0</v>
      </c>
      <c r="AK108" s="309">
        <f t="shared" si="216"/>
        <v>0</v>
      </c>
      <c r="AL108" s="309">
        <f t="shared" si="216"/>
        <v>2096.8181818181815</v>
      </c>
      <c r="AM108" s="309">
        <f t="shared" si="216"/>
        <v>1397.8787878787878</v>
      </c>
      <c r="AN108" s="309">
        <f t="shared" si="216"/>
        <v>0</v>
      </c>
      <c r="AO108" s="309">
        <f t="shared" si="216"/>
        <v>0</v>
      </c>
      <c r="AP108" s="279">
        <f t="shared" si="217"/>
        <v>187.13896780303028</v>
      </c>
      <c r="AR108" s="122"/>
    </row>
    <row r="109" ht="13.15" customHeight="1" outlineLevel="1">
      <c r="A109" s="161"/>
      <c r="B109" s="90" t="s">
        <v>3</v>
      </c>
      <c r="C109" s="133">
        <f t="shared" si="212"/>
        <v>24081.060606060608</v>
      </c>
      <c r="D109" s="200">
        <f t="shared" si="213"/>
        <v>24208.333333333328</v>
      </c>
      <c r="E109" s="66">
        <f t="shared" si="218"/>
        <v>2100</v>
      </c>
      <c r="F109" s="304">
        <f t="shared" si="219"/>
        <v>35</v>
      </c>
      <c r="G109" s="310">
        <f t="shared" si="219"/>
        <v>4</v>
      </c>
      <c r="H109" s="186">
        <f t="shared" si="219"/>
        <v>0</v>
      </c>
      <c r="I109" s="311">
        <f t="shared" si="219"/>
        <v>0.050000000000000003</v>
      </c>
      <c r="J109" s="83">
        <f t="shared" si="215"/>
        <v>4.0499999999999998</v>
      </c>
      <c r="K109" s="308">
        <f t="shared" si="220"/>
        <v>0</v>
      </c>
      <c r="L109" s="308">
        <f t="shared" si="216"/>
        <v>0</v>
      </c>
      <c r="M109" s="308">
        <f t="shared" si="216"/>
        <v>0</v>
      </c>
      <c r="N109" s="309">
        <f t="shared" si="216"/>
        <v>1397.8787878787878</v>
      </c>
      <c r="O109" s="309">
        <f t="shared" si="216"/>
        <v>0</v>
      </c>
      <c r="P109" s="309">
        <f t="shared" si="216"/>
        <v>0</v>
      </c>
      <c r="Q109" s="309">
        <f t="shared" si="216"/>
        <v>2096.8181818181815</v>
      </c>
      <c r="R109" s="309">
        <f t="shared" si="216"/>
        <v>1397.8787878787878</v>
      </c>
      <c r="S109" s="309">
        <f t="shared" si="216"/>
        <v>0</v>
      </c>
      <c r="T109" s="309">
        <f t="shared" si="216"/>
        <v>0</v>
      </c>
      <c r="U109" s="309">
        <f t="shared" si="216"/>
        <v>1842.272727272727</v>
      </c>
      <c r="V109" s="309">
        <f t="shared" si="216"/>
        <v>1397.8787878787878</v>
      </c>
      <c r="W109" s="309">
        <f t="shared" si="216"/>
        <v>0</v>
      </c>
      <c r="X109" s="291">
        <f t="shared" si="216"/>
        <v>0</v>
      </c>
      <c r="Y109" s="309">
        <f t="shared" si="216"/>
        <v>2096.8181818181815</v>
      </c>
      <c r="Z109" s="309">
        <f t="shared" si="216"/>
        <v>1397.8787878787878</v>
      </c>
      <c r="AA109" s="309">
        <f t="shared" si="216"/>
        <v>0</v>
      </c>
      <c r="AB109" s="309">
        <f t="shared" si="216"/>
        <v>0</v>
      </c>
      <c r="AC109" s="309">
        <f t="shared" si="216"/>
        <v>2096.8181818181815</v>
      </c>
      <c r="AD109" s="309">
        <f t="shared" si="216"/>
        <v>1397.8787878787878</v>
      </c>
      <c r="AE109" s="309">
        <f t="shared" si="216"/>
        <v>0</v>
      </c>
      <c r="AF109" s="309">
        <f t="shared" si="216"/>
        <v>0</v>
      </c>
      <c r="AG109" s="309">
        <f t="shared" si="216"/>
        <v>2096.8181818181815</v>
      </c>
      <c r="AH109" s="309">
        <f t="shared" si="216"/>
        <v>1397.8787878787878</v>
      </c>
      <c r="AI109" s="309">
        <f t="shared" si="216"/>
        <v>0</v>
      </c>
      <c r="AJ109" s="309">
        <f t="shared" si="216"/>
        <v>0</v>
      </c>
      <c r="AK109" s="309">
        <f t="shared" si="216"/>
        <v>2096.8181818181815</v>
      </c>
      <c r="AL109" s="309">
        <f t="shared" si="216"/>
        <v>1397.8787878787878</v>
      </c>
      <c r="AM109" s="309">
        <f t="shared" si="216"/>
        <v>0</v>
      </c>
      <c r="AN109" s="309">
        <f t="shared" si="216"/>
        <v>0</v>
      </c>
      <c r="AO109" s="309">
        <f t="shared" si="216"/>
        <v>2096.8181818181815</v>
      </c>
      <c r="AP109" s="279">
        <f t="shared" si="217"/>
        <v>189.12760416666663</v>
      </c>
      <c r="AR109" s="122"/>
    </row>
    <row r="110" s="99" customFormat="1" ht="20.449999999999999" customHeight="1">
      <c r="A110" s="164"/>
      <c r="B110" s="165" t="s">
        <v>18</v>
      </c>
      <c r="C110" s="166">
        <f>'[6]План пр-ва по единицам обор'!$AN$53+'[6]План пр-ва по единицам обор'!$AN$54+'[6]План пр-ва по единицам обор'!$AN$55</f>
        <v>96324.242424242431</v>
      </c>
      <c r="D110" s="103">
        <f>SUM(D106:D109)</f>
        <v>96324.242424242402</v>
      </c>
      <c r="E110" s="104" t="s">
        <v>19</v>
      </c>
      <c r="F110" s="105">
        <f>SUM(F106:F109)</f>
        <v>140</v>
      </c>
      <c r="G110" s="106">
        <f>SUM(G106:G109)</f>
        <v>24</v>
      </c>
      <c r="H110" s="167">
        <f>SUM(H106:H109)</f>
        <v>0</v>
      </c>
      <c r="I110" s="168" t="s">
        <v>19</v>
      </c>
      <c r="J110" s="169">
        <f t="shared" ref="J110:N110" si="221">SUM(J106:J109)</f>
        <v>24.200000000000003</v>
      </c>
      <c r="K110" s="312">
        <f t="shared" si="221"/>
        <v>0</v>
      </c>
      <c r="L110" s="313">
        <f t="shared" si="221"/>
        <v>0</v>
      </c>
      <c r="M110" s="313">
        <f t="shared" si="221"/>
        <v>0</v>
      </c>
      <c r="N110" s="313">
        <f t="shared" si="221"/>
        <v>2985.6060606060601</v>
      </c>
      <c r="O110" s="313">
        <f>SUM(O106:O109)</f>
        <v>3494.6969696969691</v>
      </c>
      <c r="P110" s="314">
        <f>SUM(P106:P109)</f>
        <v>3494.6969696969691</v>
      </c>
      <c r="Q110" s="313">
        <f t="shared" ref="Q110:AO110" si="222">SUM(Q106:Q109)</f>
        <v>3494.6969696969691</v>
      </c>
      <c r="R110" s="313">
        <f t="shared" si="222"/>
        <v>3494.6969696969691</v>
      </c>
      <c r="S110" s="313">
        <f t="shared" si="222"/>
        <v>3494.6969696969691</v>
      </c>
      <c r="T110" s="313">
        <f t="shared" si="222"/>
        <v>3494.6969696969691</v>
      </c>
      <c r="U110" s="313">
        <f t="shared" si="222"/>
        <v>3240.151515151515</v>
      </c>
      <c r="V110" s="313">
        <f t="shared" si="222"/>
        <v>3494.6969696969691</v>
      </c>
      <c r="W110" s="313">
        <f t="shared" si="222"/>
        <v>3494.6969696969691</v>
      </c>
      <c r="X110" s="313">
        <f t="shared" si="222"/>
        <v>3494.6969696969691</v>
      </c>
      <c r="Y110" s="313">
        <f t="shared" si="222"/>
        <v>3494.6969696969691</v>
      </c>
      <c r="Z110" s="313">
        <f t="shared" si="222"/>
        <v>3494.6969696969691</v>
      </c>
      <c r="AA110" s="313">
        <f t="shared" si="222"/>
        <v>3494.6969696969691</v>
      </c>
      <c r="AB110" s="314">
        <f t="shared" si="222"/>
        <v>2985.6060606060601</v>
      </c>
      <c r="AC110" s="299">
        <f t="shared" si="222"/>
        <v>3494.6969696969691</v>
      </c>
      <c r="AD110" s="300">
        <f t="shared" si="222"/>
        <v>3494.6969696969691</v>
      </c>
      <c r="AE110" s="300">
        <f t="shared" si="222"/>
        <v>3494.6969696969691</v>
      </c>
      <c r="AF110" s="300">
        <f t="shared" si="222"/>
        <v>3494.6969696969691</v>
      </c>
      <c r="AG110" s="300">
        <f t="shared" si="222"/>
        <v>3494.6969696969691</v>
      </c>
      <c r="AH110" s="300">
        <f t="shared" si="222"/>
        <v>3494.6969696969691</v>
      </c>
      <c r="AI110" s="300">
        <f t="shared" si="222"/>
        <v>3240.151515151515</v>
      </c>
      <c r="AJ110" s="300">
        <f t="shared" si="222"/>
        <v>3494.6969696969691</v>
      </c>
      <c r="AK110" s="300">
        <f t="shared" si="222"/>
        <v>3494.6969696969691</v>
      </c>
      <c r="AL110" s="300">
        <f t="shared" si="222"/>
        <v>3494.6969696969691</v>
      </c>
      <c r="AM110" s="300">
        <f t="shared" si="222"/>
        <v>3494.6969696969691</v>
      </c>
      <c r="AN110" s="300">
        <f t="shared" si="222"/>
        <v>3494.6969696969691</v>
      </c>
      <c r="AO110" s="300">
        <f t="shared" si="222"/>
        <v>3494.6969696969691</v>
      </c>
      <c r="AP110" s="279">
        <f>SUM(AP106:AP109)</f>
        <v>752.53314393939377</v>
      </c>
    </row>
    <row r="111">
      <c r="D111" s="206">
        <f>C110-D110</f>
        <v>0</v>
      </c>
      <c r="AP111" s="61"/>
    </row>
    <row r="112" ht="19.5">
      <c r="A112" s="43" t="s">
        <v>52</v>
      </c>
      <c r="B112" s="43"/>
      <c r="E112" s="25"/>
      <c r="H112" s="25"/>
      <c r="I112" s="25"/>
      <c r="J112" s="25"/>
      <c r="AP112" s="61"/>
    </row>
    <row r="113" s="123" customFormat="1" ht="44.450000000000003" customHeight="1">
      <c r="A113" s="208" t="s">
        <v>53</v>
      </c>
      <c r="B113" s="209"/>
      <c r="C113" s="315" t="s">
        <v>11</v>
      </c>
      <c r="D113" s="316" t="s">
        <v>12</v>
      </c>
      <c r="E113" s="51" t="s">
        <v>13</v>
      </c>
      <c r="F113" s="317" t="s">
        <v>14</v>
      </c>
      <c r="G113" s="318" t="s">
        <v>15</v>
      </c>
      <c r="H113" s="212" t="s">
        <v>16</v>
      </c>
      <c r="I113" s="212" t="s">
        <v>17</v>
      </c>
      <c r="J113" s="213" t="s">
        <v>18</v>
      </c>
      <c r="K113" s="56">
        <v>44562</v>
      </c>
      <c r="L113" s="56">
        <v>44563</v>
      </c>
      <c r="M113" s="56">
        <v>44564</v>
      </c>
      <c r="N113" s="56">
        <v>44565</v>
      </c>
      <c r="O113" s="56">
        <v>44566</v>
      </c>
      <c r="P113" s="56">
        <v>44567</v>
      </c>
      <c r="Q113" s="56">
        <v>44568</v>
      </c>
      <c r="R113" s="56">
        <v>44569</v>
      </c>
      <c r="S113" s="56">
        <v>44570</v>
      </c>
      <c r="T113" s="56">
        <v>44571</v>
      </c>
      <c r="U113" s="56">
        <v>44572</v>
      </c>
      <c r="V113" s="56">
        <v>44573</v>
      </c>
      <c r="W113" s="56">
        <v>44574</v>
      </c>
      <c r="X113" s="56">
        <v>44575</v>
      </c>
      <c r="Y113" s="56">
        <v>44576</v>
      </c>
      <c r="Z113" s="56">
        <v>44577</v>
      </c>
      <c r="AA113" s="56">
        <v>44578</v>
      </c>
      <c r="AB113" s="56">
        <v>44579</v>
      </c>
      <c r="AC113" s="56">
        <v>44580</v>
      </c>
      <c r="AD113" s="56">
        <v>44581</v>
      </c>
      <c r="AE113" s="56">
        <v>44582</v>
      </c>
      <c r="AF113" s="56">
        <v>44583</v>
      </c>
      <c r="AG113" s="56">
        <v>44584</v>
      </c>
      <c r="AH113" s="56">
        <v>44585</v>
      </c>
      <c r="AI113" s="56">
        <v>44586</v>
      </c>
      <c r="AJ113" s="56">
        <v>44587</v>
      </c>
      <c r="AK113" s="56">
        <v>44588</v>
      </c>
      <c r="AL113" s="56">
        <v>44589</v>
      </c>
      <c r="AM113" s="56">
        <v>44590</v>
      </c>
      <c r="AN113" s="56">
        <v>44591</v>
      </c>
      <c r="AO113" s="56">
        <v>44592</v>
      </c>
      <c r="AP113" s="61"/>
    </row>
    <row r="114" outlineLevel="1">
      <c r="A114" s="62" t="s">
        <v>53</v>
      </c>
      <c r="B114" s="63" t="s">
        <v>0</v>
      </c>
      <c r="C114" s="319">
        <f t="shared" ref="C114:C117" si="223">$C$118/$F$118*F114</f>
        <v>537.13636363636374</v>
      </c>
      <c r="D114" s="320">
        <f t="shared" ref="D114:D117" si="224">SUM(K114:AO114)</f>
        <v>335.71022727272725</v>
      </c>
      <c r="E114" s="66">
        <f>'[6]План пр-ва по единицам обор'!$E$90</f>
        <v>111.90340909090909</v>
      </c>
      <c r="F114" s="321">
        <f t="shared" ref="F114:F117" si="225">COUNTA(K114:AO114)</f>
        <v>3</v>
      </c>
      <c r="G114" s="322"/>
      <c r="H114" s="186"/>
      <c r="I114" s="82"/>
      <c r="J114" s="83">
        <f t="shared" ref="J114:J117" si="226">SUM(G114:I114)</f>
        <v>0</v>
      </c>
      <c r="K114" s="71"/>
      <c r="L114" s="71"/>
      <c r="M114" s="71"/>
      <c r="N114" s="71"/>
      <c r="O114" s="74">
        <f>$E114/11*(11-($H114+$I114))</f>
        <v>111.90340909090909</v>
      </c>
      <c r="P114" s="74">
        <f t="shared" ref="P114:R117" si="227">$E114/11*(11-($H114+$I114))</f>
        <v>111.90340909090909</v>
      </c>
      <c r="Q114" s="73"/>
      <c r="R114" s="73"/>
      <c r="S114" s="74">
        <f>$E114/11*(11-($H114+$I114))</f>
        <v>111.90340909090909</v>
      </c>
      <c r="T114" s="74"/>
      <c r="U114" s="73"/>
      <c r="V114" s="73"/>
      <c r="W114" s="74"/>
      <c r="X114" s="74"/>
      <c r="Y114" s="73"/>
      <c r="Z114" s="73"/>
      <c r="AA114" s="74"/>
      <c r="AB114" s="74"/>
      <c r="AC114" s="73"/>
      <c r="AD114" s="73"/>
      <c r="AE114" s="74"/>
      <c r="AF114" s="74"/>
      <c r="AG114" s="73"/>
      <c r="AH114" s="73"/>
      <c r="AI114" s="75"/>
      <c r="AJ114" s="74"/>
      <c r="AK114" s="73"/>
      <c r="AL114" s="73"/>
      <c r="AM114" s="74"/>
      <c r="AN114" s="74"/>
      <c r="AO114" s="73"/>
      <c r="AP114" s="61"/>
    </row>
    <row r="115" outlineLevel="1">
      <c r="A115" s="76"/>
      <c r="B115" s="77" t="s">
        <v>1</v>
      </c>
      <c r="C115" s="323">
        <f t="shared" si="223"/>
        <v>358.09090909090912</v>
      </c>
      <c r="D115" s="79">
        <f t="shared" si="224"/>
        <v>223.80681818181819</v>
      </c>
      <c r="E115" s="66">
        <f t="shared" ref="E115:E117" si="228">E114</f>
        <v>111.90340909090909</v>
      </c>
      <c r="F115" s="321">
        <f t="shared" si="225"/>
        <v>2</v>
      </c>
      <c r="G115" s="322"/>
      <c r="H115" s="186"/>
      <c r="I115" s="82"/>
      <c r="J115" s="83">
        <f t="shared" si="226"/>
        <v>0</v>
      </c>
      <c r="K115" s="72"/>
      <c r="L115" s="72"/>
      <c r="M115" s="71"/>
      <c r="N115" s="71"/>
      <c r="O115" s="73"/>
      <c r="P115" s="74">
        <f t="shared" si="227"/>
        <v>111.90340909090909</v>
      </c>
      <c r="Q115" s="74">
        <f t="shared" si="227"/>
        <v>111.90340909090909</v>
      </c>
      <c r="R115" s="84"/>
      <c r="S115" s="73"/>
      <c r="T115" s="74"/>
      <c r="U115" s="74"/>
      <c r="V115" s="84"/>
      <c r="W115" s="73"/>
      <c r="X115" s="74"/>
      <c r="Y115" s="74"/>
      <c r="Z115" s="84"/>
      <c r="AA115" s="73"/>
      <c r="AB115" s="75"/>
      <c r="AC115" s="74"/>
      <c r="AD115" s="84"/>
      <c r="AE115" s="73"/>
      <c r="AF115" s="74"/>
      <c r="AG115" s="74"/>
      <c r="AH115" s="84"/>
      <c r="AI115" s="73"/>
      <c r="AJ115" s="74"/>
      <c r="AK115" s="74"/>
      <c r="AL115" s="84"/>
      <c r="AM115" s="73"/>
      <c r="AN115" s="74"/>
      <c r="AO115" s="74"/>
      <c r="AP115" s="61"/>
    </row>
    <row r="116" outlineLevel="1">
      <c r="A116" s="76"/>
      <c r="B116" s="85" t="s">
        <v>2</v>
      </c>
      <c r="C116" s="323">
        <f t="shared" si="223"/>
        <v>179.04545454545456</v>
      </c>
      <c r="D116" s="197">
        <f t="shared" si="224"/>
        <v>111.90340909090909</v>
      </c>
      <c r="E116" s="66">
        <f t="shared" si="228"/>
        <v>111.90340909090909</v>
      </c>
      <c r="F116" s="321">
        <f t="shared" si="225"/>
        <v>1</v>
      </c>
      <c r="G116" s="322"/>
      <c r="H116" s="186"/>
      <c r="I116" s="82"/>
      <c r="J116" s="83">
        <f t="shared" si="226"/>
        <v>0</v>
      </c>
      <c r="K116" s="88"/>
      <c r="L116" s="72"/>
      <c r="M116" s="71"/>
      <c r="N116" s="71"/>
      <c r="O116" s="74"/>
      <c r="P116" s="74"/>
      <c r="Q116" s="73"/>
      <c r="R116" s="74">
        <f t="shared" si="227"/>
        <v>111.90340909090909</v>
      </c>
      <c r="S116" s="74"/>
      <c r="T116" s="74"/>
      <c r="U116" s="73"/>
      <c r="V116" s="74"/>
      <c r="W116" s="74"/>
      <c r="X116" s="74"/>
      <c r="Y116" s="73"/>
      <c r="Z116" s="74"/>
      <c r="AA116" s="74"/>
      <c r="AB116" s="74"/>
      <c r="AC116" s="73"/>
      <c r="AD116" s="74"/>
      <c r="AE116" s="74"/>
      <c r="AF116" s="74"/>
      <c r="AG116" s="73"/>
      <c r="AH116" s="74"/>
      <c r="AI116" s="74"/>
      <c r="AJ116" s="74"/>
      <c r="AK116" s="73"/>
      <c r="AL116" s="74"/>
      <c r="AM116" s="74"/>
      <c r="AN116" s="74"/>
      <c r="AO116" s="73"/>
      <c r="AP116" s="61"/>
    </row>
    <row r="117" ht="13.5" outlineLevel="1">
      <c r="A117" s="76"/>
      <c r="B117" s="90" t="s">
        <v>3</v>
      </c>
      <c r="C117" s="324">
        <f t="shared" si="223"/>
        <v>358.09090909090912</v>
      </c>
      <c r="D117" s="325">
        <f t="shared" si="224"/>
        <v>223.80681818181819</v>
      </c>
      <c r="E117" s="66">
        <f t="shared" si="228"/>
        <v>111.90340909090909</v>
      </c>
      <c r="F117" s="321">
        <f t="shared" si="225"/>
        <v>2</v>
      </c>
      <c r="G117" s="322"/>
      <c r="H117" s="186"/>
      <c r="I117" s="82"/>
      <c r="J117" s="83">
        <f t="shared" si="226"/>
        <v>0</v>
      </c>
      <c r="K117" s="97"/>
      <c r="L117" s="72"/>
      <c r="M117" s="71"/>
      <c r="N117" s="71"/>
      <c r="O117" s="98"/>
      <c r="P117" s="74"/>
      <c r="Q117" s="73">
        <f t="shared" si="227"/>
        <v>111.90340909090909</v>
      </c>
      <c r="R117" s="74">
        <f t="shared" si="227"/>
        <v>111.90340909090909</v>
      </c>
      <c r="S117" s="98"/>
      <c r="T117" s="74"/>
      <c r="U117" s="75"/>
      <c r="V117" s="73"/>
      <c r="W117" s="98"/>
      <c r="X117" s="74"/>
      <c r="Y117" s="73"/>
      <c r="Z117" s="73"/>
      <c r="AA117" s="98"/>
      <c r="AB117" s="74"/>
      <c r="AC117" s="73"/>
      <c r="AD117" s="73"/>
      <c r="AE117" s="98"/>
      <c r="AF117" s="74"/>
      <c r="AG117" s="73"/>
      <c r="AH117" s="73"/>
      <c r="AI117" s="98"/>
      <c r="AJ117" s="74"/>
      <c r="AK117" s="73"/>
      <c r="AL117" s="73"/>
      <c r="AM117" s="98"/>
      <c r="AN117" s="74"/>
      <c r="AO117" s="73"/>
      <c r="AP117" s="61"/>
    </row>
    <row r="118" ht="24" customHeight="1">
      <c r="A118" s="326"/>
      <c r="B118" s="327" t="s">
        <v>18</v>
      </c>
      <c r="C118" s="328">
        <f>'[6]План пр-ва по единицам обор'!$K$90</f>
        <v>895.22727272727275</v>
      </c>
      <c r="D118" s="329">
        <f>D114+D115+D116+D117</f>
        <v>895.22727272727275</v>
      </c>
      <c r="E118" s="330">
        <f>E115</f>
        <v>111.90340909090909</v>
      </c>
      <c r="F118" s="331">
        <f>SUM(F114:F115)</f>
        <v>5</v>
      </c>
      <c r="G118" s="106">
        <f>SUM(G112:G115)</f>
        <v>0</v>
      </c>
      <c r="H118" s="167">
        <f>SUM(H112:H115)</f>
        <v>0</v>
      </c>
      <c r="I118" s="168" t="s">
        <v>19</v>
      </c>
      <c r="J118" s="169">
        <f>SUM(J112:J115)</f>
        <v>0</v>
      </c>
      <c r="K118" s="293">
        <f>SUM(K114:K117)</f>
        <v>0</v>
      </c>
      <c r="L118" s="293">
        <f t="shared" ref="L118:AO126" si="229">SUM(L114:L117)</f>
        <v>0</v>
      </c>
      <c r="M118" s="293">
        <f t="shared" si="229"/>
        <v>0</v>
      </c>
      <c r="N118" s="293">
        <f t="shared" si="229"/>
        <v>0</v>
      </c>
      <c r="O118" s="293">
        <f t="shared" si="229"/>
        <v>111.90340909090909</v>
      </c>
      <c r="P118" s="293">
        <f t="shared" si="229"/>
        <v>223.80681818181819</v>
      </c>
      <c r="Q118" s="293">
        <f t="shared" si="229"/>
        <v>223.80681818181819</v>
      </c>
      <c r="R118" s="293">
        <f t="shared" si="229"/>
        <v>223.80681818181819</v>
      </c>
      <c r="S118" s="293">
        <f t="shared" si="229"/>
        <v>111.90340909090909</v>
      </c>
      <c r="T118" s="293">
        <f t="shared" si="229"/>
        <v>0</v>
      </c>
      <c r="U118" s="293">
        <f t="shared" si="229"/>
        <v>0</v>
      </c>
      <c r="V118" s="293">
        <f t="shared" si="229"/>
        <v>0</v>
      </c>
      <c r="W118" s="293">
        <f t="shared" si="229"/>
        <v>0</v>
      </c>
      <c r="X118" s="293">
        <f t="shared" si="229"/>
        <v>0</v>
      </c>
      <c r="Y118" s="293">
        <f t="shared" si="229"/>
        <v>0</v>
      </c>
      <c r="Z118" s="293">
        <f t="shared" si="229"/>
        <v>0</v>
      </c>
      <c r="AA118" s="293">
        <f t="shared" si="229"/>
        <v>0</v>
      </c>
      <c r="AB118" s="293">
        <f t="shared" si="229"/>
        <v>0</v>
      </c>
      <c r="AC118" s="293">
        <f t="shared" si="229"/>
        <v>0</v>
      </c>
      <c r="AD118" s="293">
        <f t="shared" si="229"/>
        <v>0</v>
      </c>
      <c r="AE118" s="293">
        <f t="shared" si="229"/>
        <v>0</v>
      </c>
      <c r="AF118" s="293">
        <f t="shared" si="229"/>
        <v>0</v>
      </c>
      <c r="AG118" s="293">
        <f t="shared" si="229"/>
        <v>0</v>
      </c>
      <c r="AH118" s="293">
        <f t="shared" si="229"/>
        <v>0</v>
      </c>
      <c r="AI118" s="293">
        <f t="shared" si="229"/>
        <v>0</v>
      </c>
      <c r="AJ118" s="293">
        <f t="shared" si="229"/>
        <v>0</v>
      </c>
      <c r="AK118" s="293">
        <f t="shared" si="229"/>
        <v>0</v>
      </c>
      <c r="AL118" s="293">
        <f t="shared" si="229"/>
        <v>0</v>
      </c>
      <c r="AM118" s="293">
        <f t="shared" si="229"/>
        <v>0</v>
      </c>
      <c r="AN118" s="293">
        <f t="shared" si="229"/>
        <v>0</v>
      </c>
      <c r="AO118" s="293">
        <f t="shared" si="229"/>
        <v>0</v>
      </c>
      <c r="AP118" s="61"/>
    </row>
    <row r="119">
      <c r="E119" s="332"/>
      <c r="AP119" s="61"/>
    </row>
    <row r="120" ht="19.5">
      <c r="A120" s="43" t="s">
        <v>54</v>
      </c>
      <c r="B120" s="43"/>
      <c r="E120" s="25"/>
      <c r="H120" s="25"/>
      <c r="I120" s="25"/>
      <c r="J120" s="25"/>
      <c r="K120" s="25"/>
      <c r="AP120" s="61"/>
    </row>
    <row r="121" s="123" customFormat="1" ht="40.899999999999999" customHeight="1">
      <c r="A121" s="208" t="s">
        <v>55</v>
      </c>
      <c r="B121" s="209"/>
      <c r="C121" s="49" t="s">
        <v>11</v>
      </c>
      <c r="D121" s="50" t="s">
        <v>12</v>
      </c>
      <c r="E121" s="51" t="s">
        <v>13</v>
      </c>
      <c r="F121" s="210" t="s">
        <v>14</v>
      </c>
      <c r="G121" s="211" t="s">
        <v>15</v>
      </c>
      <c r="H121" s="212" t="s">
        <v>16</v>
      </c>
      <c r="I121" s="212" t="s">
        <v>17</v>
      </c>
      <c r="J121" s="213" t="s">
        <v>18</v>
      </c>
      <c r="K121" s="56">
        <v>44562</v>
      </c>
      <c r="L121" s="56">
        <v>44563</v>
      </c>
      <c r="M121" s="56">
        <v>44564</v>
      </c>
      <c r="N121" s="56">
        <v>44565</v>
      </c>
      <c r="O121" s="56">
        <v>44566</v>
      </c>
      <c r="P121" s="56">
        <v>44567</v>
      </c>
      <c r="Q121" s="56">
        <v>44568</v>
      </c>
      <c r="R121" s="56">
        <v>44569</v>
      </c>
      <c r="S121" s="56">
        <v>44570</v>
      </c>
      <c r="T121" s="57">
        <v>44571</v>
      </c>
      <c r="U121" s="56">
        <v>44572</v>
      </c>
      <c r="V121" s="56">
        <v>44573</v>
      </c>
      <c r="W121" s="56">
        <v>44574</v>
      </c>
      <c r="X121" s="56">
        <v>44575</v>
      </c>
      <c r="Y121" s="56">
        <v>44576</v>
      </c>
      <c r="Z121" s="56">
        <v>44577</v>
      </c>
      <c r="AA121" s="56">
        <v>44578</v>
      </c>
      <c r="AB121" s="56">
        <v>44579</v>
      </c>
      <c r="AC121" s="56">
        <v>44580</v>
      </c>
      <c r="AD121" s="56">
        <v>44581</v>
      </c>
      <c r="AE121" s="56">
        <v>44582</v>
      </c>
      <c r="AF121" s="56">
        <v>44583</v>
      </c>
      <c r="AG121" s="56">
        <v>44584</v>
      </c>
      <c r="AH121" s="59">
        <v>44585</v>
      </c>
      <c r="AI121" s="56">
        <v>44586</v>
      </c>
      <c r="AJ121" s="56">
        <v>44587</v>
      </c>
      <c r="AK121" s="56">
        <v>44588</v>
      </c>
      <c r="AL121" s="56">
        <v>44589</v>
      </c>
      <c r="AM121" s="56">
        <v>44590</v>
      </c>
      <c r="AN121" s="56">
        <v>44591</v>
      </c>
      <c r="AO121" s="333">
        <v>44561</v>
      </c>
      <c r="AP121" s="61"/>
    </row>
    <row r="122" ht="16.149999999999999" customHeight="1" outlineLevel="1">
      <c r="A122" s="62" t="s">
        <v>56</v>
      </c>
      <c r="B122" s="63" t="s">
        <v>0</v>
      </c>
      <c r="C122" s="334" t="e">
        <f t="shared" ref="C122:C125" si="230">$C$128/$F$128*F122</f>
        <v>#DIV/0!</v>
      </c>
      <c r="D122" s="334">
        <f t="shared" ref="D122:D125" si="231">SUM(K122:AO122)</f>
        <v>220.70367832500597</v>
      </c>
      <c r="E122" s="117">
        <f>'[6]План пр-ва по единицам обор'!$E$94+0.07</f>
        <v>15.764548451786141</v>
      </c>
      <c r="F122" s="130">
        <f t="shared" ref="F122:F125" si="232">COUNTA(K122:AO122)</f>
        <v>14</v>
      </c>
      <c r="G122" s="322"/>
      <c r="H122" s="335"/>
      <c r="I122" s="336"/>
      <c r="J122" s="70">
        <f t="shared" ref="J122:J124" si="233">SUM(G122:I122)</f>
        <v>0</v>
      </c>
      <c r="K122" s="71"/>
      <c r="L122" s="72"/>
      <c r="M122" s="71"/>
      <c r="N122" s="71"/>
      <c r="O122" s="74">
        <f>$E122/11*(11-($H122+$I122))</f>
        <v>15.764548451786141</v>
      </c>
      <c r="P122" s="74">
        <f t="shared" ref="P122:P123" si="234">$E122/11*(11-($H122+$I122))</f>
        <v>15.764548451786141</v>
      </c>
      <c r="Q122" s="73"/>
      <c r="R122" s="73"/>
      <c r="S122" s="74">
        <f>$E122/11*(11-($H122+$I122))</f>
        <v>15.764548451786141</v>
      </c>
      <c r="T122" s="74">
        <f>$E122/11*(11-($H122+$I122))</f>
        <v>15.764548451786141</v>
      </c>
      <c r="U122" s="73"/>
      <c r="V122" s="73"/>
      <c r="W122" s="74">
        <f>$E122/11*(11-($H122+$I122))</f>
        <v>15.764548451786141</v>
      </c>
      <c r="X122" s="74">
        <f t="shared" ref="X122:X123" si="235">$E122/11*(11-($H122+$I122))</f>
        <v>15.764548451786141</v>
      </c>
      <c r="Y122" s="73"/>
      <c r="Z122" s="73"/>
      <c r="AA122" s="74">
        <f>$E122/11*(11-($H122+$I122))</f>
        <v>15.764548451786141</v>
      </c>
      <c r="AB122" s="74">
        <f t="shared" ref="AB122:AB123" si="236">$E122/11*(11-($H122+$I122))</f>
        <v>15.764548451786141</v>
      </c>
      <c r="AC122" s="73"/>
      <c r="AD122" s="73"/>
      <c r="AE122" s="74">
        <f>$E122/11*(11-($H122+$I122))</f>
        <v>15.764548451786141</v>
      </c>
      <c r="AF122" s="74">
        <f t="shared" ref="AF122:AF123" si="237">$E122/11*(11-($H122+$I122))</f>
        <v>15.764548451786141</v>
      </c>
      <c r="AG122" s="73"/>
      <c r="AH122" s="73"/>
      <c r="AI122" s="74">
        <f>$E122/11*(11-($H122+$I122))</f>
        <v>15.764548451786141</v>
      </c>
      <c r="AJ122" s="74">
        <f t="shared" ref="AJ122:AJ123" si="238">$E122/11*(11-($H122+$I122))</f>
        <v>15.764548451786141</v>
      </c>
      <c r="AK122" s="73"/>
      <c r="AL122" s="73"/>
      <c r="AM122" s="74">
        <f>$E122/11*(11-($H122+$I122))</f>
        <v>15.764548451786141</v>
      </c>
      <c r="AN122" s="74">
        <f t="shared" ref="AN122:AN123" si="239">$E122/11*(11-($H122+$I122))</f>
        <v>15.764548451786141</v>
      </c>
      <c r="AO122" s="73"/>
      <c r="AP122" s="61"/>
    </row>
    <row r="123" ht="16.149999999999999" customHeight="1" outlineLevel="1">
      <c r="A123" s="76"/>
      <c r="B123" s="77" t="s">
        <v>1</v>
      </c>
      <c r="C123" s="337" t="e">
        <f t="shared" si="230"/>
        <v>#DIV/0!</v>
      </c>
      <c r="D123" s="337">
        <f t="shared" si="231"/>
        <v>214.97111525162919</v>
      </c>
      <c r="E123" s="117">
        <f t="shared" ref="E123:E125" si="240">E122</f>
        <v>15.764548451786141</v>
      </c>
      <c r="F123" s="130">
        <f t="shared" si="232"/>
        <v>14</v>
      </c>
      <c r="G123" s="322">
        <v>4</v>
      </c>
      <c r="H123" s="335"/>
      <c r="I123" s="338"/>
      <c r="J123" s="83">
        <f t="shared" si="233"/>
        <v>4</v>
      </c>
      <c r="K123" s="72"/>
      <c r="L123" s="72"/>
      <c r="M123" s="72"/>
      <c r="N123" s="72"/>
      <c r="O123" s="73"/>
      <c r="P123" s="74">
        <f t="shared" si="234"/>
        <v>15.764548451786141</v>
      </c>
      <c r="Q123" s="74">
        <f>$E123/11*(11-($H123+$I123))</f>
        <v>15.764548451786141</v>
      </c>
      <c r="R123" s="84"/>
      <c r="S123" s="73"/>
      <c r="T123" s="75">
        <f>$E123/11*(11-($G123+$I123))</f>
        <v>10.031985378409361</v>
      </c>
      <c r="U123" s="74">
        <f>$E123/11*(11-($H123+$I123))</f>
        <v>15.764548451786141</v>
      </c>
      <c r="V123" s="84"/>
      <c r="W123" s="73"/>
      <c r="X123" s="74">
        <f t="shared" si="235"/>
        <v>15.764548451786141</v>
      </c>
      <c r="Y123" s="74">
        <f>$E123/11*(11-($H123+$I123))</f>
        <v>15.764548451786141</v>
      </c>
      <c r="Z123" s="84"/>
      <c r="AA123" s="73"/>
      <c r="AB123" s="74">
        <f t="shared" si="236"/>
        <v>15.764548451786141</v>
      </c>
      <c r="AC123" s="74">
        <f>$E123/11*(11-($H123+$I123))</f>
        <v>15.764548451786141</v>
      </c>
      <c r="AD123" s="84"/>
      <c r="AE123" s="73"/>
      <c r="AF123" s="74">
        <f t="shared" si="237"/>
        <v>15.764548451786141</v>
      </c>
      <c r="AG123" s="74">
        <f t="shared" ref="AG123:AG125" si="241">$E123/11*(11-($H123+$I123))</f>
        <v>15.764548451786141</v>
      </c>
      <c r="AH123" s="84"/>
      <c r="AI123" s="73"/>
      <c r="AJ123" s="74">
        <f t="shared" si="238"/>
        <v>15.764548451786141</v>
      </c>
      <c r="AK123" s="74">
        <f>$E123/11*(11-($H123+$I123))</f>
        <v>15.764548451786141</v>
      </c>
      <c r="AL123" s="84"/>
      <c r="AM123" s="73"/>
      <c r="AN123" s="74">
        <f t="shared" si="239"/>
        <v>15.764548451786141</v>
      </c>
      <c r="AO123" s="74">
        <f>$E123/11*(11-($H123+$I123))</f>
        <v>15.764548451786141</v>
      </c>
      <c r="AP123" s="61"/>
    </row>
    <row r="124" ht="16.149999999999999" customHeight="1" outlineLevel="1">
      <c r="A124" s="76"/>
      <c r="B124" s="85" t="s">
        <v>2</v>
      </c>
      <c r="C124" s="339" t="e">
        <f t="shared" si="230"/>
        <v>#DIV/0!</v>
      </c>
      <c r="D124" s="339">
        <f t="shared" si="231"/>
        <v>199.20656679984305</v>
      </c>
      <c r="E124" s="117">
        <f t="shared" si="240"/>
        <v>15.764548451786141</v>
      </c>
      <c r="F124" s="130">
        <f t="shared" si="232"/>
        <v>13</v>
      </c>
      <c r="G124" s="322">
        <v>4</v>
      </c>
      <c r="H124" s="335"/>
      <c r="I124" s="338"/>
      <c r="J124" s="83">
        <f t="shared" si="233"/>
        <v>4</v>
      </c>
      <c r="K124" s="88"/>
      <c r="L124" s="72"/>
      <c r="M124" s="71"/>
      <c r="N124" s="71"/>
      <c r="O124" s="74">
        <f>$E124/11*(11-($H124+$I124))</f>
        <v>15.764548451786141</v>
      </c>
      <c r="P124" s="74"/>
      <c r="Q124" s="73"/>
      <c r="R124" s="74">
        <f t="shared" ref="R124:R125" si="242">$E124/11*(11-($H124+$I124))</f>
        <v>15.764548451786141</v>
      </c>
      <c r="S124" s="74">
        <f>$E124/11*(11-($H124+$I124))</f>
        <v>15.764548451786141</v>
      </c>
      <c r="T124" s="74"/>
      <c r="U124" s="73"/>
      <c r="V124" s="74">
        <f t="shared" ref="V124:V125" si="243">$E124/11*(11-($H124+$I124))</f>
        <v>15.764548451786141</v>
      </c>
      <c r="W124" s="74">
        <f>$E124/11*(11-($H124+$I124))</f>
        <v>15.764548451786141</v>
      </c>
      <c r="X124" s="74"/>
      <c r="Y124" s="73"/>
      <c r="Z124" s="74">
        <f t="shared" ref="Z124:Z125" si="244">$E124/11*(11-($H124+$I124))</f>
        <v>15.764548451786141</v>
      </c>
      <c r="AA124" s="74">
        <f>$E124/11*(11-($H124+$I124))</f>
        <v>15.764548451786141</v>
      </c>
      <c r="AB124" s="74"/>
      <c r="AC124" s="73"/>
      <c r="AD124" s="74">
        <f t="shared" ref="AD124:AD125" si="245">$E124/11*(11-($H124+$I124))</f>
        <v>15.764548451786141</v>
      </c>
      <c r="AE124" s="74">
        <f>$E124/11*(11-($H124+$I124))</f>
        <v>15.764548451786141</v>
      </c>
      <c r="AF124" s="74"/>
      <c r="AG124" s="74"/>
      <c r="AH124" s="75">
        <f>$E124/11*(11-($G124+$I124))</f>
        <v>10.031985378409361</v>
      </c>
      <c r="AI124" s="74">
        <f>$E124/11*(11-($H124+$I124))</f>
        <v>15.764548451786141</v>
      </c>
      <c r="AJ124" s="74"/>
      <c r="AK124" s="73"/>
      <c r="AL124" s="74">
        <f t="shared" ref="AL124:AL125" si="246">$E124/11*(11-($H124+$I124))</f>
        <v>15.764548451786141</v>
      </c>
      <c r="AM124" s="74">
        <f>$E124/11*(11-($H124+$I124))</f>
        <v>15.764548451786141</v>
      </c>
      <c r="AN124" s="74"/>
      <c r="AO124" s="73"/>
      <c r="AP124" s="61"/>
    </row>
    <row r="125" ht="16.149999999999999" customHeight="1" outlineLevel="1">
      <c r="A125" s="76"/>
      <c r="B125" s="90" t="s">
        <v>3</v>
      </c>
      <c r="C125" s="340" t="e">
        <f t="shared" si="230"/>
        <v>#DIV/0!</v>
      </c>
      <c r="D125" s="340">
        <f t="shared" si="231"/>
        <v>204.93912987321983</v>
      </c>
      <c r="E125" s="117">
        <f t="shared" si="240"/>
        <v>15.764548451786141</v>
      </c>
      <c r="F125" s="130">
        <f t="shared" si="232"/>
        <v>13</v>
      </c>
      <c r="G125" s="322"/>
      <c r="H125" s="335"/>
      <c r="I125" s="341"/>
      <c r="J125" s="96"/>
      <c r="K125" s="97"/>
      <c r="L125" s="72"/>
      <c r="M125" s="71"/>
      <c r="N125" s="71"/>
      <c r="O125" s="98"/>
      <c r="P125" s="74"/>
      <c r="Q125" s="74">
        <f>$E125/11*(11-($H125+$I125))</f>
        <v>15.764548451786141</v>
      </c>
      <c r="R125" s="74">
        <f t="shared" si="242"/>
        <v>15.764548451786141</v>
      </c>
      <c r="S125" s="74"/>
      <c r="T125" s="74"/>
      <c r="U125" s="74">
        <f>$E125/11*(11-($H125+$I125))</f>
        <v>15.764548451786141</v>
      </c>
      <c r="V125" s="74">
        <f t="shared" si="243"/>
        <v>15.764548451786141</v>
      </c>
      <c r="W125" s="98"/>
      <c r="X125" s="74"/>
      <c r="Y125" s="74">
        <f>$E125/11*(11-($H125+$I125))</f>
        <v>15.764548451786141</v>
      </c>
      <c r="Z125" s="74">
        <f t="shared" si="244"/>
        <v>15.764548451786141</v>
      </c>
      <c r="AA125" s="98"/>
      <c r="AB125" s="74"/>
      <c r="AC125" s="74">
        <f>$E125/11*(11-($H125+$I125))</f>
        <v>15.764548451786141</v>
      </c>
      <c r="AD125" s="74">
        <f t="shared" si="245"/>
        <v>15.764548451786141</v>
      </c>
      <c r="AE125" s="98"/>
      <c r="AF125" s="74"/>
      <c r="AG125" s="74">
        <f t="shared" si="241"/>
        <v>15.764548451786141</v>
      </c>
      <c r="AH125" s="74">
        <f>$E125/11*(11-($H125+$I125))</f>
        <v>15.764548451786141</v>
      </c>
      <c r="AI125" s="98"/>
      <c r="AJ125" s="74"/>
      <c r="AK125" s="74">
        <f>$E125/11*(11-($H125+$I125))</f>
        <v>15.764548451786141</v>
      </c>
      <c r="AL125" s="74">
        <f t="shared" si="246"/>
        <v>15.764548451786141</v>
      </c>
      <c r="AM125" s="98"/>
      <c r="AN125" s="74"/>
      <c r="AO125" s="74">
        <f>$E125/11*(11-($H125+$I125))</f>
        <v>15.764548451786141</v>
      </c>
      <c r="AP125" s="61"/>
    </row>
    <row r="126" s="220" customFormat="1" ht="18.600000000000001" customHeight="1">
      <c r="A126" s="221"/>
      <c r="B126" s="165" t="s">
        <v>18</v>
      </c>
      <c r="C126" s="166">
        <f>'[6]План пр-ва по единицам обор'!$K$94</f>
        <v>839.54420000000005</v>
      </c>
      <c r="D126" s="103">
        <f>SUM(D122:D125)</f>
        <v>839.82049024969797</v>
      </c>
      <c r="E126" s="342" t="s">
        <v>19</v>
      </c>
      <c r="F126" s="343">
        <f>SUM(F122:F125)</f>
        <v>54</v>
      </c>
      <c r="G126" s="344">
        <f>SUM(G122:G125)</f>
        <v>8</v>
      </c>
      <c r="H126" s="167">
        <f>SUM(H122:H123)</f>
        <v>0</v>
      </c>
      <c r="I126" s="168" t="s">
        <v>19</v>
      </c>
      <c r="J126" s="169">
        <f>SUM(J122:J123)</f>
        <v>4</v>
      </c>
      <c r="K126" s="293">
        <f>SUM(K122:K125)</f>
        <v>0</v>
      </c>
      <c r="L126" s="293">
        <f t="shared" si="229"/>
        <v>0</v>
      </c>
      <c r="M126" s="293">
        <f t="shared" si="229"/>
        <v>0</v>
      </c>
      <c r="N126" s="293">
        <f t="shared" si="229"/>
        <v>0</v>
      </c>
      <c r="O126" s="293">
        <f t="shared" si="229"/>
        <v>31.529096903572281</v>
      </c>
      <c r="P126" s="293">
        <f t="shared" si="229"/>
        <v>31.529096903572281</v>
      </c>
      <c r="Q126" s="293">
        <f t="shared" si="229"/>
        <v>31.529096903572281</v>
      </c>
      <c r="R126" s="293">
        <f t="shared" si="229"/>
        <v>31.529096903572281</v>
      </c>
      <c r="S126" s="293">
        <f t="shared" si="229"/>
        <v>31.529096903572281</v>
      </c>
      <c r="T126" s="293">
        <f t="shared" si="229"/>
        <v>25.7965338301955</v>
      </c>
      <c r="U126" s="293">
        <f t="shared" si="229"/>
        <v>31.529096903572281</v>
      </c>
      <c r="V126" s="293">
        <f t="shared" si="229"/>
        <v>31.529096903572281</v>
      </c>
      <c r="W126" s="293">
        <f t="shared" si="229"/>
        <v>31.529096903572281</v>
      </c>
      <c r="X126" s="293">
        <f t="shared" si="229"/>
        <v>31.529096903572281</v>
      </c>
      <c r="Y126" s="293">
        <f t="shared" si="229"/>
        <v>31.529096903572281</v>
      </c>
      <c r="Z126" s="293">
        <f t="shared" si="229"/>
        <v>31.529096903572281</v>
      </c>
      <c r="AA126" s="293">
        <f t="shared" si="229"/>
        <v>31.529096903572281</v>
      </c>
      <c r="AB126" s="293">
        <f t="shared" si="229"/>
        <v>31.529096903572281</v>
      </c>
      <c r="AC126" s="293">
        <f t="shared" si="229"/>
        <v>31.529096903572281</v>
      </c>
      <c r="AD126" s="293">
        <f t="shared" si="229"/>
        <v>31.529096903572281</v>
      </c>
      <c r="AE126" s="293">
        <f t="shared" si="229"/>
        <v>31.529096903572281</v>
      </c>
      <c r="AF126" s="293">
        <f t="shared" si="229"/>
        <v>31.529096903572281</v>
      </c>
      <c r="AG126" s="293">
        <f t="shared" si="229"/>
        <v>31.529096903572281</v>
      </c>
      <c r="AH126" s="293">
        <f t="shared" si="229"/>
        <v>25.7965338301955</v>
      </c>
      <c r="AI126" s="293">
        <f t="shared" si="229"/>
        <v>31.529096903572281</v>
      </c>
      <c r="AJ126" s="293">
        <f t="shared" si="229"/>
        <v>31.529096903572281</v>
      </c>
      <c r="AK126" s="293">
        <f t="shared" si="229"/>
        <v>31.529096903572281</v>
      </c>
      <c r="AL126" s="293">
        <f t="shared" si="229"/>
        <v>31.529096903572281</v>
      </c>
      <c r="AM126" s="293">
        <f t="shared" si="229"/>
        <v>31.529096903572281</v>
      </c>
      <c r="AN126" s="293">
        <f t="shared" si="229"/>
        <v>31.529096903572281</v>
      </c>
      <c r="AO126" s="293">
        <f t="shared" si="229"/>
        <v>31.529096903572281</v>
      </c>
      <c r="AP126" s="61"/>
    </row>
    <row r="127">
      <c r="D127" s="118">
        <f>D126-C126</f>
        <v>0.27629024969792226</v>
      </c>
      <c r="E127" s="332"/>
      <c r="G127" s="118"/>
      <c r="AP127" s="61"/>
    </row>
    <row r="128" ht="19.5">
      <c r="A128" s="43" t="s">
        <v>57</v>
      </c>
      <c r="B128" s="43"/>
      <c r="AP128" s="61"/>
    </row>
    <row r="129" s="123" customFormat="1" ht="40.149999999999999" customHeight="1">
      <c r="A129" s="345" t="s">
        <v>58</v>
      </c>
      <c r="B129" s="346"/>
      <c r="C129" s="49" t="s">
        <v>11</v>
      </c>
      <c r="D129" s="50" t="s">
        <v>12</v>
      </c>
      <c r="E129" s="51" t="s">
        <v>13</v>
      </c>
      <c r="F129" s="210" t="s">
        <v>14</v>
      </c>
      <c r="G129" s="211" t="s">
        <v>15</v>
      </c>
      <c r="H129" s="212" t="s">
        <v>16</v>
      </c>
      <c r="I129" s="212" t="s">
        <v>17</v>
      </c>
      <c r="J129" s="213" t="s">
        <v>18</v>
      </c>
      <c r="K129" s="56">
        <v>44562</v>
      </c>
      <c r="L129" s="56">
        <v>44563</v>
      </c>
      <c r="M129" s="56">
        <v>44564</v>
      </c>
      <c r="N129" s="56">
        <v>44565</v>
      </c>
      <c r="O129" s="56">
        <v>44566</v>
      </c>
      <c r="P129" s="56">
        <v>44567</v>
      </c>
      <c r="Q129" s="56">
        <v>44568</v>
      </c>
      <c r="R129" s="56">
        <v>44569</v>
      </c>
      <c r="S129" s="56">
        <v>44570</v>
      </c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61"/>
    </row>
    <row r="130" ht="13.15" customHeight="1" outlineLevel="1">
      <c r="A130" s="347" t="s">
        <v>58</v>
      </c>
      <c r="B130" s="63" t="s">
        <v>0</v>
      </c>
      <c r="C130" s="334">
        <f t="shared" ref="C130:C133" si="247">$C$134/$F$134*F130</f>
        <v>326.81767885106007</v>
      </c>
      <c r="D130" s="334">
        <f t="shared" ref="D130:D133" si="248">SUM(K130:AO130)</f>
        <v>326.81767885106007</v>
      </c>
      <c r="E130" s="348">
        <f>'[6]План пр-ва по единицам обор'!$E$99</f>
        <v>108.93922628368669</v>
      </c>
      <c r="F130" s="349">
        <f>COUNTA(K130:AN130)</f>
        <v>3</v>
      </c>
      <c r="G130" s="350"/>
      <c r="H130" s="186"/>
      <c r="I130" s="82"/>
      <c r="J130" s="83">
        <f t="shared" ref="J130:J133" si="249">SUM(G130:I130)</f>
        <v>0</v>
      </c>
      <c r="K130" s="71"/>
      <c r="L130" s="71"/>
      <c r="M130" s="71"/>
      <c r="N130" s="71"/>
      <c r="O130" s="74">
        <f>$E130/11*(11-($H130+$I130))</f>
        <v>108.93922628368669</v>
      </c>
      <c r="P130" s="74">
        <f t="shared" ref="P130:P131" si="250">$E130/11*(11-($H130+$I130))</f>
        <v>108.93922628368669</v>
      </c>
      <c r="Q130" s="73"/>
      <c r="R130" s="73"/>
      <c r="S130" s="74">
        <f>$E130/11*(11-($H130+$I130))</f>
        <v>108.93922628368669</v>
      </c>
      <c r="T130" s="74"/>
      <c r="U130" s="73"/>
      <c r="V130" s="73"/>
      <c r="W130" s="74"/>
      <c r="X130" s="74"/>
      <c r="Y130" s="73"/>
      <c r="Z130" s="73"/>
      <c r="AA130" s="74"/>
      <c r="AB130" s="74"/>
      <c r="AC130" s="73"/>
      <c r="AD130" s="73"/>
      <c r="AE130" s="74"/>
      <c r="AF130" s="74"/>
      <c r="AG130" s="73"/>
      <c r="AH130" s="73"/>
      <c r="AI130" s="75"/>
      <c r="AJ130" s="74"/>
      <c r="AK130" s="73"/>
      <c r="AL130" s="73"/>
      <c r="AM130" s="74"/>
      <c r="AN130" s="74"/>
      <c r="AO130" s="73"/>
      <c r="AP130" s="61"/>
    </row>
    <row r="131" ht="20.449999999999999" customHeight="1" outlineLevel="1">
      <c r="A131" s="351"/>
      <c r="B131" s="77" t="s">
        <v>1</v>
      </c>
      <c r="C131" s="337">
        <f t="shared" si="247"/>
        <v>217.87845256737339</v>
      </c>
      <c r="D131" s="337">
        <f t="shared" si="248"/>
        <v>217.87845256737339</v>
      </c>
      <c r="E131" s="348">
        <f t="shared" ref="E131:E133" si="251">E130</f>
        <v>108.93922628368669</v>
      </c>
      <c r="F131" s="349">
        <f>COUNTA(K131:AO131)</f>
        <v>2</v>
      </c>
      <c r="G131" s="350"/>
      <c r="H131" s="186"/>
      <c r="I131" s="82"/>
      <c r="J131" s="83">
        <f t="shared" si="249"/>
        <v>0</v>
      </c>
      <c r="K131" s="72"/>
      <c r="L131" s="72"/>
      <c r="M131" s="71"/>
      <c r="N131" s="71"/>
      <c r="O131" s="73"/>
      <c r="P131" s="74">
        <f t="shared" si="250"/>
        <v>108.93922628368669</v>
      </c>
      <c r="Q131" s="74">
        <f t="shared" ref="Q131:R133" si="252">$E131/11*(11-($H131+$I131))</f>
        <v>108.93922628368669</v>
      </c>
      <c r="R131" s="84"/>
      <c r="S131" s="73"/>
      <c r="T131" s="74"/>
      <c r="U131" s="74"/>
      <c r="V131" s="84"/>
      <c r="W131" s="73"/>
      <c r="X131" s="74"/>
      <c r="Y131" s="74"/>
      <c r="Z131" s="84"/>
      <c r="AA131" s="73"/>
      <c r="AB131" s="75"/>
      <c r="AC131" s="74"/>
      <c r="AD131" s="84"/>
      <c r="AE131" s="73"/>
      <c r="AF131" s="74"/>
      <c r="AG131" s="74"/>
      <c r="AH131" s="84"/>
      <c r="AI131" s="73"/>
      <c r="AJ131" s="74"/>
      <c r="AK131" s="74"/>
      <c r="AL131" s="84"/>
      <c r="AM131" s="73"/>
      <c r="AN131" s="74"/>
      <c r="AO131" s="74"/>
      <c r="AP131" s="61"/>
    </row>
    <row r="132" ht="13.15" customHeight="1" outlineLevel="1">
      <c r="A132" s="351"/>
      <c r="B132" s="85" t="s">
        <v>2</v>
      </c>
      <c r="C132" s="339">
        <f t="shared" si="247"/>
        <v>108.93922628368669</v>
      </c>
      <c r="D132" s="339">
        <f t="shared" si="248"/>
        <v>108.93922628368669</v>
      </c>
      <c r="E132" s="348">
        <f t="shared" si="251"/>
        <v>108.93922628368669</v>
      </c>
      <c r="F132" s="349">
        <f>COUNTA(K132:AN132)</f>
        <v>1</v>
      </c>
      <c r="G132" s="350"/>
      <c r="H132" s="186"/>
      <c r="I132" s="82"/>
      <c r="J132" s="83">
        <f t="shared" si="249"/>
        <v>0</v>
      </c>
      <c r="K132" s="88"/>
      <c r="L132" s="72"/>
      <c r="M132" s="71"/>
      <c r="N132" s="71"/>
      <c r="O132" s="74"/>
      <c r="P132" s="74"/>
      <c r="Q132" s="73"/>
      <c r="R132" s="74">
        <f t="shared" si="252"/>
        <v>108.93922628368669</v>
      </c>
      <c r="S132" s="74"/>
      <c r="T132" s="74"/>
      <c r="U132" s="73"/>
      <c r="V132" s="74"/>
      <c r="W132" s="74"/>
      <c r="X132" s="74"/>
      <c r="Y132" s="73"/>
      <c r="Z132" s="74"/>
      <c r="AA132" s="74"/>
      <c r="AB132" s="74"/>
      <c r="AC132" s="73"/>
      <c r="AD132" s="74"/>
      <c r="AE132" s="74"/>
      <c r="AF132" s="74"/>
      <c r="AG132" s="73"/>
      <c r="AH132" s="74"/>
      <c r="AI132" s="74"/>
      <c r="AJ132" s="74"/>
      <c r="AK132" s="73"/>
      <c r="AL132" s="74"/>
      <c r="AM132" s="74"/>
      <c r="AN132" s="74"/>
      <c r="AO132" s="73"/>
      <c r="AP132" s="61"/>
    </row>
    <row r="133" ht="20.449999999999999" customHeight="1" outlineLevel="1">
      <c r="A133" s="351"/>
      <c r="B133" s="90" t="s">
        <v>3</v>
      </c>
      <c r="C133" s="340">
        <f t="shared" si="247"/>
        <v>217.87845256737339</v>
      </c>
      <c r="D133" s="340">
        <f t="shared" si="248"/>
        <v>217.87845256737339</v>
      </c>
      <c r="E133" s="352">
        <f t="shared" si="251"/>
        <v>108.93922628368669</v>
      </c>
      <c r="F133" s="353">
        <f>COUNTA(K133:AO133)</f>
        <v>2</v>
      </c>
      <c r="G133" s="350"/>
      <c r="H133" s="186"/>
      <c r="I133" s="82"/>
      <c r="J133" s="83">
        <f t="shared" si="249"/>
        <v>0</v>
      </c>
      <c r="K133" s="97"/>
      <c r="L133" s="72"/>
      <c r="M133" s="71"/>
      <c r="N133" s="71"/>
      <c r="O133" s="98"/>
      <c r="P133" s="74"/>
      <c r="Q133" s="73">
        <f t="shared" si="252"/>
        <v>108.93922628368669</v>
      </c>
      <c r="R133" s="74">
        <f t="shared" si="252"/>
        <v>108.93922628368669</v>
      </c>
      <c r="S133" s="98"/>
      <c r="T133" s="74"/>
      <c r="U133" s="75"/>
      <c r="V133" s="73"/>
      <c r="W133" s="98"/>
      <c r="X133" s="74"/>
      <c r="Y133" s="73"/>
      <c r="Z133" s="73"/>
      <c r="AA133" s="98"/>
      <c r="AB133" s="74"/>
      <c r="AC133" s="73"/>
      <c r="AD133" s="73"/>
      <c r="AE133" s="98"/>
      <c r="AF133" s="74"/>
      <c r="AG133" s="73"/>
      <c r="AH133" s="73"/>
      <c r="AI133" s="98"/>
      <c r="AJ133" s="74"/>
      <c r="AK133" s="73"/>
      <c r="AL133" s="73"/>
      <c r="AM133" s="98"/>
      <c r="AN133" s="74"/>
      <c r="AO133" s="73"/>
      <c r="AP133" s="61"/>
    </row>
    <row r="134" s="220" customFormat="1" ht="18.600000000000001" customHeight="1">
      <c r="A134" s="221"/>
      <c r="B134" s="165" t="s">
        <v>18</v>
      </c>
      <c r="C134" s="166">
        <f>'[6]План пр-ва по единицам обор'!$K$99</f>
        <v>871.51381026949355</v>
      </c>
      <c r="D134" s="103">
        <f>SUM(D130:D133)</f>
        <v>871.51381026949355</v>
      </c>
      <c r="E134" s="354" t="s">
        <v>19</v>
      </c>
      <c r="F134" s="355">
        <f>SUM(F130:F133)</f>
        <v>8</v>
      </c>
      <c r="G134" s="344">
        <f>SUM(G132:G133)</f>
        <v>0</v>
      </c>
      <c r="H134" s="167">
        <f>SUM(H132:H133)</f>
        <v>0</v>
      </c>
      <c r="I134" s="168" t="s">
        <v>19</v>
      </c>
      <c r="J134" s="167">
        <f t="shared" ref="J134:M134" si="253">SUM(J132:J133)</f>
        <v>0</v>
      </c>
      <c r="K134" s="282">
        <f t="shared" si="253"/>
        <v>0</v>
      </c>
      <c r="L134" s="282">
        <f t="shared" si="253"/>
        <v>0</v>
      </c>
      <c r="M134" s="282">
        <f t="shared" si="253"/>
        <v>0</v>
      </c>
      <c r="N134" s="282">
        <f>SUM(N130:N133)</f>
        <v>0</v>
      </c>
      <c r="O134" s="282">
        <f t="shared" ref="O134:AO134" si="254">SUM(O130:O133)</f>
        <v>108.93922628368669</v>
      </c>
      <c r="P134" s="282">
        <f t="shared" si="254"/>
        <v>217.87845256737339</v>
      </c>
      <c r="Q134" s="282">
        <f t="shared" si="254"/>
        <v>217.87845256737339</v>
      </c>
      <c r="R134" s="282">
        <f t="shared" si="254"/>
        <v>217.87845256737339</v>
      </c>
      <c r="S134" s="282">
        <f t="shared" si="254"/>
        <v>108.93922628368669</v>
      </c>
      <c r="T134" s="282">
        <f t="shared" si="254"/>
        <v>0</v>
      </c>
      <c r="U134" s="282">
        <f t="shared" si="254"/>
        <v>0</v>
      </c>
      <c r="V134" s="282">
        <f t="shared" si="254"/>
        <v>0</v>
      </c>
      <c r="W134" s="282">
        <f t="shared" si="254"/>
        <v>0</v>
      </c>
      <c r="X134" s="282">
        <f t="shared" si="254"/>
        <v>0</v>
      </c>
      <c r="Y134" s="282">
        <f t="shared" si="254"/>
        <v>0</v>
      </c>
      <c r="Z134" s="282">
        <f t="shared" si="254"/>
        <v>0</v>
      </c>
      <c r="AA134" s="282">
        <f t="shared" si="254"/>
        <v>0</v>
      </c>
      <c r="AB134" s="282">
        <f t="shared" si="254"/>
        <v>0</v>
      </c>
      <c r="AC134" s="282">
        <f t="shared" si="254"/>
        <v>0</v>
      </c>
      <c r="AD134" s="282">
        <f t="shared" si="254"/>
        <v>0</v>
      </c>
      <c r="AE134" s="282">
        <f t="shared" si="254"/>
        <v>0</v>
      </c>
      <c r="AF134" s="282">
        <f t="shared" si="254"/>
        <v>0</v>
      </c>
      <c r="AG134" s="282">
        <f t="shared" si="254"/>
        <v>0</v>
      </c>
      <c r="AH134" s="282">
        <f t="shared" si="254"/>
        <v>0</v>
      </c>
      <c r="AI134" s="282">
        <f t="shared" si="254"/>
        <v>0</v>
      </c>
      <c r="AJ134" s="282">
        <f t="shared" si="254"/>
        <v>0</v>
      </c>
      <c r="AK134" s="282">
        <f t="shared" si="254"/>
        <v>0</v>
      </c>
      <c r="AL134" s="282">
        <f t="shared" si="254"/>
        <v>0</v>
      </c>
      <c r="AM134" s="282">
        <f t="shared" si="254"/>
        <v>0</v>
      </c>
      <c r="AN134" s="282">
        <f t="shared" si="254"/>
        <v>0</v>
      </c>
      <c r="AO134" s="282">
        <f t="shared" si="254"/>
        <v>0</v>
      </c>
      <c r="AP134" s="61"/>
    </row>
    <row r="135">
      <c r="D135" s="206">
        <f>D134-C134</f>
        <v>0</v>
      </c>
      <c r="AP135" s="61"/>
    </row>
    <row r="136" ht="19.5">
      <c r="A136" s="43" t="s">
        <v>59</v>
      </c>
      <c r="B136" s="43"/>
      <c r="D136" s="44">
        <v>1.4990000000000001</v>
      </c>
      <c r="H136" s="25"/>
      <c r="I136" s="25"/>
      <c r="J136" s="25"/>
      <c r="AP136" s="61"/>
    </row>
    <row r="137" s="46" customFormat="1" ht="33.600000000000001" customHeight="1" outlineLevel="1">
      <c r="A137" s="47" t="s">
        <v>60</v>
      </c>
      <c r="B137" s="48"/>
      <c r="C137" s="49" t="s">
        <v>11</v>
      </c>
      <c r="D137" s="50" t="s">
        <v>12</v>
      </c>
      <c r="E137" s="51" t="s">
        <v>13</v>
      </c>
      <c r="F137" s="52" t="s">
        <v>14</v>
      </c>
      <c r="G137" s="151" t="s">
        <v>15</v>
      </c>
      <c r="H137" s="152" t="s">
        <v>16</v>
      </c>
      <c r="I137" s="302" t="s">
        <v>17</v>
      </c>
      <c r="J137" s="356" t="s">
        <v>18</v>
      </c>
      <c r="K137" s="56">
        <v>44562</v>
      </c>
      <c r="L137" s="56">
        <v>44563</v>
      </c>
      <c r="M137" s="56">
        <v>44564</v>
      </c>
      <c r="N137" s="56">
        <v>44565</v>
      </c>
      <c r="O137" s="58">
        <v>44566</v>
      </c>
      <c r="P137" s="56">
        <v>44567</v>
      </c>
      <c r="Q137" s="56">
        <v>44568</v>
      </c>
      <c r="R137" s="56">
        <v>44569</v>
      </c>
      <c r="S137" s="56">
        <v>44570</v>
      </c>
      <c r="T137" s="56">
        <v>44571</v>
      </c>
      <c r="U137" s="56">
        <v>44572</v>
      </c>
      <c r="V137" s="59">
        <v>44573</v>
      </c>
      <c r="W137" s="56">
        <v>44574</v>
      </c>
      <c r="X137" s="56">
        <v>44575</v>
      </c>
      <c r="Y137" s="56">
        <v>44576</v>
      </c>
      <c r="Z137" s="56">
        <v>44577</v>
      </c>
      <c r="AA137" s="56">
        <v>44578</v>
      </c>
      <c r="AB137" s="56">
        <v>44579</v>
      </c>
      <c r="AC137" s="60">
        <v>44580</v>
      </c>
      <c r="AD137" s="56">
        <v>44581</v>
      </c>
      <c r="AE137" s="56">
        <v>44582</v>
      </c>
      <c r="AF137" s="56">
        <v>44583</v>
      </c>
      <c r="AG137" s="56">
        <v>44584</v>
      </c>
      <c r="AH137" s="56">
        <v>44585</v>
      </c>
      <c r="AI137" s="56">
        <v>44586</v>
      </c>
      <c r="AJ137" s="57">
        <v>44587</v>
      </c>
      <c r="AK137" s="56">
        <v>44588</v>
      </c>
      <c r="AL137" s="56">
        <v>44589</v>
      </c>
      <c r="AM137" s="56">
        <v>44590</v>
      </c>
      <c r="AN137" s="56">
        <v>44591</v>
      </c>
      <c r="AO137" s="56">
        <v>44592</v>
      </c>
      <c r="AP137" s="61"/>
    </row>
    <row r="138" outlineLevel="2">
      <c r="A138" s="62" t="s">
        <v>60</v>
      </c>
      <c r="B138" s="63" t="s">
        <v>0</v>
      </c>
      <c r="C138" s="64">
        <f t="shared" ref="C138:C141" si="255">$C$142/$F$142*F138</f>
        <v>16389.327272727274</v>
      </c>
      <c r="D138" s="65">
        <f t="shared" ref="D138:D141" si="256">SUM(K138:AO138)</f>
        <v>16389.327272727271</v>
      </c>
      <c r="E138" s="66">
        <f>'[6]План пр-ва по единицам обор'!$F$44</f>
        <v>5640</v>
      </c>
      <c r="F138" s="130">
        <f t="shared" ref="F138:F141" si="257">COUNTA(K138:AO138)</f>
        <v>3</v>
      </c>
      <c r="G138" s="80">
        <v>6</v>
      </c>
      <c r="H138" s="357">
        <f t="shared" ref="H138:H141" si="258">18.7/60</f>
        <v>0.31166666666666665</v>
      </c>
      <c r="I138" s="358">
        <f t="shared" ref="I138:I141" si="259">(2+0)/60</f>
        <v>0.033333333333333333</v>
      </c>
      <c r="J138" s="359">
        <f t="shared" ref="J138:J141" si="260">SUM(G138:I138)</f>
        <v>6.3449999999999998</v>
      </c>
      <c r="K138" s="71"/>
      <c r="L138" s="72"/>
      <c r="M138" s="71"/>
      <c r="N138" s="73"/>
      <c r="O138" s="74">
        <f t="shared" ref="O138:Q140" si="261">$E138/11*(11-($H138+$I138))</f>
        <v>5463.1090909090908</v>
      </c>
      <c r="P138" s="74">
        <f t="shared" si="261"/>
        <v>5463.1090909090908</v>
      </c>
      <c r="Q138" s="73"/>
      <c r="R138" s="73"/>
      <c r="S138" s="74">
        <f>$E138/11*(11-($H138+$I138))</f>
        <v>5463.1090909090908</v>
      </c>
      <c r="T138" s="74"/>
      <c r="U138" s="73"/>
      <c r="V138" s="73"/>
      <c r="W138" s="74"/>
      <c r="X138" s="74"/>
      <c r="Y138" s="73"/>
      <c r="Z138" s="73"/>
      <c r="AA138" s="74"/>
      <c r="AB138" s="74"/>
      <c r="AC138" s="73"/>
      <c r="AD138" s="73"/>
      <c r="AE138" s="74"/>
      <c r="AF138" s="74"/>
      <c r="AG138" s="73"/>
      <c r="AH138" s="73"/>
      <c r="AI138" s="74"/>
      <c r="AJ138" s="74"/>
      <c r="AK138" s="73"/>
      <c r="AL138" s="73"/>
      <c r="AM138" s="74"/>
      <c r="AN138" s="74"/>
      <c r="AO138" s="73"/>
      <c r="AP138" s="279">
        <f t="shared" ref="AP138:AP141" si="262">D138/128</f>
        <v>128.0416193181818</v>
      </c>
    </row>
    <row r="139" outlineLevel="2">
      <c r="A139" s="76"/>
      <c r="B139" s="77" t="s">
        <v>1</v>
      </c>
      <c r="C139" s="78">
        <f t="shared" si="255"/>
        <v>10926.218181818183</v>
      </c>
      <c r="D139" s="79">
        <f t="shared" si="256"/>
        <v>10926.218181818182</v>
      </c>
      <c r="E139" s="66">
        <f t="shared" ref="E139:E148" si="263">E138</f>
        <v>5640</v>
      </c>
      <c r="F139" s="130">
        <f t="shared" si="257"/>
        <v>2</v>
      </c>
      <c r="G139" s="80">
        <v>6</v>
      </c>
      <c r="H139" s="357">
        <f t="shared" si="258"/>
        <v>0.31166666666666665</v>
      </c>
      <c r="I139" s="360">
        <f t="shared" si="259"/>
        <v>0.033333333333333333</v>
      </c>
      <c r="J139" s="359">
        <f t="shared" si="260"/>
        <v>6.3449999999999998</v>
      </c>
      <c r="K139" s="72"/>
      <c r="L139" s="72"/>
      <c r="M139" s="72"/>
      <c r="N139" s="84"/>
      <c r="O139" s="73"/>
      <c r="P139" s="74">
        <f t="shared" si="261"/>
        <v>5463.1090909090908</v>
      </c>
      <c r="Q139" s="74">
        <f t="shared" si="261"/>
        <v>5463.1090909090908</v>
      </c>
      <c r="R139" s="84"/>
      <c r="S139" s="73"/>
      <c r="T139" s="74"/>
      <c r="U139" s="74"/>
      <c r="V139" s="84"/>
      <c r="W139" s="73"/>
      <c r="X139" s="74"/>
      <c r="Y139" s="74"/>
      <c r="Z139" s="84"/>
      <c r="AA139" s="73"/>
      <c r="AB139" s="74"/>
      <c r="AC139" s="74"/>
      <c r="AD139" s="84"/>
      <c r="AE139" s="73"/>
      <c r="AF139" s="74"/>
      <c r="AG139" s="74"/>
      <c r="AH139" s="84"/>
      <c r="AI139" s="73"/>
      <c r="AJ139" s="75"/>
      <c r="AK139" s="74"/>
      <c r="AL139" s="84"/>
      <c r="AM139" s="73"/>
      <c r="AN139" s="74"/>
      <c r="AO139" s="74"/>
      <c r="AP139" s="279">
        <f t="shared" si="262"/>
        <v>85.361079545454544</v>
      </c>
    </row>
    <row r="140" outlineLevel="2">
      <c r="A140" s="76"/>
      <c r="B140" s="85" t="s">
        <v>2</v>
      </c>
      <c r="C140" s="131">
        <f t="shared" si="255"/>
        <v>21852.436363636367</v>
      </c>
      <c r="D140" s="197">
        <f t="shared" si="256"/>
        <v>21852.436363636363</v>
      </c>
      <c r="E140" s="66">
        <f t="shared" si="263"/>
        <v>5640</v>
      </c>
      <c r="F140" s="130">
        <f t="shared" si="257"/>
        <v>4</v>
      </c>
      <c r="G140" s="80">
        <v>6</v>
      </c>
      <c r="H140" s="357">
        <f t="shared" si="258"/>
        <v>0.31166666666666665</v>
      </c>
      <c r="I140" s="360">
        <f t="shared" si="259"/>
        <v>0.033333333333333333</v>
      </c>
      <c r="J140" s="359">
        <f t="shared" si="260"/>
        <v>6.3449999999999998</v>
      </c>
      <c r="K140" s="88"/>
      <c r="L140" s="72"/>
      <c r="M140" s="71"/>
      <c r="N140" s="74">
        <f t="shared" ref="N140:R141" si="264">$E140/11*(11-($H140+$I140))</f>
        <v>5463.1090909090908</v>
      </c>
      <c r="O140" s="74">
        <f t="shared" si="261"/>
        <v>5463.1090909090908</v>
      </c>
      <c r="P140" s="74"/>
      <c r="Q140" s="73"/>
      <c r="R140" s="74">
        <f t="shared" ref="R140:S140" si="265">$E140/11*(11-($H140+$I140))</f>
        <v>5463.1090909090908</v>
      </c>
      <c r="S140" s="74">
        <f t="shared" si="265"/>
        <v>5463.1090909090908</v>
      </c>
      <c r="T140" s="74"/>
      <c r="U140" s="73"/>
      <c r="V140" s="75"/>
      <c r="W140" s="74"/>
      <c r="X140" s="74"/>
      <c r="Y140" s="73"/>
      <c r="Z140" s="74"/>
      <c r="AA140" s="74"/>
      <c r="AB140" s="74"/>
      <c r="AC140" s="73"/>
      <c r="AD140" s="74"/>
      <c r="AE140" s="74"/>
      <c r="AF140" s="74"/>
      <c r="AG140" s="73"/>
      <c r="AH140" s="74"/>
      <c r="AI140" s="74"/>
      <c r="AJ140" s="74"/>
      <c r="AK140" s="73"/>
      <c r="AL140" s="74"/>
      <c r="AM140" s="74"/>
      <c r="AN140" s="74"/>
      <c r="AO140" s="73"/>
      <c r="AP140" s="279">
        <f t="shared" si="262"/>
        <v>170.72215909090909</v>
      </c>
    </row>
    <row r="141" ht="16.149999999999999" customHeight="1" outlineLevel="2">
      <c r="A141" s="89"/>
      <c r="B141" s="90" t="s">
        <v>3</v>
      </c>
      <c r="C141" s="133">
        <f t="shared" si="255"/>
        <v>16389.327272727274</v>
      </c>
      <c r="D141" s="200">
        <f t="shared" si="256"/>
        <v>16389.327272727271</v>
      </c>
      <c r="E141" s="66">
        <f t="shared" si="263"/>
        <v>5640</v>
      </c>
      <c r="F141" s="130">
        <f t="shared" si="257"/>
        <v>3</v>
      </c>
      <c r="G141" s="80">
        <v>6</v>
      </c>
      <c r="H141" s="357">
        <f t="shared" si="258"/>
        <v>0.31166666666666665</v>
      </c>
      <c r="I141" s="360">
        <f t="shared" si="259"/>
        <v>0.033333333333333333</v>
      </c>
      <c r="J141" s="359">
        <f t="shared" si="260"/>
        <v>6.3449999999999998</v>
      </c>
      <c r="K141" s="97"/>
      <c r="L141" s="72"/>
      <c r="M141" s="71"/>
      <c r="N141" s="73">
        <f t="shared" si="264"/>
        <v>5463.1090909090908</v>
      </c>
      <c r="O141" s="98"/>
      <c r="P141" s="74"/>
      <c r="Q141" s="73">
        <f t="shared" si="264"/>
        <v>5463.1090909090908</v>
      </c>
      <c r="R141" s="73">
        <f t="shared" si="264"/>
        <v>5463.1090909090908</v>
      </c>
      <c r="S141" s="98"/>
      <c r="T141" s="74"/>
      <c r="U141" s="74"/>
      <c r="V141" s="73"/>
      <c r="W141" s="98"/>
      <c r="X141" s="74"/>
      <c r="Y141" s="73"/>
      <c r="Z141" s="73"/>
      <c r="AA141" s="98"/>
      <c r="AB141" s="74"/>
      <c r="AC141" s="75"/>
      <c r="AD141" s="73"/>
      <c r="AE141" s="98"/>
      <c r="AF141" s="74"/>
      <c r="AG141" s="73"/>
      <c r="AH141" s="73"/>
      <c r="AI141" s="98"/>
      <c r="AJ141" s="74"/>
      <c r="AK141" s="73"/>
      <c r="AL141" s="73"/>
      <c r="AM141" s="98"/>
      <c r="AN141" s="74"/>
      <c r="AO141" s="73"/>
      <c r="AP141" s="279">
        <f t="shared" si="262"/>
        <v>128.0416193181818</v>
      </c>
    </row>
    <row r="142" s="99" customFormat="1" ht="25.149999999999999" customHeight="1" outlineLevel="1">
      <c r="A142" s="100"/>
      <c r="B142" s="101" t="s">
        <v>18</v>
      </c>
      <c r="C142" s="361">
        <f>'[6]План пр-ва по единицам обор'!$AN$44</f>
        <v>65557.309090909097</v>
      </c>
      <c r="D142" s="362">
        <f>SUM(D138:D141)</f>
        <v>65557.309090909082</v>
      </c>
      <c r="E142" s="363" t="s">
        <v>19</v>
      </c>
      <c r="F142" s="343">
        <f>SUM(F138:F141)</f>
        <v>12</v>
      </c>
      <c r="G142" s="344">
        <f>SUM(G138:G141)</f>
        <v>24</v>
      </c>
      <c r="H142" s="107">
        <f>SUM(H138:H141)</f>
        <v>1.2466666666666666</v>
      </c>
      <c r="I142" s="108" t="s">
        <v>19</v>
      </c>
      <c r="J142" s="364">
        <f t="shared" ref="J142:AO142" si="266">SUM(J138:J141)</f>
        <v>25.379999999999999</v>
      </c>
      <c r="K142" s="365">
        <f>SUM(K138:K141)</f>
        <v>0</v>
      </c>
      <c r="L142" s="282">
        <f t="shared" si="266"/>
        <v>0</v>
      </c>
      <c r="M142" s="282">
        <f t="shared" si="266"/>
        <v>0</v>
      </c>
      <c r="N142" s="282">
        <f t="shared" si="266"/>
        <v>10926.218181818182</v>
      </c>
      <c r="O142" s="282">
        <f t="shared" si="266"/>
        <v>10926.218181818182</v>
      </c>
      <c r="P142" s="282">
        <f t="shared" si="266"/>
        <v>10926.218181818182</v>
      </c>
      <c r="Q142" s="282">
        <f t="shared" si="266"/>
        <v>10926.218181818182</v>
      </c>
      <c r="R142" s="282">
        <f t="shared" si="266"/>
        <v>10926.218181818182</v>
      </c>
      <c r="S142" s="282">
        <f t="shared" si="266"/>
        <v>10926.218181818182</v>
      </c>
      <c r="T142" s="282">
        <f t="shared" si="266"/>
        <v>0</v>
      </c>
      <c r="U142" s="282">
        <f t="shared" si="266"/>
        <v>0</v>
      </c>
      <c r="V142" s="282">
        <f t="shared" si="266"/>
        <v>0</v>
      </c>
      <c r="W142" s="282">
        <f t="shared" si="266"/>
        <v>0</v>
      </c>
      <c r="X142" s="282">
        <f t="shared" si="266"/>
        <v>0</v>
      </c>
      <c r="Y142" s="281">
        <f t="shared" si="266"/>
        <v>0</v>
      </c>
      <c r="Z142" s="282">
        <f t="shared" si="266"/>
        <v>0</v>
      </c>
      <c r="AA142" s="282">
        <f t="shared" si="266"/>
        <v>0</v>
      </c>
      <c r="AB142" s="283">
        <f t="shared" si="266"/>
        <v>0</v>
      </c>
      <c r="AC142" s="299">
        <f t="shared" si="266"/>
        <v>0</v>
      </c>
      <c r="AD142" s="300">
        <f t="shared" si="266"/>
        <v>0</v>
      </c>
      <c r="AE142" s="300">
        <f t="shared" si="266"/>
        <v>0</v>
      </c>
      <c r="AF142" s="300">
        <f t="shared" si="266"/>
        <v>0</v>
      </c>
      <c r="AG142" s="300">
        <f t="shared" si="266"/>
        <v>0</v>
      </c>
      <c r="AH142" s="300">
        <f t="shared" si="266"/>
        <v>0</v>
      </c>
      <c r="AI142" s="300">
        <f t="shared" si="266"/>
        <v>0</v>
      </c>
      <c r="AJ142" s="300">
        <f t="shared" si="266"/>
        <v>0</v>
      </c>
      <c r="AK142" s="300">
        <f t="shared" si="266"/>
        <v>0</v>
      </c>
      <c r="AL142" s="300">
        <f t="shared" si="266"/>
        <v>0</v>
      </c>
      <c r="AM142" s="300">
        <f t="shared" si="266"/>
        <v>0</v>
      </c>
      <c r="AN142" s="366">
        <f t="shared" si="266"/>
        <v>0</v>
      </c>
      <c r="AO142" s="366">
        <f t="shared" si="266"/>
        <v>0</v>
      </c>
      <c r="AP142" s="279">
        <f>SUM(AP138:AP141)</f>
        <v>512.16647727272721</v>
      </c>
    </row>
    <row r="143" s="24" customFormat="1" ht="13.5" outlineLevel="1">
      <c r="A143" s="115"/>
      <c r="B143" s="115"/>
      <c r="C143" s="116"/>
      <c r="D143" s="116"/>
      <c r="E143" s="117"/>
      <c r="F143" s="118"/>
      <c r="G143" s="119"/>
      <c r="H143" s="120"/>
      <c r="I143" s="121"/>
      <c r="J143" s="120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A143" s="122"/>
      <c r="AB143" s="122"/>
      <c r="AC143" s="122"/>
      <c r="AD143" s="122"/>
      <c r="AE143" s="122"/>
      <c r="AF143" s="122"/>
      <c r="AG143" s="122"/>
      <c r="AH143" s="122"/>
      <c r="AI143" s="122"/>
      <c r="AJ143" s="122"/>
      <c r="AK143" s="122"/>
      <c r="AL143" s="122"/>
      <c r="AM143" s="122"/>
      <c r="AN143" s="122"/>
      <c r="AO143" s="122"/>
      <c r="AP143" s="61"/>
    </row>
    <row r="144" s="123" customFormat="1" ht="30" customHeight="1" outlineLevel="1">
      <c r="A144" s="47" t="s">
        <v>61</v>
      </c>
      <c r="B144" s="48"/>
      <c r="C144" s="49" t="s">
        <v>11</v>
      </c>
      <c r="D144" s="50" t="s">
        <v>12</v>
      </c>
      <c r="E144" s="51" t="s">
        <v>13</v>
      </c>
      <c r="F144" s="52" t="s">
        <v>14</v>
      </c>
      <c r="G144" s="151" t="s">
        <v>15</v>
      </c>
      <c r="H144" s="152" t="s">
        <v>16</v>
      </c>
      <c r="I144" s="152" t="s">
        <v>17</v>
      </c>
      <c r="J144" s="153" t="s">
        <v>18</v>
      </c>
      <c r="K144" s="56">
        <v>44562</v>
      </c>
      <c r="L144" s="56">
        <v>44563</v>
      </c>
      <c r="M144" s="56">
        <v>44564</v>
      </c>
      <c r="N144" s="56">
        <v>44565</v>
      </c>
      <c r="O144" s="56">
        <v>44566</v>
      </c>
      <c r="P144" s="56">
        <v>44567</v>
      </c>
      <c r="Q144" s="56">
        <v>44568</v>
      </c>
      <c r="R144" s="56">
        <v>44569</v>
      </c>
      <c r="S144" s="56">
        <v>44570</v>
      </c>
      <c r="T144" s="56">
        <v>44571</v>
      </c>
      <c r="U144" s="56">
        <v>44572</v>
      </c>
      <c r="V144" s="56">
        <v>44573</v>
      </c>
      <c r="W144" s="56">
        <v>44574</v>
      </c>
      <c r="X144" s="56">
        <v>44575</v>
      </c>
      <c r="Y144" s="56">
        <v>44576</v>
      </c>
      <c r="Z144" s="56">
        <v>44577</v>
      </c>
      <c r="AA144" s="56">
        <v>44578</v>
      </c>
      <c r="AB144" s="56">
        <v>44579</v>
      </c>
      <c r="AC144" s="56">
        <v>44580</v>
      </c>
      <c r="AD144" s="56">
        <v>44581</v>
      </c>
      <c r="AE144" s="56">
        <v>44582</v>
      </c>
      <c r="AF144" s="56">
        <v>44583</v>
      </c>
      <c r="AG144" s="56">
        <v>44584</v>
      </c>
      <c r="AH144" s="56">
        <v>44585</v>
      </c>
      <c r="AI144" s="56">
        <v>44586</v>
      </c>
      <c r="AJ144" s="56">
        <v>44587</v>
      </c>
      <c r="AK144" s="56">
        <v>44588</v>
      </c>
      <c r="AL144" s="56">
        <v>44589</v>
      </c>
      <c r="AM144" s="56">
        <v>44590</v>
      </c>
      <c r="AN144" s="56">
        <v>44591</v>
      </c>
      <c r="AO144" s="56">
        <v>44592</v>
      </c>
      <c r="AP144" s="61"/>
    </row>
    <row r="145" hidden="1" outlineLevel="2">
      <c r="A145" s="126" t="s">
        <v>61</v>
      </c>
      <c r="B145" s="63" t="s">
        <v>0</v>
      </c>
      <c r="C145" s="64" t="e">
        <f t="shared" ref="C145:C148" si="267">$C$149/$F$149*F145</f>
        <v>#DIV/0!</v>
      </c>
      <c r="D145" s="65">
        <f t="shared" ref="D145:D148" si="268">SUM(K145:AO145)</f>
        <v>0</v>
      </c>
      <c r="E145" s="66"/>
      <c r="F145" s="130"/>
      <c r="G145" s="80"/>
      <c r="H145" s="81">
        <f t="shared" ref="H145:H148" si="269">18.7/60</f>
        <v>0.31166666666666665</v>
      </c>
      <c r="I145" s="82"/>
      <c r="J145" s="83">
        <f t="shared" ref="J145:J148" si="270">SUM(G145:I145)</f>
        <v>0.31166666666666665</v>
      </c>
      <c r="K145" s="367"/>
      <c r="L145" s="73"/>
      <c r="M145" s="73">
        <f>$E145/11*(11-($H145+$I145))</f>
        <v>0</v>
      </c>
      <c r="N145" s="73">
        <f t="shared" ref="N145:N146" si="271">$E145/11*(11-($H145+$I145))</f>
        <v>0</v>
      </c>
      <c r="O145" s="73"/>
      <c r="P145" s="368"/>
      <c r="Q145" s="73">
        <f>$E145/11*(11-($H145+$I145))</f>
        <v>0</v>
      </c>
      <c r="R145" s="73">
        <f>$E145/11*(11-($H145+$I145))</f>
        <v>0</v>
      </c>
      <c r="S145" s="73"/>
      <c r="T145" s="73"/>
      <c r="U145" s="73">
        <f>$E145/11*(11-($H145+$I145))</f>
        <v>0</v>
      </c>
      <c r="V145" s="73">
        <f t="shared" ref="V145:V146" si="272">$E145/11*(11-($H145+$I145))</f>
        <v>0</v>
      </c>
      <c r="W145" s="369"/>
      <c r="X145" s="73"/>
      <c r="Y145" s="73">
        <f>$E145/11*(11-($H145+$I145))</f>
        <v>0</v>
      </c>
      <c r="Z145" s="73">
        <f t="shared" ref="Z145:Z146" si="273">$E145/11*(11-($H145+$I145))</f>
        <v>0</v>
      </c>
      <c r="AA145" s="73"/>
      <c r="AB145" s="73"/>
      <c r="AC145" s="73">
        <f>$E145/11*(11-($H145+$I145))</f>
        <v>0</v>
      </c>
      <c r="AD145" s="73">
        <f t="shared" ref="AD145:AD146" si="274">$E145/11*(11-($H145+$I145))</f>
        <v>0</v>
      </c>
      <c r="AE145" s="73"/>
      <c r="AF145" s="73"/>
      <c r="AG145" s="73">
        <f>$E145/11*(11-($H145+$I145))</f>
        <v>0</v>
      </c>
      <c r="AH145" s="73">
        <f t="shared" ref="AH145:AH146" si="275">$E145/11*(11-($H145+$I145))</f>
        <v>0</v>
      </c>
      <c r="AI145" s="73"/>
      <c r="AJ145" s="73"/>
      <c r="AK145" s="73">
        <f>$E145/11*(11-($H145+$I145))</f>
        <v>0</v>
      </c>
      <c r="AL145" s="73">
        <f t="shared" ref="AL145:AL146" si="276">$E145/11*(11-($H145+$I145))</f>
        <v>0</v>
      </c>
      <c r="AM145" s="73"/>
      <c r="AN145" s="73"/>
      <c r="AO145" s="370"/>
      <c r="AP145" s="61"/>
      <c r="AR145" s="122"/>
    </row>
    <row r="146" hidden="1" outlineLevel="2">
      <c r="A146" s="126"/>
      <c r="B146" s="77" t="s">
        <v>1</v>
      </c>
      <c r="C146" s="78" t="e">
        <f t="shared" si="267"/>
        <v>#DIV/0!</v>
      </c>
      <c r="D146" s="79">
        <f t="shared" si="268"/>
        <v>0</v>
      </c>
      <c r="E146" s="66">
        <f t="shared" si="263"/>
        <v>0</v>
      </c>
      <c r="F146" s="130"/>
      <c r="G146" s="80"/>
      <c r="H146" s="81">
        <f t="shared" si="269"/>
        <v>0.31166666666666665</v>
      </c>
      <c r="I146" s="82"/>
      <c r="J146" s="83">
        <f t="shared" si="270"/>
        <v>0.31166666666666665</v>
      </c>
      <c r="K146" s="73">
        <f>$E146/11*(11-($H146+$I146))</f>
        <v>0</v>
      </c>
      <c r="L146" s="73"/>
      <c r="M146" s="73"/>
      <c r="N146" s="73">
        <f t="shared" si="271"/>
        <v>0</v>
      </c>
      <c r="O146" s="73">
        <f>$E146/11*(11-($H146+$I146))</f>
        <v>0</v>
      </c>
      <c r="P146" s="73"/>
      <c r="Q146" s="73"/>
      <c r="R146" s="371">
        <f>$E146/11*(11-($G146+$I146))</f>
        <v>0</v>
      </c>
      <c r="S146" s="73">
        <f>$E146/11*(11-($H146+$I146))</f>
        <v>0</v>
      </c>
      <c r="T146" s="73"/>
      <c r="U146" s="73"/>
      <c r="V146" s="73">
        <f t="shared" si="272"/>
        <v>0</v>
      </c>
      <c r="W146" s="73">
        <f>$E146/11*(11-($H146+$I146))</f>
        <v>0</v>
      </c>
      <c r="X146" s="369"/>
      <c r="Y146" s="73"/>
      <c r="Z146" s="73">
        <f t="shared" si="273"/>
        <v>0</v>
      </c>
      <c r="AA146" s="73">
        <f>$E146/11*(11-($H146+$I146))</f>
        <v>0</v>
      </c>
      <c r="AB146" s="73"/>
      <c r="AC146" s="73"/>
      <c r="AD146" s="73">
        <f t="shared" si="274"/>
        <v>0</v>
      </c>
      <c r="AE146" s="73">
        <f>$E146/11*(11-($H146+$I146))</f>
        <v>0</v>
      </c>
      <c r="AF146" s="73"/>
      <c r="AG146" s="73"/>
      <c r="AH146" s="73">
        <f t="shared" si="275"/>
        <v>0</v>
      </c>
      <c r="AI146" s="73">
        <f>$E146/11*(11-($H146+$I146))</f>
        <v>0</v>
      </c>
      <c r="AJ146" s="73"/>
      <c r="AK146" s="73"/>
      <c r="AL146" s="73">
        <f t="shared" si="276"/>
        <v>0</v>
      </c>
      <c r="AM146" s="73">
        <f>$E146/11*(11-($H146+$I146))</f>
        <v>0</v>
      </c>
      <c r="AN146" s="73"/>
      <c r="AO146" s="254"/>
      <c r="AP146" s="61"/>
      <c r="AR146" s="122"/>
    </row>
    <row r="147" hidden="1" outlineLevel="2">
      <c r="A147" s="126"/>
      <c r="B147" s="85" t="s">
        <v>2</v>
      </c>
      <c r="C147" s="131" t="e">
        <f t="shared" si="267"/>
        <v>#DIV/0!</v>
      </c>
      <c r="D147" s="197">
        <f t="shared" si="268"/>
        <v>0</v>
      </c>
      <c r="E147" s="66">
        <f t="shared" si="263"/>
        <v>0</v>
      </c>
      <c r="F147" s="130"/>
      <c r="G147" s="80"/>
      <c r="H147" s="81">
        <f t="shared" si="269"/>
        <v>0.31166666666666665</v>
      </c>
      <c r="I147" s="82"/>
      <c r="J147" s="83">
        <f t="shared" si="270"/>
        <v>0.31166666666666665</v>
      </c>
      <c r="K147" s="73"/>
      <c r="L147" s="73">
        <f t="shared" ref="L147:L148" si="277">$E147/11*(11-($H147+$I147))</f>
        <v>0</v>
      </c>
      <c r="M147" s="73">
        <f>$E147/11*(11-($H147+$I147))</f>
        <v>0</v>
      </c>
      <c r="N147" s="73"/>
      <c r="O147" s="73"/>
      <c r="P147" s="73">
        <f t="shared" ref="P147:P148" si="278">$E147/11*(11-($H147+$I147))</f>
        <v>0</v>
      </c>
      <c r="Q147" s="73">
        <f>$E147/11*(11-($H147+$I147))</f>
        <v>0</v>
      </c>
      <c r="R147" s="73"/>
      <c r="S147" s="73"/>
      <c r="T147" s="73">
        <f t="shared" ref="T147:T148" si="279">$E147/11*(11-($H147+$I147))</f>
        <v>0</v>
      </c>
      <c r="U147" s="73">
        <f>$E147/11*(11-($H147+$I147))</f>
        <v>0</v>
      </c>
      <c r="V147" s="369"/>
      <c r="W147" s="372"/>
      <c r="X147" s="73">
        <f t="shared" ref="X147:X148" si="280">$E147/11*(11-($H147+$I147))</f>
        <v>0</v>
      </c>
      <c r="Y147" s="73">
        <f>$E147/11*(11-($H147+$I147))</f>
        <v>0</v>
      </c>
      <c r="Z147" s="73"/>
      <c r="AA147" s="73"/>
      <c r="AB147" s="73">
        <f t="shared" ref="AB147:AB148" si="281">$E147/11*(11-($H147+$I147))</f>
        <v>0</v>
      </c>
      <c r="AC147" s="73">
        <f>$E147/11*(11-($H147+$I147))</f>
        <v>0</v>
      </c>
      <c r="AD147" s="73"/>
      <c r="AE147" s="73"/>
      <c r="AF147" s="372">
        <f>$E147/11*(11-($G147+$I147))</f>
        <v>0</v>
      </c>
      <c r="AG147" s="73">
        <f>$E147/11*(11-($H147+$I147))</f>
        <v>0</v>
      </c>
      <c r="AH147" s="73"/>
      <c r="AI147" s="73"/>
      <c r="AJ147" s="73">
        <f t="shared" ref="AJ147:AJ148" si="282">$E147/11*(11-($H147+$I147))</f>
        <v>0</v>
      </c>
      <c r="AK147" s="73">
        <f>$E147/11*(11-($H147+$I147))</f>
        <v>0</v>
      </c>
      <c r="AL147" s="73"/>
      <c r="AM147" s="73"/>
      <c r="AN147" s="73">
        <f t="shared" ref="AN147:AN148" si="283">$E147/11*(11-($H147+$I147))</f>
        <v>0</v>
      </c>
      <c r="AO147" s="370"/>
      <c r="AP147" s="61"/>
      <c r="AR147" s="122"/>
    </row>
    <row r="148" ht="13.5" hidden="1" outlineLevel="2">
      <c r="A148" s="132"/>
      <c r="B148" s="90" t="s">
        <v>3</v>
      </c>
      <c r="C148" s="133" t="e">
        <f t="shared" si="267"/>
        <v>#DIV/0!</v>
      </c>
      <c r="D148" s="200">
        <f t="shared" si="268"/>
        <v>0</v>
      </c>
      <c r="E148" s="66">
        <f t="shared" si="263"/>
        <v>0</v>
      </c>
      <c r="F148" s="130"/>
      <c r="G148" s="80"/>
      <c r="H148" s="81">
        <f t="shared" si="269"/>
        <v>0.31166666666666665</v>
      </c>
      <c r="I148" s="82"/>
      <c r="J148" s="83">
        <f t="shared" si="270"/>
        <v>0.31166666666666665</v>
      </c>
      <c r="K148" s="73">
        <f>$E148/11*(11-($H148+$I148))</f>
        <v>0</v>
      </c>
      <c r="L148" s="73">
        <f t="shared" si="277"/>
        <v>0</v>
      </c>
      <c r="M148" s="73"/>
      <c r="N148" s="73"/>
      <c r="O148" s="73">
        <f>$E148/11*(11-($H148+$I148))</f>
        <v>0</v>
      </c>
      <c r="P148" s="73">
        <f t="shared" si="278"/>
        <v>0</v>
      </c>
      <c r="Q148" s="73"/>
      <c r="R148" s="73"/>
      <c r="S148" s="73">
        <f>$E148/11*(11-($H148+$I148))</f>
        <v>0</v>
      </c>
      <c r="T148" s="73">
        <f t="shared" si="279"/>
        <v>0</v>
      </c>
      <c r="U148" s="369"/>
      <c r="V148" s="73"/>
      <c r="W148" s="73">
        <f>$E148/11*(11-($H148+$I148))</f>
        <v>0</v>
      </c>
      <c r="X148" s="73">
        <f t="shared" si="280"/>
        <v>0</v>
      </c>
      <c r="Y148" s="73"/>
      <c r="Z148" s="73"/>
      <c r="AA148" s="73">
        <f>$E148/11*(11-($H148+$I148))</f>
        <v>0</v>
      </c>
      <c r="AB148" s="73">
        <f t="shared" si="281"/>
        <v>0</v>
      </c>
      <c r="AC148" s="73"/>
      <c r="AD148" s="373"/>
      <c r="AE148" s="73">
        <f>$E148/11*(11-($H148+$I148))</f>
        <v>0</v>
      </c>
      <c r="AF148" s="73">
        <f>$E148/11*(11-($H148+$I148))</f>
        <v>0</v>
      </c>
      <c r="AG148" s="73"/>
      <c r="AH148" s="73"/>
      <c r="AI148" s="73">
        <f>$E148/11*(11-($H148+$I148))</f>
        <v>0</v>
      </c>
      <c r="AJ148" s="73">
        <f t="shared" si="282"/>
        <v>0</v>
      </c>
      <c r="AK148" s="73"/>
      <c r="AL148" s="73"/>
      <c r="AM148" s="73">
        <f>$E148/11*(11-($H148+$I148))</f>
        <v>0</v>
      </c>
      <c r="AN148" s="73">
        <f t="shared" si="283"/>
        <v>0</v>
      </c>
      <c r="AO148" s="254"/>
      <c r="AP148" s="61"/>
      <c r="AR148" s="122"/>
    </row>
    <row r="149" s="99" customFormat="1" ht="20.449999999999999" customHeight="1" outlineLevel="1" collapsed="1">
      <c r="B149" s="136" t="s">
        <v>18</v>
      </c>
      <c r="C149" s="102"/>
      <c r="D149" s="103">
        <f>SUM(D145:D148)</f>
        <v>0</v>
      </c>
      <c r="E149" s="222" t="s">
        <v>19</v>
      </c>
      <c r="F149" s="105">
        <f>SUM(F145:F148)</f>
        <v>0</v>
      </c>
      <c r="G149" s="106">
        <f>SUM(G145:G148)</f>
        <v>0</v>
      </c>
      <c r="H149" s="107">
        <f>SUM(H145:H148)</f>
        <v>1.2466666666666666</v>
      </c>
      <c r="I149" s="168" t="s">
        <v>19</v>
      </c>
      <c r="J149" s="109">
        <f t="shared" ref="J149:N149" si="284">SUM(J145:J148)</f>
        <v>1.2466666666666666</v>
      </c>
      <c r="K149" s="281">
        <f t="shared" si="284"/>
        <v>0</v>
      </c>
      <c r="L149" s="282">
        <f t="shared" si="284"/>
        <v>0</v>
      </c>
      <c r="M149" s="282">
        <f t="shared" si="284"/>
        <v>0</v>
      </c>
      <c r="N149" s="282">
        <f t="shared" si="284"/>
        <v>0</v>
      </c>
      <c r="O149" s="282">
        <f>SUM(O145:O148)</f>
        <v>0</v>
      </c>
      <c r="P149" s="283">
        <f>SUM(P145:P148)</f>
        <v>0</v>
      </c>
      <c r="Q149" s="282">
        <f t="shared" ref="Q149:AN149" si="285">SUM(Q145:Q148)</f>
        <v>0</v>
      </c>
      <c r="R149" s="282">
        <f t="shared" si="285"/>
        <v>0</v>
      </c>
      <c r="S149" s="282">
        <f t="shared" si="285"/>
        <v>0</v>
      </c>
      <c r="T149" s="282">
        <f t="shared" si="285"/>
        <v>0</v>
      </c>
      <c r="U149" s="282">
        <f t="shared" si="285"/>
        <v>0</v>
      </c>
      <c r="V149" s="282">
        <f t="shared" si="285"/>
        <v>0</v>
      </c>
      <c r="W149" s="282">
        <f t="shared" si="285"/>
        <v>0</v>
      </c>
      <c r="X149" s="282">
        <f t="shared" si="285"/>
        <v>0</v>
      </c>
      <c r="Y149" s="282">
        <f t="shared" si="285"/>
        <v>0</v>
      </c>
      <c r="Z149" s="282">
        <f t="shared" si="285"/>
        <v>0</v>
      </c>
      <c r="AA149" s="282">
        <f t="shared" si="285"/>
        <v>0</v>
      </c>
      <c r="AB149" s="283">
        <f t="shared" si="285"/>
        <v>0</v>
      </c>
      <c r="AC149" s="374">
        <f t="shared" si="285"/>
        <v>0</v>
      </c>
      <c r="AD149" s="375">
        <f t="shared" si="285"/>
        <v>0</v>
      </c>
      <c r="AE149" s="375">
        <f t="shared" si="285"/>
        <v>0</v>
      </c>
      <c r="AF149" s="375">
        <f t="shared" si="285"/>
        <v>0</v>
      </c>
      <c r="AG149" s="375">
        <f t="shared" si="285"/>
        <v>0</v>
      </c>
      <c r="AH149" s="375">
        <f t="shared" si="285"/>
        <v>0</v>
      </c>
      <c r="AI149" s="375">
        <f t="shared" si="285"/>
        <v>0</v>
      </c>
      <c r="AJ149" s="375">
        <f t="shared" si="285"/>
        <v>0</v>
      </c>
      <c r="AK149" s="375">
        <f t="shared" si="285"/>
        <v>0</v>
      </c>
      <c r="AL149" s="375">
        <f t="shared" si="285"/>
        <v>0</v>
      </c>
      <c r="AM149" s="375">
        <f t="shared" si="285"/>
        <v>0</v>
      </c>
      <c r="AN149" s="375">
        <f t="shared" si="285"/>
        <v>0</v>
      </c>
      <c r="AO149" s="376"/>
      <c r="AP149" s="61"/>
    </row>
    <row r="150" s="99" customFormat="1">
      <c r="B150" s="136"/>
      <c r="C150" s="116"/>
      <c r="D150" s="116"/>
      <c r="E150" s="117"/>
      <c r="F150" s="146"/>
      <c r="G150" s="119"/>
      <c r="H150" s="120"/>
      <c r="I150" s="121"/>
      <c r="J150" s="120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  <c r="AB150" s="147"/>
      <c r="AC150" s="147"/>
      <c r="AD150" s="147"/>
      <c r="AE150" s="147"/>
      <c r="AF150" s="147"/>
      <c r="AG150" s="147"/>
      <c r="AH150" s="147"/>
      <c r="AI150" s="147"/>
      <c r="AJ150" s="147"/>
      <c r="AK150" s="147"/>
      <c r="AL150" s="147"/>
      <c r="AM150" s="147"/>
      <c r="AN150" s="147"/>
      <c r="AO150" s="147"/>
      <c r="AP150" s="61"/>
    </row>
    <row r="151" s="99" customFormat="1" ht="4.1500000000000004" customHeight="1">
      <c r="B151" s="136"/>
      <c r="C151" s="136"/>
      <c r="D151" s="136"/>
      <c r="E151" s="136"/>
      <c r="F151" s="136"/>
      <c r="G151" s="136"/>
      <c r="H151" s="120"/>
      <c r="I151" s="121"/>
      <c r="J151" s="120"/>
      <c r="K151" s="147"/>
      <c r="L151" s="147"/>
      <c r="M151" s="147"/>
      <c r="N151" s="147"/>
      <c r="O151" s="147"/>
      <c r="P151" s="147"/>
      <c r="Q151" s="148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  <c r="AB151" s="147"/>
      <c r="AC151" s="147"/>
      <c r="AD151" s="147"/>
      <c r="AE151" s="147"/>
      <c r="AF151" s="147"/>
      <c r="AG151" s="147"/>
      <c r="AH151" s="147"/>
      <c r="AI151" s="147"/>
      <c r="AJ151" s="147"/>
      <c r="AK151" s="147"/>
      <c r="AL151" s="147"/>
      <c r="AM151" s="147"/>
      <c r="AN151" s="147"/>
      <c r="AO151" s="147"/>
      <c r="AP151" s="61"/>
    </row>
    <row r="152" s="123" customFormat="1" ht="30" customHeight="1">
      <c r="A152" s="149" t="s">
        <v>62</v>
      </c>
      <c r="B152" s="150"/>
      <c r="C152" s="49" t="s">
        <v>11</v>
      </c>
      <c r="D152" s="50" t="s">
        <v>12</v>
      </c>
      <c r="E152" s="51" t="s">
        <v>13</v>
      </c>
      <c r="F152" s="52" t="s">
        <v>14</v>
      </c>
      <c r="G152" s="151" t="s">
        <v>15</v>
      </c>
      <c r="H152" s="152" t="s">
        <v>16</v>
      </c>
      <c r="I152" s="152" t="s">
        <v>17</v>
      </c>
      <c r="J152" s="153" t="s">
        <v>18</v>
      </c>
      <c r="K152" s="56">
        <v>44562</v>
      </c>
      <c r="L152" s="56">
        <v>44563</v>
      </c>
      <c r="M152" s="56">
        <v>44564</v>
      </c>
      <c r="N152" s="56">
        <v>44565</v>
      </c>
      <c r="O152" s="58">
        <v>44566</v>
      </c>
      <c r="P152" s="56">
        <v>44567</v>
      </c>
      <c r="Q152" s="56">
        <v>44568</v>
      </c>
      <c r="R152" s="56">
        <v>44569</v>
      </c>
      <c r="S152" s="56">
        <v>44570</v>
      </c>
      <c r="T152" s="56">
        <v>44571</v>
      </c>
      <c r="U152" s="56">
        <v>44572</v>
      </c>
      <c r="V152" s="59">
        <v>44573</v>
      </c>
      <c r="W152" s="56">
        <v>44574</v>
      </c>
      <c r="X152" s="56">
        <v>44575</v>
      </c>
      <c r="Y152" s="56">
        <v>44576</v>
      </c>
      <c r="Z152" s="56">
        <v>44577</v>
      </c>
      <c r="AA152" s="56">
        <v>44578</v>
      </c>
      <c r="AB152" s="56">
        <v>44579</v>
      </c>
      <c r="AC152" s="60">
        <v>44580</v>
      </c>
      <c r="AD152" s="56">
        <v>44581</v>
      </c>
      <c r="AE152" s="56">
        <v>44582</v>
      </c>
      <c r="AF152" s="56">
        <v>44583</v>
      </c>
      <c r="AG152" s="56">
        <v>44584</v>
      </c>
      <c r="AH152" s="56">
        <v>44585</v>
      </c>
      <c r="AI152" s="56">
        <v>44586</v>
      </c>
      <c r="AJ152" s="57">
        <v>44587</v>
      </c>
      <c r="AK152" s="56">
        <v>44588</v>
      </c>
      <c r="AL152" s="56">
        <v>44589</v>
      </c>
      <c r="AM152" s="56">
        <v>44590</v>
      </c>
      <c r="AN152" s="56">
        <v>44591</v>
      </c>
      <c r="AO152" s="56">
        <v>44561</v>
      </c>
      <c r="AP152" s="61"/>
    </row>
    <row r="153" outlineLevel="1">
      <c r="A153" s="377" t="s">
        <v>63</v>
      </c>
      <c r="B153" s="63" t="s">
        <v>0</v>
      </c>
      <c r="C153" s="64">
        <f t="shared" ref="C153:C156" si="286">$C$157/$F$157*F153</f>
        <v>16389.327272727274</v>
      </c>
      <c r="D153" s="65">
        <f t="shared" ref="D153:D156" si="287">SUM(K153:AO153)</f>
        <v>16389.327272727271</v>
      </c>
      <c r="E153" s="66">
        <f>E138+E145</f>
        <v>5640</v>
      </c>
      <c r="F153" s="118">
        <f t="shared" ref="F153:G156" si="288">F138+F145</f>
        <v>3</v>
      </c>
      <c r="G153" s="80">
        <f>G138+G145</f>
        <v>6</v>
      </c>
      <c r="H153" s="378">
        <f t="shared" ref="H153:I156" si="289">H138+H145</f>
        <v>0.62333333333333329</v>
      </c>
      <c r="I153" s="379">
        <f>I138+I145</f>
        <v>0.033333333333333333</v>
      </c>
      <c r="J153" s="83">
        <f t="shared" ref="J153:J156" si="290">SUM(G153:I153)</f>
        <v>6.6566666666666663</v>
      </c>
      <c r="K153" s="71"/>
      <c r="L153" s="72"/>
      <c r="M153" s="71"/>
      <c r="N153" s="73">
        <f t="shared" ref="N153:AO156" si="291">N138+N145</f>
        <v>0</v>
      </c>
      <c r="O153" s="73">
        <f>O138+O145</f>
        <v>5463.1090909090908</v>
      </c>
      <c r="P153" s="73">
        <f t="shared" si="291"/>
        <v>5463.1090909090908</v>
      </c>
      <c r="Q153" s="73">
        <f t="shared" si="291"/>
        <v>0</v>
      </c>
      <c r="R153" s="380">
        <f t="shared" si="291"/>
        <v>0</v>
      </c>
      <c r="S153" s="73">
        <f t="shared" si="291"/>
        <v>5463.1090909090908</v>
      </c>
      <c r="T153" s="73">
        <f t="shared" si="291"/>
        <v>0</v>
      </c>
      <c r="U153" s="73">
        <f t="shared" si="291"/>
        <v>0</v>
      </c>
      <c r="V153" s="73">
        <f t="shared" si="291"/>
        <v>0</v>
      </c>
      <c r="W153" s="73">
        <f t="shared" si="291"/>
        <v>0</v>
      </c>
      <c r="X153" s="73">
        <f t="shared" si="291"/>
        <v>0</v>
      </c>
      <c r="Y153" s="73">
        <f t="shared" si="291"/>
        <v>0</v>
      </c>
      <c r="Z153" s="73">
        <f t="shared" si="291"/>
        <v>0</v>
      </c>
      <c r="AA153" s="73">
        <f t="shared" si="291"/>
        <v>0</v>
      </c>
      <c r="AB153" s="73">
        <f t="shared" si="291"/>
        <v>0</v>
      </c>
      <c r="AC153" s="73">
        <f t="shared" si="291"/>
        <v>0</v>
      </c>
      <c r="AD153" s="73">
        <f t="shared" si="291"/>
        <v>0</v>
      </c>
      <c r="AE153" s="73">
        <f t="shared" si="291"/>
        <v>0</v>
      </c>
      <c r="AF153" s="73">
        <f t="shared" si="291"/>
        <v>0</v>
      </c>
      <c r="AG153" s="73">
        <f t="shared" si="291"/>
        <v>0</v>
      </c>
      <c r="AH153" s="73">
        <f t="shared" si="291"/>
        <v>0</v>
      </c>
      <c r="AI153" s="73">
        <f t="shared" si="291"/>
        <v>0</v>
      </c>
      <c r="AJ153" s="73">
        <f t="shared" si="291"/>
        <v>0</v>
      </c>
      <c r="AK153" s="73">
        <f t="shared" si="291"/>
        <v>0</v>
      </c>
      <c r="AL153" s="73">
        <f t="shared" si="291"/>
        <v>0</v>
      </c>
      <c r="AM153" s="73">
        <f t="shared" si="291"/>
        <v>0</v>
      </c>
      <c r="AN153" s="73">
        <f t="shared" si="291"/>
        <v>0</v>
      </c>
      <c r="AO153" s="73">
        <f t="shared" si="291"/>
        <v>0</v>
      </c>
      <c r="AP153" s="61"/>
      <c r="AR153" s="122"/>
    </row>
    <row r="154" outlineLevel="1">
      <c r="A154" s="377"/>
      <c r="B154" s="77" t="s">
        <v>1</v>
      </c>
      <c r="C154" s="78">
        <f t="shared" si="286"/>
        <v>10926.218181818183</v>
      </c>
      <c r="D154" s="79">
        <f t="shared" si="287"/>
        <v>10926.218181818182</v>
      </c>
      <c r="E154" s="66">
        <f t="shared" ref="E154:E156" si="292">E153</f>
        <v>5640</v>
      </c>
      <c r="F154" s="118">
        <f t="shared" si="288"/>
        <v>2</v>
      </c>
      <c r="G154" s="80">
        <f t="shared" si="288"/>
        <v>6</v>
      </c>
      <c r="H154" s="378">
        <f t="shared" si="289"/>
        <v>0.62333333333333329</v>
      </c>
      <c r="I154" s="379">
        <f t="shared" si="289"/>
        <v>0.033333333333333333</v>
      </c>
      <c r="J154" s="83">
        <f t="shared" si="290"/>
        <v>6.6566666666666663</v>
      </c>
      <c r="K154" s="72"/>
      <c r="L154" s="72"/>
      <c r="M154" s="72"/>
      <c r="N154" s="73">
        <f t="shared" si="291"/>
        <v>0</v>
      </c>
      <c r="O154" s="73">
        <f t="shared" si="291"/>
        <v>0</v>
      </c>
      <c r="P154" s="73">
        <f t="shared" si="291"/>
        <v>5463.1090909090908</v>
      </c>
      <c r="Q154" s="73">
        <f t="shared" si="291"/>
        <v>5463.1090909090908</v>
      </c>
      <c r="R154" s="73">
        <f t="shared" si="291"/>
        <v>0</v>
      </c>
      <c r="S154" s="73">
        <f t="shared" si="291"/>
        <v>0</v>
      </c>
      <c r="T154" s="73">
        <f t="shared" si="291"/>
        <v>0</v>
      </c>
      <c r="U154" s="73">
        <f t="shared" si="291"/>
        <v>0</v>
      </c>
      <c r="V154" s="73">
        <f t="shared" si="291"/>
        <v>0</v>
      </c>
      <c r="W154" s="73">
        <f t="shared" si="291"/>
        <v>0</v>
      </c>
      <c r="X154" s="73">
        <f t="shared" si="291"/>
        <v>0</v>
      </c>
      <c r="Y154" s="73">
        <f t="shared" si="291"/>
        <v>0</v>
      </c>
      <c r="Z154" s="73">
        <f t="shared" si="291"/>
        <v>0</v>
      </c>
      <c r="AA154" s="73">
        <f t="shared" si="291"/>
        <v>0</v>
      </c>
      <c r="AB154" s="73">
        <f t="shared" si="291"/>
        <v>0</v>
      </c>
      <c r="AC154" s="73">
        <f t="shared" si="291"/>
        <v>0</v>
      </c>
      <c r="AD154" s="73">
        <f t="shared" si="291"/>
        <v>0</v>
      </c>
      <c r="AE154" s="73">
        <f t="shared" si="291"/>
        <v>0</v>
      </c>
      <c r="AF154" s="73">
        <f t="shared" si="291"/>
        <v>0</v>
      </c>
      <c r="AG154" s="73">
        <f t="shared" si="291"/>
        <v>0</v>
      </c>
      <c r="AH154" s="73">
        <f t="shared" si="291"/>
        <v>0</v>
      </c>
      <c r="AI154" s="73">
        <f t="shared" si="291"/>
        <v>0</v>
      </c>
      <c r="AJ154" s="73">
        <f t="shared" si="291"/>
        <v>0</v>
      </c>
      <c r="AK154" s="73">
        <f t="shared" si="291"/>
        <v>0</v>
      </c>
      <c r="AL154" s="73">
        <f t="shared" si="291"/>
        <v>0</v>
      </c>
      <c r="AM154" s="380">
        <f t="shared" si="291"/>
        <v>0</v>
      </c>
      <c r="AN154" s="73">
        <f t="shared" si="291"/>
        <v>0</v>
      </c>
      <c r="AO154" s="73">
        <f t="shared" si="291"/>
        <v>0</v>
      </c>
      <c r="AP154" s="61"/>
      <c r="AR154" s="122"/>
    </row>
    <row r="155" outlineLevel="1">
      <c r="A155" s="377"/>
      <c r="B155" s="85" t="s">
        <v>2</v>
      </c>
      <c r="C155" s="131">
        <f t="shared" si="286"/>
        <v>21852.436363636367</v>
      </c>
      <c r="D155" s="197">
        <f t="shared" si="287"/>
        <v>21852.436363636363</v>
      </c>
      <c r="E155" s="66">
        <f t="shared" si="292"/>
        <v>5640</v>
      </c>
      <c r="F155" s="118">
        <f t="shared" si="288"/>
        <v>4</v>
      </c>
      <c r="G155" s="80">
        <f t="shared" si="288"/>
        <v>6</v>
      </c>
      <c r="H155" s="378">
        <f t="shared" si="289"/>
        <v>0.62333333333333329</v>
      </c>
      <c r="I155" s="379">
        <f t="shared" si="289"/>
        <v>0.033333333333333333</v>
      </c>
      <c r="J155" s="83">
        <f t="shared" si="290"/>
        <v>6.6566666666666663</v>
      </c>
      <c r="K155" s="88"/>
      <c r="L155" s="72"/>
      <c r="M155" s="71"/>
      <c r="N155" s="73">
        <f t="shared" si="291"/>
        <v>5463.1090909090908</v>
      </c>
      <c r="O155" s="73">
        <f t="shared" si="291"/>
        <v>5463.1090909090908</v>
      </c>
      <c r="P155" s="73">
        <f t="shared" si="291"/>
        <v>0</v>
      </c>
      <c r="Q155" s="73">
        <f t="shared" si="291"/>
        <v>0</v>
      </c>
      <c r="R155" s="73">
        <f t="shared" si="291"/>
        <v>5463.1090909090908</v>
      </c>
      <c r="S155" s="73">
        <f t="shared" si="291"/>
        <v>5463.1090909090908</v>
      </c>
      <c r="T155" s="73">
        <f t="shared" si="291"/>
        <v>0</v>
      </c>
      <c r="U155" s="73">
        <f t="shared" si="291"/>
        <v>0</v>
      </c>
      <c r="V155" s="73">
        <f t="shared" si="291"/>
        <v>0</v>
      </c>
      <c r="W155" s="73">
        <f t="shared" si="291"/>
        <v>0</v>
      </c>
      <c r="X155" s="73">
        <f t="shared" si="291"/>
        <v>0</v>
      </c>
      <c r="Y155" s="380">
        <f t="shared" si="291"/>
        <v>0</v>
      </c>
      <c r="Z155" s="73">
        <f t="shared" si="291"/>
        <v>0</v>
      </c>
      <c r="AA155" s="73">
        <f t="shared" si="291"/>
        <v>0</v>
      </c>
      <c r="AB155" s="73">
        <f t="shared" si="291"/>
        <v>0</v>
      </c>
      <c r="AC155" s="73">
        <f t="shared" si="291"/>
        <v>0</v>
      </c>
      <c r="AD155" s="73">
        <f t="shared" si="291"/>
        <v>0</v>
      </c>
      <c r="AE155" s="73">
        <f t="shared" si="291"/>
        <v>0</v>
      </c>
      <c r="AF155" s="73">
        <f t="shared" si="291"/>
        <v>0</v>
      </c>
      <c r="AG155" s="73">
        <f t="shared" si="291"/>
        <v>0</v>
      </c>
      <c r="AH155" s="73">
        <f t="shared" si="291"/>
        <v>0</v>
      </c>
      <c r="AI155" s="73">
        <f t="shared" si="291"/>
        <v>0</v>
      </c>
      <c r="AJ155" s="73">
        <f t="shared" si="291"/>
        <v>0</v>
      </c>
      <c r="AK155" s="73">
        <f t="shared" si="291"/>
        <v>0</v>
      </c>
      <c r="AL155" s="73">
        <f t="shared" si="291"/>
        <v>0</v>
      </c>
      <c r="AM155" s="73">
        <f t="shared" si="291"/>
        <v>0</v>
      </c>
      <c r="AN155" s="73">
        <f t="shared" si="291"/>
        <v>0</v>
      </c>
      <c r="AO155" s="73">
        <f t="shared" si="291"/>
        <v>0</v>
      </c>
      <c r="AP155" s="61"/>
      <c r="AR155" s="122"/>
    </row>
    <row r="156" ht="13.5" outlineLevel="1">
      <c r="A156" s="381"/>
      <c r="B156" s="90" t="s">
        <v>3</v>
      </c>
      <c r="C156" s="133">
        <f t="shared" si="286"/>
        <v>16389.327272727274</v>
      </c>
      <c r="D156" s="200">
        <f t="shared" si="287"/>
        <v>16389.327272727271</v>
      </c>
      <c r="E156" s="66">
        <f t="shared" si="292"/>
        <v>5640</v>
      </c>
      <c r="F156" s="118">
        <f t="shared" si="288"/>
        <v>3</v>
      </c>
      <c r="G156" s="80">
        <f t="shared" si="288"/>
        <v>6</v>
      </c>
      <c r="H156" s="378">
        <f t="shared" si="289"/>
        <v>0.62333333333333329</v>
      </c>
      <c r="I156" s="379">
        <f t="shared" si="289"/>
        <v>0.033333333333333333</v>
      </c>
      <c r="J156" s="83">
        <f t="shared" si="290"/>
        <v>6.6566666666666663</v>
      </c>
      <c r="K156" s="97"/>
      <c r="L156" s="72"/>
      <c r="M156" s="71"/>
      <c r="N156" s="73">
        <f t="shared" si="291"/>
        <v>5463.1090909090908</v>
      </c>
      <c r="O156" s="73">
        <f t="shared" si="291"/>
        <v>0</v>
      </c>
      <c r="P156" s="73">
        <f t="shared" si="291"/>
        <v>0</v>
      </c>
      <c r="Q156" s="73">
        <f t="shared" si="291"/>
        <v>5463.1090909090908</v>
      </c>
      <c r="R156" s="73">
        <f t="shared" si="291"/>
        <v>5463.1090909090908</v>
      </c>
      <c r="S156" s="73">
        <f t="shared" si="291"/>
        <v>0</v>
      </c>
      <c r="T156" s="73">
        <f t="shared" si="291"/>
        <v>0</v>
      </c>
      <c r="U156" s="73">
        <f t="shared" si="291"/>
        <v>0</v>
      </c>
      <c r="V156" s="73">
        <f t="shared" si="291"/>
        <v>0</v>
      </c>
      <c r="W156" s="73">
        <f t="shared" si="291"/>
        <v>0</v>
      </c>
      <c r="X156" s="73">
        <f t="shared" si="291"/>
        <v>0</v>
      </c>
      <c r="Y156" s="73">
        <f t="shared" si="291"/>
        <v>0</v>
      </c>
      <c r="Z156" s="73">
        <f t="shared" si="291"/>
        <v>0</v>
      </c>
      <c r="AA156" s="73">
        <f t="shared" si="291"/>
        <v>0</v>
      </c>
      <c r="AB156" s="73">
        <f t="shared" si="291"/>
        <v>0</v>
      </c>
      <c r="AC156" s="73">
        <f t="shared" si="291"/>
        <v>0</v>
      </c>
      <c r="AD156" s="73">
        <f t="shared" si="291"/>
        <v>0</v>
      </c>
      <c r="AE156" s="73">
        <f t="shared" si="291"/>
        <v>0</v>
      </c>
      <c r="AF156" s="380">
        <f t="shared" si="291"/>
        <v>0</v>
      </c>
      <c r="AG156" s="382">
        <f t="shared" si="291"/>
        <v>0</v>
      </c>
      <c r="AH156" s="380">
        <f t="shared" si="291"/>
        <v>0</v>
      </c>
      <c r="AI156" s="73">
        <f t="shared" si="291"/>
        <v>0</v>
      </c>
      <c r="AJ156" s="73">
        <f t="shared" si="291"/>
        <v>0</v>
      </c>
      <c r="AK156" s="73">
        <f t="shared" si="291"/>
        <v>0</v>
      </c>
      <c r="AL156" s="73">
        <f t="shared" si="291"/>
        <v>0</v>
      </c>
      <c r="AM156" s="73">
        <f t="shared" si="291"/>
        <v>0</v>
      </c>
      <c r="AN156" s="73">
        <f t="shared" si="291"/>
        <v>0</v>
      </c>
      <c r="AO156" s="73">
        <f t="shared" si="291"/>
        <v>0</v>
      </c>
      <c r="AP156" s="61"/>
      <c r="AR156" s="122"/>
    </row>
    <row r="157" s="99" customFormat="1" ht="24" customHeight="1">
      <c r="A157" s="164"/>
      <c r="B157" s="165" t="s">
        <v>18</v>
      </c>
      <c r="C157" s="166">
        <f>'[6]План пр-ва по единицам обор'!$AN$44</f>
        <v>65557.309090909097</v>
      </c>
      <c r="D157" s="103">
        <f>SUM(D153:D156)</f>
        <v>65557.309090909082</v>
      </c>
      <c r="E157" s="104" t="s">
        <v>19</v>
      </c>
      <c r="F157" s="105">
        <f>SUM(F153:F156)</f>
        <v>12</v>
      </c>
      <c r="G157" s="106">
        <f>SUM(G153:G156)</f>
        <v>24</v>
      </c>
      <c r="H157" s="167">
        <f>SUM(H153:H156)</f>
        <v>2.4933333333333332</v>
      </c>
      <c r="I157" s="168" t="s">
        <v>19</v>
      </c>
      <c r="J157" s="383">
        <f t="shared" ref="J157:N157" si="293">SUM(J153:J156)</f>
        <v>26.626666666666665</v>
      </c>
      <c r="K157" s="292">
        <f t="shared" si="293"/>
        <v>0</v>
      </c>
      <c r="L157" s="293">
        <f t="shared" si="293"/>
        <v>0</v>
      </c>
      <c r="M157" s="293">
        <f t="shared" si="293"/>
        <v>0</v>
      </c>
      <c r="N157" s="293">
        <f t="shared" si="293"/>
        <v>10926.218181818182</v>
      </c>
      <c r="O157" s="293">
        <f>SUM(O153:O156)</f>
        <v>10926.218181818182</v>
      </c>
      <c r="P157" s="294">
        <f>SUM(P153:P156)</f>
        <v>10926.218181818182</v>
      </c>
      <c r="Q157" s="293">
        <f t="shared" ref="Q157:AO157" si="294">SUM(Q153:Q156)</f>
        <v>10926.218181818182</v>
      </c>
      <c r="R157" s="293">
        <f t="shared" si="294"/>
        <v>10926.218181818182</v>
      </c>
      <c r="S157" s="293">
        <f t="shared" si="294"/>
        <v>10926.218181818182</v>
      </c>
      <c r="T157" s="313">
        <f t="shared" si="294"/>
        <v>0</v>
      </c>
      <c r="U157" s="313">
        <f t="shared" si="294"/>
        <v>0</v>
      </c>
      <c r="V157" s="313">
        <f t="shared" si="294"/>
        <v>0</v>
      </c>
      <c r="W157" s="313">
        <f t="shared" si="294"/>
        <v>0</v>
      </c>
      <c r="X157" s="313">
        <f t="shared" si="294"/>
        <v>0</v>
      </c>
      <c r="Y157" s="313">
        <f t="shared" si="294"/>
        <v>0</v>
      </c>
      <c r="Z157" s="313">
        <f t="shared" si="294"/>
        <v>0</v>
      </c>
      <c r="AA157" s="313">
        <f t="shared" si="294"/>
        <v>0</v>
      </c>
      <c r="AB157" s="314">
        <f t="shared" si="294"/>
        <v>0</v>
      </c>
      <c r="AC157" s="284">
        <f t="shared" si="294"/>
        <v>0</v>
      </c>
      <c r="AD157" s="285">
        <f t="shared" si="294"/>
        <v>0</v>
      </c>
      <c r="AE157" s="285">
        <f t="shared" si="294"/>
        <v>0</v>
      </c>
      <c r="AF157" s="285">
        <f t="shared" si="294"/>
        <v>0</v>
      </c>
      <c r="AG157" s="285">
        <f t="shared" si="294"/>
        <v>0</v>
      </c>
      <c r="AH157" s="285">
        <f t="shared" si="294"/>
        <v>0</v>
      </c>
      <c r="AI157" s="285">
        <f t="shared" si="294"/>
        <v>0</v>
      </c>
      <c r="AJ157" s="285">
        <f t="shared" si="294"/>
        <v>0</v>
      </c>
      <c r="AK157" s="285">
        <f t="shared" si="294"/>
        <v>0</v>
      </c>
      <c r="AL157" s="285">
        <f t="shared" si="294"/>
        <v>0</v>
      </c>
      <c r="AM157" s="285">
        <f t="shared" si="294"/>
        <v>0</v>
      </c>
      <c r="AN157" s="384">
        <f t="shared" si="294"/>
        <v>0</v>
      </c>
      <c r="AO157" s="384">
        <f t="shared" si="294"/>
        <v>0</v>
      </c>
      <c r="AP157" s="61"/>
    </row>
    <row r="158">
      <c r="AP158" s="61"/>
    </row>
    <row r="159" ht="30" customHeight="1">
      <c r="A159" s="43" t="s">
        <v>64</v>
      </c>
      <c r="B159" s="43"/>
      <c r="C159" s="206"/>
      <c r="D159" s="206"/>
      <c r="G159" s="146"/>
      <c r="H159" s="147"/>
      <c r="I159" s="207"/>
      <c r="J159" s="147"/>
      <c r="AP159" s="61"/>
    </row>
    <row r="160" s="123" customFormat="1" ht="34.149999999999999" customHeight="1">
      <c r="A160" s="208" t="s">
        <v>65</v>
      </c>
      <c r="B160" s="209"/>
      <c r="C160" s="49" t="s">
        <v>66</v>
      </c>
      <c r="D160" s="50" t="str">
        <f>$D$21</f>
        <v xml:space="preserve">Выработка                   </v>
      </c>
      <c r="E160" s="51" t="s">
        <v>13</v>
      </c>
      <c r="F160" s="317" t="s">
        <v>14</v>
      </c>
      <c r="G160" s="318" t="s">
        <v>15</v>
      </c>
      <c r="H160" s="212" t="s">
        <v>16</v>
      </c>
      <c r="I160" s="212" t="s">
        <v>17</v>
      </c>
      <c r="J160" s="213" t="s">
        <v>18</v>
      </c>
      <c r="K160" s="56">
        <v>44562</v>
      </c>
      <c r="L160" s="56">
        <v>44563</v>
      </c>
      <c r="M160" s="56">
        <v>44564</v>
      </c>
      <c r="N160" s="56">
        <v>44565</v>
      </c>
      <c r="O160" s="56">
        <v>44566</v>
      </c>
      <c r="P160" s="56">
        <v>44567</v>
      </c>
      <c r="Q160" s="56">
        <v>44568</v>
      </c>
      <c r="R160" s="385">
        <v>44569</v>
      </c>
      <c r="S160" s="385">
        <v>44570</v>
      </c>
      <c r="T160" s="56">
        <v>44571</v>
      </c>
      <c r="U160" s="56">
        <v>44572</v>
      </c>
      <c r="V160" s="56">
        <v>44573</v>
      </c>
      <c r="W160" s="56">
        <v>44574</v>
      </c>
      <c r="X160" s="56">
        <v>44575</v>
      </c>
      <c r="Y160" s="385">
        <v>44576</v>
      </c>
      <c r="Z160" s="385">
        <v>44577</v>
      </c>
      <c r="AA160" s="56">
        <v>44578</v>
      </c>
      <c r="AB160" s="56">
        <v>44579</v>
      </c>
      <c r="AC160" s="56">
        <v>44580</v>
      </c>
      <c r="AD160" s="56">
        <v>44581</v>
      </c>
      <c r="AE160" s="56">
        <v>44582</v>
      </c>
      <c r="AF160" s="385">
        <v>44583</v>
      </c>
      <c r="AG160" s="385">
        <v>44584</v>
      </c>
      <c r="AH160" s="56">
        <v>44585</v>
      </c>
      <c r="AI160" s="56">
        <v>44586</v>
      </c>
      <c r="AJ160" s="56">
        <v>44587</v>
      </c>
      <c r="AK160" s="56">
        <v>44588</v>
      </c>
      <c r="AL160" s="56">
        <v>44589</v>
      </c>
      <c r="AM160" s="56">
        <v>44590</v>
      </c>
      <c r="AN160" s="385">
        <v>44591</v>
      </c>
      <c r="AO160" s="385">
        <v>44561</v>
      </c>
      <c r="AP160" s="61"/>
    </row>
    <row r="161" outlineLevel="1">
      <c r="A161" s="62" t="s">
        <v>65</v>
      </c>
      <c r="B161" s="63" t="s">
        <v>0</v>
      </c>
      <c r="C161" s="64" t="e">
        <f t="shared" ref="C161:C164" si="295">$C$165/$F$165*F161</f>
        <v>#REF!</v>
      </c>
      <c r="D161" s="65">
        <f t="shared" ref="D161:D164" si="296">SUM(K161:AO161)</f>
        <v>0</v>
      </c>
      <c r="E161" s="348">
        <f>'[6]План пр-ва по единицам обор'!$E$86</f>
        <v>0</v>
      </c>
      <c r="F161" s="386">
        <f t="shared" ref="F161:F164" si="297">COUNTA(K161:AO161)</f>
        <v>6</v>
      </c>
      <c r="G161" s="350"/>
      <c r="H161" s="186"/>
      <c r="I161" s="82"/>
      <c r="J161" s="83">
        <f t="shared" ref="J161:J164" si="298">SUM(G161:I161)</f>
        <v>0</v>
      </c>
      <c r="K161" s="71"/>
      <c r="L161" s="71"/>
      <c r="M161" s="71"/>
      <c r="N161" s="73"/>
      <c r="O161" s="75">
        <f>$E161/11*(11-($G161+$I161))</f>
        <v>0</v>
      </c>
      <c r="P161" s="74"/>
      <c r="Q161" s="73"/>
      <c r="R161" s="73"/>
      <c r="S161" s="74"/>
      <c r="T161" s="74"/>
      <c r="U161" s="73"/>
      <c r="V161" s="73"/>
      <c r="W161" s="74">
        <f t="shared" ref="W161:X162" si="299">$E161/11*(11-($H161+$I161))</f>
        <v>0</v>
      </c>
      <c r="X161" s="74"/>
      <c r="Y161" s="73"/>
      <c r="Z161" s="73"/>
      <c r="AA161" s="74">
        <f>$E161/11*(11-($H161+$I161))</f>
        <v>0</v>
      </c>
      <c r="AB161" s="74"/>
      <c r="AC161" s="73"/>
      <c r="AD161" s="73"/>
      <c r="AE161" s="74">
        <f>$E161/11*(11-($H161+$I161))</f>
        <v>0</v>
      </c>
      <c r="AF161" s="74"/>
      <c r="AG161" s="73"/>
      <c r="AH161" s="73"/>
      <c r="AI161" s="74">
        <f>$E161/11*(11-($H161+$I161))</f>
        <v>0</v>
      </c>
      <c r="AJ161" s="74"/>
      <c r="AK161" s="73"/>
      <c r="AL161" s="73"/>
      <c r="AM161" s="74">
        <f>$E161/11*(11-($H161+$I161))</f>
        <v>0</v>
      </c>
      <c r="AN161" s="74"/>
      <c r="AO161" s="73"/>
      <c r="AP161" s="61"/>
    </row>
    <row r="162" outlineLevel="1">
      <c r="A162" s="76"/>
      <c r="B162" s="77" t="s">
        <v>1</v>
      </c>
      <c r="C162" s="78" t="e">
        <f t="shared" si="295"/>
        <v>#REF!</v>
      </c>
      <c r="D162" s="65">
        <f t="shared" si="296"/>
        <v>0</v>
      </c>
      <c r="E162" s="348">
        <f t="shared" ref="E162:E164" si="300">E161</f>
        <v>0</v>
      </c>
      <c r="F162" s="387">
        <f t="shared" si="297"/>
        <v>5</v>
      </c>
      <c r="G162" s="350"/>
      <c r="H162" s="186"/>
      <c r="I162" s="82"/>
      <c r="J162" s="83">
        <f t="shared" si="298"/>
        <v>0</v>
      </c>
      <c r="K162" s="388"/>
      <c r="L162" s="71"/>
      <c r="M162" s="71"/>
      <c r="N162" s="84"/>
      <c r="O162" s="73"/>
      <c r="P162" s="74">
        <f>$E162/11*(11-($H162+$I162))</f>
        <v>0</v>
      </c>
      <c r="Q162" s="74"/>
      <c r="R162" s="84"/>
      <c r="S162" s="73"/>
      <c r="T162" s="74">
        <f>$E162/11*(11-($H162+$I162))</f>
        <v>0</v>
      </c>
      <c r="U162" s="74"/>
      <c r="V162" s="84"/>
      <c r="W162" s="73"/>
      <c r="X162" s="74">
        <f t="shared" si="299"/>
        <v>0</v>
      </c>
      <c r="Y162" s="74"/>
      <c r="Z162" s="84"/>
      <c r="AA162" s="73"/>
      <c r="AB162" s="74">
        <f>$E162/11*(11-($H162+$I162))</f>
        <v>0</v>
      </c>
      <c r="AC162" s="74"/>
      <c r="AD162" s="84"/>
      <c r="AE162" s="73"/>
      <c r="AF162" s="74"/>
      <c r="AG162" s="74"/>
      <c r="AH162" s="84"/>
      <c r="AI162" s="73"/>
      <c r="AJ162" s="75">
        <f>$E162/11*(11-($G162+$I162))</f>
        <v>0</v>
      </c>
      <c r="AK162" s="74"/>
      <c r="AL162" s="84"/>
      <c r="AM162" s="73"/>
      <c r="AN162" s="74"/>
      <c r="AO162" s="74"/>
      <c r="AP162" s="61"/>
    </row>
    <row r="163" outlineLevel="1">
      <c r="A163" s="76"/>
      <c r="B163" s="85" t="s">
        <v>2</v>
      </c>
      <c r="C163" s="131" t="e">
        <f t="shared" si="295"/>
        <v>#REF!</v>
      </c>
      <c r="D163" s="65">
        <f t="shared" si="296"/>
        <v>0</v>
      </c>
      <c r="E163" s="348">
        <f t="shared" si="300"/>
        <v>0</v>
      </c>
      <c r="F163" s="387">
        <f t="shared" si="297"/>
        <v>5</v>
      </c>
      <c r="G163" s="350"/>
      <c r="H163" s="186"/>
      <c r="I163" s="82"/>
      <c r="J163" s="83">
        <f t="shared" si="298"/>
        <v>0</v>
      </c>
      <c r="K163" s="71"/>
      <c r="L163" s="71"/>
      <c r="M163" s="71"/>
      <c r="N163" s="74">
        <f>$E163/11*(11-($H163+$I163))</f>
        <v>0</v>
      </c>
      <c r="O163" s="74"/>
      <c r="P163" s="74"/>
      <c r="Q163" s="73"/>
      <c r="R163" s="74"/>
      <c r="S163" s="74"/>
      <c r="T163" s="74"/>
      <c r="U163" s="73"/>
      <c r="V163" s="75">
        <f>$E163/11*(11-($G163+$I163))</f>
        <v>0</v>
      </c>
      <c r="W163" s="74"/>
      <c r="X163" s="74"/>
      <c r="Y163" s="73"/>
      <c r="Z163" s="74"/>
      <c r="AA163" s="74"/>
      <c r="AB163" s="74"/>
      <c r="AC163" s="73"/>
      <c r="AD163" s="74">
        <f t="shared" ref="AD163:AK164" si="301">$E163/11*(11-($H163+$I163))</f>
        <v>0</v>
      </c>
      <c r="AE163" s="74"/>
      <c r="AF163" s="74"/>
      <c r="AG163" s="73"/>
      <c r="AH163" s="74">
        <f>$E163/11*(11-($H163+$I163))</f>
        <v>0</v>
      </c>
      <c r="AI163" s="74"/>
      <c r="AJ163" s="74"/>
      <c r="AK163" s="73"/>
      <c r="AL163" s="74">
        <f>$E163/11*(11-($H163+$I163))</f>
        <v>0</v>
      </c>
      <c r="AM163" s="74"/>
      <c r="AN163" s="74"/>
      <c r="AO163" s="73"/>
      <c r="AP163" s="61"/>
    </row>
    <row r="164" ht="13.5" outlineLevel="1">
      <c r="A164" s="89"/>
      <c r="B164" s="90" t="s">
        <v>3</v>
      </c>
      <c r="C164" s="133" t="e">
        <f t="shared" si="295"/>
        <v>#REF!</v>
      </c>
      <c r="D164" s="65">
        <f t="shared" si="296"/>
        <v>0</v>
      </c>
      <c r="E164" s="348">
        <f t="shared" si="300"/>
        <v>0</v>
      </c>
      <c r="F164" s="389">
        <f t="shared" si="297"/>
        <v>4</v>
      </c>
      <c r="G164" s="390"/>
      <c r="H164" s="391"/>
      <c r="I164" s="95"/>
      <c r="J164" s="96">
        <f t="shared" si="298"/>
        <v>0</v>
      </c>
      <c r="K164" s="97"/>
      <c r="L164" s="71"/>
      <c r="M164" s="71"/>
      <c r="N164" s="73"/>
      <c r="O164" s="98"/>
      <c r="P164" s="74"/>
      <c r="Q164" s="73">
        <f>$E164/11*(11-($H164+$I164))</f>
        <v>0</v>
      </c>
      <c r="R164" s="73"/>
      <c r="S164" s="98"/>
      <c r="T164" s="74"/>
      <c r="U164" s="74">
        <f>$E164/11*(11-($H164+$I164))</f>
        <v>0</v>
      </c>
      <c r="V164" s="73"/>
      <c r="W164" s="98"/>
      <c r="X164" s="74"/>
      <c r="Y164" s="73"/>
      <c r="Z164" s="73"/>
      <c r="AA164" s="98"/>
      <c r="AB164" s="74"/>
      <c r="AC164" s="75">
        <f>$E164/11*(11-($G164+$I164))</f>
        <v>0</v>
      </c>
      <c r="AD164" s="73"/>
      <c r="AE164" s="98"/>
      <c r="AF164" s="74"/>
      <c r="AG164" s="73"/>
      <c r="AH164" s="73"/>
      <c r="AI164" s="98"/>
      <c r="AJ164" s="74"/>
      <c r="AK164" s="73">
        <f t="shared" si="301"/>
        <v>0</v>
      </c>
      <c r="AL164" s="73"/>
      <c r="AM164" s="98"/>
      <c r="AN164" s="74"/>
      <c r="AO164" s="73"/>
      <c r="AP164" s="61"/>
    </row>
    <row r="165" s="220" customFormat="1" ht="25.149999999999999" customHeight="1">
      <c r="A165" s="221"/>
      <c r="B165" s="165" t="s">
        <v>18</v>
      </c>
      <c r="C165" s="102" t="e">
        <f>'[6]План пр-ва по единицам обор'!$J$86</f>
        <v>#REF!</v>
      </c>
      <c r="D165" s="103">
        <f>SUM(D161:D164)</f>
        <v>0</v>
      </c>
      <c r="E165" s="222" t="s">
        <v>19</v>
      </c>
      <c r="F165" s="223">
        <f>SUM(F161:F164)</f>
        <v>20</v>
      </c>
      <c r="G165" s="392">
        <f>SUM(G161:G164)</f>
        <v>0</v>
      </c>
      <c r="H165" s="393">
        <f>SUM(H161:H164)</f>
        <v>0</v>
      </c>
      <c r="I165" s="394" t="s">
        <v>19</v>
      </c>
      <c r="J165" s="395">
        <f t="shared" ref="J165:M165" si="302">SUM(J161:J164)</f>
        <v>0</v>
      </c>
      <c r="K165" s="231">
        <f t="shared" si="302"/>
        <v>0</v>
      </c>
      <c r="L165" s="229">
        <f t="shared" si="302"/>
        <v>0</v>
      </c>
      <c r="M165" s="229">
        <f t="shared" si="302"/>
        <v>0</v>
      </c>
      <c r="N165" s="229">
        <f>SUM(N161:N164)</f>
        <v>0</v>
      </c>
      <c r="O165" s="229">
        <f t="shared" ref="O165:AO165" si="303">SUM(O161:O164)</f>
        <v>0</v>
      </c>
      <c r="P165" s="229">
        <f t="shared" si="303"/>
        <v>0</v>
      </c>
      <c r="Q165" s="229">
        <f t="shared" si="303"/>
        <v>0</v>
      </c>
      <c r="R165" s="229">
        <f t="shared" si="303"/>
        <v>0</v>
      </c>
      <c r="S165" s="229">
        <f t="shared" si="303"/>
        <v>0</v>
      </c>
      <c r="T165" s="229">
        <f t="shared" si="303"/>
        <v>0</v>
      </c>
      <c r="U165" s="229">
        <f t="shared" si="303"/>
        <v>0</v>
      </c>
      <c r="V165" s="229">
        <f t="shared" si="303"/>
        <v>0</v>
      </c>
      <c r="W165" s="229">
        <f t="shared" si="303"/>
        <v>0</v>
      </c>
      <c r="X165" s="229">
        <f t="shared" si="303"/>
        <v>0</v>
      </c>
      <c r="Y165" s="229">
        <f t="shared" si="303"/>
        <v>0</v>
      </c>
      <c r="Z165" s="229">
        <f t="shared" si="303"/>
        <v>0</v>
      </c>
      <c r="AA165" s="229">
        <f t="shared" si="303"/>
        <v>0</v>
      </c>
      <c r="AB165" s="229">
        <f t="shared" si="303"/>
        <v>0</v>
      </c>
      <c r="AC165" s="229">
        <f t="shared" si="303"/>
        <v>0</v>
      </c>
      <c r="AD165" s="229">
        <f t="shared" si="303"/>
        <v>0</v>
      </c>
      <c r="AE165" s="229">
        <f t="shared" si="303"/>
        <v>0</v>
      </c>
      <c r="AF165" s="229">
        <f t="shared" si="303"/>
        <v>0</v>
      </c>
      <c r="AG165" s="229">
        <f t="shared" si="303"/>
        <v>0</v>
      </c>
      <c r="AH165" s="229">
        <f t="shared" si="303"/>
        <v>0</v>
      </c>
      <c r="AI165" s="229">
        <f t="shared" si="303"/>
        <v>0</v>
      </c>
      <c r="AJ165" s="229">
        <f t="shared" si="303"/>
        <v>0</v>
      </c>
      <c r="AK165" s="229">
        <f t="shared" si="303"/>
        <v>0</v>
      </c>
      <c r="AL165" s="229">
        <f t="shared" si="303"/>
        <v>0</v>
      </c>
      <c r="AM165" s="229">
        <f t="shared" si="303"/>
        <v>0</v>
      </c>
      <c r="AN165" s="229">
        <f t="shared" si="303"/>
        <v>0</v>
      </c>
      <c r="AO165" s="229">
        <f t="shared" si="303"/>
        <v>0</v>
      </c>
      <c r="AP165" s="61"/>
    </row>
    <row r="169" s="24" customFormat="1">
      <c r="B169" s="396"/>
      <c r="C169" s="397"/>
      <c r="D169" s="397"/>
      <c r="E169" s="398"/>
      <c r="F169" s="399"/>
      <c r="G169" s="399"/>
      <c r="H169" s="400"/>
      <c r="I169" s="400"/>
      <c r="J169" s="400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401"/>
      <c r="AB169" s="401"/>
      <c r="AC169" s="401"/>
      <c r="AD169" s="401"/>
      <c r="AE169" s="401"/>
      <c r="AF169" s="401"/>
      <c r="AG169" s="401"/>
      <c r="AH169" s="401"/>
      <c r="AI169" s="401"/>
      <c r="AJ169" s="401"/>
      <c r="AK169" s="401"/>
      <c r="AL169" s="401"/>
      <c r="AM169" s="401"/>
      <c r="AN169" s="401"/>
    </row>
    <row r="170" s="24" customFormat="1">
      <c r="A170" s="402"/>
      <c r="C170" s="206"/>
      <c r="D170" s="25"/>
      <c r="E170" s="26"/>
      <c r="F170" s="25"/>
      <c r="G170" s="25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  <c r="AB170" s="122"/>
      <c r="AC170" s="122"/>
      <c r="AD170" s="122"/>
      <c r="AE170" s="122"/>
      <c r="AF170" s="122"/>
      <c r="AG170" s="122"/>
      <c r="AH170" s="122"/>
      <c r="AI170" s="122"/>
      <c r="AJ170" s="122"/>
      <c r="AK170" s="122"/>
      <c r="AL170" s="122"/>
      <c r="AM170" s="122"/>
      <c r="AN170" s="122"/>
      <c r="AO170" s="122"/>
    </row>
    <row r="171" s="24" customFormat="1">
      <c r="A171" s="402"/>
      <c r="C171" s="25"/>
      <c r="D171" s="25"/>
      <c r="E171" s="26"/>
      <c r="F171" s="25"/>
      <c r="G171" s="25"/>
    </row>
    <row r="172" s="24" customFormat="1">
      <c r="C172" s="25"/>
      <c r="D172" s="25"/>
      <c r="E172" s="26"/>
      <c r="F172" s="25"/>
      <c r="G172" s="25"/>
    </row>
    <row r="173" s="251" customFormat="1" ht="13.5">
      <c r="C173" s="403"/>
      <c r="D173" s="403"/>
      <c r="E173" s="404"/>
      <c r="F173" s="403"/>
      <c r="H173" s="251"/>
      <c r="I173" s="251"/>
      <c r="J173" s="251"/>
      <c r="K173" s="251" t="s">
        <v>67</v>
      </c>
      <c r="L173" s="251" t="s">
        <v>68</v>
      </c>
      <c r="M173" s="251" t="s">
        <v>69</v>
      </c>
      <c r="N173" s="251" t="s">
        <v>70</v>
      </c>
      <c r="O173" s="251" t="s">
        <v>71</v>
      </c>
      <c r="P173" s="251" t="s">
        <v>72</v>
      </c>
      <c r="Q173" s="251" t="s">
        <v>73</v>
      </c>
      <c r="R173" s="251" t="s">
        <v>67</v>
      </c>
      <c r="S173" s="251" t="s">
        <v>68</v>
      </c>
      <c r="T173" s="251" t="s">
        <v>69</v>
      </c>
      <c r="U173" s="251" t="s">
        <v>70</v>
      </c>
      <c r="V173" s="251" t="s">
        <v>71</v>
      </c>
      <c r="W173" s="251" t="s">
        <v>72</v>
      </c>
      <c r="X173" s="251" t="s">
        <v>73</v>
      </c>
      <c r="Y173" s="251" t="s">
        <v>67</v>
      </c>
      <c r="Z173" s="251" t="s">
        <v>68</v>
      </c>
      <c r="AA173" s="251" t="s">
        <v>69</v>
      </c>
      <c r="AB173" s="251" t="s">
        <v>70</v>
      </c>
      <c r="AC173" s="251" t="s">
        <v>71</v>
      </c>
      <c r="AD173" s="251" t="s">
        <v>72</v>
      </c>
      <c r="AE173" s="251" t="s">
        <v>73</v>
      </c>
      <c r="AF173" s="251" t="s">
        <v>67</v>
      </c>
      <c r="AG173" s="251" t="s">
        <v>68</v>
      </c>
      <c r="AH173" s="251" t="s">
        <v>69</v>
      </c>
      <c r="AI173" s="251" t="s">
        <v>70</v>
      </c>
      <c r="AJ173" s="251" t="s">
        <v>71</v>
      </c>
      <c r="AK173" s="251" t="s">
        <v>72</v>
      </c>
      <c r="AL173" s="251" t="s">
        <v>73</v>
      </c>
      <c r="AM173" s="251" t="s">
        <v>67</v>
      </c>
      <c r="AN173" s="251" t="s">
        <v>68</v>
      </c>
    </row>
    <row r="174" s="123" customFormat="1" ht="30.600000000000001" customHeight="1" outlineLevel="1">
      <c r="A174" s="405" t="s">
        <v>74</v>
      </c>
      <c r="B174" s="406"/>
      <c r="C174" s="49" t="s">
        <v>11</v>
      </c>
      <c r="D174" s="50" t="s">
        <v>12</v>
      </c>
      <c r="E174" s="407" t="s">
        <v>13</v>
      </c>
      <c r="F174" s="408" t="s">
        <v>14</v>
      </c>
      <c r="G174" s="211" t="s">
        <v>15</v>
      </c>
      <c r="H174" s="212" t="s">
        <v>16</v>
      </c>
      <c r="I174" s="212" t="s">
        <v>17</v>
      </c>
      <c r="J174" s="213" t="s">
        <v>18</v>
      </c>
      <c r="K174" s="409">
        <v>44501</v>
      </c>
      <c r="L174" s="410">
        <v>44502</v>
      </c>
      <c r="M174" s="411">
        <v>44503</v>
      </c>
      <c r="N174" s="410">
        <v>44504</v>
      </c>
      <c r="O174" s="410">
        <v>44505</v>
      </c>
      <c r="P174" s="410">
        <v>44506</v>
      </c>
      <c r="Q174" s="410">
        <v>44507</v>
      </c>
      <c r="R174" s="410">
        <v>44508</v>
      </c>
      <c r="S174" s="410">
        <v>44509</v>
      </c>
      <c r="T174" s="412">
        <v>44510</v>
      </c>
      <c r="U174" s="410">
        <v>44511</v>
      </c>
      <c r="V174" s="410">
        <v>44512</v>
      </c>
      <c r="W174" s="410">
        <v>44513</v>
      </c>
      <c r="X174" s="410">
        <v>44514</v>
      </c>
      <c r="Y174" s="410">
        <v>44515</v>
      </c>
      <c r="Z174" s="410">
        <v>44516</v>
      </c>
      <c r="AA174" s="413">
        <v>44517</v>
      </c>
      <c r="AB174" s="410">
        <v>44518</v>
      </c>
      <c r="AC174" s="410">
        <v>44519</v>
      </c>
      <c r="AD174" s="410">
        <v>44520</v>
      </c>
      <c r="AE174" s="410">
        <v>44521</v>
      </c>
      <c r="AF174" s="410">
        <v>44522</v>
      </c>
      <c r="AG174" s="410">
        <v>44523</v>
      </c>
      <c r="AH174" s="414">
        <v>44524</v>
      </c>
      <c r="AI174" s="410">
        <v>44525</v>
      </c>
      <c r="AJ174" s="410">
        <v>44526</v>
      </c>
      <c r="AK174" s="410">
        <v>44527</v>
      </c>
      <c r="AL174" s="410">
        <v>44528</v>
      </c>
      <c r="AM174" s="410">
        <v>44529</v>
      </c>
      <c r="AN174" s="415">
        <v>44530</v>
      </c>
      <c r="AO174" s="333"/>
    </row>
    <row r="175" hidden="1" outlineLevel="2">
      <c r="A175" s="416" t="s">
        <v>75</v>
      </c>
      <c r="B175" s="63" t="s">
        <v>0</v>
      </c>
      <c r="C175" s="65">
        <f t="shared" ref="C175:C178" si="304">$C$94/$F$94*F175</f>
        <v>0</v>
      </c>
      <c r="D175" s="65">
        <f t="shared" ref="D175:D178" si="305">SUM(K175:AO175)</f>
        <v>0</v>
      </c>
      <c r="E175" s="417"/>
      <c r="F175" s="25"/>
      <c r="G175" s="418"/>
      <c r="H175" s="419"/>
      <c r="I175" s="420"/>
      <c r="J175" s="421">
        <f t="shared" ref="J175:J178" si="306">SUM(G175:I175)</f>
        <v>0</v>
      </c>
      <c r="K175" s="422">
        <f>$E175/11*(11-($H175+$I175))</f>
        <v>0</v>
      </c>
      <c r="L175" s="73">
        <f t="shared" ref="L175:L176" si="307">$E175/11*(11-($H175+$I175))</f>
        <v>0</v>
      </c>
      <c r="M175" s="73"/>
      <c r="N175" s="73"/>
      <c r="O175" s="73">
        <f>$E175/11*(11-($H175+$I175))</f>
        <v>0</v>
      </c>
      <c r="P175" s="423"/>
      <c r="Q175" s="73"/>
      <c r="R175" s="73"/>
      <c r="S175" s="73">
        <f t="shared" ref="R175:U178" si="308">$E175/11*(11-($H175+$I175))</f>
        <v>0</v>
      </c>
      <c r="T175" s="73">
        <f t="shared" si="308"/>
        <v>0</v>
      </c>
      <c r="U175" s="73"/>
      <c r="V175" s="73"/>
      <c r="W175" s="424"/>
      <c r="X175" s="73"/>
      <c r="Y175" s="73"/>
      <c r="Z175" s="73"/>
      <c r="AA175" s="73"/>
      <c r="AB175" s="73"/>
      <c r="AC175" s="73"/>
      <c r="AD175" s="423"/>
      <c r="AE175" s="73"/>
      <c r="AF175" s="73"/>
      <c r="AG175" s="73"/>
      <c r="AH175" s="73"/>
      <c r="AI175" s="73"/>
      <c r="AJ175" s="73"/>
      <c r="AK175" s="423"/>
      <c r="AL175" s="73"/>
      <c r="AM175" s="73"/>
      <c r="AN175" s="73"/>
      <c r="AO175" s="73"/>
      <c r="AP175" s="24"/>
      <c r="AQ175" s="425"/>
    </row>
    <row r="176" hidden="1" outlineLevel="2">
      <c r="A176" s="426"/>
      <c r="B176" s="77" t="s">
        <v>1</v>
      </c>
      <c r="C176" s="79">
        <f t="shared" si="304"/>
        <v>0</v>
      </c>
      <c r="D176" s="427">
        <f t="shared" si="305"/>
        <v>0</v>
      </c>
      <c r="E176" s="417"/>
      <c r="F176" s="25"/>
      <c r="G176" s="418"/>
      <c r="H176" s="428"/>
      <c r="I176" s="429"/>
      <c r="J176" s="430">
        <f t="shared" si="306"/>
        <v>0</v>
      </c>
      <c r="K176" s="422"/>
      <c r="L176" s="73">
        <f t="shared" si="307"/>
        <v>0</v>
      </c>
      <c r="M176" s="73">
        <f>$E176/11*(11-($H176+$I176))</f>
        <v>0</v>
      </c>
      <c r="N176" s="73"/>
      <c r="O176" s="73"/>
      <c r="P176" s="431"/>
      <c r="Q176" s="73">
        <f>$E176/11*(11-($H176+$I176))</f>
        <v>0</v>
      </c>
      <c r="R176" s="73"/>
      <c r="S176" s="73"/>
      <c r="T176" s="73">
        <f t="shared" si="308"/>
        <v>0</v>
      </c>
      <c r="U176" s="73">
        <f t="shared" si="308"/>
        <v>0</v>
      </c>
      <c r="V176" s="73"/>
      <c r="W176" s="423"/>
      <c r="X176" s="73"/>
      <c r="Y176" s="73"/>
      <c r="Z176" s="73"/>
      <c r="AA176" s="73"/>
      <c r="AB176" s="73"/>
      <c r="AC176" s="73"/>
      <c r="AD176" s="423"/>
      <c r="AE176" s="73"/>
      <c r="AF176" s="73"/>
      <c r="AG176" s="73"/>
      <c r="AH176" s="73"/>
      <c r="AI176" s="73"/>
      <c r="AJ176" s="73"/>
      <c r="AK176" s="423"/>
      <c r="AL176" s="73"/>
      <c r="AM176" s="73"/>
      <c r="AN176" s="73"/>
      <c r="AO176" s="73"/>
      <c r="AP176" s="24"/>
      <c r="AQ176" s="425"/>
    </row>
    <row r="177" hidden="1" outlineLevel="2">
      <c r="A177" s="426"/>
      <c r="B177" s="85" t="s">
        <v>2</v>
      </c>
      <c r="C177" s="197">
        <f t="shared" si="304"/>
        <v>0</v>
      </c>
      <c r="D177" s="87">
        <f t="shared" si="305"/>
        <v>0</v>
      </c>
      <c r="E177" s="417"/>
      <c r="F177" s="25"/>
      <c r="G177" s="418"/>
      <c r="H177" s="428"/>
      <c r="I177" s="429"/>
      <c r="J177" s="430">
        <f t="shared" si="306"/>
        <v>0</v>
      </c>
      <c r="K177" s="422">
        <f>$E177/11*(11-($H177+$I177))</f>
        <v>0</v>
      </c>
      <c r="L177" s="372"/>
      <c r="M177" s="73"/>
      <c r="N177" s="73">
        <f t="shared" ref="N177:N178" si="309">$E177/11*(11-($H177+$I177))</f>
        <v>0</v>
      </c>
      <c r="O177" s="73">
        <f>$E177/11*(11-($H177+$I177))</f>
        <v>0</v>
      </c>
      <c r="P177" s="432"/>
      <c r="Q177" s="73"/>
      <c r="R177" s="73">
        <f>$E177/11*(11-($H177+$I177))</f>
        <v>0</v>
      </c>
      <c r="S177" s="73">
        <f t="shared" si="308"/>
        <v>0</v>
      </c>
      <c r="T177" s="372"/>
      <c r="U177" s="73"/>
      <c r="V177" s="73">
        <f t="shared" ref="V177:V178" si="310">$E177/11*(11-($H177+$I177))</f>
        <v>0</v>
      </c>
      <c r="W177" s="423"/>
      <c r="X177" s="372"/>
      <c r="Y177" s="73"/>
      <c r="Z177" s="73"/>
      <c r="AA177" s="73"/>
      <c r="AB177" s="372"/>
      <c r="AC177" s="73"/>
      <c r="AD177" s="433"/>
      <c r="AE177" s="73"/>
      <c r="AF177" s="372"/>
      <c r="AG177" s="73"/>
      <c r="AH177" s="73"/>
      <c r="AI177" s="73"/>
      <c r="AJ177" s="372"/>
      <c r="AK177" s="423"/>
      <c r="AL177" s="73"/>
      <c r="AM177" s="73"/>
      <c r="AN177" s="372"/>
      <c r="AO177" s="73"/>
      <c r="AP177" s="24"/>
      <c r="AQ177" s="425"/>
    </row>
    <row r="178" ht="13.5" hidden="1" outlineLevel="2">
      <c r="A178" s="434"/>
      <c r="B178" s="90" t="s">
        <v>3</v>
      </c>
      <c r="C178" s="325">
        <f t="shared" si="304"/>
        <v>0</v>
      </c>
      <c r="D178" s="325">
        <f t="shared" si="305"/>
        <v>0</v>
      </c>
      <c r="E178" s="417"/>
      <c r="F178" s="25"/>
      <c r="G178" s="435"/>
      <c r="H178" s="436"/>
      <c r="I178" s="437"/>
      <c r="J178" s="438">
        <f t="shared" si="306"/>
        <v>0</v>
      </c>
      <c r="K178" s="439"/>
      <c r="L178" s="290"/>
      <c r="M178" s="290">
        <f>$E178/11*(11-($H178+$I178))</f>
        <v>0</v>
      </c>
      <c r="N178" s="290">
        <f t="shared" si="309"/>
        <v>0</v>
      </c>
      <c r="O178" s="290"/>
      <c r="P178" s="440"/>
      <c r="Q178" s="290">
        <f>$E178/11*(11-($H178+$I178))</f>
        <v>0</v>
      </c>
      <c r="R178" s="290">
        <f t="shared" si="308"/>
        <v>0</v>
      </c>
      <c r="S178" s="290"/>
      <c r="T178" s="290"/>
      <c r="U178" s="290">
        <f t="shared" si="308"/>
        <v>0</v>
      </c>
      <c r="V178" s="290">
        <f t="shared" si="310"/>
        <v>0</v>
      </c>
      <c r="W178" s="440"/>
      <c r="X178" s="290"/>
      <c r="Y178" s="290"/>
      <c r="Z178" s="290"/>
      <c r="AA178" s="290"/>
      <c r="AB178" s="290"/>
      <c r="AC178" s="290"/>
      <c r="AD178" s="440"/>
      <c r="AE178" s="290"/>
      <c r="AF178" s="290"/>
      <c r="AG178" s="290"/>
      <c r="AH178" s="290"/>
      <c r="AI178" s="290"/>
      <c r="AJ178" s="290"/>
      <c r="AK178" s="441"/>
      <c r="AL178" s="290"/>
      <c r="AM178" s="290"/>
      <c r="AN178" s="290"/>
      <c r="AO178" s="290"/>
      <c r="AP178" s="24"/>
      <c r="AQ178" s="425"/>
    </row>
    <row r="179" s="99" customFormat="1" ht="20.449999999999999" customHeight="1" outlineLevel="1" collapsed="1">
      <c r="B179" s="136" t="s">
        <v>18</v>
      </c>
      <c r="C179" s="442"/>
      <c r="D179" s="329">
        <f>SUM(D175:D178)</f>
        <v>0</v>
      </c>
      <c r="E179" s="443" t="s">
        <v>19</v>
      </c>
      <c r="F179" s="261">
        <f>SUM(F175:F178)</f>
        <v>0</v>
      </c>
      <c r="G179" s="444">
        <f>SUM(G175:G178)</f>
        <v>0</v>
      </c>
      <c r="H179" s="167">
        <f>SUM(H175:H178)</f>
        <v>0</v>
      </c>
      <c r="I179" s="168" t="s">
        <v>19</v>
      </c>
      <c r="J179" s="169">
        <f t="shared" ref="J179:N179" si="311">SUM(J175:J178)</f>
        <v>0</v>
      </c>
      <c r="K179" s="445">
        <f t="shared" si="311"/>
        <v>0</v>
      </c>
      <c r="L179" s="171">
        <f t="shared" si="311"/>
        <v>0</v>
      </c>
      <c r="M179" s="171">
        <f t="shared" si="311"/>
        <v>0</v>
      </c>
      <c r="N179" s="171">
        <f t="shared" si="311"/>
        <v>0</v>
      </c>
      <c r="O179" s="171">
        <f>SUM(O175:O178)</f>
        <v>0</v>
      </c>
      <c r="P179" s="171">
        <f>SUM(P175:P178)</f>
        <v>0</v>
      </c>
      <c r="Q179" s="171">
        <f t="shared" ref="Q179:AN188" si="312">SUM(Q175:Q178)</f>
        <v>0</v>
      </c>
      <c r="R179" s="171">
        <f t="shared" si="312"/>
        <v>0</v>
      </c>
      <c r="S179" s="171">
        <f t="shared" si="312"/>
        <v>0</v>
      </c>
      <c r="T179" s="171">
        <f t="shared" si="312"/>
        <v>0</v>
      </c>
      <c r="U179" s="171">
        <f t="shared" si="312"/>
        <v>0</v>
      </c>
      <c r="V179" s="171">
        <f t="shared" si="312"/>
        <v>0</v>
      </c>
      <c r="W179" s="171">
        <f t="shared" si="312"/>
        <v>0</v>
      </c>
      <c r="X179" s="171">
        <f t="shared" si="312"/>
        <v>0</v>
      </c>
      <c r="Y179" s="171">
        <f t="shared" si="312"/>
        <v>0</v>
      </c>
      <c r="Z179" s="171">
        <f t="shared" si="312"/>
        <v>0</v>
      </c>
      <c r="AA179" s="171">
        <f t="shared" si="312"/>
        <v>0</v>
      </c>
      <c r="AB179" s="172">
        <f t="shared" si="312"/>
        <v>0</v>
      </c>
      <c r="AC179" s="446">
        <f t="shared" si="312"/>
        <v>0</v>
      </c>
      <c r="AD179" s="447">
        <f t="shared" si="312"/>
        <v>0</v>
      </c>
      <c r="AE179" s="447">
        <f t="shared" si="312"/>
        <v>0</v>
      </c>
      <c r="AF179" s="447">
        <f t="shared" si="312"/>
        <v>0</v>
      </c>
      <c r="AG179" s="447">
        <f t="shared" si="312"/>
        <v>0</v>
      </c>
      <c r="AH179" s="447">
        <f t="shared" si="312"/>
        <v>0</v>
      </c>
      <c r="AI179" s="447">
        <f t="shared" si="312"/>
        <v>0</v>
      </c>
      <c r="AJ179" s="447">
        <f t="shared" si="312"/>
        <v>0</v>
      </c>
      <c r="AK179" s="447">
        <f t="shared" si="312"/>
        <v>0</v>
      </c>
      <c r="AL179" s="447">
        <f t="shared" si="312"/>
        <v>0</v>
      </c>
      <c r="AM179" s="447">
        <f t="shared" si="312"/>
        <v>0</v>
      </c>
      <c r="AN179" s="447">
        <f t="shared" si="312"/>
        <v>0</v>
      </c>
      <c r="AO179" s="448"/>
    </row>
    <row r="180">
      <c r="A180" s="24" t="s">
        <v>76</v>
      </c>
      <c r="E180" s="66"/>
      <c r="G180" s="396"/>
      <c r="AP180" s="24"/>
    </row>
    <row r="182" ht="19.5">
      <c r="A182" s="43" t="s">
        <v>29</v>
      </c>
      <c r="B182" s="43"/>
      <c r="C182" s="206"/>
      <c r="D182" s="232"/>
      <c r="I182" s="24">
        <f>I177*F181</f>
        <v>0</v>
      </c>
      <c r="AP182" s="61"/>
    </row>
    <row r="183" s="123" customFormat="1" ht="37.149999999999999" customHeight="1">
      <c r="A183" s="149" t="s">
        <v>30</v>
      </c>
      <c r="B183" s="150"/>
      <c r="C183" s="49" t="s">
        <v>11</v>
      </c>
      <c r="D183" s="50" t="s">
        <v>12</v>
      </c>
      <c r="E183" s="51" t="s">
        <v>13</v>
      </c>
      <c r="F183" s="210" t="s">
        <v>14</v>
      </c>
      <c r="G183" s="211" t="s">
        <v>15</v>
      </c>
      <c r="H183" s="212" t="s">
        <v>16</v>
      </c>
      <c r="I183" s="212" t="s">
        <v>17</v>
      </c>
      <c r="J183" s="250" t="s">
        <v>18</v>
      </c>
      <c r="K183" s="409">
        <v>44531</v>
      </c>
      <c r="L183" s="410">
        <v>44532</v>
      </c>
      <c r="M183" s="410">
        <v>44533</v>
      </c>
      <c r="N183" s="410">
        <v>44534</v>
      </c>
      <c r="O183" s="410">
        <v>44535</v>
      </c>
      <c r="P183" s="410">
        <v>44536</v>
      </c>
      <c r="Q183" s="410">
        <v>44537</v>
      </c>
      <c r="R183" s="410">
        <v>44538</v>
      </c>
      <c r="S183" s="410">
        <v>44539</v>
      </c>
      <c r="T183" s="410">
        <v>44540</v>
      </c>
      <c r="U183" s="410">
        <v>44541</v>
      </c>
      <c r="V183" s="410">
        <v>44542</v>
      </c>
      <c r="W183" s="410">
        <v>44543</v>
      </c>
      <c r="X183" s="410">
        <v>44544</v>
      </c>
      <c r="Y183" s="410">
        <v>44545</v>
      </c>
      <c r="Z183" s="410">
        <v>44546</v>
      </c>
      <c r="AA183" s="410">
        <v>44547</v>
      </c>
      <c r="AB183" s="410">
        <v>44548</v>
      </c>
      <c r="AC183" s="410">
        <v>44549</v>
      </c>
      <c r="AD183" s="410">
        <v>44550</v>
      </c>
      <c r="AE183" s="410">
        <v>44551</v>
      </c>
      <c r="AF183" s="410">
        <v>44552</v>
      </c>
      <c r="AG183" s="410">
        <v>44553</v>
      </c>
      <c r="AH183" s="410">
        <v>44554</v>
      </c>
      <c r="AI183" s="410">
        <v>44555</v>
      </c>
      <c r="AJ183" s="410">
        <v>44556</v>
      </c>
      <c r="AK183" s="410">
        <v>44557</v>
      </c>
      <c r="AL183" s="410">
        <v>44558</v>
      </c>
      <c r="AM183" s="410">
        <v>44559</v>
      </c>
      <c r="AN183" s="415">
        <v>44560</v>
      </c>
      <c r="AO183" s="333"/>
      <c r="AP183" s="61"/>
    </row>
    <row r="184" hidden="1" outlineLevel="1">
      <c r="A184" s="233" t="s">
        <v>30</v>
      </c>
      <c r="B184" s="155" t="s">
        <v>0</v>
      </c>
      <c r="C184" s="64">
        <v>502.32196969696997</v>
      </c>
      <c r="D184" s="65">
        <f t="shared" ref="D184:D187" si="313">SUM(K184:AO184)</f>
        <v>0</v>
      </c>
      <c r="E184" s="66">
        <f>'[4]План пр-ва по единицам обор'!$E$77</f>
        <v>55</v>
      </c>
      <c r="F184" s="25">
        <f t="shared" ref="F184:F187" si="314">COUNTA(K184:AO184)</f>
        <v>0</v>
      </c>
      <c r="G184" s="80"/>
      <c r="H184" s="234"/>
      <c r="I184" s="82">
        <f t="shared" ref="I184:I187" si="315">(3+0.5)/60</f>
        <v>0.058333333333333334</v>
      </c>
      <c r="J184" s="235">
        <f t="shared" ref="J184:J187" si="316">SUM(G184:I184)</f>
        <v>0.058333333333333334</v>
      </c>
      <c r="K184" s="422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369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423"/>
      <c r="AM184" s="423"/>
      <c r="AN184" s="423"/>
      <c r="AO184" s="423"/>
      <c r="AP184" s="61"/>
    </row>
    <row r="185" hidden="1" outlineLevel="1">
      <c r="A185" s="236"/>
      <c r="B185" s="159" t="s">
        <v>1</v>
      </c>
      <c r="C185" s="78">
        <v>452.0897727272727</v>
      </c>
      <c r="D185" s="79">
        <f t="shared" si="313"/>
        <v>0</v>
      </c>
      <c r="E185" s="66">
        <f>'[5]План пр-ва по единицам обор'!$E$77</f>
        <v>55</v>
      </c>
      <c r="F185" s="25">
        <f t="shared" si="314"/>
        <v>0</v>
      </c>
      <c r="G185" s="80"/>
      <c r="H185" s="237"/>
      <c r="I185" s="82">
        <f t="shared" si="315"/>
        <v>0.058333333333333334</v>
      </c>
      <c r="J185" s="238">
        <f t="shared" si="316"/>
        <v>0.058333333333333334</v>
      </c>
      <c r="K185" s="422"/>
      <c r="L185" s="73"/>
      <c r="M185" s="73"/>
      <c r="N185" s="73"/>
      <c r="O185" s="73"/>
      <c r="P185" s="371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423"/>
      <c r="AM185" s="423"/>
      <c r="AN185" s="423"/>
      <c r="AO185" s="423"/>
      <c r="AP185" s="61"/>
    </row>
    <row r="186" hidden="1" outlineLevel="1">
      <c r="A186" s="236"/>
      <c r="B186" s="160" t="s">
        <v>2</v>
      </c>
      <c r="C186" s="131">
        <v>452.0897727272727</v>
      </c>
      <c r="D186" s="197">
        <f t="shared" si="313"/>
        <v>0</v>
      </c>
      <c r="E186" s="66">
        <f>'[8]План пр-ва по единицам обор'!$E$77</f>
        <v>55</v>
      </c>
      <c r="F186" s="25">
        <f t="shared" si="314"/>
        <v>0</v>
      </c>
      <c r="G186" s="80"/>
      <c r="H186" s="237"/>
      <c r="I186" s="82">
        <f t="shared" si="315"/>
        <v>0.058333333333333334</v>
      </c>
      <c r="J186" s="238">
        <f t="shared" si="316"/>
        <v>0.058333333333333334</v>
      </c>
      <c r="K186" s="422"/>
      <c r="L186" s="372"/>
      <c r="M186" s="73"/>
      <c r="N186" s="73"/>
      <c r="O186" s="73"/>
      <c r="P186" s="372"/>
      <c r="Q186" s="73"/>
      <c r="R186" s="73"/>
      <c r="S186" s="73"/>
      <c r="T186" s="372"/>
      <c r="U186" s="73"/>
      <c r="V186" s="73"/>
      <c r="W186" s="73"/>
      <c r="X186" s="372"/>
      <c r="Y186" s="73"/>
      <c r="Z186" s="73"/>
      <c r="AA186" s="73"/>
      <c r="AB186" s="372"/>
      <c r="AC186" s="73"/>
      <c r="AD186" s="449"/>
      <c r="AE186" s="73"/>
      <c r="AF186" s="372"/>
      <c r="AG186" s="73"/>
      <c r="AH186" s="73"/>
      <c r="AI186" s="73"/>
      <c r="AJ186" s="372"/>
      <c r="AK186" s="73"/>
      <c r="AL186" s="423"/>
      <c r="AM186" s="423"/>
      <c r="AN186" s="432"/>
      <c r="AO186" s="423"/>
      <c r="AP186" s="61"/>
    </row>
    <row r="187" ht="13.5" hidden="1" outlineLevel="1">
      <c r="A187" s="239"/>
      <c r="B187" s="162" t="s">
        <v>3</v>
      </c>
      <c r="C187" s="131">
        <v>401.85757575757572</v>
      </c>
      <c r="D187" s="200">
        <f t="shared" si="313"/>
        <v>0</v>
      </c>
      <c r="E187" s="66">
        <f>E186</f>
        <v>55</v>
      </c>
      <c r="F187" s="25">
        <f t="shared" si="314"/>
        <v>0</v>
      </c>
      <c r="G187" s="80"/>
      <c r="H187" s="240"/>
      <c r="I187" s="82">
        <f t="shared" si="315"/>
        <v>0.058333333333333334</v>
      </c>
      <c r="J187" s="241">
        <f t="shared" si="316"/>
        <v>0.058333333333333334</v>
      </c>
      <c r="K187" s="439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  <c r="AI187" s="290"/>
      <c r="AJ187" s="290"/>
      <c r="AK187" s="450"/>
      <c r="AL187" s="440"/>
      <c r="AM187" s="440"/>
      <c r="AN187" s="440"/>
      <c r="AO187" s="440"/>
      <c r="AP187" s="61"/>
    </row>
    <row r="188" s="220" customFormat="1" ht="20.449999999999999" customHeight="1" collapsed="1">
      <c r="A188" s="221"/>
      <c r="B188" s="165" t="s">
        <v>18</v>
      </c>
      <c r="C188" s="102"/>
      <c r="D188" s="103">
        <f>SUM(D184:D187)</f>
        <v>0</v>
      </c>
      <c r="E188" s="222" t="s">
        <v>19</v>
      </c>
      <c r="F188" s="105">
        <f>SUM(F184:F187)</f>
        <v>0</v>
      </c>
      <c r="G188" s="224">
        <f>SUM(G184:G187)</f>
        <v>0</v>
      </c>
      <c r="H188" s="243">
        <f>SUM(H184:H187)</f>
        <v>0</v>
      </c>
      <c r="I188" s="244" t="s">
        <v>19</v>
      </c>
      <c r="J188" s="245">
        <f t="shared" ref="J188:N207" si="317">SUM(J184:J187)</f>
        <v>0.23333333333333334</v>
      </c>
      <c r="K188" s="231">
        <f t="shared" si="317"/>
        <v>0</v>
      </c>
      <c r="L188" s="229">
        <f t="shared" si="317"/>
        <v>0</v>
      </c>
      <c r="M188" s="229">
        <f t="shared" si="317"/>
        <v>0</v>
      </c>
      <c r="N188" s="229">
        <f t="shared" si="317"/>
        <v>0</v>
      </c>
      <c r="O188" s="229">
        <f>SUM(O184:O187)</f>
        <v>0</v>
      </c>
      <c r="P188" s="229">
        <f>SUM(P184:P187)</f>
        <v>0</v>
      </c>
      <c r="Q188" s="229">
        <f t="shared" si="312"/>
        <v>0</v>
      </c>
      <c r="R188" s="229">
        <f t="shared" si="312"/>
        <v>0</v>
      </c>
      <c r="S188" s="229">
        <f t="shared" si="312"/>
        <v>0</v>
      </c>
      <c r="T188" s="229">
        <f t="shared" si="312"/>
        <v>0</v>
      </c>
      <c r="U188" s="229">
        <f t="shared" si="312"/>
        <v>0</v>
      </c>
      <c r="V188" s="229">
        <f t="shared" si="312"/>
        <v>0</v>
      </c>
      <c r="W188" s="229">
        <f t="shared" si="312"/>
        <v>0</v>
      </c>
      <c r="X188" s="229">
        <f t="shared" si="312"/>
        <v>0</v>
      </c>
      <c r="Y188" s="230">
        <f t="shared" si="312"/>
        <v>0</v>
      </c>
      <c r="Z188" s="246">
        <f t="shared" si="312"/>
        <v>0</v>
      </c>
      <c r="AA188" s="228">
        <f t="shared" si="312"/>
        <v>0</v>
      </c>
      <c r="AB188" s="230">
        <f t="shared" si="312"/>
        <v>0</v>
      </c>
      <c r="AC188" s="144">
        <f t="shared" si="312"/>
        <v>0</v>
      </c>
      <c r="AD188" s="145">
        <f t="shared" si="312"/>
        <v>0</v>
      </c>
      <c r="AE188" s="145">
        <f t="shared" si="312"/>
        <v>0</v>
      </c>
      <c r="AF188" s="145">
        <f t="shared" si="312"/>
        <v>0</v>
      </c>
      <c r="AG188" s="145">
        <f t="shared" si="312"/>
        <v>0</v>
      </c>
      <c r="AH188" s="145">
        <f t="shared" si="312"/>
        <v>0</v>
      </c>
      <c r="AI188" s="145">
        <f t="shared" si="312"/>
        <v>0</v>
      </c>
      <c r="AJ188" s="145">
        <f t="shared" si="312"/>
        <v>0</v>
      </c>
      <c r="AK188" s="145">
        <f t="shared" si="312"/>
        <v>0</v>
      </c>
      <c r="AL188" s="145">
        <f t="shared" si="312"/>
        <v>0</v>
      </c>
      <c r="AM188" s="145">
        <f t="shared" si="312"/>
        <v>0</v>
      </c>
      <c r="AN188" s="145">
        <f t="shared" si="312"/>
        <v>0</v>
      </c>
      <c r="AO188" s="451"/>
      <c r="AP188" s="61"/>
    </row>
    <row r="191" ht="18.75">
      <c r="A191" s="452" t="s">
        <v>77</v>
      </c>
      <c r="B191" s="452"/>
      <c r="C191" s="453"/>
      <c r="D191" s="453"/>
      <c r="E191" s="454"/>
    </row>
    <row r="192" ht="13.5"/>
    <row r="193" ht="42">
      <c r="A193" s="455"/>
      <c r="B193" s="456"/>
      <c r="C193" s="457" t="s">
        <v>11</v>
      </c>
      <c r="D193" s="458" t="s">
        <v>12</v>
      </c>
      <c r="E193" s="459" t="s">
        <v>13</v>
      </c>
      <c r="F193" s="460" t="s">
        <v>14</v>
      </c>
      <c r="G193" s="461" t="s">
        <v>15</v>
      </c>
      <c r="H193" s="462" t="s">
        <v>16</v>
      </c>
      <c r="I193" s="462" t="s">
        <v>17</v>
      </c>
      <c r="J193" s="463" t="s">
        <v>18</v>
      </c>
      <c r="K193" s="464">
        <v>44562</v>
      </c>
      <c r="L193" s="464">
        <v>44563</v>
      </c>
      <c r="M193" s="464">
        <v>44564</v>
      </c>
      <c r="N193" s="464">
        <v>44565</v>
      </c>
      <c r="O193" s="464">
        <v>44566</v>
      </c>
      <c r="P193" s="464">
        <v>44567</v>
      </c>
      <c r="Q193" s="464">
        <v>44568</v>
      </c>
      <c r="R193" s="464">
        <v>44569</v>
      </c>
      <c r="S193" s="464">
        <v>44570</v>
      </c>
      <c r="T193" s="464">
        <v>44571</v>
      </c>
      <c r="U193" s="464">
        <v>44572</v>
      </c>
      <c r="V193" s="464">
        <v>44573</v>
      </c>
      <c r="W193" s="464">
        <v>44574</v>
      </c>
      <c r="X193" s="464">
        <v>44575</v>
      </c>
      <c r="Y193" s="464">
        <v>44576</v>
      </c>
      <c r="Z193" s="464">
        <v>44577</v>
      </c>
      <c r="AA193" s="464">
        <v>44578</v>
      </c>
      <c r="AB193" s="464">
        <v>44579</v>
      </c>
      <c r="AC193" s="464">
        <v>44580</v>
      </c>
      <c r="AD193" s="464">
        <v>44581</v>
      </c>
      <c r="AE193" s="464">
        <v>44582</v>
      </c>
      <c r="AF193" s="464">
        <v>44583</v>
      </c>
      <c r="AG193" s="464">
        <v>44584</v>
      </c>
      <c r="AH193" s="464">
        <v>44585</v>
      </c>
      <c r="AI193" s="464">
        <v>44586</v>
      </c>
      <c r="AJ193" s="464">
        <v>44587</v>
      </c>
      <c r="AK193" s="464">
        <v>44588</v>
      </c>
      <c r="AL193" s="464">
        <v>44589</v>
      </c>
      <c r="AM193" s="464">
        <v>44590</v>
      </c>
      <c r="AN193" s="464">
        <v>44591</v>
      </c>
      <c r="AO193" s="464">
        <v>44592</v>
      </c>
    </row>
    <row r="194" s="402" customFormat="1" ht="36.75" customHeight="1">
      <c r="A194" s="465" t="s">
        <v>78</v>
      </c>
      <c r="B194" s="466" t="s">
        <v>79</v>
      </c>
      <c r="C194" s="467">
        <f>'[6]План пр-ва по единицам обор'!$L$24</f>
        <v>312.06847272727276</v>
      </c>
      <c r="D194" s="468">
        <f>SUM(K194:AO194)</f>
        <v>366.42507878787887</v>
      </c>
      <c r="E194" s="469"/>
      <c r="F194" s="470"/>
      <c r="G194" s="470"/>
      <c r="H194" s="471"/>
      <c r="I194" s="471"/>
      <c r="J194" s="471"/>
      <c r="K194" s="472">
        <f>K11*0.05</f>
        <v>0</v>
      </c>
      <c r="L194" s="472">
        <f t="shared" ref="L194:M194" si="318">L11*0.05</f>
        <v>0</v>
      </c>
      <c r="M194" s="472">
        <f t="shared" si="318"/>
        <v>0</v>
      </c>
      <c r="N194" s="472">
        <f>N26*0.04</f>
        <v>14.4452</v>
      </c>
      <c r="O194" s="472">
        <f t="shared" ref="O194:AO194" si="319">O26*0.04</f>
        <v>14.4452</v>
      </c>
      <c r="P194" s="472">
        <f t="shared" si="319"/>
        <v>14.4452</v>
      </c>
      <c r="Q194" s="472">
        <f t="shared" si="319"/>
        <v>14.4452</v>
      </c>
      <c r="R194" s="472">
        <f t="shared" si="319"/>
        <v>14.4452</v>
      </c>
      <c r="S194" s="472">
        <f t="shared" si="319"/>
        <v>14.4452</v>
      </c>
      <c r="T194" s="472">
        <f t="shared" si="319"/>
        <v>10.779999999999999</v>
      </c>
      <c r="U194" s="472">
        <f t="shared" si="319"/>
        <v>10.779999999999999</v>
      </c>
      <c r="V194" s="472">
        <f t="shared" si="319"/>
        <v>13.654666666666667</v>
      </c>
      <c r="W194" s="472">
        <f t="shared" si="319"/>
        <v>8.6881818181818193</v>
      </c>
      <c r="X194" s="472">
        <f t="shared" si="319"/>
        <v>13.654666666666667</v>
      </c>
      <c r="Y194" s="472">
        <f t="shared" si="319"/>
        <v>13.654666666666667</v>
      </c>
      <c r="Z194" s="472">
        <f t="shared" si="319"/>
        <v>13.654666666666667</v>
      </c>
      <c r="AA194" s="472">
        <f t="shared" si="319"/>
        <v>13.654666666666667</v>
      </c>
      <c r="AB194" s="472">
        <f t="shared" si="319"/>
        <v>13.654666666666667</v>
      </c>
      <c r="AC194" s="472">
        <f t="shared" si="319"/>
        <v>13.654666666666667</v>
      </c>
      <c r="AD194" s="472">
        <f t="shared" si="319"/>
        <v>8.6881818181818193</v>
      </c>
      <c r="AE194" s="472">
        <f t="shared" si="319"/>
        <v>13.654666666666667</v>
      </c>
      <c r="AF194" s="472">
        <f t="shared" si="319"/>
        <v>13.654666666666667</v>
      </c>
      <c r="AG194" s="472">
        <f t="shared" si="319"/>
        <v>13.654666666666667</v>
      </c>
      <c r="AH194" s="472">
        <f t="shared" si="319"/>
        <v>13.654666666666667</v>
      </c>
      <c r="AI194" s="472">
        <f t="shared" si="319"/>
        <v>13.654666666666667</v>
      </c>
      <c r="AJ194" s="472">
        <f t="shared" si="319"/>
        <v>13.654666666666667</v>
      </c>
      <c r="AK194" s="472">
        <f t="shared" si="319"/>
        <v>8.6881818181818193</v>
      </c>
      <c r="AL194" s="472">
        <f t="shared" si="319"/>
        <v>13.654666666666667</v>
      </c>
      <c r="AM194" s="472">
        <f t="shared" si="319"/>
        <v>13.654666666666667</v>
      </c>
      <c r="AN194" s="472">
        <f t="shared" si="319"/>
        <v>13.654666666666667</v>
      </c>
      <c r="AO194" s="472">
        <f t="shared" si="319"/>
        <v>13.654666666666667</v>
      </c>
      <c r="AP194" s="402"/>
    </row>
    <row r="197" s="402" customFormat="1" ht="34.5" customHeight="1">
      <c r="A197" s="465" t="s">
        <v>80</v>
      </c>
      <c r="B197" s="471" t="s">
        <v>81</v>
      </c>
      <c r="C197" s="467">
        <f>'[6]План пр-ва по единицам обор'!$L$23</f>
        <v>6626.3013454545462</v>
      </c>
      <c r="D197" s="473">
        <f>SUM(K197:AO197)</f>
        <v>6626.3013454545471</v>
      </c>
      <c r="E197" s="469"/>
      <c r="F197" s="470"/>
      <c r="G197" s="470"/>
      <c r="H197" s="471"/>
      <c r="I197" s="471"/>
      <c r="J197" s="471"/>
      <c r="K197" s="474">
        <f>$C$197/$D$40*K40</f>
        <v>0</v>
      </c>
      <c r="L197" s="474">
        <f>$C$197/$D$40*L40</f>
        <v>0</v>
      </c>
      <c r="M197" s="474">
        <f>$C$197/$D$40*M40</f>
        <v>0</v>
      </c>
      <c r="N197" s="474">
        <f t="shared" ref="N197:AO197" si="320">$C$197/$D$40*N40</f>
        <v>442.32276657390139</v>
      </c>
      <c r="O197" s="474">
        <f t="shared" si="320"/>
        <v>442.32276657390139</v>
      </c>
      <c r="P197" s="474">
        <f t="shared" si="320"/>
        <v>442.32276657390139</v>
      </c>
      <c r="Q197" s="474">
        <f t="shared" si="320"/>
        <v>442.32276657390139</v>
      </c>
      <c r="R197" s="474">
        <f t="shared" si="320"/>
        <v>442.32276657390139</v>
      </c>
      <c r="S197" s="474">
        <f t="shared" si="320"/>
        <v>442.32276657390139</v>
      </c>
      <c r="T197" s="474">
        <f t="shared" si="320"/>
        <v>0</v>
      </c>
      <c r="U197" s="474">
        <f t="shared" si="320"/>
        <v>0</v>
      </c>
      <c r="V197" s="474">
        <f t="shared" si="320"/>
        <v>0</v>
      </c>
      <c r="W197" s="474">
        <f t="shared" si="320"/>
        <v>111.79930405770432</v>
      </c>
      <c r="X197" s="474">
        <f t="shared" si="320"/>
        <v>223.59860811540864</v>
      </c>
      <c r="Y197" s="474">
        <f t="shared" si="320"/>
        <v>223.59860811540864</v>
      </c>
      <c r="Z197" s="474">
        <f t="shared" si="320"/>
        <v>223.59860811540864</v>
      </c>
      <c r="AA197" s="474">
        <f t="shared" si="320"/>
        <v>223.59860811540864</v>
      </c>
      <c r="AB197" s="474">
        <f t="shared" si="320"/>
        <v>223.59860811540864</v>
      </c>
      <c r="AC197" s="474">
        <f t="shared" si="320"/>
        <v>141.49385605344708</v>
      </c>
      <c r="AD197" s="474">
        <f t="shared" si="320"/>
        <v>223.59860811540864</v>
      </c>
      <c r="AE197" s="474">
        <f t="shared" si="320"/>
        <v>223.59860811540864</v>
      </c>
      <c r="AF197" s="474">
        <f t="shared" si="320"/>
        <v>223.59860811540864</v>
      </c>
      <c r="AG197" s="474">
        <f t="shared" si="320"/>
        <v>223.59860811540864</v>
      </c>
      <c r="AH197" s="474">
        <f t="shared" si="320"/>
        <v>223.59860811540864</v>
      </c>
      <c r="AI197" s="474">
        <f t="shared" si="320"/>
        <v>223.59860811540864</v>
      </c>
      <c r="AJ197" s="474">
        <f t="shared" si="320"/>
        <v>141.49385605344708</v>
      </c>
      <c r="AK197" s="474">
        <f t="shared" si="320"/>
        <v>223.59860811540864</v>
      </c>
      <c r="AL197" s="474">
        <f t="shared" si="320"/>
        <v>223.59860811540864</v>
      </c>
      <c r="AM197" s="474">
        <f t="shared" si="320"/>
        <v>223.59860811540864</v>
      </c>
      <c r="AN197" s="474">
        <f t="shared" si="320"/>
        <v>223.59860811540864</v>
      </c>
      <c r="AO197" s="474">
        <f t="shared" si="320"/>
        <v>223.59860811540864</v>
      </c>
      <c r="AP197" s="402"/>
    </row>
    <row r="198">
      <c r="D198" s="475">
        <f>D197-C197</f>
        <v>0</v>
      </c>
    </row>
    <row r="201" ht="30" customHeight="1">
      <c r="A201" s="476" t="s">
        <v>82</v>
      </c>
      <c r="B201" s="476"/>
      <c r="C201" s="206"/>
      <c r="D201" s="206"/>
      <c r="F201" s="25"/>
      <c r="G201" s="146"/>
      <c r="H201" s="147"/>
      <c r="I201" s="207"/>
      <c r="J201" s="147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42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42"/>
      <c r="AL201" s="24"/>
      <c r="AM201" s="24"/>
      <c r="AN201" s="24"/>
      <c r="AP201" s="61"/>
    </row>
    <row r="202" s="123" customFormat="1" ht="34.149999999999999" customHeight="1">
      <c r="A202" s="477"/>
      <c r="B202" s="478"/>
      <c r="C202" s="479" t="s">
        <v>11</v>
      </c>
      <c r="D202" s="480" t="s">
        <v>12</v>
      </c>
      <c r="E202" s="481" t="s">
        <v>13</v>
      </c>
      <c r="F202" s="482" t="s">
        <v>14</v>
      </c>
      <c r="G202" s="483" t="s">
        <v>15</v>
      </c>
      <c r="H202" s="484" t="s">
        <v>16</v>
      </c>
      <c r="I202" s="484" t="s">
        <v>17</v>
      </c>
      <c r="J202" s="485" t="s">
        <v>18</v>
      </c>
      <c r="K202" s="486">
        <v>44562</v>
      </c>
      <c r="L202" s="486">
        <v>44563</v>
      </c>
      <c r="M202" s="486">
        <v>44564</v>
      </c>
      <c r="N202" s="486">
        <v>44565</v>
      </c>
      <c r="O202" s="486">
        <v>44566</v>
      </c>
      <c r="P202" s="486">
        <v>44567</v>
      </c>
      <c r="Q202" s="486">
        <v>44568</v>
      </c>
      <c r="R202" s="486">
        <v>44569</v>
      </c>
      <c r="S202" s="486">
        <v>44570</v>
      </c>
      <c r="T202" s="486">
        <v>44571</v>
      </c>
      <c r="U202" s="486">
        <v>44572</v>
      </c>
      <c r="V202" s="486">
        <v>44573</v>
      </c>
      <c r="W202" s="486">
        <v>44574</v>
      </c>
      <c r="X202" s="486">
        <v>44575</v>
      </c>
      <c r="Y202" s="486">
        <v>44576</v>
      </c>
      <c r="Z202" s="486">
        <v>44577</v>
      </c>
      <c r="AA202" s="486">
        <v>44578</v>
      </c>
      <c r="AB202" s="486">
        <v>44579</v>
      </c>
      <c r="AC202" s="486">
        <v>44580</v>
      </c>
      <c r="AD202" s="486">
        <v>44581</v>
      </c>
      <c r="AE202" s="486">
        <v>44582</v>
      </c>
      <c r="AF202" s="486">
        <v>44583</v>
      </c>
      <c r="AG202" s="486">
        <v>44584</v>
      </c>
      <c r="AH202" s="486">
        <v>44585</v>
      </c>
      <c r="AI202" s="486">
        <v>44586</v>
      </c>
      <c r="AJ202" s="486">
        <v>44587</v>
      </c>
      <c r="AK202" s="486">
        <v>44588</v>
      </c>
      <c r="AL202" s="486">
        <v>44589</v>
      </c>
      <c r="AM202" s="486">
        <v>44590</v>
      </c>
      <c r="AN202" s="486">
        <v>44591</v>
      </c>
      <c r="AO202" s="486">
        <v>44592</v>
      </c>
      <c r="AP202" s="61"/>
    </row>
    <row r="203" ht="30.600000000000001" customHeight="1" outlineLevel="1">
      <c r="A203" s="487" t="s">
        <v>82</v>
      </c>
      <c r="B203" s="488" t="s">
        <v>83</v>
      </c>
      <c r="C203" s="489">
        <f>'[6]Баланс ЦПБФ'!$G$92*0</f>
        <v>0</v>
      </c>
      <c r="D203" s="490">
        <f t="shared" ref="D203:D206" si="321">SUM(K203:AO203)</f>
        <v>0</v>
      </c>
      <c r="E203" s="491"/>
      <c r="F203" s="492">
        <f t="shared" ref="F203:F204" si="322">COUNTA(K203:AN203)</f>
        <v>30</v>
      </c>
      <c r="G203" s="493"/>
      <c r="H203" s="494"/>
      <c r="I203" s="495"/>
      <c r="J203" s="496"/>
      <c r="K203" s="497">
        <f>K40*$C$209</f>
        <v>0</v>
      </c>
      <c r="L203" s="497">
        <f t="shared" ref="L203:AN203" si="323">L40*$C$209</f>
        <v>0</v>
      </c>
      <c r="M203" s="497">
        <f t="shared" si="323"/>
        <v>0</v>
      </c>
      <c r="N203" s="497">
        <f t="shared" si="323"/>
        <v>0</v>
      </c>
      <c r="O203" s="497">
        <f t="shared" si="323"/>
        <v>0</v>
      </c>
      <c r="P203" s="497">
        <f t="shared" si="323"/>
        <v>0</v>
      </c>
      <c r="Q203" s="497">
        <f t="shared" si="323"/>
        <v>0</v>
      </c>
      <c r="R203" s="497">
        <f t="shared" si="323"/>
        <v>0</v>
      </c>
      <c r="S203" s="497">
        <f t="shared" si="323"/>
        <v>0</v>
      </c>
      <c r="T203" s="497">
        <f t="shared" si="323"/>
        <v>0</v>
      </c>
      <c r="U203" s="497">
        <f t="shared" si="323"/>
        <v>0</v>
      </c>
      <c r="V203" s="497">
        <f t="shared" si="323"/>
        <v>0</v>
      </c>
      <c r="W203" s="497">
        <f t="shared" si="323"/>
        <v>0</v>
      </c>
      <c r="X203" s="497">
        <f t="shared" si="323"/>
        <v>0</v>
      </c>
      <c r="Y203" s="497">
        <f t="shared" si="323"/>
        <v>0</v>
      </c>
      <c r="Z203" s="497">
        <f t="shared" si="323"/>
        <v>0</v>
      </c>
      <c r="AA203" s="497">
        <f t="shared" si="323"/>
        <v>0</v>
      </c>
      <c r="AB203" s="497">
        <f t="shared" si="323"/>
        <v>0</v>
      </c>
      <c r="AC203" s="497">
        <f t="shared" si="323"/>
        <v>0</v>
      </c>
      <c r="AD203" s="497">
        <f t="shared" si="323"/>
        <v>0</v>
      </c>
      <c r="AE203" s="497">
        <f t="shared" si="323"/>
        <v>0</v>
      </c>
      <c r="AF203" s="497">
        <f t="shared" si="323"/>
        <v>0</v>
      </c>
      <c r="AG203" s="497">
        <f t="shared" si="323"/>
        <v>0</v>
      </c>
      <c r="AH203" s="497">
        <f t="shared" si="323"/>
        <v>0</v>
      </c>
      <c r="AI203" s="497">
        <f t="shared" si="323"/>
        <v>0</v>
      </c>
      <c r="AJ203" s="497">
        <f t="shared" si="323"/>
        <v>0</v>
      </c>
      <c r="AK203" s="497">
        <f t="shared" si="323"/>
        <v>0</v>
      </c>
      <c r="AL203" s="497">
        <f t="shared" si="323"/>
        <v>0</v>
      </c>
      <c r="AM203" s="497">
        <f t="shared" si="323"/>
        <v>0</v>
      </c>
      <c r="AN203" s="497">
        <f t="shared" si="323"/>
        <v>0</v>
      </c>
      <c r="AO203" s="497">
        <f>AO40*$C$209</f>
        <v>0</v>
      </c>
      <c r="AP203" s="61"/>
    </row>
    <row r="204" ht="45.600000000000001" customHeight="1" outlineLevel="1">
      <c r="A204" s="498"/>
      <c r="B204" s="499" t="s">
        <v>84</v>
      </c>
      <c r="C204" s="489">
        <f>'[6]Баланс ЦПБФ'!$H$92</f>
        <v>0</v>
      </c>
      <c r="D204" s="490">
        <f t="shared" si="321"/>
        <v>0</v>
      </c>
      <c r="E204" s="491"/>
      <c r="F204" s="492">
        <f t="shared" si="322"/>
        <v>30</v>
      </c>
      <c r="G204" s="493"/>
      <c r="H204" s="494"/>
      <c r="I204" s="495"/>
      <c r="J204" s="496"/>
      <c r="K204" s="500">
        <f t="shared" ref="K204:AO204" si="324">K40*$C$210</f>
        <v>0</v>
      </c>
      <c r="L204" s="500">
        <f t="shared" si="324"/>
        <v>0</v>
      </c>
      <c r="M204" s="500">
        <f t="shared" si="324"/>
        <v>0</v>
      </c>
      <c r="N204" s="500">
        <f t="shared" si="324"/>
        <v>0</v>
      </c>
      <c r="O204" s="500">
        <f t="shared" si="324"/>
        <v>0</v>
      </c>
      <c r="P204" s="500">
        <f t="shared" si="324"/>
        <v>0</v>
      </c>
      <c r="Q204" s="500">
        <f t="shared" si="324"/>
        <v>0</v>
      </c>
      <c r="R204" s="500">
        <f t="shared" si="324"/>
        <v>0</v>
      </c>
      <c r="S204" s="500">
        <f t="shared" si="324"/>
        <v>0</v>
      </c>
      <c r="T204" s="500">
        <f t="shared" si="324"/>
        <v>0</v>
      </c>
      <c r="U204" s="500">
        <f t="shared" si="324"/>
        <v>0</v>
      </c>
      <c r="V204" s="500">
        <f t="shared" si="324"/>
        <v>0</v>
      </c>
      <c r="W204" s="500">
        <f t="shared" si="324"/>
        <v>0</v>
      </c>
      <c r="X204" s="500">
        <f t="shared" si="324"/>
        <v>0</v>
      </c>
      <c r="Y204" s="500">
        <f t="shared" si="324"/>
        <v>0</v>
      </c>
      <c r="Z204" s="500">
        <f t="shared" si="324"/>
        <v>0</v>
      </c>
      <c r="AA204" s="500">
        <f t="shared" si="324"/>
        <v>0</v>
      </c>
      <c r="AB204" s="500">
        <f t="shared" si="324"/>
        <v>0</v>
      </c>
      <c r="AC204" s="500">
        <f t="shared" si="324"/>
        <v>0</v>
      </c>
      <c r="AD204" s="500">
        <f t="shared" si="324"/>
        <v>0</v>
      </c>
      <c r="AE204" s="500">
        <f t="shared" si="324"/>
        <v>0</v>
      </c>
      <c r="AF204" s="500">
        <f t="shared" si="324"/>
        <v>0</v>
      </c>
      <c r="AG204" s="500">
        <f t="shared" si="324"/>
        <v>0</v>
      </c>
      <c r="AH204" s="500">
        <f t="shared" si="324"/>
        <v>0</v>
      </c>
      <c r="AI204" s="500">
        <f t="shared" si="324"/>
        <v>0</v>
      </c>
      <c r="AJ204" s="500">
        <f t="shared" si="324"/>
        <v>0</v>
      </c>
      <c r="AK204" s="500">
        <f t="shared" si="324"/>
        <v>0</v>
      </c>
      <c r="AL204" s="500">
        <f t="shared" si="324"/>
        <v>0</v>
      </c>
      <c r="AM204" s="500">
        <f t="shared" si="324"/>
        <v>0</v>
      </c>
      <c r="AN204" s="500">
        <f t="shared" si="324"/>
        <v>0</v>
      </c>
      <c r="AO204" s="501">
        <f t="shared" si="324"/>
        <v>0</v>
      </c>
      <c r="AP204" s="61"/>
    </row>
    <row r="205" ht="19.899999999999999" customHeight="1" outlineLevel="1">
      <c r="A205" s="498"/>
      <c r="B205" s="502"/>
      <c r="C205" s="503"/>
      <c r="D205" s="490">
        <f t="shared" si="321"/>
        <v>0</v>
      </c>
      <c r="E205" s="491"/>
      <c r="F205" s="504"/>
      <c r="G205" s="505"/>
      <c r="H205" s="506"/>
      <c r="I205" s="507"/>
      <c r="J205" s="508"/>
      <c r="K205" s="501">
        <f t="shared" ref="K205:T206" si="325">$E205/11*(11-($H205+$I205))</f>
        <v>0</v>
      </c>
      <c r="L205" s="501">
        <f t="shared" si="325"/>
        <v>0</v>
      </c>
      <c r="M205" s="501">
        <f t="shared" si="325"/>
        <v>0</v>
      </c>
      <c r="N205" s="501">
        <f t="shared" si="325"/>
        <v>0</v>
      </c>
      <c r="O205" s="501">
        <f t="shared" si="325"/>
        <v>0</v>
      </c>
      <c r="P205" s="501">
        <f t="shared" si="325"/>
        <v>0</v>
      </c>
      <c r="Q205" s="501">
        <f t="shared" si="325"/>
        <v>0</v>
      </c>
      <c r="R205" s="501">
        <f t="shared" si="325"/>
        <v>0</v>
      </c>
      <c r="S205" s="501">
        <f t="shared" si="325"/>
        <v>0</v>
      </c>
      <c r="T205" s="501">
        <f t="shared" si="325"/>
        <v>0</v>
      </c>
      <c r="U205" s="501">
        <f t="shared" ref="U205:AD206" si="326">$E205/11*(11-($H205+$I205))</f>
        <v>0</v>
      </c>
      <c r="V205" s="501">
        <f t="shared" si="326"/>
        <v>0</v>
      </c>
      <c r="W205" s="501">
        <f t="shared" si="326"/>
        <v>0</v>
      </c>
      <c r="X205" s="501">
        <f t="shared" si="326"/>
        <v>0</v>
      </c>
      <c r="Y205" s="501">
        <f t="shared" si="326"/>
        <v>0</v>
      </c>
      <c r="Z205" s="501">
        <f t="shared" si="326"/>
        <v>0</v>
      </c>
      <c r="AA205" s="501">
        <f t="shared" si="326"/>
        <v>0</v>
      </c>
      <c r="AB205" s="501">
        <f t="shared" si="326"/>
        <v>0</v>
      </c>
      <c r="AC205" s="501">
        <f t="shared" si="326"/>
        <v>0</v>
      </c>
      <c r="AD205" s="501">
        <f t="shared" si="326"/>
        <v>0</v>
      </c>
      <c r="AE205" s="501">
        <f t="shared" ref="AE205:AO206" si="327">$E205/11*(11-($H205+$I205))</f>
        <v>0</v>
      </c>
      <c r="AF205" s="501">
        <f t="shared" si="327"/>
        <v>0</v>
      </c>
      <c r="AG205" s="501">
        <f t="shared" si="327"/>
        <v>0</v>
      </c>
      <c r="AH205" s="501">
        <f t="shared" si="327"/>
        <v>0</v>
      </c>
      <c r="AI205" s="501">
        <f t="shared" si="327"/>
        <v>0</v>
      </c>
      <c r="AJ205" s="501">
        <f t="shared" si="327"/>
        <v>0</v>
      </c>
      <c r="AK205" s="501">
        <f t="shared" si="327"/>
        <v>0</v>
      </c>
      <c r="AL205" s="501">
        <f t="shared" si="327"/>
        <v>0</v>
      </c>
      <c r="AM205" s="501">
        <f t="shared" si="327"/>
        <v>0</v>
      </c>
      <c r="AN205" s="501">
        <f t="shared" si="327"/>
        <v>0</v>
      </c>
      <c r="AO205" s="501">
        <f t="shared" si="327"/>
        <v>0</v>
      </c>
      <c r="AP205" s="61"/>
    </row>
    <row r="206" ht="13.9" customHeight="1" outlineLevel="1">
      <c r="A206" s="509"/>
      <c r="B206" s="510"/>
      <c r="C206" s="503"/>
      <c r="D206" s="490">
        <f t="shared" si="321"/>
        <v>0</v>
      </c>
      <c r="E206" s="491"/>
      <c r="F206" s="504"/>
      <c r="G206" s="505"/>
      <c r="H206" s="506"/>
      <c r="I206" s="507"/>
      <c r="J206" s="508"/>
      <c r="K206" s="511">
        <f t="shared" si="325"/>
        <v>0</v>
      </c>
      <c r="L206" s="511">
        <f t="shared" si="325"/>
        <v>0</v>
      </c>
      <c r="M206" s="511">
        <f t="shared" si="325"/>
        <v>0</v>
      </c>
      <c r="N206" s="511">
        <f t="shared" si="325"/>
        <v>0</v>
      </c>
      <c r="O206" s="511">
        <f t="shared" si="325"/>
        <v>0</v>
      </c>
      <c r="P206" s="511">
        <f t="shared" si="325"/>
        <v>0</v>
      </c>
      <c r="Q206" s="511">
        <f t="shared" si="325"/>
        <v>0</v>
      </c>
      <c r="R206" s="511">
        <f t="shared" si="325"/>
        <v>0</v>
      </c>
      <c r="S206" s="511">
        <f t="shared" si="325"/>
        <v>0</v>
      </c>
      <c r="T206" s="511">
        <f t="shared" si="325"/>
        <v>0</v>
      </c>
      <c r="U206" s="511">
        <f t="shared" si="326"/>
        <v>0</v>
      </c>
      <c r="V206" s="511">
        <f t="shared" si="326"/>
        <v>0</v>
      </c>
      <c r="W206" s="511">
        <f t="shared" si="326"/>
        <v>0</v>
      </c>
      <c r="X206" s="511">
        <f t="shared" si="326"/>
        <v>0</v>
      </c>
      <c r="Y206" s="511">
        <f t="shared" si="326"/>
        <v>0</v>
      </c>
      <c r="Z206" s="511">
        <f t="shared" si="326"/>
        <v>0</v>
      </c>
      <c r="AA206" s="511">
        <f t="shared" si="326"/>
        <v>0</v>
      </c>
      <c r="AB206" s="511">
        <f t="shared" si="326"/>
        <v>0</v>
      </c>
      <c r="AC206" s="511">
        <f t="shared" si="326"/>
        <v>0</v>
      </c>
      <c r="AD206" s="511">
        <f t="shared" si="326"/>
        <v>0</v>
      </c>
      <c r="AE206" s="511">
        <f t="shared" si="327"/>
        <v>0</v>
      </c>
      <c r="AF206" s="511">
        <f t="shared" si="327"/>
        <v>0</v>
      </c>
      <c r="AG206" s="511">
        <f t="shared" si="327"/>
        <v>0</v>
      </c>
      <c r="AH206" s="511">
        <f t="shared" si="327"/>
        <v>0</v>
      </c>
      <c r="AI206" s="511">
        <f t="shared" si="327"/>
        <v>0</v>
      </c>
      <c r="AJ206" s="511">
        <f t="shared" si="327"/>
        <v>0</v>
      </c>
      <c r="AK206" s="511">
        <f t="shared" si="327"/>
        <v>0</v>
      </c>
      <c r="AL206" s="511">
        <f t="shared" si="327"/>
        <v>0</v>
      </c>
      <c r="AM206" s="511">
        <f t="shared" si="327"/>
        <v>0</v>
      </c>
      <c r="AN206" s="511">
        <f t="shared" si="327"/>
        <v>0</v>
      </c>
      <c r="AO206" s="511">
        <f t="shared" si="327"/>
        <v>0</v>
      </c>
      <c r="AP206" s="61"/>
    </row>
    <row r="207" s="220" customFormat="1" ht="18.600000000000001" customHeight="1">
      <c r="A207" s="221"/>
      <c r="B207" s="165" t="s">
        <v>18</v>
      </c>
      <c r="C207" s="512">
        <f>SUM(C203:C206)</f>
        <v>0</v>
      </c>
      <c r="D207" s="513">
        <f>SUM(D203:D206)</f>
        <v>0</v>
      </c>
      <c r="E207" s="514" t="s">
        <v>19</v>
      </c>
      <c r="F207" s="515">
        <f>SUM(F203:F206)</f>
        <v>60</v>
      </c>
      <c r="G207" s="516">
        <f>SUM(G203:G206)</f>
        <v>0</v>
      </c>
      <c r="H207" s="517">
        <f>SUM(H203:H206)</f>
        <v>0</v>
      </c>
      <c r="I207" s="518" t="s">
        <v>19</v>
      </c>
      <c r="J207" s="519">
        <f t="shared" si="317"/>
        <v>0</v>
      </c>
      <c r="K207" s="520">
        <f t="shared" si="317"/>
        <v>0</v>
      </c>
      <c r="L207" s="520">
        <f t="shared" ref="L207:AO207" si="328">SUM(L203:L206)</f>
        <v>0</v>
      </c>
      <c r="M207" s="520">
        <f t="shared" si="328"/>
        <v>0</v>
      </c>
      <c r="N207" s="520">
        <f t="shared" si="328"/>
        <v>0</v>
      </c>
      <c r="O207" s="520">
        <f t="shared" si="328"/>
        <v>0</v>
      </c>
      <c r="P207" s="520">
        <f t="shared" si="328"/>
        <v>0</v>
      </c>
      <c r="Q207" s="520">
        <f t="shared" si="328"/>
        <v>0</v>
      </c>
      <c r="R207" s="520">
        <f t="shared" si="328"/>
        <v>0</v>
      </c>
      <c r="S207" s="520">
        <f t="shared" si="328"/>
        <v>0</v>
      </c>
      <c r="T207" s="520">
        <f t="shared" si="328"/>
        <v>0</v>
      </c>
      <c r="U207" s="520">
        <f t="shared" si="328"/>
        <v>0</v>
      </c>
      <c r="V207" s="520">
        <f t="shared" si="328"/>
        <v>0</v>
      </c>
      <c r="W207" s="520">
        <f t="shared" si="328"/>
        <v>0</v>
      </c>
      <c r="X207" s="520">
        <f t="shared" si="328"/>
        <v>0</v>
      </c>
      <c r="Y207" s="520">
        <f t="shared" si="328"/>
        <v>0</v>
      </c>
      <c r="Z207" s="520">
        <f t="shared" si="328"/>
        <v>0</v>
      </c>
      <c r="AA207" s="520">
        <f t="shared" si="328"/>
        <v>0</v>
      </c>
      <c r="AB207" s="520">
        <f t="shared" si="328"/>
        <v>0</v>
      </c>
      <c r="AC207" s="520">
        <f t="shared" si="328"/>
        <v>0</v>
      </c>
      <c r="AD207" s="520">
        <f t="shared" si="328"/>
        <v>0</v>
      </c>
      <c r="AE207" s="520">
        <f t="shared" si="328"/>
        <v>0</v>
      </c>
      <c r="AF207" s="520">
        <f t="shared" si="328"/>
        <v>0</v>
      </c>
      <c r="AG207" s="520">
        <f t="shared" si="328"/>
        <v>0</v>
      </c>
      <c r="AH207" s="520">
        <f t="shared" si="328"/>
        <v>0</v>
      </c>
      <c r="AI207" s="520">
        <f t="shared" si="328"/>
        <v>0</v>
      </c>
      <c r="AJ207" s="520">
        <f t="shared" si="328"/>
        <v>0</v>
      </c>
      <c r="AK207" s="520">
        <f t="shared" si="328"/>
        <v>0</v>
      </c>
      <c r="AL207" s="520">
        <f t="shared" si="328"/>
        <v>0</v>
      </c>
      <c r="AM207" s="520">
        <f t="shared" si="328"/>
        <v>0</v>
      </c>
      <c r="AN207" s="520">
        <f t="shared" si="328"/>
        <v>0</v>
      </c>
      <c r="AO207" s="228">
        <f t="shared" si="328"/>
        <v>0</v>
      </c>
      <c r="AP207" s="61"/>
    </row>
    <row r="209">
      <c r="B209" s="521" t="s">
        <v>85</v>
      </c>
      <c r="C209" s="522">
        <f t="shared" ref="C209:C210" si="329">C203/$C$40</f>
        <v>0</v>
      </c>
    </row>
    <row r="210">
      <c r="B210" s="521" t="s">
        <v>86</v>
      </c>
      <c r="C210" s="522">
        <f t="shared" si="329"/>
        <v>0</v>
      </c>
    </row>
    <row r="212">
      <c r="A212" s="24" t="s">
        <v>87</v>
      </c>
    </row>
    <row r="214" ht="21">
      <c r="A214" s="523" t="s">
        <v>88</v>
      </c>
    </row>
    <row r="215" ht="20.25" customHeight="1">
      <c r="K215" s="486">
        <v>44562</v>
      </c>
      <c r="L215" s="486">
        <v>44563</v>
      </c>
      <c r="M215" s="486">
        <v>44564</v>
      </c>
      <c r="N215" s="486">
        <v>44565</v>
      </c>
      <c r="O215" s="486">
        <v>44566</v>
      </c>
      <c r="P215" s="486">
        <v>44567</v>
      </c>
      <c r="Q215" s="486">
        <v>44568</v>
      </c>
      <c r="R215" s="486">
        <v>44569</v>
      </c>
      <c r="S215" s="486">
        <v>44570</v>
      </c>
      <c r="T215" s="486">
        <v>44571</v>
      </c>
      <c r="U215" s="486">
        <v>44572</v>
      </c>
      <c r="V215" s="486">
        <v>44573</v>
      </c>
      <c r="W215" s="486">
        <v>44574</v>
      </c>
      <c r="X215" s="486">
        <v>44575</v>
      </c>
      <c r="Y215" s="486">
        <v>44576</v>
      </c>
      <c r="Z215" s="486">
        <v>44577</v>
      </c>
      <c r="AA215" s="486">
        <v>44578</v>
      </c>
      <c r="AB215" s="486">
        <v>44579</v>
      </c>
      <c r="AC215" s="486">
        <v>44580</v>
      </c>
      <c r="AD215" s="486">
        <v>44581</v>
      </c>
      <c r="AE215" s="486">
        <v>44582</v>
      </c>
      <c r="AF215" s="486">
        <v>44583</v>
      </c>
      <c r="AG215" s="486">
        <v>44584</v>
      </c>
      <c r="AH215" s="486">
        <v>44585</v>
      </c>
      <c r="AI215" s="486">
        <v>44586</v>
      </c>
      <c r="AJ215" s="486">
        <v>44587</v>
      </c>
      <c r="AK215" s="486">
        <v>44588</v>
      </c>
      <c r="AL215" s="486">
        <v>44589</v>
      </c>
      <c r="AM215" s="486">
        <v>44590</v>
      </c>
      <c r="AN215" s="486">
        <v>44591</v>
      </c>
      <c r="AO215" s="486">
        <v>44592</v>
      </c>
      <c r="AP215" s="24" t="s">
        <v>89</v>
      </c>
    </row>
    <row r="216">
      <c r="A216" s="524" t="s">
        <v>90</v>
      </c>
      <c r="B216" s="525">
        <f>'[6]Баланс ЦПБФ'!C32</f>
        <v>0.028000000000000001</v>
      </c>
      <c r="K216" s="526">
        <f t="shared" ref="K216:Z220" si="330">(K$11*0.3+K$18*0.2)/1.099*$B216*128</f>
        <v>0</v>
      </c>
      <c r="L216" s="526">
        <f t="shared" ref="L216:AO220" si="331">(L$11*0.3+L$18*0.2)/1.099*$B216*128</f>
        <v>0</v>
      </c>
      <c r="M216" s="526">
        <f t="shared" si="331"/>
        <v>0</v>
      </c>
      <c r="N216" s="527">
        <f t="shared" si="331"/>
        <v>302.92028874734604</v>
      </c>
      <c r="O216" s="527">
        <f t="shared" si="331"/>
        <v>302.92028874734604</v>
      </c>
      <c r="P216" s="527">
        <f t="shared" si="331"/>
        <v>302.92028874734604</v>
      </c>
      <c r="Q216" s="527">
        <f t="shared" si="331"/>
        <v>302.92028874734604</v>
      </c>
      <c r="R216" s="527">
        <f t="shared" si="331"/>
        <v>302.92028874734604</v>
      </c>
      <c r="S216" s="527">
        <f t="shared" si="331"/>
        <v>302.92028874734604</v>
      </c>
      <c r="T216" s="527">
        <f t="shared" si="331"/>
        <v>228.50853503184712</v>
      </c>
      <c r="U216" s="527">
        <f t="shared" si="331"/>
        <v>228.50853503184712</v>
      </c>
      <c r="V216" s="527">
        <f t="shared" si="331"/>
        <v>281.24127388535032</v>
      </c>
      <c r="W216" s="527">
        <f t="shared" si="331"/>
        <v>178.94800231615517</v>
      </c>
      <c r="X216" s="527">
        <f t="shared" si="331"/>
        <v>281.24127388535032</v>
      </c>
      <c r="Y216" s="527">
        <f t="shared" si="331"/>
        <v>281.24127388535032</v>
      </c>
      <c r="Z216" s="527">
        <f t="shared" si="331"/>
        <v>281.24127388535032</v>
      </c>
      <c r="AA216" s="527">
        <f t="shared" si="331"/>
        <v>281.24127388535032</v>
      </c>
      <c r="AB216" s="527">
        <f t="shared" si="331"/>
        <v>281.24127388535032</v>
      </c>
      <c r="AC216" s="527">
        <f t="shared" si="331"/>
        <v>281.24127388535032</v>
      </c>
      <c r="AD216" s="527">
        <f t="shared" si="331"/>
        <v>178.94800231615517</v>
      </c>
      <c r="AE216" s="527">
        <f t="shared" si="331"/>
        <v>281.24127388535032</v>
      </c>
      <c r="AF216" s="527">
        <f t="shared" si="331"/>
        <v>281.24127388535032</v>
      </c>
      <c r="AG216" s="527">
        <f t="shared" si="331"/>
        <v>281.24127388535032</v>
      </c>
      <c r="AH216" s="527">
        <f t="shared" si="331"/>
        <v>281.24127388535032</v>
      </c>
      <c r="AI216" s="527">
        <f t="shared" si="331"/>
        <v>281.24127388535032</v>
      </c>
      <c r="AJ216" s="527">
        <f t="shared" si="331"/>
        <v>281.24127388535032</v>
      </c>
      <c r="AK216" s="527">
        <f t="shared" si="331"/>
        <v>178.94800231615517</v>
      </c>
      <c r="AL216" s="527">
        <f t="shared" si="331"/>
        <v>281.24127388535032</v>
      </c>
      <c r="AM216" s="527">
        <f t="shared" si="331"/>
        <v>281.24127388535032</v>
      </c>
      <c r="AN216" s="527">
        <f t="shared" si="331"/>
        <v>281.24127388535032</v>
      </c>
      <c r="AO216" s="527">
        <f t="shared" si="331"/>
        <v>281.24127388535032</v>
      </c>
      <c r="AP216" s="528">
        <f t="shared" ref="AP216:AP220" si="332">SUM(K216:AO216)</f>
        <v>7592.4844655471879</v>
      </c>
    </row>
    <row r="217">
      <c r="A217" s="524" t="s">
        <v>91</v>
      </c>
      <c r="B217" s="525">
        <f>'[6]Баланс ЦПБФ'!C33</f>
        <v>0.080000000000000002</v>
      </c>
      <c r="K217" s="526">
        <f t="shared" si="330"/>
        <v>0</v>
      </c>
      <c r="L217" s="526">
        <f t="shared" si="330"/>
        <v>0</v>
      </c>
      <c r="M217" s="526">
        <f t="shared" si="330"/>
        <v>0</v>
      </c>
      <c r="N217" s="527">
        <f t="shared" si="330"/>
        <v>865.48653927813154</v>
      </c>
      <c r="O217" s="527">
        <f t="shared" si="330"/>
        <v>865.48653927813154</v>
      </c>
      <c r="P217" s="527">
        <f t="shared" si="330"/>
        <v>865.48653927813154</v>
      </c>
      <c r="Q217" s="527">
        <f t="shared" si="330"/>
        <v>865.48653927813154</v>
      </c>
      <c r="R217" s="527">
        <f t="shared" si="330"/>
        <v>865.48653927813154</v>
      </c>
      <c r="S217" s="527">
        <f t="shared" si="330"/>
        <v>865.48653927813154</v>
      </c>
      <c r="T217" s="527">
        <f t="shared" si="330"/>
        <v>652.88152866242035</v>
      </c>
      <c r="U217" s="527">
        <f t="shared" si="330"/>
        <v>652.88152866242035</v>
      </c>
      <c r="V217" s="527">
        <f t="shared" si="330"/>
        <v>803.54649681528667</v>
      </c>
      <c r="W217" s="527">
        <f t="shared" si="330"/>
        <v>511.2800066175862</v>
      </c>
      <c r="X217" s="527">
        <f t="shared" si="330"/>
        <v>803.54649681528667</v>
      </c>
      <c r="Y217" s="527">
        <f t="shared" si="330"/>
        <v>803.54649681528667</v>
      </c>
      <c r="Z217" s="527">
        <f t="shared" si="330"/>
        <v>803.54649681528667</v>
      </c>
      <c r="AA217" s="527">
        <f t="shared" si="331"/>
        <v>803.54649681528667</v>
      </c>
      <c r="AB217" s="527">
        <f t="shared" si="331"/>
        <v>803.54649681528667</v>
      </c>
      <c r="AC217" s="527">
        <f t="shared" si="331"/>
        <v>803.54649681528667</v>
      </c>
      <c r="AD217" s="527">
        <f t="shared" si="331"/>
        <v>511.2800066175862</v>
      </c>
      <c r="AE217" s="527">
        <f t="shared" si="331"/>
        <v>803.54649681528667</v>
      </c>
      <c r="AF217" s="527">
        <f t="shared" si="331"/>
        <v>803.54649681528667</v>
      </c>
      <c r="AG217" s="527">
        <f t="shared" si="331"/>
        <v>803.54649681528667</v>
      </c>
      <c r="AH217" s="527">
        <f t="shared" si="331"/>
        <v>803.54649681528667</v>
      </c>
      <c r="AI217" s="527">
        <f t="shared" si="331"/>
        <v>803.54649681528667</v>
      </c>
      <c r="AJ217" s="527">
        <f t="shared" si="331"/>
        <v>803.54649681528667</v>
      </c>
      <c r="AK217" s="527">
        <f t="shared" si="331"/>
        <v>511.2800066175862</v>
      </c>
      <c r="AL217" s="527">
        <f t="shared" si="331"/>
        <v>803.54649681528667</v>
      </c>
      <c r="AM217" s="527">
        <f t="shared" si="331"/>
        <v>803.54649681528667</v>
      </c>
      <c r="AN217" s="527">
        <f t="shared" si="331"/>
        <v>803.54649681528667</v>
      </c>
      <c r="AO217" s="527">
        <f t="shared" si="331"/>
        <v>803.54649681528667</v>
      </c>
      <c r="AP217" s="528">
        <f t="shared" si="332"/>
        <v>21692.81275870627</v>
      </c>
    </row>
    <row r="218">
      <c r="A218" s="524" t="s">
        <v>92</v>
      </c>
      <c r="B218" s="525">
        <f>'[6]Баланс ЦПБФ'!C34</f>
        <v>0.08699999999999998</v>
      </c>
      <c r="K218" s="526">
        <f t="shared" si="330"/>
        <v>0</v>
      </c>
      <c r="L218" s="526">
        <f t="shared" si="331"/>
        <v>0</v>
      </c>
      <c r="M218" s="526">
        <f t="shared" si="331"/>
        <v>0</v>
      </c>
      <c r="N218" s="527">
        <f t="shared" si="331"/>
        <v>941.21661146496785</v>
      </c>
      <c r="O218" s="527">
        <f t="shared" si="331"/>
        <v>941.21661146496785</v>
      </c>
      <c r="P218" s="527">
        <f t="shared" si="331"/>
        <v>941.21661146496785</v>
      </c>
      <c r="Q218" s="527">
        <f t="shared" si="331"/>
        <v>941.21661146496785</v>
      </c>
      <c r="R218" s="527">
        <f t="shared" si="331"/>
        <v>941.21661146496785</v>
      </c>
      <c r="S218" s="527">
        <f t="shared" si="331"/>
        <v>941.21661146496785</v>
      </c>
      <c r="T218" s="527">
        <f t="shared" si="331"/>
        <v>710.00866242038194</v>
      </c>
      <c r="U218" s="527">
        <f t="shared" si="331"/>
        <v>710.00866242038194</v>
      </c>
      <c r="V218" s="527">
        <f t="shared" si="331"/>
        <v>873.85681528662406</v>
      </c>
      <c r="W218" s="527">
        <f t="shared" si="331"/>
        <v>556.01700719662483</v>
      </c>
      <c r="X218" s="527">
        <f t="shared" si="331"/>
        <v>873.85681528662406</v>
      </c>
      <c r="Y218" s="527">
        <f t="shared" si="331"/>
        <v>873.85681528662406</v>
      </c>
      <c r="Z218" s="527">
        <f t="shared" si="331"/>
        <v>873.85681528662406</v>
      </c>
      <c r="AA218" s="527">
        <f t="shared" si="331"/>
        <v>873.85681528662406</v>
      </c>
      <c r="AB218" s="527">
        <f t="shared" si="331"/>
        <v>873.85681528662406</v>
      </c>
      <c r="AC218" s="527">
        <f t="shared" si="331"/>
        <v>873.85681528662406</v>
      </c>
      <c r="AD218" s="527">
        <f t="shared" si="331"/>
        <v>556.01700719662483</v>
      </c>
      <c r="AE218" s="527">
        <f t="shared" si="331"/>
        <v>873.85681528662406</v>
      </c>
      <c r="AF218" s="527">
        <f t="shared" si="331"/>
        <v>873.85681528662406</v>
      </c>
      <c r="AG218" s="527">
        <f t="shared" si="331"/>
        <v>873.85681528662406</v>
      </c>
      <c r="AH218" s="527">
        <f t="shared" si="331"/>
        <v>873.85681528662406</v>
      </c>
      <c r="AI218" s="527">
        <f t="shared" si="331"/>
        <v>873.85681528662406</v>
      </c>
      <c r="AJ218" s="527">
        <f t="shared" si="331"/>
        <v>873.85681528662406</v>
      </c>
      <c r="AK218" s="527">
        <f t="shared" si="331"/>
        <v>556.01700719662483</v>
      </c>
      <c r="AL218" s="527">
        <f t="shared" si="331"/>
        <v>873.85681528662406</v>
      </c>
      <c r="AM218" s="527">
        <f t="shared" si="331"/>
        <v>873.85681528662406</v>
      </c>
      <c r="AN218" s="527">
        <f t="shared" si="331"/>
        <v>873.85681528662406</v>
      </c>
      <c r="AO218" s="527">
        <f t="shared" si="331"/>
        <v>873.85681528662406</v>
      </c>
      <c r="AP218" s="528">
        <f t="shared" si="332"/>
        <v>23590.933875093062</v>
      </c>
    </row>
    <row r="219">
      <c r="A219" s="524" t="s">
        <v>93</v>
      </c>
      <c r="B219" s="525">
        <f>'[6]Баланс ЦПБФ'!C35</f>
        <v>0.052999999999999999</v>
      </c>
      <c r="K219" s="526">
        <f t="shared" si="330"/>
        <v>0</v>
      </c>
      <c r="L219" s="526">
        <f t="shared" si="331"/>
        <v>0</v>
      </c>
      <c r="M219" s="526">
        <f t="shared" si="331"/>
        <v>0</v>
      </c>
      <c r="N219" s="527">
        <f t="shared" si="331"/>
        <v>573.38483227176209</v>
      </c>
      <c r="O219" s="527">
        <f t="shared" si="331"/>
        <v>573.38483227176209</v>
      </c>
      <c r="P219" s="527">
        <f t="shared" si="331"/>
        <v>573.38483227176209</v>
      </c>
      <c r="Q219" s="527">
        <f t="shared" si="331"/>
        <v>573.38483227176209</v>
      </c>
      <c r="R219" s="527">
        <f t="shared" si="331"/>
        <v>573.38483227176209</v>
      </c>
      <c r="S219" s="527">
        <f t="shared" si="331"/>
        <v>573.38483227176209</v>
      </c>
      <c r="T219" s="527">
        <f t="shared" si="331"/>
        <v>432.53401273885345</v>
      </c>
      <c r="U219" s="527">
        <f t="shared" si="331"/>
        <v>432.53401273885345</v>
      </c>
      <c r="V219" s="527">
        <f t="shared" si="331"/>
        <v>532.34955414012745</v>
      </c>
      <c r="W219" s="527">
        <f t="shared" si="331"/>
        <v>338.72300438415084</v>
      </c>
      <c r="X219" s="527">
        <f t="shared" si="331"/>
        <v>532.34955414012745</v>
      </c>
      <c r="Y219" s="527">
        <f t="shared" si="331"/>
        <v>532.34955414012745</v>
      </c>
      <c r="Z219" s="527">
        <f t="shared" si="331"/>
        <v>532.34955414012745</v>
      </c>
      <c r="AA219" s="527">
        <f t="shared" si="331"/>
        <v>532.34955414012745</v>
      </c>
      <c r="AB219" s="527">
        <f t="shared" si="331"/>
        <v>532.34955414012745</v>
      </c>
      <c r="AC219" s="527">
        <f t="shared" si="331"/>
        <v>532.34955414012745</v>
      </c>
      <c r="AD219" s="527">
        <f t="shared" si="331"/>
        <v>338.72300438415084</v>
      </c>
      <c r="AE219" s="527">
        <f t="shared" si="331"/>
        <v>532.34955414012745</v>
      </c>
      <c r="AF219" s="527">
        <f t="shared" si="331"/>
        <v>532.34955414012745</v>
      </c>
      <c r="AG219" s="527">
        <f t="shared" si="331"/>
        <v>532.34955414012745</v>
      </c>
      <c r="AH219" s="527">
        <f t="shared" si="331"/>
        <v>532.34955414012745</v>
      </c>
      <c r="AI219" s="527">
        <f t="shared" si="331"/>
        <v>532.34955414012745</v>
      </c>
      <c r="AJ219" s="527">
        <f t="shared" si="331"/>
        <v>532.34955414012745</v>
      </c>
      <c r="AK219" s="527">
        <f t="shared" si="331"/>
        <v>338.72300438415084</v>
      </c>
      <c r="AL219" s="527">
        <f t="shared" si="331"/>
        <v>532.34955414012745</v>
      </c>
      <c r="AM219" s="527">
        <f t="shared" si="331"/>
        <v>532.34955414012745</v>
      </c>
      <c r="AN219" s="527">
        <f t="shared" si="331"/>
        <v>532.34955414012745</v>
      </c>
      <c r="AO219" s="527">
        <f t="shared" si="331"/>
        <v>532.34955414012745</v>
      </c>
      <c r="AP219" s="528">
        <f t="shared" si="332"/>
        <v>14371.488452642901</v>
      </c>
    </row>
    <row r="220">
      <c r="A220" s="524" t="s">
        <v>94</v>
      </c>
      <c r="B220" s="525">
        <f>'[6]Баланс ЦПБФ'!C36</f>
        <v>0.17200000000000001</v>
      </c>
      <c r="K220" s="526">
        <f t="shared" si="330"/>
        <v>0</v>
      </c>
      <c r="L220" s="526">
        <f t="shared" si="331"/>
        <v>0</v>
      </c>
      <c r="M220" s="526">
        <f t="shared" si="331"/>
        <v>0</v>
      </c>
      <c r="N220" s="527">
        <f t="shared" si="331"/>
        <v>1860.796059447983</v>
      </c>
      <c r="O220" s="527">
        <f t="shared" si="331"/>
        <v>1860.796059447983</v>
      </c>
      <c r="P220" s="527">
        <f t="shared" si="331"/>
        <v>1860.796059447983</v>
      </c>
      <c r="Q220" s="527">
        <f t="shared" si="331"/>
        <v>1860.796059447983</v>
      </c>
      <c r="R220" s="527">
        <f t="shared" si="331"/>
        <v>1860.796059447983</v>
      </c>
      <c r="S220" s="527">
        <f t="shared" si="331"/>
        <v>1860.796059447983</v>
      </c>
      <c r="T220" s="527">
        <f t="shared" si="331"/>
        <v>1403.6952866242038</v>
      </c>
      <c r="U220" s="527">
        <f t="shared" si="331"/>
        <v>1403.6952866242038</v>
      </c>
      <c r="V220" s="527">
        <f t="shared" si="331"/>
        <v>1727.6249681528664</v>
      </c>
      <c r="W220" s="527">
        <f t="shared" si="331"/>
        <v>1099.2520142278104</v>
      </c>
      <c r="X220" s="527">
        <f t="shared" si="331"/>
        <v>1727.6249681528664</v>
      </c>
      <c r="Y220" s="527">
        <f t="shared" si="331"/>
        <v>1727.6249681528664</v>
      </c>
      <c r="Z220" s="527">
        <f t="shared" si="331"/>
        <v>1727.6249681528664</v>
      </c>
      <c r="AA220" s="527">
        <f t="shared" si="331"/>
        <v>1727.6249681528664</v>
      </c>
      <c r="AB220" s="527">
        <f t="shared" si="331"/>
        <v>1727.6249681528664</v>
      </c>
      <c r="AC220" s="527">
        <f t="shared" si="331"/>
        <v>1727.6249681528664</v>
      </c>
      <c r="AD220" s="527">
        <f t="shared" si="331"/>
        <v>1099.2520142278104</v>
      </c>
      <c r="AE220" s="527">
        <f t="shared" si="331"/>
        <v>1727.6249681528664</v>
      </c>
      <c r="AF220" s="527">
        <f t="shared" si="331"/>
        <v>1727.6249681528664</v>
      </c>
      <c r="AG220" s="527">
        <f t="shared" si="331"/>
        <v>1727.6249681528664</v>
      </c>
      <c r="AH220" s="527">
        <f t="shared" si="331"/>
        <v>1727.6249681528664</v>
      </c>
      <c r="AI220" s="527">
        <f t="shared" si="331"/>
        <v>1727.6249681528664</v>
      </c>
      <c r="AJ220" s="527">
        <f t="shared" si="331"/>
        <v>1727.6249681528664</v>
      </c>
      <c r="AK220" s="527">
        <f t="shared" si="331"/>
        <v>1099.2520142278104</v>
      </c>
      <c r="AL220" s="527">
        <f t="shared" si="331"/>
        <v>1727.6249681528664</v>
      </c>
      <c r="AM220" s="527">
        <f t="shared" si="331"/>
        <v>1727.6249681528664</v>
      </c>
      <c r="AN220" s="527">
        <f t="shared" si="331"/>
        <v>1727.6249681528664</v>
      </c>
      <c r="AO220" s="527">
        <f t="shared" si="331"/>
        <v>1727.6249681528664</v>
      </c>
      <c r="AP220" s="528">
        <f t="shared" si="332"/>
        <v>46639.547431218467</v>
      </c>
    </row>
  </sheetData>
  <mergeCells count="63">
    <mergeCell ref="A201:B201"/>
    <mergeCell ref="A202:B202"/>
    <mergeCell ref="A203:A206"/>
    <mergeCell ref="A174:B174"/>
    <mergeCell ref="A175:A178"/>
    <mergeCell ref="A182:B182"/>
    <mergeCell ref="A183:B183"/>
    <mergeCell ref="A184:A187"/>
    <mergeCell ref="U3:V3"/>
    <mergeCell ref="U4:V4"/>
    <mergeCell ref="A6:B6"/>
    <mergeCell ref="A13:B13"/>
    <mergeCell ref="A35:B35"/>
    <mergeCell ref="A14:A17"/>
    <mergeCell ref="A7:A10"/>
    <mergeCell ref="A21:B21"/>
    <mergeCell ref="A22:A25"/>
    <mergeCell ref="A28:B28"/>
    <mergeCell ref="A29:A32"/>
    <mergeCell ref="A5:B5"/>
    <mergeCell ref="A27:B27"/>
    <mergeCell ref="A34:B34"/>
    <mergeCell ref="A36:A39"/>
    <mergeCell ref="A60:B60"/>
    <mergeCell ref="A61:A64"/>
    <mergeCell ref="A67:B67"/>
    <mergeCell ref="A68:A71"/>
    <mergeCell ref="A41:B41"/>
    <mergeCell ref="A48:B48"/>
    <mergeCell ref="A59:B59"/>
    <mergeCell ref="A49:B49"/>
    <mergeCell ref="A42:B42"/>
    <mergeCell ref="A43:A46"/>
    <mergeCell ref="A75:B75"/>
    <mergeCell ref="A76:A79"/>
    <mergeCell ref="A82:B82"/>
    <mergeCell ref="A84:B84"/>
    <mergeCell ref="A85:A88"/>
    <mergeCell ref="A91:B91"/>
    <mergeCell ref="A92:A95"/>
    <mergeCell ref="A105:B105"/>
    <mergeCell ref="A106:A109"/>
    <mergeCell ref="A98:B98"/>
    <mergeCell ref="A99:A102"/>
    <mergeCell ref="A122:A125"/>
    <mergeCell ref="A112:B112"/>
    <mergeCell ref="A113:B113"/>
    <mergeCell ref="A120:B120"/>
    <mergeCell ref="A121:B121"/>
    <mergeCell ref="A114:A117"/>
    <mergeCell ref="A159:B159"/>
    <mergeCell ref="A160:B160"/>
    <mergeCell ref="A161:A164"/>
    <mergeCell ref="A128:B128"/>
    <mergeCell ref="A129:B129"/>
    <mergeCell ref="A130:A133"/>
    <mergeCell ref="A136:B136"/>
    <mergeCell ref="A137:B137"/>
    <mergeCell ref="A138:A141"/>
    <mergeCell ref="A144:B144"/>
    <mergeCell ref="A145:A148"/>
    <mergeCell ref="A152:B152"/>
    <mergeCell ref="A153:A156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1"/>
  </sheetPr>
  <sheetViews>
    <sheetView showZeros="0" workbookViewId="0" zoomScale="85">
      <pane activePane="bottomRight" state="frozen" topLeftCell="G8" xSplit="6" ySplit="7"/>
      <selection activeCell="J16" activeCellId="0" sqref="J16"/>
    </sheetView>
  </sheetViews>
  <sheetFormatPr defaultColWidth="8.85546875" defaultRowHeight="14.4" outlineLevelCol="2" outlineLevelRow="2"/>
  <cols>
    <col customWidth="1" min="1" max="1" style="24" width="32.7109375"/>
    <col customWidth="1" min="2" max="2" style="24" width="15.28515625"/>
    <col customWidth="1" min="3" max="3" outlineLevel="1" style="25" width="9.42578125"/>
    <col customWidth="1" min="4" max="4" style="25" width="10.140625"/>
    <col customWidth="1" min="5" max="5" outlineLevel="1" style="66" width="12.7109375"/>
    <col customWidth="1" min="6" max="6" outlineLevel="1" style="25" width="8.85546875"/>
    <col customWidth="1" min="7" max="7" outlineLevel="2" style="396" width="5.5703125"/>
    <col customWidth="1" min="8" max="8" outlineLevel="2" style="24" width="7.140625"/>
    <col customWidth="1" min="9" max="9" outlineLevel="2" style="24" width="8.28515625"/>
    <col customWidth="1" min="10" max="10" outlineLevel="2" style="24" width="6.42578125"/>
    <col customWidth="1" min="11" max="17" outlineLevel="1" style="24" width="6.7109375"/>
    <col customWidth="1" min="18" max="18" outlineLevel="1" style="24" width="6.140625"/>
    <col customWidth="1" min="19" max="24" outlineLevel="1" style="24" width="6.7109375"/>
    <col customWidth="1" min="25" max="25" outlineLevel="1" style="24" width="7"/>
    <col customWidth="1" min="26" max="28" outlineLevel="1" style="24" width="6.7109375"/>
    <col customWidth="1" min="29" max="41" outlineLevel="1" style="24" width="6.42578125"/>
    <col min="42" max="16384" style="24" width="8.85546875"/>
  </cols>
  <sheetData>
    <row r="1" hidden="1"/>
    <row r="2" hidden="1"/>
    <row r="3" ht="22.899999999999999" customHeight="1">
      <c r="A3" s="529" t="s">
        <v>95</v>
      </c>
      <c r="B3" s="529"/>
      <c r="C3" s="529"/>
      <c r="D3" s="529"/>
      <c r="E3" s="530"/>
      <c r="L3" s="28" t="s">
        <v>5</v>
      </c>
      <c r="M3" s="29" t="s">
        <v>5</v>
      </c>
      <c r="N3" s="30" t="s">
        <v>5</v>
      </c>
      <c r="O3" s="31" t="s">
        <v>5</v>
      </c>
      <c r="Q3" s="521" t="s">
        <v>6</v>
      </c>
      <c r="T3" s="531"/>
      <c r="U3" s="532"/>
      <c r="V3" s="531"/>
      <c r="W3" s="531"/>
      <c r="X3" s="532"/>
    </row>
    <row r="4" ht="13.5">
      <c r="L4" s="533"/>
      <c r="M4" s="24" t="s">
        <v>96</v>
      </c>
      <c r="T4" s="534"/>
      <c r="U4" s="534"/>
      <c r="V4" s="534"/>
      <c r="W4" s="534"/>
      <c r="X4" s="534"/>
    </row>
    <row r="5" ht="25.899999999999999" customHeight="1">
      <c r="A5" s="43" t="s">
        <v>9</v>
      </c>
      <c r="B5" s="43"/>
      <c r="D5" s="37"/>
      <c r="E5" s="535"/>
      <c r="F5" s="38"/>
      <c r="G5" s="39"/>
      <c r="H5" s="40">
        <f>50/F56</f>
        <v>0.84745762711864403</v>
      </c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</row>
    <row r="6" s="173" customFormat="1" ht="15" outlineLevel="1">
      <c r="A6" s="44">
        <v>1.8</v>
      </c>
      <c r="B6" s="536" t="s">
        <v>97</v>
      </c>
      <c r="D6" s="537">
        <f>SUM(K6:AB6)</f>
        <v>0</v>
      </c>
      <c r="E6" s="178"/>
      <c r="K6" s="538">
        <f>$A$6*K12</f>
        <v>0</v>
      </c>
      <c r="Q6" s="538">
        <f>$A$6*Q12</f>
        <v>0</v>
      </c>
      <c r="R6" s="538">
        <f t="shared" ref="R6:Z6" si="333">$A$6*R12</f>
        <v>0</v>
      </c>
      <c r="S6" s="538">
        <f t="shared" si="333"/>
        <v>0</v>
      </c>
      <c r="T6" s="538">
        <f t="shared" si="333"/>
        <v>0</v>
      </c>
      <c r="U6" s="538">
        <f t="shared" si="333"/>
        <v>0</v>
      </c>
      <c r="V6" s="538">
        <f t="shared" si="333"/>
        <v>0</v>
      </c>
      <c r="W6" s="538">
        <f t="shared" si="333"/>
        <v>0</v>
      </c>
      <c r="X6" s="538">
        <f t="shared" si="333"/>
        <v>0</v>
      </c>
      <c r="Y6" s="538">
        <f t="shared" si="333"/>
        <v>0</v>
      </c>
      <c r="Z6" s="538">
        <f t="shared" si="333"/>
        <v>0</v>
      </c>
      <c r="AA6" s="538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</row>
    <row r="7" s="46" customFormat="1" ht="33.600000000000001" customHeight="1" outlineLevel="1">
      <c r="A7" s="47" t="s">
        <v>98</v>
      </c>
      <c r="B7" s="295"/>
      <c r="C7" s="49" t="s">
        <v>11</v>
      </c>
      <c r="D7" s="50" t="s">
        <v>12</v>
      </c>
      <c r="E7" s="407" t="s">
        <v>13</v>
      </c>
      <c r="F7" s="539" t="s">
        <v>14</v>
      </c>
      <c r="G7" s="211" t="s">
        <v>15</v>
      </c>
      <c r="H7" s="212" t="s">
        <v>16</v>
      </c>
      <c r="I7" s="212" t="s">
        <v>17</v>
      </c>
      <c r="J7" s="213" t="s">
        <v>18</v>
      </c>
      <c r="K7" s="56">
        <v>44562</v>
      </c>
      <c r="L7" s="56">
        <v>44563</v>
      </c>
      <c r="M7" s="56">
        <v>44564</v>
      </c>
      <c r="N7" s="56">
        <v>44565</v>
      </c>
      <c r="O7" s="56">
        <v>44566</v>
      </c>
      <c r="P7" s="56">
        <v>44567</v>
      </c>
      <c r="Q7" s="56">
        <v>44568</v>
      </c>
      <c r="R7" s="56">
        <v>44569</v>
      </c>
      <c r="S7" s="56">
        <v>44570</v>
      </c>
      <c r="T7" s="56">
        <v>44571</v>
      </c>
      <c r="U7" s="56">
        <v>44572</v>
      </c>
      <c r="V7" s="56">
        <v>44573</v>
      </c>
      <c r="W7" s="56">
        <v>44574</v>
      </c>
      <c r="X7" s="56">
        <v>44575</v>
      </c>
      <c r="Y7" s="56">
        <v>44576</v>
      </c>
      <c r="Z7" s="56">
        <v>44577</v>
      </c>
      <c r="AA7" s="56">
        <v>44578</v>
      </c>
      <c r="AB7" s="56">
        <v>44579</v>
      </c>
      <c r="AC7" s="56">
        <v>44580</v>
      </c>
      <c r="AD7" s="56">
        <v>44581</v>
      </c>
      <c r="AE7" s="56">
        <v>44582</v>
      </c>
      <c r="AF7" s="56">
        <v>44583</v>
      </c>
      <c r="AG7" s="56">
        <v>44584</v>
      </c>
      <c r="AH7" s="56">
        <v>44585</v>
      </c>
      <c r="AI7" s="56">
        <v>44586</v>
      </c>
      <c r="AJ7" s="56">
        <v>44587</v>
      </c>
      <c r="AK7" s="56">
        <v>44588</v>
      </c>
      <c r="AL7" s="56">
        <v>44589</v>
      </c>
      <c r="AM7" s="56">
        <v>44590</v>
      </c>
      <c r="AN7" s="56">
        <v>44591</v>
      </c>
      <c r="AO7" s="56">
        <v>44561</v>
      </c>
    </row>
    <row r="8" hidden="1" outlineLevel="2">
      <c r="A8" s="540" t="s">
        <v>98</v>
      </c>
      <c r="B8" s="63" t="s">
        <v>0</v>
      </c>
      <c r="C8" s="64" t="e">
        <f t="shared" ref="C8:C9" si="334">$C$12/$F$12*F8</f>
        <v>#DIV/0!</v>
      </c>
      <c r="D8" s="65">
        <f t="shared" ref="D8:D9" si="335">SUM(K8:AO8)</f>
        <v>0</v>
      </c>
      <c r="E8" s="348"/>
      <c r="F8" s="130">
        <f t="shared" ref="F8:F11" si="336">COUNTA(K8:AO8)</f>
        <v>0</v>
      </c>
      <c r="G8" s="541"/>
      <c r="H8" s="542"/>
      <c r="I8" s="542"/>
      <c r="J8" s="421">
        <f t="shared" ref="J8:J11" si="337">SUM(G8:I8)</f>
        <v>0</v>
      </c>
      <c r="K8" s="258"/>
      <c r="L8" s="73"/>
      <c r="M8" s="73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  <c r="AI8" s="290"/>
      <c r="AJ8" s="543"/>
      <c r="AK8" s="543"/>
      <c r="AL8" s="543"/>
      <c r="AM8" s="543"/>
      <c r="AN8" s="543"/>
      <c r="AO8" s="544"/>
    </row>
    <row r="9" hidden="1" outlineLevel="2">
      <c r="A9" s="545"/>
      <c r="B9" s="77" t="s">
        <v>1</v>
      </c>
      <c r="C9" s="78" t="e">
        <f t="shared" si="334"/>
        <v>#DIV/0!</v>
      </c>
      <c r="D9" s="79">
        <f t="shared" si="335"/>
        <v>0</v>
      </c>
      <c r="E9" s="348"/>
      <c r="F9" s="130">
        <f t="shared" si="336"/>
        <v>0</v>
      </c>
      <c r="G9" s="546"/>
      <c r="H9" s="547"/>
      <c r="I9" s="547"/>
      <c r="J9" s="430">
        <f t="shared" si="337"/>
        <v>0</v>
      </c>
      <c r="K9" s="258"/>
      <c r="L9" s="73"/>
      <c r="M9" s="73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  <c r="AI9" s="290"/>
      <c r="AJ9" s="290"/>
      <c r="AK9" s="290"/>
      <c r="AL9" s="290"/>
      <c r="AM9" s="290"/>
      <c r="AN9" s="290"/>
      <c r="AO9" s="544"/>
    </row>
    <row r="10" hidden="1" outlineLevel="2">
      <c r="A10" s="545"/>
      <c r="B10" s="85" t="s">
        <v>2</v>
      </c>
      <c r="C10" s="131" t="e">
        <f t="shared" ref="C10:C11" si="338">$C$12/$F$12*F10</f>
        <v>#DIV/0!</v>
      </c>
      <c r="D10" s="197">
        <f t="shared" ref="D10:D11" si="339">SUM(K10:AO10)</f>
        <v>0</v>
      </c>
      <c r="E10" s="348"/>
      <c r="F10" s="130">
        <f t="shared" si="336"/>
        <v>0</v>
      </c>
      <c r="G10" s="546"/>
      <c r="H10" s="547"/>
      <c r="I10" s="547"/>
      <c r="J10" s="430">
        <f t="shared" si="337"/>
        <v>0</v>
      </c>
      <c r="K10" s="73"/>
      <c r="L10" s="73"/>
      <c r="M10" s="73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0"/>
      <c r="AM10" s="290"/>
      <c r="AN10" s="290"/>
      <c r="AO10" s="544"/>
    </row>
    <row r="11" ht="13.5" hidden="1" outlineLevel="2">
      <c r="A11" s="548"/>
      <c r="B11" s="90" t="s">
        <v>3</v>
      </c>
      <c r="C11" s="133" t="e">
        <f t="shared" si="338"/>
        <v>#DIV/0!</v>
      </c>
      <c r="D11" s="200">
        <f t="shared" si="339"/>
        <v>0</v>
      </c>
      <c r="E11" s="348"/>
      <c r="F11" s="130">
        <f t="shared" si="336"/>
        <v>0</v>
      </c>
      <c r="G11" s="549"/>
      <c r="H11" s="550"/>
      <c r="I11" s="550"/>
      <c r="J11" s="438">
        <f t="shared" si="337"/>
        <v>0</v>
      </c>
      <c r="K11" s="551"/>
      <c r="L11" s="73"/>
      <c r="M11" s="552"/>
      <c r="N11" s="552"/>
      <c r="O11" s="552"/>
      <c r="P11" s="552"/>
      <c r="Q11" s="552"/>
      <c r="R11" s="552"/>
      <c r="S11" s="552"/>
      <c r="T11" s="552"/>
      <c r="U11" s="552"/>
      <c r="V11" s="552"/>
      <c r="W11" s="552"/>
      <c r="X11" s="552"/>
      <c r="Y11" s="552"/>
      <c r="Z11" s="552"/>
      <c r="AA11" s="552"/>
      <c r="AB11" s="552"/>
      <c r="AC11" s="552"/>
      <c r="AD11" s="552"/>
      <c r="AE11" s="552"/>
      <c r="AF11" s="552"/>
      <c r="AG11" s="552"/>
      <c r="AH11" s="552"/>
      <c r="AI11" s="552"/>
      <c r="AJ11" s="552"/>
      <c r="AK11" s="552"/>
      <c r="AL11" s="552"/>
      <c r="AM11" s="552"/>
      <c r="AN11" s="552"/>
      <c r="AO11" s="544"/>
    </row>
    <row r="12" s="99" customFormat="1" ht="16.899999999999999" customHeight="1" outlineLevel="1" collapsed="1">
      <c r="A12" s="100"/>
      <c r="B12" s="136" t="s">
        <v>18</v>
      </c>
      <c r="C12" s="102"/>
      <c r="D12" s="103">
        <f>SUM(D8:D11)</f>
        <v>0</v>
      </c>
      <c r="E12" s="330" t="s">
        <v>19</v>
      </c>
      <c r="F12" s="553">
        <f>SUM(F8:F11)</f>
        <v>0</v>
      </c>
      <c r="G12" s="554">
        <f>SUM(G8:G11)</f>
        <v>0</v>
      </c>
      <c r="H12" s="555">
        <f>SUM(H8:H11)</f>
        <v>0</v>
      </c>
      <c r="I12" s="556" t="s">
        <v>19</v>
      </c>
      <c r="J12" s="557">
        <f t="shared" ref="J12:AO12" si="340">SUM(J8:J11)</f>
        <v>0</v>
      </c>
      <c r="K12" s="558">
        <f t="shared" si="340"/>
        <v>0</v>
      </c>
      <c r="L12" s="559">
        <f t="shared" si="340"/>
        <v>0</v>
      </c>
      <c r="M12" s="559">
        <f t="shared" si="340"/>
        <v>0</v>
      </c>
      <c r="N12" s="559">
        <f t="shared" si="340"/>
        <v>0</v>
      </c>
      <c r="O12" s="559">
        <f t="shared" si="340"/>
        <v>0</v>
      </c>
      <c r="P12" s="559">
        <f t="shared" si="340"/>
        <v>0</v>
      </c>
      <c r="Q12" s="559">
        <f t="shared" si="340"/>
        <v>0</v>
      </c>
      <c r="R12" s="559">
        <f t="shared" si="340"/>
        <v>0</v>
      </c>
      <c r="S12" s="559">
        <f t="shared" si="340"/>
        <v>0</v>
      </c>
      <c r="T12" s="559">
        <f t="shared" si="340"/>
        <v>0</v>
      </c>
      <c r="U12" s="559">
        <f t="shared" si="340"/>
        <v>0</v>
      </c>
      <c r="V12" s="559">
        <f t="shared" si="340"/>
        <v>0</v>
      </c>
      <c r="W12" s="559">
        <f t="shared" si="340"/>
        <v>0</v>
      </c>
      <c r="X12" s="559">
        <f t="shared" si="340"/>
        <v>0</v>
      </c>
      <c r="Y12" s="559">
        <f t="shared" si="340"/>
        <v>0</v>
      </c>
      <c r="Z12" s="559">
        <f t="shared" si="340"/>
        <v>0</v>
      </c>
      <c r="AA12" s="559">
        <f t="shared" si="340"/>
        <v>0</v>
      </c>
      <c r="AB12" s="560">
        <f t="shared" si="340"/>
        <v>0</v>
      </c>
      <c r="AC12" s="446">
        <f t="shared" si="340"/>
        <v>0</v>
      </c>
      <c r="AD12" s="447">
        <f t="shared" si="340"/>
        <v>0</v>
      </c>
      <c r="AE12" s="447">
        <f t="shared" si="340"/>
        <v>0</v>
      </c>
      <c r="AF12" s="447">
        <f t="shared" si="340"/>
        <v>0</v>
      </c>
      <c r="AG12" s="447">
        <f t="shared" si="340"/>
        <v>0</v>
      </c>
      <c r="AH12" s="447">
        <f t="shared" si="340"/>
        <v>0</v>
      </c>
      <c r="AI12" s="447">
        <f t="shared" si="340"/>
        <v>0</v>
      </c>
      <c r="AJ12" s="447">
        <f t="shared" si="340"/>
        <v>0</v>
      </c>
      <c r="AK12" s="447">
        <f t="shared" si="340"/>
        <v>0</v>
      </c>
      <c r="AL12" s="447">
        <f t="shared" si="340"/>
        <v>0</v>
      </c>
      <c r="AM12" s="447">
        <f t="shared" si="340"/>
        <v>0</v>
      </c>
      <c r="AN12" s="447">
        <f t="shared" si="340"/>
        <v>0</v>
      </c>
      <c r="AO12" s="448">
        <f t="shared" si="340"/>
        <v>0</v>
      </c>
    </row>
    <row r="13" s="24" customFormat="1" outlineLevel="1">
      <c r="A13" s="115"/>
      <c r="B13" s="115"/>
      <c r="C13" s="116"/>
      <c r="D13" s="116"/>
      <c r="E13" s="66"/>
      <c r="F13" s="561"/>
      <c r="G13" s="562"/>
      <c r="H13" s="120"/>
      <c r="I13" s="121"/>
      <c r="J13" s="120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563"/>
      <c r="AE13" s="563"/>
      <c r="AF13" s="563"/>
      <c r="AG13" s="563"/>
      <c r="AH13" s="563"/>
      <c r="AI13" s="563"/>
      <c r="AJ13" s="563"/>
      <c r="AK13" s="563"/>
      <c r="AL13" s="563"/>
      <c r="AM13" s="563"/>
      <c r="AN13" s="563"/>
      <c r="AO13" s="563"/>
    </row>
    <row r="14" s="173" customFormat="1" ht="15" outlineLevel="1">
      <c r="A14" s="564">
        <v>1.6399999999999999</v>
      </c>
      <c r="B14" s="536" t="s">
        <v>97</v>
      </c>
      <c r="D14" s="537">
        <f>SUM(K14:AB14)</f>
        <v>960.30438545454547</v>
      </c>
      <c r="E14" s="178"/>
      <c r="F14" s="178"/>
      <c r="G14" s="178"/>
      <c r="H14" s="177"/>
      <c r="I14" s="179"/>
      <c r="J14" s="177"/>
      <c r="K14" s="565">
        <f>$A$14*K20</f>
        <v>0</v>
      </c>
      <c r="L14" s="565">
        <f t="shared" ref="L14:AO14" si="341">$A$14*L20</f>
        <v>0</v>
      </c>
      <c r="M14" s="565">
        <f t="shared" si="341"/>
        <v>0</v>
      </c>
      <c r="N14" s="565">
        <f t="shared" si="341"/>
        <v>160.0507309090909</v>
      </c>
      <c r="O14" s="565">
        <f t="shared" si="341"/>
        <v>160.0507309090909</v>
      </c>
      <c r="P14" s="565">
        <f t="shared" si="341"/>
        <v>160.0507309090909</v>
      </c>
      <c r="Q14" s="565">
        <f t="shared" si="341"/>
        <v>160.0507309090909</v>
      </c>
      <c r="R14" s="565">
        <f t="shared" si="341"/>
        <v>160.0507309090909</v>
      </c>
      <c r="S14" s="565">
        <f t="shared" si="341"/>
        <v>160.0507309090909</v>
      </c>
      <c r="T14" s="565">
        <f t="shared" si="341"/>
        <v>0</v>
      </c>
      <c r="U14" s="565">
        <f t="shared" si="341"/>
        <v>0</v>
      </c>
      <c r="V14" s="565">
        <f t="shared" si="341"/>
        <v>0</v>
      </c>
      <c r="W14" s="565">
        <f t="shared" si="341"/>
        <v>0</v>
      </c>
      <c r="X14" s="565">
        <f t="shared" si="341"/>
        <v>0</v>
      </c>
      <c r="Y14" s="565">
        <f t="shared" si="341"/>
        <v>0</v>
      </c>
      <c r="Z14" s="565">
        <f t="shared" si="341"/>
        <v>0</v>
      </c>
      <c r="AA14" s="565">
        <f t="shared" si="341"/>
        <v>0</v>
      </c>
      <c r="AB14" s="565">
        <f t="shared" si="341"/>
        <v>0</v>
      </c>
      <c r="AC14" s="538">
        <f t="shared" si="341"/>
        <v>0</v>
      </c>
      <c r="AD14" s="538">
        <f t="shared" si="341"/>
        <v>0</v>
      </c>
      <c r="AE14" s="538">
        <f t="shared" si="341"/>
        <v>0</v>
      </c>
      <c r="AF14" s="538">
        <f t="shared" si="341"/>
        <v>0</v>
      </c>
      <c r="AG14" s="538">
        <f t="shared" si="341"/>
        <v>0</v>
      </c>
      <c r="AH14" s="538">
        <f t="shared" si="341"/>
        <v>0</v>
      </c>
      <c r="AI14" s="538">
        <f t="shared" si="341"/>
        <v>0</v>
      </c>
      <c r="AJ14" s="538">
        <f t="shared" si="341"/>
        <v>0</v>
      </c>
      <c r="AK14" s="538">
        <f t="shared" si="341"/>
        <v>0</v>
      </c>
      <c r="AL14" s="538">
        <f t="shared" si="341"/>
        <v>0</v>
      </c>
      <c r="AM14" s="538">
        <f t="shared" si="341"/>
        <v>0</v>
      </c>
      <c r="AN14" s="538">
        <f t="shared" si="341"/>
        <v>0</v>
      </c>
      <c r="AO14" s="538">
        <f t="shared" si="341"/>
        <v>0</v>
      </c>
    </row>
    <row r="15" s="123" customFormat="1" ht="30" customHeight="1" outlineLevel="1">
      <c r="A15" s="47" t="s">
        <v>99</v>
      </c>
      <c r="B15" s="48"/>
      <c r="C15" s="49" t="s">
        <v>11</v>
      </c>
      <c r="D15" s="50" t="s">
        <v>12</v>
      </c>
      <c r="E15" s="407" t="s">
        <v>13</v>
      </c>
      <c r="F15" s="539" t="s">
        <v>14</v>
      </c>
      <c r="G15" s="211" t="s">
        <v>15</v>
      </c>
      <c r="H15" s="212" t="s">
        <v>16</v>
      </c>
      <c r="I15" s="566" t="s">
        <v>17</v>
      </c>
      <c r="J15" s="213" t="s">
        <v>18</v>
      </c>
      <c r="K15" s="56">
        <v>44562</v>
      </c>
      <c r="L15" s="56">
        <v>44563</v>
      </c>
      <c r="M15" s="56">
        <v>44564</v>
      </c>
      <c r="N15" s="59">
        <v>44565</v>
      </c>
      <c r="O15" s="56">
        <v>44566</v>
      </c>
      <c r="P15" s="56">
        <v>44567</v>
      </c>
      <c r="Q15" s="56">
        <v>44568</v>
      </c>
      <c r="R15" s="56">
        <v>44569</v>
      </c>
      <c r="S15" s="56">
        <v>44570</v>
      </c>
      <c r="T15" s="56">
        <v>44571</v>
      </c>
      <c r="U15" s="60">
        <v>44572</v>
      </c>
      <c r="V15" s="56">
        <v>44573</v>
      </c>
      <c r="W15" s="56">
        <v>44574</v>
      </c>
      <c r="X15" s="56">
        <v>44575</v>
      </c>
      <c r="Y15" s="56">
        <v>44576</v>
      </c>
      <c r="Z15" s="56">
        <v>44577</v>
      </c>
      <c r="AA15" s="56">
        <v>44578</v>
      </c>
      <c r="AB15" s="214">
        <v>44579</v>
      </c>
      <c r="AC15" s="56">
        <v>44580</v>
      </c>
      <c r="AD15" s="56">
        <v>44581</v>
      </c>
      <c r="AE15" s="56">
        <v>44582</v>
      </c>
      <c r="AF15" s="56">
        <v>44583</v>
      </c>
      <c r="AG15" s="56">
        <v>44584</v>
      </c>
      <c r="AH15" s="56">
        <v>44585</v>
      </c>
      <c r="AI15" s="58">
        <v>44586</v>
      </c>
      <c r="AJ15" s="56">
        <v>44587</v>
      </c>
      <c r="AK15" s="56">
        <v>44588</v>
      </c>
      <c r="AL15" s="56">
        <v>44589</v>
      </c>
      <c r="AM15" s="56">
        <v>44590</v>
      </c>
      <c r="AN15" s="56">
        <v>44591</v>
      </c>
      <c r="AO15" s="56">
        <v>44561</v>
      </c>
      <c r="AP15" s="46"/>
    </row>
    <row r="16" outlineLevel="2">
      <c r="A16" s="126" t="s">
        <v>99</v>
      </c>
      <c r="B16" s="63" t="s">
        <v>0</v>
      </c>
      <c r="C16" s="64">
        <f t="shared" ref="C16:C19" si="342">$C$20/$F$20*F16</f>
        <v>146.38786363636362</v>
      </c>
      <c r="D16" s="65">
        <f t="shared" ref="D16:D19" si="343">SUM(K16:AO16)</f>
        <v>146.38786363636365</v>
      </c>
      <c r="E16" s="567">
        <f>'[6]План пр-ва по единицам обор'!$E$18</f>
        <v>54.299999999999997</v>
      </c>
      <c r="F16" s="130">
        <f t="shared" ref="F16:F19" si="344">COUNTA(K16:AO16)</f>
        <v>3</v>
      </c>
      <c r="G16" s="541"/>
      <c r="H16" s="568">
        <f t="shared" ref="H16:H19" si="345">48.9/60</f>
        <v>0.81499999999999995</v>
      </c>
      <c r="I16" s="569">
        <f t="shared" ref="I16:I19" si="346">(15+3)/60</f>
        <v>0.29999999999999999</v>
      </c>
      <c r="J16" s="570">
        <f t="shared" ref="J16:J19" si="347">SUM(G16:I16)</f>
        <v>1.115</v>
      </c>
      <c r="K16" s="71"/>
      <c r="L16" s="72"/>
      <c r="M16" s="71"/>
      <c r="N16" s="73"/>
      <c r="O16" s="74">
        <f>$E16/11*(11-($H16+$I16))</f>
        <v>48.795954545454549</v>
      </c>
      <c r="P16" s="74">
        <f t="shared" ref="P16:Q17" si="348">$E16/11*(11-($H16+$I16))</f>
        <v>48.795954545454549</v>
      </c>
      <c r="Q16" s="73"/>
      <c r="R16" s="73"/>
      <c r="S16" s="74">
        <f>$E16/11*(11-($H16+$I16))</f>
        <v>48.795954545454549</v>
      </c>
      <c r="T16" s="74"/>
      <c r="U16" s="73"/>
      <c r="V16" s="73"/>
      <c r="W16" s="74"/>
      <c r="X16" s="74"/>
      <c r="Y16" s="73"/>
      <c r="Z16" s="73"/>
      <c r="AA16" s="74"/>
      <c r="AB16" s="74"/>
      <c r="AC16" s="73"/>
      <c r="AD16" s="73"/>
      <c r="AE16" s="74"/>
      <c r="AF16" s="74"/>
      <c r="AG16" s="73"/>
      <c r="AH16" s="73"/>
      <c r="AI16" s="75"/>
      <c r="AJ16" s="74"/>
      <c r="AK16" s="73"/>
      <c r="AL16" s="73"/>
      <c r="AM16" s="74"/>
      <c r="AN16" s="74"/>
      <c r="AO16" s="73"/>
    </row>
    <row r="17" outlineLevel="2">
      <c r="A17" s="126"/>
      <c r="B17" s="77" t="s">
        <v>1</v>
      </c>
      <c r="C17" s="78">
        <f t="shared" si="342"/>
        <v>97.591909090909084</v>
      </c>
      <c r="D17" s="79">
        <f t="shared" si="343"/>
        <v>97.591909090909098</v>
      </c>
      <c r="E17" s="567">
        <f t="shared" ref="E17:E19" si="349">E16</f>
        <v>54.299999999999997</v>
      </c>
      <c r="F17" s="130">
        <f t="shared" si="344"/>
        <v>2</v>
      </c>
      <c r="G17" s="546"/>
      <c r="H17" s="571">
        <f t="shared" si="345"/>
        <v>0.81499999999999995</v>
      </c>
      <c r="I17" s="572">
        <f t="shared" si="346"/>
        <v>0.29999999999999999</v>
      </c>
      <c r="J17" s="573">
        <f t="shared" si="347"/>
        <v>1.115</v>
      </c>
      <c r="K17" s="72"/>
      <c r="L17" s="72"/>
      <c r="M17" s="72"/>
      <c r="N17" s="84"/>
      <c r="O17" s="73"/>
      <c r="P17" s="74">
        <f t="shared" si="348"/>
        <v>48.795954545454549</v>
      </c>
      <c r="Q17" s="74">
        <f t="shared" si="348"/>
        <v>48.795954545454549</v>
      </c>
      <c r="R17" s="84"/>
      <c r="S17" s="73"/>
      <c r="T17" s="74"/>
      <c r="U17" s="74"/>
      <c r="V17" s="84"/>
      <c r="W17" s="73"/>
      <c r="X17" s="74"/>
      <c r="Y17" s="74"/>
      <c r="Z17" s="84"/>
      <c r="AA17" s="73"/>
      <c r="AB17" s="75"/>
      <c r="AC17" s="74"/>
      <c r="AD17" s="84"/>
      <c r="AE17" s="73"/>
      <c r="AF17" s="74"/>
      <c r="AG17" s="74"/>
      <c r="AH17" s="84"/>
      <c r="AI17" s="73"/>
      <c r="AJ17" s="74"/>
      <c r="AK17" s="74"/>
      <c r="AL17" s="84"/>
      <c r="AM17" s="73"/>
      <c r="AN17" s="74"/>
      <c r="AO17" s="74"/>
    </row>
    <row r="18" outlineLevel="2">
      <c r="A18" s="126"/>
      <c r="B18" s="85" t="s">
        <v>2</v>
      </c>
      <c r="C18" s="131">
        <f t="shared" si="342"/>
        <v>195.18381818181817</v>
      </c>
      <c r="D18" s="197">
        <f t="shared" si="343"/>
        <v>195.1838181818182</v>
      </c>
      <c r="E18" s="567">
        <f t="shared" si="349"/>
        <v>54.299999999999997</v>
      </c>
      <c r="F18" s="130">
        <f t="shared" si="344"/>
        <v>4</v>
      </c>
      <c r="G18" s="546"/>
      <c r="H18" s="571">
        <f t="shared" si="345"/>
        <v>0.81499999999999995</v>
      </c>
      <c r="I18" s="572">
        <f t="shared" si="346"/>
        <v>0.29999999999999999</v>
      </c>
      <c r="J18" s="573">
        <f t="shared" si="347"/>
        <v>1.115</v>
      </c>
      <c r="K18" s="88"/>
      <c r="L18" s="72"/>
      <c r="M18" s="71"/>
      <c r="N18" s="74">
        <f t="shared" ref="N18:R19" si="350">$E18/11*(11-($H18+$I18))</f>
        <v>48.795954545454549</v>
      </c>
      <c r="O18" s="74">
        <f>$E18/11*(11-($H18+$I18))</f>
        <v>48.795954545454549</v>
      </c>
      <c r="P18" s="74"/>
      <c r="Q18" s="73"/>
      <c r="R18" s="74">
        <f t="shared" ref="R18:S18" si="351">$E18/11*(11-($H18+$I18))</f>
        <v>48.795954545454549</v>
      </c>
      <c r="S18" s="74">
        <f t="shared" si="351"/>
        <v>48.795954545454549</v>
      </c>
      <c r="T18" s="74"/>
      <c r="U18" s="73"/>
      <c r="V18" s="74"/>
      <c r="W18" s="74"/>
      <c r="X18" s="74"/>
      <c r="Y18" s="73"/>
      <c r="Z18" s="74"/>
      <c r="AA18" s="74"/>
      <c r="AB18" s="74"/>
      <c r="AC18" s="73"/>
      <c r="AD18" s="74"/>
      <c r="AE18" s="74"/>
      <c r="AF18" s="74"/>
      <c r="AG18" s="73"/>
      <c r="AH18" s="74"/>
      <c r="AI18" s="74"/>
      <c r="AJ18" s="74"/>
      <c r="AK18" s="73"/>
      <c r="AL18" s="74"/>
      <c r="AM18" s="74"/>
      <c r="AN18" s="74"/>
      <c r="AO18" s="73"/>
    </row>
    <row r="19" ht="13.5" outlineLevel="2">
      <c r="A19" s="132"/>
      <c r="B19" s="90" t="s">
        <v>3</v>
      </c>
      <c r="C19" s="133">
        <f t="shared" si="342"/>
        <v>146.38786363636362</v>
      </c>
      <c r="D19" s="200">
        <f t="shared" si="343"/>
        <v>146.38786363636365</v>
      </c>
      <c r="E19" s="567">
        <f t="shared" si="349"/>
        <v>54.299999999999997</v>
      </c>
      <c r="F19" s="130">
        <f t="shared" si="344"/>
        <v>3</v>
      </c>
      <c r="G19" s="574"/>
      <c r="H19" s="575">
        <f t="shared" si="345"/>
        <v>0.81499999999999995</v>
      </c>
      <c r="I19" s="576">
        <f t="shared" si="346"/>
        <v>0.29999999999999999</v>
      </c>
      <c r="J19" s="577">
        <f t="shared" si="347"/>
        <v>1.115</v>
      </c>
      <c r="K19" s="97"/>
      <c r="L19" s="72"/>
      <c r="M19" s="71"/>
      <c r="N19" s="73">
        <f t="shared" si="350"/>
        <v>48.795954545454549</v>
      </c>
      <c r="O19" s="98"/>
      <c r="P19" s="74"/>
      <c r="Q19" s="73">
        <f t="shared" si="350"/>
        <v>48.795954545454549</v>
      </c>
      <c r="R19" s="73">
        <f t="shared" si="350"/>
        <v>48.795954545454549</v>
      </c>
      <c r="S19" s="98"/>
      <c r="T19" s="74"/>
      <c r="U19" s="75"/>
      <c r="V19" s="73"/>
      <c r="W19" s="98"/>
      <c r="X19" s="74"/>
      <c r="Y19" s="73"/>
      <c r="Z19" s="73"/>
      <c r="AA19" s="98"/>
      <c r="AB19" s="74"/>
      <c r="AC19" s="73"/>
      <c r="AD19" s="73"/>
      <c r="AE19" s="98"/>
      <c r="AF19" s="74"/>
      <c r="AG19" s="73"/>
      <c r="AH19" s="73"/>
      <c r="AI19" s="98"/>
      <c r="AJ19" s="74"/>
      <c r="AK19" s="73"/>
      <c r="AL19" s="73"/>
      <c r="AM19" s="98"/>
      <c r="AN19" s="74"/>
      <c r="AO19" s="73"/>
    </row>
    <row r="20" s="99" customFormat="1" ht="20.449999999999999" customHeight="1" outlineLevel="1">
      <c r="B20" s="136" t="s">
        <v>18</v>
      </c>
      <c r="C20" s="102">
        <f>'[6]План пр-ва по единицам обор'!$L$18</f>
        <v>585.55145454545448</v>
      </c>
      <c r="D20" s="103">
        <f>SUM(D16:D19)</f>
        <v>585.55145454545459</v>
      </c>
      <c r="E20" s="443" t="s">
        <v>19</v>
      </c>
      <c r="F20" s="553">
        <f>SUM(F16:F19)</f>
        <v>12</v>
      </c>
      <c r="G20" s="106">
        <f>SUM(G16:G19)</f>
        <v>0</v>
      </c>
      <c r="H20" s="167">
        <f>SUM(H16:H19)</f>
        <v>3.2599999999999998</v>
      </c>
      <c r="I20" s="578" t="s">
        <v>19</v>
      </c>
      <c r="J20" s="169">
        <f t="shared" ref="J20:AO20" si="352">SUM(J16:J19)</f>
        <v>4.46</v>
      </c>
      <c r="K20" s="579">
        <f t="shared" si="352"/>
        <v>0</v>
      </c>
      <c r="L20" s="114">
        <f>SUM(L16:L19)</f>
        <v>0</v>
      </c>
      <c r="M20" s="114">
        <f t="shared" si="352"/>
        <v>0</v>
      </c>
      <c r="N20" s="114">
        <f t="shared" si="352"/>
        <v>97.591909090909098</v>
      </c>
      <c r="O20" s="114">
        <f>SUM(O16:O19)</f>
        <v>97.591909090909098</v>
      </c>
      <c r="P20" s="114">
        <f>SUM(P16:P19)</f>
        <v>97.591909090909098</v>
      </c>
      <c r="Q20" s="114">
        <f t="shared" si="352"/>
        <v>97.591909090909098</v>
      </c>
      <c r="R20" s="114">
        <f t="shared" si="352"/>
        <v>97.591909090909098</v>
      </c>
      <c r="S20" s="114">
        <f t="shared" si="352"/>
        <v>97.591909090909098</v>
      </c>
      <c r="T20" s="114">
        <f t="shared" si="352"/>
        <v>0</v>
      </c>
      <c r="U20" s="114">
        <f>SUM(U16:U19)</f>
        <v>0</v>
      </c>
      <c r="V20" s="114">
        <f t="shared" si="352"/>
        <v>0</v>
      </c>
      <c r="W20" s="114">
        <f t="shared" si="352"/>
        <v>0</v>
      </c>
      <c r="X20" s="114">
        <f t="shared" si="352"/>
        <v>0</v>
      </c>
      <c r="Y20" s="114">
        <f t="shared" si="352"/>
        <v>0</v>
      </c>
      <c r="Z20" s="114">
        <f t="shared" si="352"/>
        <v>0</v>
      </c>
      <c r="AA20" s="114">
        <f t="shared" si="352"/>
        <v>0</v>
      </c>
      <c r="AB20" s="580">
        <f t="shared" si="352"/>
        <v>0</v>
      </c>
      <c r="AC20" s="172">
        <f t="shared" si="352"/>
        <v>0</v>
      </c>
      <c r="AD20" s="581">
        <f t="shared" si="352"/>
        <v>0</v>
      </c>
      <c r="AE20" s="581">
        <f t="shared" si="352"/>
        <v>0</v>
      </c>
      <c r="AF20" s="581">
        <f t="shared" si="352"/>
        <v>0</v>
      </c>
      <c r="AG20" s="581">
        <f t="shared" si="352"/>
        <v>0</v>
      </c>
      <c r="AH20" s="581">
        <f t="shared" si="352"/>
        <v>0</v>
      </c>
      <c r="AI20" s="581">
        <f t="shared" si="352"/>
        <v>0</v>
      </c>
      <c r="AJ20" s="581">
        <f t="shared" si="352"/>
        <v>0</v>
      </c>
      <c r="AK20" s="581">
        <f t="shared" si="352"/>
        <v>0</v>
      </c>
      <c r="AL20" s="581">
        <f t="shared" si="352"/>
        <v>0</v>
      </c>
      <c r="AM20" s="581">
        <f t="shared" si="352"/>
        <v>0</v>
      </c>
      <c r="AN20" s="581">
        <f t="shared" si="352"/>
        <v>0</v>
      </c>
      <c r="AO20" s="582">
        <f t="shared" si="352"/>
        <v>0</v>
      </c>
    </row>
    <row r="21" outlineLevel="1">
      <c r="C21" s="206"/>
      <c r="D21" s="206"/>
      <c r="E21" s="66"/>
      <c r="F21" s="583"/>
      <c r="G21" s="584"/>
      <c r="H21" s="147"/>
      <c r="I21" s="207"/>
      <c r="J21" s="147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="173" customFormat="1" ht="15" outlineLevel="1">
      <c r="A22" s="44">
        <v>1.6399999999999999</v>
      </c>
      <c r="B22" s="536" t="s">
        <v>97</v>
      </c>
      <c r="C22" s="585"/>
      <c r="D22" s="537">
        <f>SUM(K22:AB22)</f>
        <v>1034.4523636363635</v>
      </c>
      <c r="E22" s="178"/>
      <c r="G22" s="178"/>
      <c r="H22" s="177"/>
      <c r="I22" s="179"/>
      <c r="J22" s="177"/>
      <c r="K22" s="538">
        <f>$A$22*K28</f>
        <v>0</v>
      </c>
      <c r="L22" s="538">
        <f t="shared" ref="L22:AO22" si="353">$A$22*L28</f>
        <v>0</v>
      </c>
      <c r="M22" s="538">
        <f t="shared" si="353"/>
        <v>0</v>
      </c>
      <c r="N22" s="538">
        <f t="shared" si="353"/>
        <v>172.40872727272725</v>
      </c>
      <c r="O22" s="538">
        <f t="shared" si="353"/>
        <v>172.40872727272725</v>
      </c>
      <c r="P22" s="538">
        <f t="shared" si="353"/>
        <v>172.40872727272725</v>
      </c>
      <c r="Q22" s="538">
        <f t="shared" si="353"/>
        <v>172.40872727272725</v>
      </c>
      <c r="R22" s="538">
        <f t="shared" si="353"/>
        <v>172.40872727272725</v>
      </c>
      <c r="S22" s="538">
        <f t="shared" si="353"/>
        <v>172.40872727272725</v>
      </c>
      <c r="T22" s="538">
        <f t="shared" si="353"/>
        <v>0</v>
      </c>
      <c r="U22" s="538">
        <f t="shared" si="353"/>
        <v>0</v>
      </c>
      <c r="V22" s="538">
        <f t="shared" si="353"/>
        <v>0</v>
      </c>
      <c r="W22" s="538">
        <f t="shared" si="353"/>
        <v>0</v>
      </c>
      <c r="X22" s="538">
        <f t="shared" si="353"/>
        <v>0</v>
      </c>
      <c r="Y22" s="538">
        <f t="shared" si="353"/>
        <v>0</v>
      </c>
      <c r="Z22" s="538">
        <f t="shared" si="353"/>
        <v>0</v>
      </c>
      <c r="AA22" s="538">
        <f t="shared" si="353"/>
        <v>0</v>
      </c>
      <c r="AB22" s="538">
        <f t="shared" si="353"/>
        <v>0</v>
      </c>
      <c r="AC22" s="538">
        <f t="shared" si="353"/>
        <v>0</v>
      </c>
      <c r="AD22" s="538">
        <f t="shared" si="353"/>
        <v>0</v>
      </c>
      <c r="AE22" s="538">
        <f t="shared" si="353"/>
        <v>0</v>
      </c>
      <c r="AF22" s="538">
        <f t="shared" si="353"/>
        <v>0</v>
      </c>
      <c r="AG22" s="538">
        <f t="shared" si="353"/>
        <v>0</v>
      </c>
      <c r="AH22" s="538">
        <f t="shared" si="353"/>
        <v>0</v>
      </c>
      <c r="AI22" s="538">
        <f t="shared" si="353"/>
        <v>0</v>
      </c>
      <c r="AJ22" s="538">
        <f t="shared" si="353"/>
        <v>0</v>
      </c>
      <c r="AK22" s="538">
        <f t="shared" si="353"/>
        <v>0</v>
      </c>
      <c r="AL22" s="538">
        <f t="shared" si="353"/>
        <v>0</v>
      </c>
      <c r="AM22" s="538">
        <f t="shared" si="353"/>
        <v>0</v>
      </c>
      <c r="AN22" s="538">
        <f t="shared" si="353"/>
        <v>0</v>
      </c>
      <c r="AO22" s="538">
        <f t="shared" si="353"/>
        <v>0</v>
      </c>
    </row>
    <row r="23" s="123" customFormat="1" ht="30" customHeight="1" outlineLevel="1">
      <c r="A23" s="47" t="s">
        <v>100</v>
      </c>
      <c r="B23" s="48"/>
      <c r="C23" s="49" t="s">
        <v>11</v>
      </c>
      <c r="D23" s="50" t="s">
        <v>12</v>
      </c>
      <c r="E23" s="407" t="s">
        <v>13</v>
      </c>
      <c r="F23" s="539" t="s">
        <v>14</v>
      </c>
      <c r="G23" s="211" t="s">
        <v>15</v>
      </c>
      <c r="H23" s="212" t="s">
        <v>16</v>
      </c>
      <c r="I23" s="212" t="s">
        <v>17</v>
      </c>
      <c r="J23" s="213" t="s">
        <v>18</v>
      </c>
      <c r="K23" s="56">
        <v>44562</v>
      </c>
      <c r="L23" s="56">
        <v>44563</v>
      </c>
      <c r="M23" s="56">
        <v>44564</v>
      </c>
      <c r="N23" s="59">
        <v>44565</v>
      </c>
      <c r="O23" s="56">
        <v>44566</v>
      </c>
      <c r="P23" s="56">
        <v>44567</v>
      </c>
      <c r="Q23" s="56">
        <v>44568</v>
      </c>
      <c r="R23" s="56">
        <v>44569</v>
      </c>
      <c r="S23" s="56">
        <v>44570</v>
      </c>
      <c r="T23" s="56">
        <v>44571</v>
      </c>
      <c r="U23" s="60">
        <v>44572</v>
      </c>
      <c r="V23" s="56">
        <v>44573</v>
      </c>
      <c r="W23" s="56">
        <v>44574</v>
      </c>
      <c r="X23" s="56">
        <v>44575</v>
      </c>
      <c r="Y23" s="56">
        <v>44576</v>
      </c>
      <c r="Z23" s="56">
        <v>44577</v>
      </c>
      <c r="AA23" s="56">
        <v>44578</v>
      </c>
      <c r="AB23" s="214">
        <v>44579</v>
      </c>
      <c r="AC23" s="56">
        <v>44580</v>
      </c>
      <c r="AD23" s="56">
        <v>44581</v>
      </c>
      <c r="AE23" s="56">
        <v>44582</v>
      </c>
      <c r="AF23" s="56">
        <v>44583</v>
      </c>
      <c r="AG23" s="56">
        <v>44584</v>
      </c>
      <c r="AH23" s="56">
        <v>44585</v>
      </c>
      <c r="AI23" s="58">
        <v>44586</v>
      </c>
      <c r="AJ23" s="56">
        <v>44587</v>
      </c>
      <c r="AK23" s="56">
        <v>44588</v>
      </c>
      <c r="AL23" s="56">
        <v>44589</v>
      </c>
      <c r="AM23" s="56">
        <v>44590</v>
      </c>
      <c r="AN23" s="56">
        <v>44591</v>
      </c>
      <c r="AO23" s="56">
        <v>44561</v>
      </c>
    </row>
    <row r="24" outlineLevel="2">
      <c r="A24" s="126" t="s">
        <v>100</v>
      </c>
      <c r="B24" s="63" t="s">
        <v>0</v>
      </c>
      <c r="C24" s="64">
        <f t="shared" ref="C24:C27" si="354">$C$28/$F$28*F24</f>
        <v>157.69090909090909</v>
      </c>
      <c r="D24" s="65">
        <f t="shared" ref="D24:D27" si="355">SUM(K24:AO24)</f>
        <v>157.69090909090909</v>
      </c>
      <c r="E24" s="567">
        <f>'[6]План пр-ва по единицам обор'!$E$19</f>
        <v>59</v>
      </c>
      <c r="F24" s="130">
        <f t="shared" ref="F24:F27" si="356">COUNTA(K24:AO24)</f>
        <v>3</v>
      </c>
      <c r="G24" s="541"/>
      <c r="H24" s="568">
        <f>47.6/60</f>
        <v>0.79333333333333333</v>
      </c>
      <c r="I24" s="586">
        <f t="shared" ref="I24:I27" si="357">(15+9.4)/60</f>
        <v>0.40666666666666662</v>
      </c>
      <c r="J24" s="570">
        <f t="shared" ref="J24:J27" si="358">SUM(G24:I24)</f>
        <v>1.2</v>
      </c>
      <c r="K24" s="71"/>
      <c r="L24" s="72"/>
      <c r="M24" s="71"/>
      <c r="N24" s="73"/>
      <c r="O24" s="74">
        <f>$E24/11*(11-($H24+$I24))</f>
        <v>52.563636363636363</v>
      </c>
      <c r="P24" s="74">
        <f t="shared" ref="P24:Q25" si="359">$E24/11*(11-($H24+$I24))</f>
        <v>52.563636363636363</v>
      </c>
      <c r="Q24" s="73"/>
      <c r="R24" s="73"/>
      <c r="S24" s="74">
        <f>$E24/11*(11-($H24+$I24))</f>
        <v>52.563636363636363</v>
      </c>
      <c r="T24" s="74"/>
      <c r="U24" s="73"/>
      <c r="V24" s="73"/>
      <c r="W24" s="74"/>
      <c r="X24" s="74"/>
      <c r="Y24" s="73"/>
      <c r="Z24" s="73"/>
      <c r="AA24" s="74"/>
      <c r="AB24" s="74"/>
      <c r="AC24" s="73"/>
      <c r="AD24" s="73"/>
      <c r="AE24" s="74"/>
      <c r="AF24" s="74"/>
      <c r="AG24" s="73"/>
      <c r="AH24" s="73"/>
      <c r="AI24" s="75"/>
      <c r="AJ24" s="74"/>
      <c r="AK24" s="73"/>
      <c r="AL24" s="73"/>
      <c r="AM24" s="74"/>
      <c r="AN24" s="74"/>
      <c r="AO24" s="73"/>
      <c r="AQ24" s="122"/>
    </row>
    <row r="25" outlineLevel="2">
      <c r="A25" s="126"/>
      <c r="B25" s="77" t="s">
        <v>1</v>
      </c>
      <c r="C25" s="78">
        <f t="shared" si="354"/>
        <v>105.12727272727273</v>
      </c>
      <c r="D25" s="79">
        <f t="shared" si="355"/>
        <v>105.12727272727273</v>
      </c>
      <c r="E25" s="567">
        <f t="shared" ref="E25:E27" si="360">E24</f>
        <v>59</v>
      </c>
      <c r="F25" s="130">
        <f t="shared" si="356"/>
        <v>2</v>
      </c>
      <c r="G25" s="546"/>
      <c r="H25" s="568">
        <f t="shared" ref="H25:H27" si="361">H24</f>
        <v>0.79333333333333333</v>
      </c>
      <c r="I25" s="586">
        <f t="shared" si="357"/>
        <v>0.40666666666666662</v>
      </c>
      <c r="J25" s="570">
        <f t="shared" si="358"/>
        <v>1.2</v>
      </c>
      <c r="K25" s="72"/>
      <c r="L25" s="72"/>
      <c r="M25" s="72"/>
      <c r="N25" s="84"/>
      <c r="O25" s="73"/>
      <c r="P25" s="74">
        <f t="shared" si="359"/>
        <v>52.563636363636363</v>
      </c>
      <c r="Q25" s="74">
        <f t="shared" si="359"/>
        <v>52.563636363636363</v>
      </c>
      <c r="R25" s="84"/>
      <c r="S25" s="73"/>
      <c r="T25" s="74"/>
      <c r="U25" s="74"/>
      <c r="V25" s="84"/>
      <c r="W25" s="73"/>
      <c r="X25" s="74"/>
      <c r="Y25" s="74"/>
      <c r="Z25" s="84"/>
      <c r="AA25" s="73"/>
      <c r="AB25" s="75"/>
      <c r="AC25" s="74"/>
      <c r="AD25" s="84"/>
      <c r="AE25" s="73"/>
      <c r="AF25" s="74"/>
      <c r="AG25" s="74"/>
      <c r="AH25" s="84"/>
      <c r="AI25" s="73"/>
      <c r="AJ25" s="74"/>
      <c r="AK25" s="74"/>
      <c r="AL25" s="84"/>
      <c r="AM25" s="73"/>
      <c r="AN25" s="74"/>
      <c r="AO25" s="74"/>
      <c r="AQ25" s="122"/>
    </row>
    <row r="26" outlineLevel="2">
      <c r="A26" s="126"/>
      <c r="B26" s="85" t="s">
        <v>2</v>
      </c>
      <c r="C26" s="131">
        <f t="shared" si="354"/>
        <v>210.25454545454545</v>
      </c>
      <c r="D26" s="197">
        <f t="shared" si="355"/>
        <v>210.25454545454545</v>
      </c>
      <c r="E26" s="567">
        <f t="shared" si="360"/>
        <v>59</v>
      </c>
      <c r="F26" s="130">
        <f t="shared" si="356"/>
        <v>4</v>
      </c>
      <c r="G26" s="546"/>
      <c r="H26" s="568">
        <f t="shared" si="361"/>
        <v>0.79333333333333333</v>
      </c>
      <c r="I26" s="586">
        <f t="shared" si="357"/>
        <v>0.40666666666666662</v>
      </c>
      <c r="J26" s="570">
        <f t="shared" si="358"/>
        <v>1.2</v>
      </c>
      <c r="K26" s="88"/>
      <c r="L26" s="72"/>
      <c r="M26" s="71"/>
      <c r="N26" s="74">
        <f t="shared" ref="N26:R27" si="362">$E26/11*(11-($H26+$I26))</f>
        <v>52.563636363636363</v>
      </c>
      <c r="O26" s="74">
        <f>$E26/11*(11-($H26+$I26))</f>
        <v>52.563636363636363</v>
      </c>
      <c r="P26" s="74"/>
      <c r="Q26" s="73"/>
      <c r="R26" s="74">
        <f t="shared" ref="R26:S26" si="363">$E26/11*(11-($H26+$I26))</f>
        <v>52.563636363636363</v>
      </c>
      <c r="S26" s="74">
        <f t="shared" si="363"/>
        <v>52.563636363636363</v>
      </c>
      <c r="T26" s="74"/>
      <c r="U26" s="73"/>
      <c r="V26" s="74"/>
      <c r="W26" s="74"/>
      <c r="X26" s="74"/>
      <c r="Y26" s="73"/>
      <c r="Z26" s="74"/>
      <c r="AA26" s="74"/>
      <c r="AB26" s="74"/>
      <c r="AC26" s="73"/>
      <c r="AD26" s="74"/>
      <c r="AE26" s="74"/>
      <c r="AF26" s="74"/>
      <c r="AG26" s="73"/>
      <c r="AH26" s="74"/>
      <c r="AI26" s="74"/>
      <c r="AJ26" s="74"/>
      <c r="AK26" s="73"/>
      <c r="AL26" s="74"/>
      <c r="AM26" s="74"/>
      <c r="AN26" s="74"/>
      <c r="AO26" s="73"/>
      <c r="AQ26" s="122"/>
    </row>
    <row r="27" ht="13.5" outlineLevel="2">
      <c r="A27" s="132"/>
      <c r="B27" s="90" t="s">
        <v>3</v>
      </c>
      <c r="C27" s="133">
        <f t="shared" si="354"/>
        <v>157.69090909090909</v>
      </c>
      <c r="D27" s="200">
        <f t="shared" si="355"/>
        <v>157.69090909090909</v>
      </c>
      <c r="E27" s="567">
        <f t="shared" si="360"/>
        <v>59</v>
      </c>
      <c r="F27" s="130">
        <f t="shared" si="356"/>
        <v>3</v>
      </c>
      <c r="G27" s="549"/>
      <c r="H27" s="568">
        <f t="shared" si="361"/>
        <v>0.79333333333333333</v>
      </c>
      <c r="I27" s="586">
        <f t="shared" si="357"/>
        <v>0.40666666666666662</v>
      </c>
      <c r="J27" s="587">
        <f t="shared" si="358"/>
        <v>1.2</v>
      </c>
      <c r="K27" s="97"/>
      <c r="L27" s="72"/>
      <c r="M27" s="71"/>
      <c r="N27" s="73">
        <f t="shared" si="362"/>
        <v>52.563636363636363</v>
      </c>
      <c r="O27" s="98"/>
      <c r="P27" s="74"/>
      <c r="Q27" s="73">
        <f t="shared" si="362"/>
        <v>52.563636363636363</v>
      </c>
      <c r="R27" s="73">
        <f t="shared" si="362"/>
        <v>52.563636363636363</v>
      </c>
      <c r="S27" s="98"/>
      <c r="T27" s="74"/>
      <c r="U27" s="75"/>
      <c r="V27" s="73"/>
      <c r="W27" s="98"/>
      <c r="X27" s="74"/>
      <c r="Y27" s="73"/>
      <c r="Z27" s="73"/>
      <c r="AA27" s="98"/>
      <c r="AB27" s="74"/>
      <c r="AC27" s="73"/>
      <c r="AD27" s="73"/>
      <c r="AE27" s="98"/>
      <c r="AF27" s="74"/>
      <c r="AG27" s="73"/>
      <c r="AH27" s="73"/>
      <c r="AI27" s="98"/>
      <c r="AJ27" s="74"/>
      <c r="AK27" s="73"/>
      <c r="AL27" s="73"/>
      <c r="AM27" s="98"/>
      <c r="AN27" s="74"/>
      <c r="AO27" s="73"/>
      <c r="AQ27" s="122"/>
    </row>
    <row r="28" s="99" customFormat="1" ht="18" customHeight="1" outlineLevel="1">
      <c r="B28" s="136" t="s">
        <v>18</v>
      </c>
      <c r="C28" s="102">
        <f>'[6]План пр-ва по единицам обор'!$L$19</f>
        <v>630.76363636363635</v>
      </c>
      <c r="D28" s="103">
        <f>SUM(D24:D27)</f>
        <v>630.76363636363635</v>
      </c>
      <c r="E28" s="443" t="s">
        <v>19</v>
      </c>
      <c r="F28" s="553">
        <f>SUM(F24:F27)</f>
        <v>12</v>
      </c>
      <c r="G28" s="444">
        <f>SUM(G24:G27)</f>
        <v>0</v>
      </c>
      <c r="H28" s="167">
        <f>SUM(H24:H27)</f>
        <v>3.1733333333333333</v>
      </c>
      <c r="I28" s="168" t="s">
        <v>19</v>
      </c>
      <c r="J28" s="169">
        <f t="shared" ref="J28:N28" si="364">SUM(J24:J27)</f>
        <v>4.7999999999999998</v>
      </c>
      <c r="K28" s="588">
        <f t="shared" si="364"/>
        <v>0</v>
      </c>
      <c r="L28" s="589">
        <f t="shared" si="364"/>
        <v>0</v>
      </c>
      <c r="M28" s="589">
        <f t="shared" si="364"/>
        <v>0</v>
      </c>
      <c r="N28" s="589">
        <f t="shared" si="364"/>
        <v>105.12727272727273</v>
      </c>
      <c r="O28" s="589">
        <f>SUM(O24:O27)</f>
        <v>105.12727272727273</v>
      </c>
      <c r="P28" s="589">
        <f>SUM(P24:P27)</f>
        <v>105.12727272727273</v>
      </c>
      <c r="Q28" s="589">
        <f t="shared" ref="Q28:AO28" si="365">SUM(Q24:Q27)</f>
        <v>105.12727272727273</v>
      </c>
      <c r="R28" s="589">
        <f t="shared" si="365"/>
        <v>105.12727272727273</v>
      </c>
      <c r="S28" s="589">
        <f t="shared" si="365"/>
        <v>105.12727272727273</v>
      </c>
      <c r="T28" s="589">
        <f t="shared" si="365"/>
        <v>0</v>
      </c>
      <c r="U28" s="589">
        <f t="shared" si="365"/>
        <v>0</v>
      </c>
      <c r="V28" s="589">
        <f t="shared" si="365"/>
        <v>0</v>
      </c>
      <c r="W28" s="589">
        <f t="shared" si="365"/>
        <v>0</v>
      </c>
      <c r="X28" s="589">
        <f t="shared" si="365"/>
        <v>0</v>
      </c>
      <c r="Y28" s="589">
        <f t="shared" si="365"/>
        <v>0</v>
      </c>
      <c r="Z28" s="589">
        <f t="shared" si="365"/>
        <v>0</v>
      </c>
      <c r="AA28" s="589">
        <f t="shared" si="365"/>
        <v>0</v>
      </c>
      <c r="AB28" s="446">
        <f t="shared" si="365"/>
        <v>0</v>
      </c>
      <c r="AC28" s="172">
        <f t="shared" si="365"/>
        <v>0</v>
      </c>
      <c r="AD28" s="581">
        <f t="shared" si="365"/>
        <v>0</v>
      </c>
      <c r="AE28" s="581">
        <f t="shared" si="365"/>
        <v>0</v>
      </c>
      <c r="AF28" s="581">
        <f t="shared" si="365"/>
        <v>0</v>
      </c>
      <c r="AG28" s="581">
        <f t="shared" si="365"/>
        <v>0</v>
      </c>
      <c r="AH28" s="581">
        <f t="shared" si="365"/>
        <v>0</v>
      </c>
      <c r="AI28" s="581">
        <f t="shared" si="365"/>
        <v>0</v>
      </c>
      <c r="AJ28" s="581">
        <f t="shared" si="365"/>
        <v>0</v>
      </c>
      <c r="AK28" s="581">
        <f t="shared" si="365"/>
        <v>0</v>
      </c>
      <c r="AL28" s="581">
        <f t="shared" si="365"/>
        <v>0</v>
      </c>
      <c r="AM28" s="581">
        <f t="shared" si="365"/>
        <v>0</v>
      </c>
      <c r="AN28" s="581">
        <f t="shared" si="365"/>
        <v>0</v>
      </c>
      <c r="AO28" s="582">
        <f t="shared" si="365"/>
        <v>0</v>
      </c>
    </row>
    <row r="29" s="99" customFormat="1" ht="13.5">
      <c r="A29" s="590"/>
      <c r="B29" s="590"/>
      <c r="C29" s="590"/>
      <c r="D29" s="590"/>
      <c r="E29" s="590"/>
      <c r="F29" s="590"/>
      <c r="G29" s="590"/>
      <c r="H29" s="590"/>
      <c r="I29" s="590"/>
      <c r="J29" s="590"/>
      <c r="K29" s="590"/>
      <c r="L29" s="590"/>
      <c r="M29" s="590"/>
      <c r="N29" s="590"/>
      <c r="O29" s="590"/>
      <c r="P29" s="590"/>
      <c r="Q29" s="590"/>
      <c r="R29" s="590"/>
      <c r="S29" s="590"/>
      <c r="T29" s="590"/>
      <c r="U29" s="590"/>
      <c r="V29" s="590"/>
      <c r="W29" s="590"/>
      <c r="X29" s="590"/>
      <c r="Y29" s="590"/>
      <c r="Z29" s="590"/>
      <c r="AA29" s="590"/>
      <c r="AB29" s="590"/>
      <c r="AC29" s="590"/>
      <c r="AD29" s="590"/>
      <c r="AE29" s="590"/>
      <c r="AF29" s="590"/>
      <c r="AG29" s="590"/>
      <c r="AH29" s="590"/>
      <c r="AI29" s="590"/>
      <c r="AJ29" s="590"/>
      <c r="AK29" s="590"/>
      <c r="AL29" s="590"/>
      <c r="AM29" s="590"/>
      <c r="AN29" s="590"/>
      <c r="AO29" s="590"/>
      <c r="AP29" s="590"/>
    </row>
    <row r="30" s="123" customFormat="1" ht="30" customHeight="1">
      <c r="A30" s="149" t="s">
        <v>21</v>
      </c>
      <c r="B30" s="150"/>
      <c r="C30" s="49" t="s">
        <v>11</v>
      </c>
      <c r="D30" s="50" t="s">
        <v>12</v>
      </c>
      <c r="E30" s="407" t="s">
        <v>13</v>
      </c>
      <c r="F30" s="539" t="s">
        <v>14</v>
      </c>
      <c r="G30" s="211" t="s">
        <v>15</v>
      </c>
      <c r="H30" s="212" t="s">
        <v>16</v>
      </c>
      <c r="I30" s="212" t="s">
        <v>17</v>
      </c>
      <c r="J30" s="213" t="s">
        <v>18</v>
      </c>
      <c r="K30" s="56">
        <v>44562</v>
      </c>
      <c r="L30" s="56">
        <v>44563</v>
      </c>
      <c r="M30" s="56">
        <v>44564</v>
      </c>
      <c r="N30" s="56">
        <v>44565</v>
      </c>
      <c r="O30" s="56">
        <v>44566</v>
      </c>
      <c r="P30" s="56">
        <v>44567</v>
      </c>
      <c r="Q30" s="56">
        <v>44568</v>
      </c>
      <c r="R30" s="56">
        <v>44569</v>
      </c>
      <c r="S30" s="56">
        <v>44570</v>
      </c>
      <c r="T30" s="56">
        <v>44571</v>
      </c>
      <c r="U30" s="56">
        <v>44572</v>
      </c>
      <c r="V30" s="56">
        <v>44573</v>
      </c>
      <c r="W30" s="56">
        <v>44574</v>
      </c>
      <c r="X30" s="56">
        <v>44575</v>
      </c>
      <c r="Y30" s="56">
        <v>44576</v>
      </c>
      <c r="Z30" s="56">
        <v>44577</v>
      </c>
      <c r="AA30" s="56">
        <v>44578</v>
      </c>
      <c r="AB30" s="56">
        <v>44579</v>
      </c>
      <c r="AC30" s="56">
        <v>44580</v>
      </c>
      <c r="AD30" s="56">
        <v>44581</v>
      </c>
      <c r="AE30" s="56">
        <v>44582</v>
      </c>
      <c r="AF30" s="56">
        <v>44583</v>
      </c>
      <c r="AG30" s="56">
        <v>44584</v>
      </c>
      <c r="AH30" s="56">
        <v>44585</v>
      </c>
      <c r="AI30" s="56">
        <v>44586</v>
      </c>
      <c r="AJ30" s="56">
        <v>44587</v>
      </c>
      <c r="AK30" s="56">
        <v>44588</v>
      </c>
      <c r="AL30" s="56">
        <v>44589</v>
      </c>
      <c r="AM30" s="56">
        <v>44590</v>
      </c>
      <c r="AN30" s="56">
        <v>44591</v>
      </c>
      <c r="AO30" s="56">
        <v>44561</v>
      </c>
    </row>
    <row r="31" outlineLevel="1">
      <c r="A31" s="377" t="s">
        <v>22</v>
      </c>
      <c r="B31" s="63" t="s">
        <v>0</v>
      </c>
      <c r="C31" s="64">
        <f t="shared" ref="C31:C34" si="366">$C$35/$F$35*F31</f>
        <v>304.07877272727274</v>
      </c>
      <c r="D31" s="65">
        <f t="shared" ref="D31:D34" si="367">SUM(K31:AO31)</f>
        <v>304.07877272727274</v>
      </c>
      <c r="E31" s="348">
        <f>E8+E16+E24</f>
        <v>113.3</v>
      </c>
      <c r="F31" s="591">
        <f t="shared" ref="F31:I34" si="368">F8+F16+F24</f>
        <v>6</v>
      </c>
      <c r="G31" s="541">
        <f>G8+G16+G24</f>
        <v>0</v>
      </c>
      <c r="H31" s="542">
        <f>H8+H16+H24</f>
        <v>1.6083333333333334</v>
      </c>
      <c r="I31" s="542">
        <f>I8+I16+I24</f>
        <v>0.70666666666666655</v>
      </c>
      <c r="J31" s="421">
        <f t="shared" ref="J31:J34" si="369">SUM(G31:I31)</f>
        <v>2.3149999999999999</v>
      </c>
      <c r="K31" s="592">
        <f t="shared" ref="K31:Z33" si="370">K8+K16+K24</f>
        <v>0</v>
      </c>
      <c r="L31" s="593">
        <f t="shared" ref="L31:AB34" si="371">L8+L16+L24</f>
        <v>0</v>
      </c>
      <c r="M31" s="593">
        <f>M8+M16+M24</f>
        <v>0</v>
      </c>
      <c r="N31" s="594">
        <f t="shared" si="371"/>
        <v>0</v>
      </c>
      <c r="O31" s="594">
        <f t="shared" si="371"/>
        <v>101.35959090909091</v>
      </c>
      <c r="P31" s="594">
        <f t="shared" si="371"/>
        <v>101.35959090909091</v>
      </c>
      <c r="Q31" s="594">
        <f t="shared" si="371"/>
        <v>0</v>
      </c>
      <c r="R31" s="594">
        <f t="shared" si="371"/>
        <v>0</v>
      </c>
      <c r="S31" s="594">
        <f t="shared" si="371"/>
        <v>101.35959090909091</v>
      </c>
      <c r="T31" s="594">
        <f>T8+T16+T24</f>
        <v>0</v>
      </c>
      <c r="U31" s="594">
        <f>U8+U16+U24</f>
        <v>0</v>
      </c>
      <c r="V31" s="594">
        <f t="shared" si="371"/>
        <v>0</v>
      </c>
      <c r="W31" s="594">
        <f t="shared" si="371"/>
        <v>0</v>
      </c>
      <c r="X31" s="594">
        <f t="shared" si="371"/>
        <v>0</v>
      </c>
      <c r="Y31" s="594">
        <f t="shared" si="371"/>
        <v>0</v>
      </c>
      <c r="Z31" s="594">
        <f t="shared" si="371"/>
        <v>0</v>
      </c>
      <c r="AA31" s="594">
        <f t="shared" si="371"/>
        <v>0</v>
      </c>
      <c r="AB31" s="595">
        <f t="shared" si="371"/>
        <v>0</v>
      </c>
      <c r="AC31" s="596">
        <f t="shared" ref="AC31:AO34" si="372">AC8+AC16+AC24</f>
        <v>0</v>
      </c>
      <c r="AD31" s="596">
        <f>AD8+AD16+AD24</f>
        <v>0</v>
      </c>
      <c r="AE31" s="597">
        <f t="shared" ref="AE31:AO31" si="373">AE8+AE16+AE24</f>
        <v>0</v>
      </c>
      <c r="AF31" s="596">
        <f t="shared" si="373"/>
        <v>0</v>
      </c>
      <c r="AG31" s="596">
        <f t="shared" si="373"/>
        <v>0</v>
      </c>
      <c r="AH31" s="596">
        <f t="shared" si="373"/>
        <v>0</v>
      </c>
      <c r="AI31" s="596">
        <f t="shared" si="373"/>
        <v>0</v>
      </c>
      <c r="AJ31" s="596">
        <f t="shared" si="373"/>
        <v>0</v>
      </c>
      <c r="AK31" s="596">
        <f t="shared" si="373"/>
        <v>0</v>
      </c>
      <c r="AL31" s="597">
        <f t="shared" si="373"/>
        <v>0</v>
      </c>
      <c r="AM31" s="596">
        <f t="shared" si="373"/>
        <v>0</v>
      </c>
      <c r="AN31" s="596">
        <f t="shared" si="373"/>
        <v>0</v>
      </c>
      <c r="AO31" s="598">
        <f t="shared" si="373"/>
        <v>0</v>
      </c>
    </row>
    <row r="32" outlineLevel="1">
      <c r="A32" s="377"/>
      <c r="B32" s="77" t="s">
        <v>1</v>
      </c>
      <c r="C32" s="64">
        <f t="shared" si="366"/>
        <v>202.71918181818182</v>
      </c>
      <c r="D32" s="79">
        <f t="shared" si="367"/>
        <v>202.71918181818182</v>
      </c>
      <c r="E32" s="348">
        <f t="shared" ref="E32:E34" si="374">E31</f>
        <v>113.3</v>
      </c>
      <c r="F32" s="591">
        <f t="shared" si="368"/>
        <v>4</v>
      </c>
      <c r="G32" s="541">
        <f t="shared" si="368"/>
        <v>0</v>
      </c>
      <c r="H32" s="542">
        <f t="shared" si="368"/>
        <v>1.6083333333333334</v>
      </c>
      <c r="I32" s="542">
        <f t="shared" si="368"/>
        <v>0.70666666666666655</v>
      </c>
      <c r="J32" s="430">
        <f t="shared" si="369"/>
        <v>2.3149999999999999</v>
      </c>
      <c r="K32" s="592">
        <f t="shared" si="370"/>
        <v>0</v>
      </c>
      <c r="L32" s="593">
        <f t="shared" si="370"/>
        <v>0</v>
      </c>
      <c r="M32" s="593">
        <f t="shared" si="370"/>
        <v>0</v>
      </c>
      <c r="N32" s="594">
        <f t="shared" si="370"/>
        <v>0</v>
      </c>
      <c r="O32" s="594">
        <f t="shared" si="370"/>
        <v>0</v>
      </c>
      <c r="P32" s="594">
        <f t="shared" si="370"/>
        <v>101.35959090909091</v>
      </c>
      <c r="Q32" s="594">
        <f t="shared" si="370"/>
        <v>101.35959090909091</v>
      </c>
      <c r="R32" s="594">
        <f t="shared" si="370"/>
        <v>0</v>
      </c>
      <c r="S32" s="594">
        <f t="shared" si="370"/>
        <v>0</v>
      </c>
      <c r="T32" s="594">
        <f t="shared" si="370"/>
        <v>0</v>
      </c>
      <c r="U32" s="594">
        <f t="shared" si="370"/>
        <v>0</v>
      </c>
      <c r="V32" s="594">
        <f t="shared" si="370"/>
        <v>0</v>
      </c>
      <c r="W32" s="594">
        <f t="shared" si="370"/>
        <v>0</v>
      </c>
      <c r="X32" s="594">
        <f t="shared" si="370"/>
        <v>0</v>
      </c>
      <c r="Y32" s="594">
        <f t="shared" si="370"/>
        <v>0</v>
      </c>
      <c r="Z32" s="594">
        <f t="shared" si="370"/>
        <v>0</v>
      </c>
      <c r="AA32" s="594">
        <f t="shared" si="371"/>
        <v>0</v>
      </c>
      <c r="AB32" s="595">
        <f t="shared" si="371"/>
        <v>0</v>
      </c>
      <c r="AC32" s="596">
        <f t="shared" si="372"/>
        <v>0</v>
      </c>
      <c r="AD32" s="596">
        <f t="shared" si="372"/>
        <v>0</v>
      </c>
      <c r="AE32" s="596">
        <f t="shared" si="372"/>
        <v>0</v>
      </c>
      <c r="AF32" s="596">
        <f t="shared" si="372"/>
        <v>0</v>
      </c>
      <c r="AG32" s="596">
        <f t="shared" si="372"/>
        <v>0</v>
      </c>
      <c r="AH32" s="596">
        <f t="shared" si="372"/>
        <v>0</v>
      </c>
      <c r="AI32" s="596">
        <f t="shared" si="372"/>
        <v>0</v>
      </c>
      <c r="AJ32" s="596">
        <f t="shared" si="372"/>
        <v>0</v>
      </c>
      <c r="AK32" s="596">
        <f t="shared" si="372"/>
        <v>0</v>
      </c>
      <c r="AL32" s="596">
        <f t="shared" si="372"/>
        <v>0</v>
      </c>
      <c r="AM32" s="596">
        <f t="shared" si="372"/>
        <v>0</v>
      </c>
      <c r="AN32" s="596">
        <f t="shared" si="372"/>
        <v>0</v>
      </c>
      <c r="AO32" s="598">
        <f t="shared" si="372"/>
        <v>0</v>
      </c>
    </row>
    <row r="33" outlineLevel="1">
      <c r="A33" s="377"/>
      <c r="B33" s="85" t="s">
        <v>2</v>
      </c>
      <c r="C33" s="64">
        <f t="shared" si="366"/>
        <v>405.43836363636365</v>
      </c>
      <c r="D33" s="197">
        <f t="shared" si="367"/>
        <v>405.43836363636365</v>
      </c>
      <c r="E33" s="348">
        <f t="shared" si="374"/>
        <v>113.3</v>
      </c>
      <c r="F33" s="591">
        <f t="shared" si="368"/>
        <v>8</v>
      </c>
      <c r="G33" s="541">
        <f t="shared" si="368"/>
        <v>0</v>
      </c>
      <c r="H33" s="542">
        <f t="shared" si="368"/>
        <v>1.6083333333333334</v>
      </c>
      <c r="I33" s="542">
        <f t="shared" si="368"/>
        <v>0.70666666666666655</v>
      </c>
      <c r="J33" s="430">
        <f t="shared" si="369"/>
        <v>2.3149999999999999</v>
      </c>
      <c r="K33" s="592">
        <f t="shared" si="370"/>
        <v>0</v>
      </c>
      <c r="L33" s="593">
        <f t="shared" ref="L33:L34" si="375">L10+L18+L26</f>
        <v>0</v>
      </c>
      <c r="M33" s="593">
        <f t="shared" si="371"/>
        <v>0</v>
      </c>
      <c r="N33" s="594">
        <f>N10+N18+N26</f>
        <v>101.35959090909091</v>
      </c>
      <c r="O33" s="594">
        <f t="shared" si="371"/>
        <v>101.35959090909091</v>
      </c>
      <c r="P33" s="594">
        <f t="shared" si="371"/>
        <v>0</v>
      </c>
      <c r="Q33" s="599">
        <f t="shared" si="371"/>
        <v>0</v>
      </c>
      <c r="R33" s="594">
        <f t="shared" si="371"/>
        <v>101.35959090909091</v>
      </c>
      <c r="S33" s="594">
        <f t="shared" si="371"/>
        <v>101.35959090909091</v>
      </c>
      <c r="T33" s="594">
        <f t="shared" si="371"/>
        <v>0</v>
      </c>
      <c r="U33" s="594">
        <f t="shared" si="371"/>
        <v>0</v>
      </c>
      <c r="V33" s="594">
        <f t="shared" si="371"/>
        <v>0</v>
      </c>
      <c r="W33" s="594">
        <f t="shared" si="371"/>
        <v>0</v>
      </c>
      <c r="X33" s="594">
        <f t="shared" si="371"/>
        <v>0</v>
      </c>
      <c r="Y33" s="594">
        <f t="shared" si="371"/>
        <v>0</v>
      </c>
      <c r="Z33" s="594">
        <f t="shared" si="371"/>
        <v>0</v>
      </c>
      <c r="AA33" s="594">
        <f t="shared" si="371"/>
        <v>0</v>
      </c>
      <c r="AB33" s="595">
        <f t="shared" si="371"/>
        <v>0</v>
      </c>
      <c r="AC33" s="596">
        <f t="shared" si="372"/>
        <v>0</v>
      </c>
      <c r="AD33" s="596">
        <f t="shared" si="372"/>
        <v>0</v>
      </c>
      <c r="AE33" s="596">
        <f t="shared" si="372"/>
        <v>0</v>
      </c>
      <c r="AF33" s="596">
        <f t="shared" si="372"/>
        <v>0</v>
      </c>
      <c r="AG33" s="596">
        <f t="shared" si="372"/>
        <v>0</v>
      </c>
      <c r="AH33" s="596">
        <f t="shared" si="372"/>
        <v>0</v>
      </c>
      <c r="AI33" s="596">
        <f t="shared" si="372"/>
        <v>0</v>
      </c>
      <c r="AJ33" s="596">
        <f t="shared" si="372"/>
        <v>0</v>
      </c>
      <c r="AK33" s="596">
        <f t="shared" si="372"/>
        <v>0</v>
      </c>
      <c r="AL33" s="596">
        <f t="shared" si="372"/>
        <v>0</v>
      </c>
      <c r="AM33" s="596">
        <f t="shared" si="372"/>
        <v>0</v>
      </c>
      <c r="AN33" s="596">
        <f t="shared" si="372"/>
        <v>0</v>
      </c>
      <c r="AO33" s="598">
        <f t="shared" si="372"/>
        <v>0</v>
      </c>
    </row>
    <row r="34" ht="13.5" outlineLevel="1">
      <c r="A34" s="381"/>
      <c r="B34" s="90" t="s">
        <v>3</v>
      </c>
      <c r="C34" s="64">
        <f t="shared" si="366"/>
        <v>304.07877272727274</v>
      </c>
      <c r="D34" s="200">
        <f t="shared" si="367"/>
        <v>304.07877272727274</v>
      </c>
      <c r="E34" s="348">
        <f t="shared" si="374"/>
        <v>113.3</v>
      </c>
      <c r="F34" s="321">
        <f t="shared" si="368"/>
        <v>6</v>
      </c>
      <c r="G34" s="541">
        <f t="shared" si="368"/>
        <v>0</v>
      </c>
      <c r="H34" s="542">
        <f t="shared" si="368"/>
        <v>1.6083333333333334</v>
      </c>
      <c r="I34" s="542">
        <f t="shared" si="368"/>
        <v>0.70666666666666655</v>
      </c>
      <c r="J34" s="438">
        <f t="shared" si="369"/>
        <v>2.3149999999999999</v>
      </c>
      <c r="K34" s="600">
        <f>K11+K19+K27</f>
        <v>0</v>
      </c>
      <c r="L34" s="601">
        <f t="shared" si="375"/>
        <v>0</v>
      </c>
      <c r="M34" s="601">
        <f t="shared" si="371"/>
        <v>0</v>
      </c>
      <c r="N34" s="602">
        <f t="shared" si="371"/>
        <v>101.35959090909091</v>
      </c>
      <c r="O34" s="602">
        <f t="shared" si="371"/>
        <v>0</v>
      </c>
      <c r="P34" s="602">
        <f t="shared" si="371"/>
        <v>0</v>
      </c>
      <c r="Q34" s="602">
        <f t="shared" si="371"/>
        <v>101.35959090909091</v>
      </c>
      <c r="R34" s="602">
        <f t="shared" si="371"/>
        <v>101.35959090909091</v>
      </c>
      <c r="S34" s="602">
        <f t="shared" si="371"/>
        <v>0</v>
      </c>
      <c r="T34" s="602">
        <f t="shared" si="371"/>
        <v>0</v>
      </c>
      <c r="U34" s="602">
        <f t="shared" si="371"/>
        <v>0</v>
      </c>
      <c r="V34" s="602">
        <f t="shared" si="371"/>
        <v>0</v>
      </c>
      <c r="W34" s="602">
        <f t="shared" si="371"/>
        <v>0</v>
      </c>
      <c r="X34" s="603">
        <f t="shared" si="371"/>
        <v>0</v>
      </c>
      <c r="Y34" s="602">
        <f t="shared" si="371"/>
        <v>0</v>
      </c>
      <c r="Z34" s="602">
        <f t="shared" si="371"/>
        <v>0</v>
      </c>
      <c r="AA34" s="602">
        <f t="shared" si="371"/>
        <v>0</v>
      </c>
      <c r="AB34" s="604">
        <f t="shared" si="371"/>
        <v>0</v>
      </c>
      <c r="AC34" s="605">
        <f t="shared" si="372"/>
        <v>0</v>
      </c>
      <c r="AD34" s="605">
        <f t="shared" si="372"/>
        <v>0</v>
      </c>
      <c r="AE34" s="605">
        <f t="shared" si="372"/>
        <v>0</v>
      </c>
      <c r="AF34" s="605">
        <f t="shared" si="372"/>
        <v>0</v>
      </c>
      <c r="AG34" s="605">
        <f t="shared" si="372"/>
        <v>0</v>
      </c>
      <c r="AH34" s="605">
        <f t="shared" si="372"/>
        <v>0</v>
      </c>
      <c r="AI34" s="605">
        <f t="shared" si="372"/>
        <v>0</v>
      </c>
      <c r="AJ34" s="605">
        <f t="shared" si="372"/>
        <v>0</v>
      </c>
      <c r="AK34" s="605">
        <f t="shared" si="372"/>
        <v>0</v>
      </c>
      <c r="AL34" s="605">
        <f t="shared" si="372"/>
        <v>0</v>
      </c>
      <c r="AM34" s="605">
        <f t="shared" si="372"/>
        <v>0</v>
      </c>
      <c r="AN34" s="605">
        <f t="shared" si="372"/>
        <v>0</v>
      </c>
      <c r="AO34" s="606">
        <f t="shared" si="372"/>
        <v>0</v>
      </c>
    </row>
    <row r="35" s="99" customFormat="1" ht="19.149999999999999" customHeight="1">
      <c r="A35" s="164"/>
      <c r="B35" s="165" t="s">
        <v>18</v>
      </c>
      <c r="C35" s="102">
        <f>'[6]План пр-ва по единицам обор'!$L$22</f>
        <v>1216.3150909090909</v>
      </c>
      <c r="D35" s="103">
        <f>SUM(D31:D34)</f>
        <v>1216.3150909090909</v>
      </c>
      <c r="E35" s="443" t="s">
        <v>19</v>
      </c>
      <c r="F35" s="553">
        <f>SUM(F31:F34)</f>
        <v>24</v>
      </c>
      <c r="G35" s="444">
        <f>SUM(G31:G34)</f>
        <v>0</v>
      </c>
      <c r="H35" s="167">
        <f>SUM(H31:H34)</f>
        <v>6.4333333333333336</v>
      </c>
      <c r="I35" s="168" t="s">
        <v>19</v>
      </c>
      <c r="J35" s="169">
        <f t="shared" ref="J35:N35" si="376">SUM(J31:J34)</f>
        <v>9.2599999999999998</v>
      </c>
      <c r="K35" s="445">
        <f t="shared" si="376"/>
        <v>0</v>
      </c>
      <c r="L35" s="171">
        <f t="shared" si="376"/>
        <v>0</v>
      </c>
      <c r="M35" s="171">
        <f t="shared" si="376"/>
        <v>0</v>
      </c>
      <c r="N35" s="171">
        <f t="shared" si="376"/>
        <v>202.71918181818182</v>
      </c>
      <c r="O35" s="171">
        <f>SUM(O31:O34)</f>
        <v>202.71918181818182</v>
      </c>
      <c r="P35" s="171">
        <f>SUM(P31:P34)</f>
        <v>202.71918181818182</v>
      </c>
      <c r="Q35" s="171">
        <f t="shared" ref="Q35:AO35" si="377">SUM(Q31:Q34)</f>
        <v>202.71918181818182</v>
      </c>
      <c r="R35" s="171">
        <f t="shared" si="377"/>
        <v>202.71918181818182</v>
      </c>
      <c r="S35" s="171">
        <f t="shared" si="377"/>
        <v>202.71918181818182</v>
      </c>
      <c r="T35" s="171">
        <f t="shared" si="377"/>
        <v>0</v>
      </c>
      <c r="U35" s="171">
        <f t="shared" si="377"/>
        <v>0</v>
      </c>
      <c r="V35" s="171">
        <f t="shared" si="377"/>
        <v>0</v>
      </c>
      <c r="W35" s="171">
        <f t="shared" si="377"/>
        <v>0</v>
      </c>
      <c r="X35" s="171">
        <f t="shared" si="377"/>
        <v>0</v>
      </c>
      <c r="Y35" s="171">
        <f t="shared" si="377"/>
        <v>0</v>
      </c>
      <c r="Z35" s="171">
        <f t="shared" si="377"/>
        <v>0</v>
      </c>
      <c r="AA35" s="171">
        <f t="shared" si="377"/>
        <v>0</v>
      </c>
      <c r="AB35" s="172">
        <f t="shared" si="377"/>
        <v>0</v>
      </c>
      <c r="AC35" s="172">
        <f t="shared" si="377"/>
        <v>0</v>
      </c>
      <c r="AD35" s="581">
        <f t="shared" si="377"/>
        <v>0</v>
      </c>
      <c r="AE35" s="581">
        <f t="shared" si="377"/>
        <v>0</v>
      </c>
      <c r="AF35" s="581">
        <f t="shared" si="377"/>
        <v>0</v>
      </c>
      <c r="AG35" s="581">
        <f t="shared" si="377"/>
        <v>0</v>
      </c>
      <c r="AH35" s="581">
        <f t="shared" si="377"/>
        <v>0</v>
      </c>
      <c r="AI35" s="581">
        <f t="shared" si="377"/>
        <v>0</v>
      </c>
      <c r="AJ35" s="581">
        <f t="shared" si="377"/>
        <v>0</v>
      </c>
      <c r="AK35" s="581">
        <f t="shared" si="377"/>
        <v>0</v>
      </c>
      <c r="AL35" s="581">
        <f t="shared" si="377"/>
        <v>0</v>
      </c>
      <c r="AM35" s="581">
        <f t="shared" si="377"/>
        <v>0</v>
      </c>
      <c r="AN35" s="581">
        <f t="shared" si="377"/>
        <v>0</v>
      </c>
      <c r="AO35" s="582">
        <f t="shared" si="377"/>
        <v>0</v>
      </c>
    </row>
    <row r="36" s="99" customFormat="1" ht="21" customHeight="1">
      <c r="A36" s="174" t="s">
        <v>23</v>
      </c>
      <c r="B36" s="174"/>
      <c r="C36" s="116"/>
      <c r="D36" s="116"/>
      <c r="E36" s="66"/>
      <c r="F36" s="146"/>
      <c r="G36" s="562"/>
      <c r="H36" s="607"/>
      <c r="I36" s="608"/>
      <c r="J36" s="60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609"/>
      <c r="AD36" s="609"/>
      <c r="AE36" s="609"/>
      <c r="AF36" s="609"/>
      <c r="AG36" s="609"/>
      <c r="AH36" s="609"/>
      <c r="AI36" s="609"/>
      <c r="AJ36" s="609"/>
      <c r="AK36" s="609"/>
      <c r="AL36" s="609"/>
      <c r="AM36" s="609"/>
      <c r="AN36" s="609"/>
      <c r="AO36" s="609"/>
    </row>
    <row r="37" s="99" customFormat="1" ht="25.899999999999999" customHeight="1">
      <c r="A37" s="610" t="s">
        <v>24</v>
      </c>
      <c r="B37" s="611"/>
      <c r="C37" s="49" t="s">
        <v>11</v>
      </c>
      <c r="D37" s="50" t="s">
        <v>12</v>
      </c>
      <c r="E37" s="407" t="s">
        <v>13</v>
      </c>
      <c r="F37" s="612" t="s">
        <v>14</v>
      </c>
      <c r="G37" s="613"/>
      <c r="H37" s="614"/>
      <c r="I37" s="615"/>
      <c r="J37" s="616"/>
      <c r="K37" s="56">
        <v>44562</v>
      </c>
      <c r="L37" s="56">
        <v>44563</v>
      </c>
      <c r="M37" s="56">
        <v>44564</v>
      </c>
      <c r="N37" s="56">
        <v>44565</v>
      </c>
      <c r="O37" s="56">
        <v>44566</v>
      </c>
      <c r="P37" s="56">
        <v>44567</v>
      </c>
      <c r="Q37" s="56">
        <v>44568</v>
      </c>
      <c r="R37" s="56">
        <v>44569</v>
      </c>
      <c r="S37" s="56">
        <v>44570</v>
      </c>
      <c r="T37" s="56">
        <v>44571</v>
      </c>
      <c r="U37" s="56">
        <v>44572</v>
      </c>
      <c r="V37" s="56">
        <v>44573</v>
      </c>
      <c r="W37" s="56">
        <v>44574</v>
      </c>
      <c r="X37" s="56">
        <v>44575</v>
      </c>
      <c r="Y37" s="56">
        <v>44576</v>
      </c>
      <c r="Z37" s="56">
        <v>44577</v>
      </c>
      <c r="AA37" s="56">
        <v>44578</v>
      </c>
      <c r="AB37" s="56">
        <v>44579</v>
      </c>
      <c r="AC37" s="56">
        <v>44580</v>
      </c>
      <c r="AD37" s="56">
        <v>44581</v>
      </c>
      <c r="AE37" s="56">
        <v>44582</v>
      </c>
      <c r="AF37" s="56">
        <v>44583</v>
      </c>
      <c r="AG37" s="56">
        <v>44584</v>
      </c>
      <c r="AH37" s="56">
        <v>44585</v>
      </c>
      <c r="AI37" s="56">
        <v>44586</v>
      </c>
      <c r="AJ37" s="56">
        <v>44587</v>
      </c>
      <c r="AK37" s="56">
        <v>44588</v>
      </c>
      <c r="AL37" s="56">
        <v>44589</v>
      </c>
      <c r="AM37" s="56">
        <v>44590</v>
      </c>
      <c r="AN37" s="56">
        <v>44591</v>
      </c>
      <c r="AO37" s="56">
        <v>44561</v>
      </c>
    </row>
    <row r="38" ht="13.15" customHeight="1" outlineLevel="1">
      <c r="A38" s="617" t="s">
        <v>97</v>
      </c>
      <c r="B38" s="184" t="s">
        <v>0</v>
      </c>
      <c r="C38" s="64">
        <f t="shared" ref="C38:C41" si="378">$C$42/$F$42*F38</f>
        <v>498.68918727272717</v>
      </c>
      <c r="D38" s="65">
        <f t="shared" ref="D38:D41" si="379">SUM(K38:AO38)</f>
        <v>498.68918727272722</v>
      </c>
      <c r="E38" s="618">
        <f>E13+E21+E29</f>
        <v>0</v>
      </c>
      <c r="F38" s="619">
        <f t="shared" ref="F38:F41" si="380">F24</f>
        <v>3</v>
      </c>
      <c r="G38" s="620"/>
      <c r="H38" s="621"/>
      <c r="I38" s="621"/>
      <c r="J38" s="622">
        <f t="shared" ref="J38:J48" si="381">SUM(G38:I38)</f>
        <v>0</v>
      </c>
      <c r="K38" s="623">
        <f t="shared" ref="K38:K39" si="382">K8*$A$6+K16*$A$14+K24*$A$22</f>
        <v>0</v>
      </c>
      <c r="L38" s="624">
        <f t="shared" ref="L38:AB41" si="383">L8*$A$6+L16*$A$14+L24*$A$22</f>
        <v>0</v>
      </c>
      <c r="M38" s="624">
        <f>M8*$A$6+M16*$A$14+M24*$A$22</f>
        <v>0</v>
      </c>
      <c r="N38" s="625">
        <f t="shared" si="383"/>
        <v>0</v>
      </c>
      <c r="O38" s="625">
        <f t="shared" si="383"/>
        <v>166.22972909090907</v>
      </c>
      <c r="P38" s="625">
        <f t="shared" si="383"/>
        <v>166.22972909090907</v>
      </c>
      <c r="Q38" s="625">
        <f t="shared" si="383"/>
        <v>0</v>
      </c>
      <c r="R38" s="625">
        <f t="shared" si="383"/>
        <v>0</v>
      </c>
      <c r="S38" s="625">
        <f>S8*$A$6+S16*$A$14+S24*$A$22</f>
        <v>166.22972909090907</v>
      </c>
      <c r="T38" s="625">
        <f>T8*$A$6+T16*$A$14+T24*$A$22</f>
        <v>0</v>
      </c>
      <c r="U38" s="625">
        <f>U8*$A$6+U16*$A$14+U24*$A$22</f>
        <v>0</v>
      </c>
      <c r="V38" s="625">
        <f>V8*$A$6+V16*$A$14+V24*$A$22</f>
        <v>0</v>
      </c>
      <c r="W38" s="625">
        <f>W8*$A$6+W16*$A$14+W24*$A$22</f>
        <v>0</v>
      </c>
      <c r="X38" s="625">
        <f t="shared" si="383"/>
        <v>0</v>
      </c>
      <c r="Y38" s="625">
        <f t="shared" si="383"/>
        <v>0</v>
      </c>
      <c r="Z38" s="625">
        <f t="shared" si="383"/>
        <v>0</v>
      </c>
      <c r="AA38" s="625">
        <f t="shared" si="383"/>
        <v>0</v>
      </c>
      <c r="AB38" s="626">
        <f t="shared" si="383"/>
        <v>0</v>
      </c>
      <c r="AC38" s="625">
        <f t="shared" ref="AC38:AO41" si="384">AC8*$A$6+AC16*$A$14+AC24*$A$22</f>
        <v>0</v>
      </c>
      <c r="AD38" s="625">
        <f t="shared" ref="AD38:AO38" si="385">AD8*$A$6+AD16*$A$14+AD24*$A$22</f>
        <v>0</v>
      </c>
      <c r="AE38" s="625">
        <f t="shared" si="385"/>
        <v>0</v>
      </c>
      <c r="AF38" s="625">
        <f t="shared" si="385"/>
        <v>0</v>
      </c>
      <c r="AG38" s="625">
        <f t="shared" si="385"/>
        <v>0</v>
      </c>
      <c r="AH38" s="625">
        <f t="shared" si="385"/>
        <v>0</v>
      </c>
      <c r="AI38" s="625">
        <f>AI8*$A$6+AI16*$A$14+AI24*$A$22</f>
        <v>0</v>
      </c>
      <c r="AJ38" s="625">
        <f t="shared" si="385"/>
        <v>0</v>
      </c>
      <c r="AK38" s="625">
        <f t="shared" si="385"/>
        <v>0</v>
      </c>
      <c r="AL38" s="625">
        <f t="shared" si="385"/>
        <v>0</v>
      </c>
      <c r="AM38" s="625">
        <f t="shared" si="385"/>
        <v>0</v>
      </c>
      <c r="AN38" s="625">
        <f t="shared" si="385"/>
        <v>0</v>
      </c>
      <c r="AO38" s="627">
        <f t="shared" si="385"/>
        <v>0</v>
      </c>
    </row>
    <row r="39" ht="13.15" customHeight="1" outlineLevel="1">
      <c r="A39" s="617"/>
      <c r="B39" s="194" t="s">
        <v>1</v>
      </c>
      <c r="C39" s="78">
        <f t="shared" si="378"/>
        <v>332.45945818181809</v>
      </c>
      <c r="D39" s="79">
        <f t="shared" si="379"/>
        <v>332.45945818181815</v>
      </c>
      <c r="E39" s="348">
        <f t="shared" ref="E39:E41" si="386">E38</f>
        <v>0</v>
      </c>
      <c r="F39" s="619">
        <f t="shared" si="380"/>
        <v>2</v>
      </c>
      <c r="G39" s="546"/>
      <c r="H39" s="547"/>
      <c r="I39" s="547"/>
      <c r="J39" s="430">
        <f t="shared" si="381"/>
        <v>0</v>
      </c>
      <c r="K39" s="628">
        <f t="shared" si="382"/>
        <v>0</v>
      </c>
      <c r="L39" s="629">
        <f t="shared" si="383"/>
        <v>0</v>
      </c>
      <c r="M39" s="629">
        <f t="shared" si="383"/>
        <v>0</v>
      </c>
      <c r="N39" s="630">
        <f t="shared" si="383"/>
        <v>0</v>
      </c>
      <c r="O39" s="630">
        <f t="shared" si="383"/>
        <v>0</v>
      </c>
      <c r="P39" s="630">
        <f>P9*$A$6+P17*$A$14+P25*$A$22</f>
        <v>166.22972909090907</v>
      </c>
      <c r="Q39" s="630">
        <f t="shared" si="383"/>
        <v>166.22972909090907</v>
      </c>
      <c r="R39" s="630">
        <f t="shared" si="383"/>
        <v>0</v>
      </c>
      <c r="S39" s="630">
        <f t="shared" si="383"/>
        <v>0</v>
      </c>
      <c r="T39" s="630">
        <f t="shared" si="383"/>
        <v>0</v>
      </c>
      <c r="U39" s="630">
        <f t="shared" si="383"/>
        <v>0</v>
      </c>
      <c r="V39" s="630">
        <f t="shared" si="383"/>
        <v>0</v>
      </c>
      <c r="W39" s="630">
        <f t="shared" si="383"/>
        <v>0</v>
      </c>
      <c r="X39" s="630">
        <f t="shared" si="383"/>
        <v>0</v>
      </c>
      <c r="Y39" s="630">
        <f t="shared" si="383"/>
        <v>0</v>
      </c>
      <c r="Z39" s="630">
        <f t="shared" si="383"/>
        <v>0</v>
      </c>
      <c r="AA39" s="630">
        <f t="shared" si="383"/>
        <v>0</v>
      </c>
      <c r="AB39" s="631">
        <f t="shared" si="383"/>
        <v>0</v>
      </c>
      <c r="AC39" s="630">
        <f t="shared" si="384"/>
        <v>0</v>
      </c>
      <c r="AD39" s="630">
        <f t="shared" si="384"/>
        <v>0</v>
      </c>
      <c r="AE39" s="630">
        <f t="shared" si="384"/>
        <v>0</v>
      </c>
      <c r="AF39" s="630">
        <f t="shared" si="384"/>
        <v>0</v>
      </c>
      <c r="AG39" s="630">
        <f t="shared" si="384"/>
        <v>0</v>
      </c>
      <c r="AH39" s="630">
        <f t="shared" si="384"/>
        <v>0</v>
      </c>
      <c r="AI39" s="630">
        <f t="shared" si="384"/>
        <v>0</v>
      </c>
      <c r="AJ39" s="630">
        <f t="shared" si="384"/>
        <v>0</v>
      </c>
      <c r="AK39" s="630">
        <f t="shared" si="384"/>
        <v>0</v>
      </c>
      <c r="AL39" s="630">
        <f t="shared" si="384"/>
        <v>0</v>
      </c>
      <c r="AM39" s="630">
        <f t="shared" si="384"/>
        <v>0</v>
      </c>
      <c r="AN39" s="630">
        <f t="shared" si="384"/>
        <v>0</v>
      </c>
      <c r="AO39" s="632">
        <f t="shared" si="384"/>
        <v>0</v>
      </c>
    </row>
    <row r="40" ht="13.15" customHeight="1" outlineLevel="1">
      <c r="A40" s="617"/>
      <c r="B40" s="196" t="s">
        <v>2</v>
      </c>
      <c r="C40" s="131">
        <f t="shared" si="378"/>
        <v>664.91891636363619</v>
      </c>
      <c r="D40" s="197">
        <f t="shared" si="379"/>
        <v>664.9189163636363</v>
      </c>
      <c r="E40" s="348">
        <f t="shared" si="386"/>
        <v>0</v>
      </c>
      <c r="F40" s="619">
        <f t="shared" si="380"/>
        <v>4</v>
      </c>
      <c r="G40" s="546"/>
      <c r="H40" s="547"/>
      <c r="I40" s="547"/>
      <c r="J40" s="430">
        <f t="shared" si="381"/>
        <v>0</v>
      </c>
      <c r="K40" s="628">
        <f t="shared" ref="K40:K41" si="387">K10*$A$6+K18*$A$14+K26*$A$22</f>
        <v>0</v>
      </c>
      <c r="L40" s="629">
        <f t="shared" si="383"/>
        <v>0</v>
      </c>
      <c r="M40" s="629">
        <f t="shared" si="383"/>
        <v>0</v>
      </c>
      <c r="N40" s="630">
        <f t="shared" si="383"/>
        <v>166.22972909090907</v>
      </c>
      <c r="O40" s="630">
        <f t="shared" si="383"/>
        <v>166.22972909090907</v>
      </c>
      <c r="P40" s="630">
        <f t="shared" si="383"/>
        <v>0</v>
      </c>
      <c r="Q40" s="630">
        <f t="shared" si="383"/>
        <v>0</v>
      </c>
      <c r="R40" s="630">
        <f t="shared" si="383"/>
        <v>166.22972909090907</v>
      </c>
      <c r="S40" s="630">
        <f t="shared" si="383"/>
        <v>166.22972909090907</v>
      </c>
      <c r="T40" s="630">
        <f t="shared" si="383"/>
        <v>0</v>
      </c>
      <c r="U40" s="630">
        <f t="shared" si="383"/>
        <v>0</v>
      </c>
      <c r="V40" s="630">
        <f t="shared" si="383"/>
        <v>0</v>
      </c>
      <c r="W40" s="630">
        <f t="shared" si="383"/>
        <v>0</v>
      </c>
      <c r="X40" s="630">
        <f t="shared" si="383"/>
        <v>0</v>
      </c>
      <c r="Y40" s="630">
        <f t="shared" si="383"/>
        <v>0</v>
      </c>
      <c r="Z40" s="630">
        <f t="shared" si="383"/>
        <v>0</v>
      </c>
      <c r="AA40" s="630">
        <f t="shared" si="383"/>
        <v>0</v>
      </c>
      <c r="AB40" s="631">
        <f t="shared" si="383"/>
        <v>0</v>
      </c>
      <c r="AC40" s="630">
        <f t="shared" si="384"/>
        <v>0</v>
      </c>
      <c r="AD40" s="630">
        <f t="shared" si="384"/>
        <v>0</v>
      </c>
      <c r="AE40" s="630">
        <f t="shared" si="384"/>
        <v>0</v>
      </c>
      <c r="AF40" s="630">
        <f t="shared" si="384"/>
        <v>0</v>
      </c>
      <c r="AG40" s="630">
        <f t="shared" si="384"/>
        <v>0</v>
      </c>
      <c r="AH40" s="630">
        <f t="shared" si="384"/>
        <v>0</v>
      </c>
      <c r="AI40" s="630">
        <f t="shared" si="384"/>
        <v>0</v>
      </c>
      <c r="AJ40" s="630">
        <f t="shared" si="384"/>
        <v>0</v>
      </c>
      <c r="AK40" s="630">
        <f t="shared" si="384"/>
        <v>0</v>
      </c>
      <c r="AL40" s="630">
        <f t="shared" si="384"/>
        <v>0</v>
      </c>
      <c r="AM40" s="630">
        <f t="shared" si="384"/>
        <v>0</v>
      </c>
      <c r="AN40" s="630">
        <f t="shared" si="384"/>
        <v>0</v>
      </c>
      <c r="AO40" s="632">
        <f t="shared" si="384"/>
        <v>0</v>
      </c>
    </row>
    <row r="41" ht="13.9" customHeight="1" outlineLevel="1">
      <c r="A41" s="633"/>
      <c r="B41" s="634" t="s">
        <v>3</v>
      </c>
      <c r="C41" s="635">
        <f t="shared" si="378"/>
        <v>498.68918727272717</v>
      </c>
      <c r="D41" s="325">
        <f t="shared" si="379"/>
        <v>498.68918727272722</v>
      </c>
      <c r="E41" s="352">
        <f t="shared" si="386"/>
        <v>0</v>
      </c>
      <c r="F41" s="636">
        <f t="shared" si="380"/>
        <v>3</v>
      </c>
      <c r="G41" s="574"/>
      <c r="H41" s="637"/>
      <c r="I41" s="637"/>
      <c r="J41" s="638">
        <f t="shared" si="381"/>
        <v>0</v>
      </c>
      <c r="K41" s="639">
        <f t="shared" si="387"/>
        <v>0</v>
      </c>
      <c r="L41" s="640">
        <f>L11*$A$6+L19*$A$14+L27*$A$22</f>
        <v>0</v>
      </c>
      <c r="M41" s="640">
        <f t="shared" si="383"/>
        <v>0</v>
      </c>
      <c r="N41" s="203">
        <f t="shared" si="383"/>
        <v>166.22972909090907</v>
      </c>
      <c r="O41" s="203">
        <f t="shared" si="383"/>
        <v>0</v>
      </c>
      <c r="P41" s="203">
        <f t="shared" si="383"/>
        <v>0</v>
      </c>
      <c r="Q41" s="203">
        <f t="shared" si="383"/>
        <v>166.22972909090907</v>
      </c>
      <c r="R41" s="203">
        <f t="shared" si="383"/>
        <v>166.22972909090907</v>
      </c>
      <c r="S41" s="203">
        <f t="shared" si="383"/>
        <v>0</v>
      </c>
      <c r="T41" s="203">
        <f t="shared" si="383"/>
        <v>0</v>
      </c>
      <c r="U41" s="203">
        <f t="shared" si="383"/>
        <v>0</v>
      </c>
      <c r="V41" s="203">
        <f t="shared" si="383"/>
        <v>0</v>
      </c>
      <c r="W41" s="203">
        <f t="shared" si="383"/>
        <v>0</v>
      </c>
      <c r="X41" s="203">
        <f t="shared" si="383"/>
        <v>0</v>
      </c>
      <c r="Y41" s="203">
        <f t="shared" si="383"/>
        <v>0</v>
      </c>
      <c r="Z41" s="203">
        <f t="shared" si="383"/>
        <v>0</v>
      </c>
      <c r="AA41" s="203">
        <f t="shared" si="383"/>
        <v>0</v>
      </c>
      <c r="AB41" s="202">
        <f t="shared" si="383"/>
        <v>0</v>
      </c>
      <c r="AC41" s="203">
        <f t="shared" si="384"/>
        <v>0</v>
      </c>
      <c r="AD41" s="203">
        <f t="shared" si="384"/>
        <v>0</v>
      </c>
      <c r="AE41" s="203">
        <f t="shared" si="384"/>
        <v>0</v>
      </c>
      <c r="AF41" s="203">
        <f t="shared" si="384"/>
        <v>0</v>
      </c>
      <c r="AG41" s="203">
        <f t="shared" si="384"/>
        <v>0</v>
      </c>
      <c r="AH41" s="203">
        <f t="shared" si="384"/>
        <v>0</v>
      </c>
      <c r="AI41" s="203">
        <f t="shared" si="384"/>
        <v>0</v>
      </c>
      <c r="AJ41" s="203">
        <f t="shared" si="384"/>
        <v>0</v>
      </c>
      <c r="AK41" s="203">
        <f>AK11*$A$6+AK19*$A$14+AK27*$A$22</f>
        <v>0</v>
      </c>
      <c r="AL41" s="203">
        <f t="shared" si="384"/>
        <v>0</v>
      </c>
      <c r="AM41" s="203">
        <f t="shared" si="384"/>
        <v>0</v>
      </c>
      <c r="AN41" s="203">
        <f t="shared" si="384"/>
        <v>0</v>
      </c>
      <c r="AO41" s="641">
        <f t="shared" si="384"/>
        <v>0</v>
      </c>
    </row>
    <row r="42" s="642" customFormat="1" ht="23.449999999999999" customHeight="1">
      <c r="A42" s="204"/>
      <c r="B42" s="205" t="s">
        <v>18</v>
      </c>
      <c r="C42" s="643">
        <f>'[6]План пр-ва по единицам обор'!$L$12</f>
        <v>1994.7567490909087</v>
      </c>
      <c r="D42" s="329">
        <f>SUM(D38:D41)</f>
        <v>1994.7567490909089</v>
      </c>
      <c r="E42" s="644"/>
      <c r="F42" s="645">
        <f>SUM(F38:F41)</f>
        <v>12</v>
      </c>
      <c r="G42" s="644"/>
      <c r="H42" s="646"/>
      <c r="I42" s="646"/>
      <c r="J42" s="647"/>
      <c r="K42" s="648">
        <f t="shared" ref="K42:AO42" si="388">SUM(K38:K41)</f>
        <v>0</v>
      </c>
      <c r="L42" s="648">
        <f t="shared" si="388"/>
        <v>0</v>
      </c>
      <c r="M42" s="648">
        <f t="shared" si="388"/>
        <v>0</v>
      </c>
      <c r="N42" s="648">
        <f t="shared" si="388"/>
        <v>332.45945818181815</v>
      </c>
      <c r="O42" s="648">
        <f t="shared" si="388"/>
        <v>332.45945818181815</v>
      </c>
      <c r="P42" s="648">
        <f t="shared" si="388"/>
        <v>332.45945818181815</v>
      </c>
      <c r="Q42" s="648">
        <f t="shared" si="388"/>
        <v>332.45945818181815</v>
      </c>
      <c r="R42" s="648">
        <f t="shared" si="388"/>
        <v>332.45945818181815</v>
      </c>
      <c r="S42" s="648">
        <f t="shared" si="388"/>
        <v>332.45945818181815</v>
      </c>
      <c r="T42" s="648">
        <f t="shared" si="388"/>
        <v>0</v>
      </c>
      <c r="U42" s="648">
        <f t="shared" si="388"/>
        <v>0</v>
      </c>
      <c r="V42" s="648">
        <f t="shared" si="388"/>
        <v>0</v>
      </c>
      <c r="W42" s="648">
        <f t="shared" si="388"/>
        <v>0</v>
      </c>
      <c r="X42" s="648">
        <f t="shared" si="388"/>
        <v>0</v>
      </c>
      <c r="Y42" s="648">
        <f t="shared" si="388"/>
        <v>0</v>
      </c>
      <c r="Z42" s="648">
        <f t="shared" si="388"/>
        <v>0</v>
      </c>
      <c r="AA42" s="648">
        <f t="shared" si="388"/>
        <v>0</v>
      </c>
      <c r="AB42" s="648">
        <f t="shared" si="388"/>
        <v>0</v>
      </c>
      <c r="AC42" s="648">
        <f t="shared" si="388"/>
        <v>0</v>
      </c>
      <c r="AD42" s="648">
        <f t="shared" si="388"/>
        <v>0</v>
      </c>
      <c r="AE42" s="648">
        <f t="shared" si="388"/>
        <v>0</v>
      </c>
      <c r="AF42" s="648">
        <f t="shared" si="388"/>
        <v>0</v>
      </c>
      <c r="AG42" s="648">
        <f t="shared" si="388"/>
        <v>0</v>
      </c>
      <c r="AH42" s="648">
        <f t="shared" si="388"/>
        <v>0</v>
      </c>
      <c r="AI42" s="648">
        <f t="shared" si="388"/>
        <v>0</v>
      </c>
      <c r="AJ42" s="648">
        <f t="shared" si="388"/>
        <v>0</v>
      </c>
      <c r="AK42" s="648">
        <f t="shared" si="388"/>
        <v>0</v>
      </c>
      <c r="AL42" s="648">
        <f t="shared" si="388"/>
        <v>0</v>
      </c>
      <c r="AM42" s="648">
        <f t="shared" si="388"/>
        <v>0</v>
      </c>
      <c r="AN42" s="648">
        <f t="shared" si="388"/>
        <v>0</v>
      </c>
      <c r="AO42" s="648">
        <f t="shared" si="388"/>
        <v>0</v>
      </c>
    </row>
    <row r="43" s="642" customFormat="1" ht="19.899999999999999" customHeight="1">
      <c r="A43" s="43" t="s">
        <v>26</v>
      </c>
      <c r="B43" s="43"/>
      <c r="C43" s="649"/>
      <c r="D43" s="176"/>
      <c r="E43" s="178"/>
      <c r="F43" s="178"/>
      <c r="G43" s="178"/>
      <c r="H43" s="178"/>
      <c r="I43" s="178"/>
      <c r="J43" s="178"/>
      <c r="K43" s="650">
        <f>K6+K14+K22</f>
        <v>0</v>
      </c>
      <c r="L43" s="650">
        <f>T4+L14+L22</f>
        <v>0</v>
      </c>
      <c r="M43" s="650">
        <f>U4+M14+M22</f>
        <v>0</v>
      </c>
      <c r="N43" s="650">
        <f>V4+N14+N22</f>
        <v>332.45945818181815</v>
      </c>
      <c r="O43" s="650">
        <f>W4+O14+O22</f>
        <v>332.45945818181815</v>
      </c>
      <c r="P43" s="650">
        <f>X4+P14+P22</f>
        <v>332.45945818181815</v>
      </c>
      <c r="Q43" s="650">
        <f t="shared" ref="Q43:AO43" si="389">Q6+Q14+Q22</f>
        <v>332.45945818181815</v>
      </c>
      <c r="R43" s="650">
        <f t="shared" si="389"/>
        <v>332.45945818181815</v>
      </c>
      <c r="S43" s="650">
        <f t="shared" si="389"/>
        <v>332.45945818181815</v>
      </c>
      <c r="T43" s="650">
        <f t="shared" si="389"/>
        <v>0</v>
      </c>
      <c r="U43" s="650">
        <f t="shared" si="389"/>
        <v>0</v>
      </c>
      <c r="V43" s="650">
        <f t="shared" si="389"/>
        <v>0</v>
      </c>
      <c r="W43" s="650">
        <f t="shared" si="389"/>
        <v>0</v>
      </c>
      <c r="X43" s="650">
        <f t="shared" si="389"/>
        <v>0</v>
      </c>
      <c r="Y43" s="650">
        <f t="shared" si="389"/>
        <v>0</v>
      </c>
      <c r="Z43" s="650">
        <f t="shared" si="389"/>
        <v>0</v>
      </c>
      <c r="AA43" s="650">
        <f t="shared" si="389"/>
        <v>0</v>
      </c>
      <c r="AB43" s="650">
        <f t="shared" si="389"/>
        <v>0</v>
      </c>
      <c r="AC43" s="650">
        <f t="shared" si="389"/>
        <v>0</v>
      </c>
      <c r="AD43" s="650">
        <f t="shared" si="389"/>
        <v>0</v>
      </c>
      <c r="AE43" s="650">
        <f t="shared" si="389"/>
        <v>0</v>
      </c>
      <c r="AF43" s="650">
        <f t="shared" si="389"/>
        <v>0</v>
      </c>
      <c r="AG43" s="650">
        <f t="shared" si="389"/>
        <v>0</v>
      </c>
      <c r="AH43" s="650">
        <f t="shared" si="389"/>
        <v>0</v>
      </c>
      <c r="AI43" s="650">
        <f t="shared" si="389"/>
        <v>0</v>
      </c>
      <c r="AJ43" s="650">
        <f t="shared" si="389"/>
        <v>0</v>
      </c>
      <c r="AK43" s="650">
        <f t="shared" si="389"/>
        <v>0</v>
      </c>
      <c r="AL43" s="650">
        <f t="shared" si="389"/>
        <v>0</v>
      </c>
      <c r="AM43" s="650">
        <f t="shared" si="389"/>
        <v>0</v>
      </c>
      <c r="AN43" s="650">
        <f t="shared" si="389"/>
        <v>0</v>
      </c>
      <c r="AO43" s="650">
        <f t="shared" si="389"/>
        <v>0</v>
      </c>
    </row>
    <row r="44" s="123" customFormat="1" ht="28.149999999999999" customHeight="1" outlineLevel="1">
      <c r="A44" s="47" t="s">
        <v>101</v>
      </c>
      <c r="B44" s="48"/>
      <c r="C44" s="49" t="s">
        <v>11</v>
      </c>
      <c r="D44" s="50" t="s">
        <v>12</v>
      </c>
      <c r="E44" s="407" t="s">
        <v>13</v>
      </c>
      <c r="F44" s="408" t="s">
        <v>14</v>
      </c>
      <c r="G44" s="211" t="s">
        <v>15</v>
      </c>
      <c r="H44" s="212" t="s">
        <v>16</v>
      </c>
      <c r="I44" s="212" t="s">
        <v>17</v>
      </c>
      <c r="J44" s="213" t="s">
        <v>18</v>
      </c>
      <c r="K44" s="56">
        <v>44562</v>
      </c>
      <c r="L44" s="56">
        <v>44563</v>
      </c>
      <c r="M44" s="56">
        <v>44564</v>
      </c>
      <c r="N44" s="56">
        <v>44565</v>
      </c>
      <c r="O44" s="58">
        <v>44566</v>
      </c>
      <c r="P44" s="56">
        <v>44567</v>
      </c>
      <c r="Q44" s="56">
        <v>44568</v>
      </c>
      <c r="R44" s="56">
        <v>44569</v>
      </c>
      <c r="S44" s="56">
        <v>44570</v>
      </c>
      <c r="T44" s="56">
        <v>44571</v>
      </c>
      <c r="U44" s="56">
        <v>44572</v>
      </c>
      <c r="V44" s="59">
        <v>44573</v>
      </c>
      <c r="W44" s="56">
        <v>44574</v>
      </c>
      <c r="X44" s="56">
        <v>44575</v>
      </c>
      <c r="Y44" s="56">
        <v>44576</v>
      </c>
      <c r="Z44" s="56">
        <v>44577</v>
      </c>
      <c r="AA44" s="56">
        <v>44578</v>
      </c>
      <c r="AB44" s="56">
        <v>44579</v>
      </c>
      <c r="AC44" s="651">
        <v>44580</v>
      </c>
      <c r="AD44" s="56">
        <v>44581</v>
      </c>
      <c r="AE44" s="56">
        <v>44582</v>
      </c>
      <c r="AF44" s="56">
        <v>44583</v>
      </c>
      <c r="AG44" s="56">
        <v>44584</v>
      </c>
      <c r="AH44" s="56">
        <v>44585</v>
      </c>
      <c r="AI44" s="56">
        <v>44586</v>
      </c>
      <c r="AJ44" s="57">
        <v>44587</v>
      </c>
      <c r="AK44" s="56">
        <v>44588</v>
      </c>
      <c r="AL44" s="56">
        <v>44589</v>
      </c>
      <c r="AM44" s="56">
        <v>44590</v>
      </c>
      <c r="AN44" s="56">
        <v>44591</v>
      </c>
      <c r="AO44" s="56">
        <v>44592</v>
      </c>
    </row>
    <row r="45" outlineLevel="2">
      <c r="A45" s="62" t="s">
        <v>102</v>
      </c>
      <c r="B45" s="63" t="s">
        <v>0</v>
      </c>
      <c r="C45" s="64">
        <f>$C$49/F49*F45</f>
        <v>296.90454545454548</v>
      </c>
      <c r="D45" s="320">
        <f t="shared" ref="D45:D48" si="390">SUM(K45:AO45)</f>
        <v>306.6815151515151</v>
      </c>
      <c r="E45" s="618">
        <f>'[3]План пр-ва по единицам обор'!$AS$41-0.9</f>
        <v>27.100000000000001</v>
      </c>
      <c r="F45" s="129">
        <f t="shared" ref="F45:F48" si="391">COUNTA(K45:AO45)</f>
        <v>10</v>
      </c>
      <c r="G45" s="652">
        <v>2.4700000000000002</v>
      </c>
      <c r="H45" s="653"/>
      <c r="I45" s="654">
        <f t="shared" ref="I45:I55" si="392">8/60</f>
        <v>0.13333333333333333</v>
      </c>
      <c r="J45" s="622">
        <f t="shared" si="381"/>
        <v>2.6033333333333335</v>
      </c>
      <c r="K45" s="655"/>
      <c r="L45" s="656">
        <f t="shared" ref="L45:L46" si="393">35/11*(11-($H45+$I45))</f>
        <v>34.575757575757578</v>
      </c>
      <c r="M45" s="656"/>
      <c r="N45" s="656"/>
      <c r="O45" s="75">
        <f>35/11*(11-($G45+$I45))</f>
        <v>26.716666666666665</v>
      </c>
      <c r="P45" s="656">
        <f t="shared" ref="P45:P46" si="394">35/11*(11-($H45+$I45))</f>
        <v>34.575757575757578</v>
      </c>
      <c r="Q45" s="656"/>
      <c r="R45" s="656"/>
      <c r="S45" s="656">
        <f>35/11*(11-($H45+$I45))</f>
        <v>34.575757575757578</v>
      </c>
      <c r="T45" s="656">
        <f t="shared" ref="T45:T46" si="395">35/11*(11-($H45+$I45))</f>
        <v>34.575757575757578</v>
      </c>
      <c r="U45" s="656"/>
      <c r="V45" s="656"/>
      <c r="W45" s="656">
        <f>35/11*(11-($H45+$I45))</f>
        <v>34.575757575757578</v>
      </c>
      <c r="X45" s="656"/>
      <c r="Y45" s="656"/>
      <c r="Z45" s="656"/>
      <c r="AA45" s="656">
        <f t="shared" ref="AA45:AB46" si="396">$E45/11*(11-($H45+$I45))</f>
        <v>26.771515151515153</v>
      </c>
      <c r="AB45" s="656"/>
      <c r="AC45" s="656"/>
      <c r="AD45" s="656"/>
      <c r="AE45" s="656">
        <f t="shared" ref="AE45:AF46" si="397">$E45/11*(11-($H45+$I45))</f>
        <v>26.771515151515153</v>
      </c>
      <c r="AF45" s="656"/>
      <c r="AG45" s="656"/>
      <c r="AH45" s="656"/>
      <c r="AI45" s="656">
        <f t="shared" ref="AH45:AI47" si="398">$E45/11*(11-($H45+$I45))</f>
        <v>26.771515151515153</v>
      </c>
      <c r="AJ45" s="656"/>
      <c r="AK45" s="656"/>
      <c r="AL45" s="656"/>
      <c r="AM45" s="656">
        <f t="shared" ref="AM45:AN46" si="399">$E45/11*(11-($H45+$I45))</f>
        <v>26.771515151515153</v>
      </c>
      <c r="AN45" s="656"/>
      <c r="AO45" s="657"/>
    </row>
    <row r="46" outlineLevel="2">
      <c r="A46" s="76"/>
      <c r="B46" s="77" t="s">
        <v>1</v>
      </c>
      <c r="C46" s="78">
        <f t="shared" ref="C46:C48" si="400">$C$49/$F$49*F46</f>
        <v>326.59500000000003</v>
      </c>
      <c r="D46" s="79">
        <f t="shared" si="390"/>
        <v>323.66181818181815</v>
      </c>
      <c r="E46" s="348">
        <f t="shared" ref="E46:E48" si="401">E45</f>
        <v>27.100000000000001</v>
      </c>
      <c r="F46" s="130">
        <f t="shared" si="391"/>
        <v>11</v>
      </c>
      <c r="G46" s="658">
        <v>8</v>
      </c>
      <c r="H46" s="428"/>
      <c r="I46" s="420">
        <f t="shared" si="392"/>
        <v>0.13333333333333333</v>
      </c>
      <c r="J46" s="430">
        <f t="shared" si="381"/>
        <v>8.1333333333333329</v>
      </c>
      <c r="K46" s="72"/>
      <c r="L46" s="74">
        <f t="shared" si="393"/>
        <v>34.575757575757578</v>
      </c>
      <c r="M46" s="74">
        <f>35/11*(11-($H46+$I46))</f>
        <v>34.575757575757578</v>
      </c>
      <c r="N46" s="84"/>
      <c r="O46" s="73"/>
      <c r="P46" s="74">
        <f t="shared" si="394"/>
        <v>34.575757575757578</v>
      </c>
      <c r="Q46" s="74">
        <f>35/11*(11-($H46+$I46))</f>
        <v>34.575757575757578</v>
      </c>
      <c r="R46" s="84"/>
      <c r="S46" s="73"/>
      <c r="T46" s="74">
        <f t="shared" si="395"/>
        <v>34.575757575757578</v>
      </c>
      <c r="U46" s="74">
        <f>35/11*(11-($H46+$I46))</f>
        <v>34.575757575757578</v>
      </c>
      <c r="V46" s="84"/>
      <c r="W46" s="73"/>
      <c r="X46" s="74">
        <f>$E46/11*(11-($H46+$I46))</f>
        <v>26.771515151515153</v>
      </c>
      <c r="Y46" s="74"/>
      <c r="Z46" s="84"/>
      <c r="AA46" s="73"/>
      <c r="AB46" s="74">
        <f t="shared" si="396"/>
        <v>26.771515151515153</v>
      </c>
      <c r="AC46" s="74"/>
      <c r="AD46" s="84"/>
      <c r="AE46" s="73"/>
      <c r="AF46" s="74">
        <f t="shared" si="397"/>
        <v>26.771515151515153</v>
      </c>
      <c r="AG46" s="74"/>
      <c r="AH46" s="84"/>
      <c r="AI46" s="73"/>
      <c r="AJ46" s="75">
        <f>35/11*(11-($G46+$I46))</f>
        <v>9.1212121212121229</v>
      </c>
      <c r="AK46" s="74"/>
      <c r="AL46" s="84"/>
      <c r="AM46" s="73"/>
      <c r="AN46" s="74">
        <f t="shared" si="399"/>
        <v>26.771515151515153</v>
      </c>
      <c r="AO46" s="659"/>
    </row>
    <row r="47" outlineLevel="2">
      <c r="A47" s="76"/>
      <c r="B47" s="85" t="s">
        <v>2</v>
      </c>
      <c r="C47" s="131">
        <f t="shared" si="400"/>
        <v>296.90454545454548</v>
      </c>
      <c r="D47" s="197">
        <f t="shared" si="390"/>
        <v>281.28181818181821</v>
      </c>
      <c r="E47" s="348">
        <f t="shared" si="401"/>
        <v>27.100000000000001</v>
      </c>
      <c r="F47" s="130">
        <f t="shared" si="391"/>
        <v>10</v>
      </c>
      <c r="G47" s="658">
        <v>8</v>
      </c>
      <c r="H47" s="428"/>
      <c r="I47" s="420">
        <f t="shared" si="392"/>
        <v>0.13333333333333333</v>
      </c>
      <c r="J47" s="430">
        <f t="shared" si="381"/>
        <v>8.1333333333333329</v>
      </c>
      <c r="K47" s="88"/>
      <c r="L47" s="74"/>
      <c r="M47" s="73"/>
      <c r="N47" s="74">
        <f t="shared" ref="N47:N48" si="402">35/11*(11-($H47+$I47))</f>
        <v>34.575757575757578</v>
      </c>
      <c r="O47" s="74">
        <f>35/11*(11-($H47+$I47))</f>
        <v>34.575757575757578</v>
      </c>
      <c r="P47" s="74"/>
      <c r="Q47" s="73"/>
      <c r="R47" s="74">
        <f t="shared" ref="R47:R48" si="403">35/11*(11-($H47+$I47))</f>
        <v>34.575757575757578</v>
      </c>
      <c r="S47" s="74">
        <f>35/11*(11-($H47+$I47))</f>
        <v>34.575757575757578</v>
      </c>
      <c r="T47" s="74"/>
      <c r="U47" s="73"/>
      <c r="V47" s="75">
        <f>35/11*(11-($G47+$I47))</f>
        <v>9.1212121212121229</v>
      </c>
      <c r="W47" s="74">
        <f>$E47/11*(11-($H47+$I47))</f>
        <v>26.771515151515153</v>
      </c>
      <c r="X47" s="74"/>
      <c r="Y47" s="73"/>
      <c r="Z47" s="74">
        <f>$E47/11*(11-($H47+$I47))</f>
        <v>26.771515151515153</v>
      </c>
      <c r="AA47" s="74"/>
      <c r="AB47" s="74"/>
      <c r="AC47" s="73"/>
      <c r="AD47" s="74">
        <f>$E47/11*(11-($H47+$I47))</f>
        <v>26.771515151515153</v>
      </c>
      <c r="AE47" s="74"/>
      <c r="AF47" s="74"/>
      <c r="AG47" s="73"/>
      <c r="AH47" s="74">
        <f t="shared" si="398"/>
        <v>26.771515151515153</v>
      </c>
      <c r="AI47" s="74"/>
      <c r="AJ47" s="74"/>
      <c r="AK47" s="73"/>
      <c r="AL47" s="74">
        <f>$E47/11*(11-($H47+$I47))</f>
        <v>26.771515151515153</v>
      </c>
      <c r="AM47" s="74"/>
      <c r="AN47" s="74"/>
      <c r="AO47" s="544"/>
    </row>
    <row r="48" ht="13.5" outlineLevel="2">
      <c r="A48" s="89"/>
      <c r="B48" s="90" t="s">
        <v>3</v>
      </c>
      <c r="C48" s="133">
        <f t="shared" si="400"/>
        <v>326.59500000000003</v>
      </c>
      <c r="D48" s="200">
        <f t="shared" si="390"/>
        <v>335.22693939393935</v>
      </c>
      <c r="E48" s="352">
        <f t="shared" si="401"/>
        <v>27.100000000000001</v>
      </c>
      <c r="F48" s="135">
        <f t="shared" si="391"/>
        <v>11</v>
      </c>
      <c r="G48" s="660">
        <v>2.4700000000000002</v>
      </c>
      <c r="H48" s="661"/>
      <c r="I48" s="662">
        <f t="shared" si="392"/>
        <v>0.13333333333333333</v>
      </c>
      <c r="J48" s="638">
        <f t="shared" si="381"/>
        <v>2.6033333333333335</v>
      </c>
      <c r="K48" s="97"/>
      <c r="L48" s="663"/>
      <c r="M48" s="663">
        <f>35/11*(11-($H48+$I48))</f>
        <v>34.575757575757578</v>
      </c>
      <c r="N48" s="663">
        <f t="shared" si="402"/>
        <v>34.575757575757578</v>
      </c>
      <c r="O48" s="98"/>
      <c r="P48" s="663"/>
      <c r="Q48" s="663">
        <f>35/11*(11-($H48+$I48))</f>
        <v>34.575757575757578</v>
      </c>
      <c r="R48" s="663">
        <f t="shared" si="403"/>
        <v>34.575757575757578</v>
      </c>
      <c r="S48" s="98"/>
      <c r="T48" s="663"/>
      <c r="U48" s="663">
        <f>35/11*(11-($H48+$I48))</f>
        <v>34.575757575757578</v>
      </c>
      <c r="V48" s="663">
        <f>35/11*(11-($H48+$I48))</f>
        <v>34.575757575757578</v>
      </c>
      <c r="W48" s="98"/>
      <c r="X48" s="663"/>
      <c r="Y48" s="98">
        <f>$E48/11*(11-($H48+$I48))</f>
        <v>26.771515151515153</v>
      </c>
      <c r="Z48" s="98"/>
      <c r="AA48" s="98"/>
      <c r="AB48" s="663"/>
      <c r="AC48" s="664">
        <f>$E48/11*(11-($G48+$I48))</f>
        <v>20.686333333333334</v>
      </c>
      <c r="AD48" s="98"/>
      <c r="AE48" s="98"/>
      <c r="AF48" s="663"/>
      <c r="AG48" s="98">
        <f t="shared" ref="AG48:AO48" si="404">$E48/11*(11-($H48+$I48))</f>
        <v>26.771515151515153</v>
      </c>
      <c r="AH48" s="98"/>
      <c r="AI48" s="98"/>
      <c r="AJ48" s="663"/>
      <c r="AK48" s="98">
        <f t="shared" si="404"/>
        <v>26.771515151515153</v>
      </c>
      <c r="AL48" s="98"/>
      <c r="AM48" s="98"/>
      <c r="AN48" s="663"/>
      <c r="AO48" s="665">
        <f t="shared" si="404"/>
        <v>26.771515151515153</v>
      </c>
    </row>
    <row r="49" s="99" customFormat="1" ht="18.600000000000001" customHeight="1" outlineLevel="1">
      <c r="B49" s="101" t="s">
        <v>18</v>
      </c>
      <c r="C49" s="102">
        <f>'[3]План пр-ва по единицам обор'!$AY$42</f>
        <v>1246.9990909090909</v>
      </c>
      <c r="D49" s="103">
        <f>SUM(D45:D48)</f>
        <v>1246.8520909090907</v>
      </c>
      <c r="E49" s="666" t="s">
        <v>19</v>
      </c>
      <c r="F49" s="667">
        <f>SUM(F45:F48)</f>
        <v>42</v>
      </c>
      <c r="G49" s="668">
        <f>SUM(G45:G48)</f>
        <v>20.939999999999998</v>
      </c>
      <c r="H49" s="669">
        <f>SUM(H45:H48)</f>
        <v>0</v>
      </c>
      <c r="I49" s="578" t="s">
        <v>19</v>
      </c>
      <c r="J49" s="670">
        <f t="shared" ref="J49:AO49" si="405">SUM(J45:J48)</f>
        <v>21.473333333333329</v>
      </c>
      <c r="K49" s="671">
        <f t="shared" si="405"/>
        <v>0</v>
      </c>
      <c r="L49" s="672">
        <f t="shared" si="405"/>
        <v>69.151515151515156</v>
      </c>
      <c r="M49" s="672">
        <f t="shared" si="405"/>
        <v>69.151515151515156</v>
      </c>
      <c r="N49" s="672">
        <f t="shared" si="405"/>
        <v>69.151515151515156</v>
      </c>
      <c r="O49" s="672">
        <f t="shared" si="405"/>
        <v>61.292424242424246</v>
      </c>
      <c r="P49" s="672">
        <f t="shared" si="405"/>
        <v>69.151515151515156</v>
      </c>
      <c r="Q49" s="672">
        <f t="shared" si="405"/>
        <v>69.151515151515156</v>
      </c>
      <c r="R49" s="672">
        <f t="shared" si="405"/>
        <v>69.151515151515156</v>
      </c>
      <c r="S49" s="672">
        <f t="shared" si="405"/>
        <v>69.151515151515156</v>
      </c>
      <c r="T49" s="673">
        <f t="shared" si="405"/>
        <v>69.151515151515156</v>
      </c>
      <c r="U49" s="672">
        <f t="shared" si="405"/>
        <v>69.151515151515156</v>
      </c>
      <c r="V49" s="672">
        <f t="shared" si="405"/>
        <v>43.696969696969703</v>
      </c>
      <c r="W49" s="672">
        <f t="shared" si="405"/>
        <v>61.347272727272731</v>
      </c>
      <c r="X49" s="673">
        <f t="shared" si="405"/>
        <v>26.771515151515153</v>
      </c>
      <c r="Y49" s="672">
        <f t="shared" si="405"/>
        <v>26.771515151515153</v>
      </c>
      <c r="Z49" s="672">
        <f t="shared" si="405"/>
        <v>26.771515151515153</v>
      </c>
      <c r="AA49" s="672">
        <f t="shared" si="405"/>
        <v>26.771515151515153</v>
      </c>
      <c r="AB49" s="674">
        <f t="shared" si="405"/>
        <v>26.771515151515153</v>
      </c>
      <c r="AC49" s="675">
        <f t="shared" si="405"/>
        <v>20.686333333333334</v>
      </c>
      <c r="AD49" s="676">
        <f t="shared" si="405"/>
        <v>26.771515151515153</v>
      </c>
      <c r="AE49" s="676">
        <f t="shared" si="405"/>
        <v>26.771515151515153</v>
      </c>
      <c r="AF49" s="676">
        <f t="shared" si="405"/>
        <v>26.771515151515153</v>
      </c>
      <c r="AG49" s="676">
        <f t="shared" si="405"/>
        <v>26.771515151515153</v>
      </c>
      <c r="AH49" s="676">
        <f t="shared" si="405"/>
        <v>26.771515151515153</v>
      </c>
      <c r="AI49" s="676">
        <f t="shared" si="405"/>
        <v>26.771515151515153</v>
      </c>
      <c r="AJ49" s="676">
        <f t="shared" si="405"/>
        <v>9.1212121212121229</v>
      </c>
      <c r="AK49" s="676">
        <f t="shared" si="405"/>
        <v>26.771515151515153</v>
      </c>
      <c r="AL49" s="676">
        <f t="shared" si="405"/>
        <v>26.771515151515153</v>
      </c>
      <c r="AM49" s="676">
        <f t="shared" si="405"/>
        <v>26.771515151515153</v>
      </c>
      <c r="AN49" s="676">
        <f t="shared" si="405"/>
        <v>26.771515151515153</v>
      </c>
      <c r="AO49" s="677">
        <f t="shared" si="405"/>
        <v>26.771515151515153</v>
      </c>
    </row>
    <row r="50" s="99" customFormat="1" ht="18.600000000000001" customHeight="1" outlineLevel="1">
      <c r="B50" s="101"/>
      <c r="C50" s="678"/>
      <c r="D50" s="679"/>
      <c r="E50" s="680"/>
      <c r="F50" s="681"/>
      <c r="G50" s="682"/>
      <c r="H50" s="607"/>
      <c r="I50" s="608"/>
      <c r="J50" s="683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684"/>
      <c r="AD50" s="685"/>
      <c r="AE50" s="685"/>
      <c r="AF50" s="685"/>
      <c r="AG50" s="685"/>
      <c r="AH50" s="685"/>
      <c r="AI50" s="685"/>
      <c r="AJ50" s="685"/>
      <c r="AK50" s="685"/>
      <c r="AL50" s="685"/>
      <c r="AM50" s="685"/>
      <c r="AN50" s="685"/>
      <c r="AO50" s="686"/>
    </row>
    <row r="51" s="123" customFormat="1" ht="28.149999999999999" customHeight="1" outlineLevel="1">
      <c r="A51" s="47" t="s">
        <v>103</v>
      </c>
      <c r="B51" s="48"/>
      <c r="C51" s="49" t="s">
        <v>11</v>
      </c>
      <c r="D51" s="50" t="s">
        <v>12</v>
      </c>
      <c r="E51" s="687" t="s">
        <v>13</v>
      </c>
      <c r="F51" s="408" t="s">
        <v>14</v>
      </c>
      <c r="G51" s="211" t="s">
        <v>15</v>
      </c>
      <c r="H51" s="212" t="s">
        <v>16</v>
      </c>
      <c r="I51" s="212" t="s">
        <v>17</v>
      </c>
      <c r="J51" s="213" t="s">
        <v>18</v>
      </c>
      <c r="K51" s="56">
        <v>44562</v>
      </c>
      <c r="L51" s="57">
        <v>44563</v>
      </c>
      <c r="M51" s="56">
        <v>44564</v>
      </c>
      <c r="N51" s="56">
        <v>44565</v>
      </c>
      <c r="O51" s="56">
        <v>44566</v>
      </c>
      <c r="P51" s="214">
        <v>44567</v>
      </c>
      <c r="Q51" s="56">
        <v>44568</v>
      </c>
      <c r="R51" s="56">
        <v>44569</v>
      </c>
      <c r="S51" s="56">
        <v>44570</v>
      </c>
      <c r="T51" s="56">
        <v>44571</v>
      </c>
      <c r="U51" s="56">
        <v>44572</v>
      </c>
      <c r="V51" s="59">
        <v>44573</v>
      </c>
      <c r="W51" s="56">
        <v>44574</v>
      </c>
      <c r="X51" s="56">
        <v>44575</v>
      </c>
      <c r="Y51" s="56">
        <v>44576</v>
      </c>
      <c r="Z51" s="56">
        <v>44577</v>
      </c>
      <c r="AA51" s="56">
        <v>44578</v>
      </c>
      <c r="AB51" s="56">
        <v>44579</v>
      </c>
      <c r="AC51" s="651">
        <v>44580</v>
      </c>
      <c r="AD51" s="56">
        <v>44581</v>
      </c>
      <c r="AE51" s="56">
        <v>44582</v>
      </c>
      <c r="AF51" s="56">
        <v>44583</v>
      </c>
      <c r="AG51" s="56">
        <v>44584</v>
      </c>
      <c r="AH51" s="56">
        <v>44585</v>
      </c>
      <c r="AI51" s="56">
        <v>44586</v>
      </c>
      <c r="AJ51" s="57">
        <v>44587</v>
      </c>
      <c r="AK51" s="56">
        <v>44588</v>
      </c>
      <c r="AL51" s="56">
        <v>44589</v>
      </c>
      <c r="AM51" s="56">
        <v>44590</v>
      </c>
      <c r="AN51" s="56">
        <v>44591</v>
      </c>
      <c r="AO51" s="333">
        <v>44561</v>
      </c>
    </row>
    <row r="52" outlineLevel="2">
      <c r="A52" s="62" t="s">
        <v>104</v>
      </c>
      <c r="B52" s="63" t="s">
        <v>0</v>
      </c>
      <c r="C52" s="64">
        <f t="shared" ref="C52:C55" si="406">$C$56/$F$56*F52</f>
        <v>626.23728813559319</v>
      </c>
      <c r="D52" s="320">
        <f t="shared" ref="D52:D55" si="407">SUM(K52:AO52)</f>
        <v>599.39545454545487</v>
      </c>
      <c r="E52" s="688">
        <f>'[3]План пр-ва по единицам обор'!$AS$46-3.55</f>
        <v>40.450000000000003</v>
      </c>
      <c r="F52" s="130">
        <f t="shared" ref="F52:F55" si="408">COUNTA(K52:AO52)</f>
        <v>15</v>
      </c>
      <c r="G52" s="689"/>
      <c r="H52" s="690"/>
      <c r="I52" s="691">
        <f t="shared" si="392"/>
        <v>0.13333333333333333</v>
      </c>
      <c r="J52" s="692">
        <f t="shared" ref="J52:J55" si="409">SUM(G52:I52)</f>
        <v>0.13333333333333333</v>
      </c>
      <c r="K52" s="71"/>
      <c r="L52" s="74">
        <f>$E52/11*(11-($H52+$I52))</f>
        <v>39.959696969696978</v>
      </c>
      <c r="M52" s="73"/>
      <c r="N52" s="73"/>
      <c r="O52" s="423">
        <f>$E52/11*(11-($G52+$I52))</f>
        <v>39.959696969696978</v>
      </c>
      <c r="P52" s="74">
        <f t="shared" ref="P52:Q55" si="410">$E52/11*(11-($H52+$I52))</f>
        <v>39.959696969696978</v>
      </c>
      <c r="Q52" s="73"/>
      <c r="R52" s="73"/>
      <c r="S52" s="74">
        <f t="shared" ref="S52:U55" si="411">$E52/11*(11-($H52+$I52))</f>
        <v>39.959696969696978</v>
      </c>
      <c r="T52" s="74">
        <f t="shared" si="411"/>
        <v>39.959696969696978</v>
      </c>
      <c r="U52" s="73"/>
      <c r="V52" s="73"/>
      <c r="W52" s="74">
        <f t="shared" ref="W52:Y54" si="412">$E52/11*(11-($H52+$I52))</f>
        <v>39.959696969696978</v>
      </c>
      <c r="X52" s="74">
        <f t="shared" si="412"/>
        <v>39.959696969696978</v>
      </c>
      <c r="Y52" s="73"/>
      <c r="Z52" s="73"/>
      <c r="AA52" s="74">
        <f t="shared" ref="AA52:AC53" si="413">$E52/11*(11-($H52+$I52))</f>
        <v>39.959696969696978</v>
      </c>
      <c r="AB52" s="74">
        <f t="shared" si="413"/>
        <v>39.959696969696978</v>
      </c>
      <c r="AC52" s="73"/>
      <c r="AD52" s="73"/>
      <c r="AE52" s="74">
        <f t="shared" ref="AE52:AG53" si="414">$E52/11*(11-($H52+$I52))</f>
        <v>39.959696969696978</v>
      </c>
      <c r="AF52" s="74">
        <f t="shared" si="414"/>
        <v>39.959696969696978</v>
      </c>
      <c r="AG52" s="73"/>
      <c r="AH52" s="73"/>
      <c r="AI52" s="74">
        <f t="shared" ref="AH52:AJ54" si="415">$E52/11*(11-($H52+$I52))</f>
        <v>39.959696969696978</v>
      </c>
      <c r="AJ52" s="74">
        <f t="shared" si="415"/>
        <v>39.959696969696978</v>
      </c>
      <c r="AK52" s="73"/>
      <c r="AL52" s="73"/>
      <c r="AM52" s="74">
        <f t="shared" ref="AM52:AO53" si="416">$E52/11*(11-($H52+$I52))</f>
        <v>39.959696969696978</v>
      </c>
      <c r="AN52" s="74">
        <f t="shared" si="416"/>
        <v>39.959696969696978</v>
      </c>
      <c r="AO52" s="73"/>
    </row>
    <row r="53" outlineLevel="2">
      <c r="A53" s="76"/>
      <c r="B53" s="77" t="s">
        <v>1</v>
      </c>
      <c r="C53" s="78">
        <f t="shared" si="406"/>
        <v>626.23728813559319</v>
      </c>
      <c r="D53" s="79">
        <f t="shared" si="407"/>
        <v>552.82892424242448</v>
      </c>
      <c r="E53" s="688">
        <f t="shared" ref="E53:E55" si="417">E52</f>
        <v>40.450000000000003</v>
      </c>
      <c r="F53" s="130">
        <f t="shared" si="408"/>
        <v>15</v>
      </c>
      <c r="G53" s="693">
        <f>(60+40)/60+11</f>
        <v>12.666666666666666</v>
      </c>
      <c r="H53" s="694"/>
      <c r="I53" s="691">
        <f t="shared" si="392"/>
        <v>0.13333333333333333</v>
      </c>
      <c r="J53" s="695">
        <f t="shared" si="409"/>
        <v>12.799999999999999</v>
      </c>
      <c r="K53" s="72"/>
      <c r="L53" s="75"/>
      <c r="M53" s="74">
        <f>$E53/11*(11-($H53+$I53))</f>
        <v>39.959696969696978</v>
      </c>
      <c r="N53" s="84"/>
      <c r="O53" s="73"/>
      <c r="P53" s="75">
        <f>$E53/11*(11-($G53-1.67+$I53))</f>
        <v>-0.47804545454545094</v>
      </c>
      <c r="Q53" s="74">
        <f t="shared" si="410"/>
        <v>39.959696969696978</v>
      </c>
      <c r="R53" s="84"/>
      <c r="S53" s="73"/>
      <c r="T53" s="74">
        <f t="shared" si="411"/>
        <v>39.959696969696978</v>
      </c>
      <c r="U53" s="74">
        <f t="shared" si="411"/>
        <v>39.959696969696978</v>
      </c>
      <c r="V53" s="84"/>
      <c r="W53" s="73"/>
      <c r="X53" s="74">
        <f t="shared" si="412"/>
        <v>39.959696969696978</v>
      </c>
      <c r="Y53" s="74">
        <f t="shared" si="412"/>
        <v>39.959696969696978</v>
      </c>
      <c r="Z53" s="84"/>
      <c r="AA53" s="73"/>
      <c r="AB53" s="74">
        <f t="shared" si="413"/>
        <v>39.959696969696978</v>
      </c>
      <c r="AC53" s="74">
        <f t="shared" si="413"/>
        <v>39.959696969696978</v>
      </c>
      <c r="AD53" s="84"/>
      <c r="AE53" s="73"/>
      <c r="AF53" s="74">
        <f t="shared" si="414"/>
        <v>39.959696969696978</v>
      </c>
      <c r="AG53" s="74">
        <f t="shared" si="414"/>
        <v>39.959696969696978</v>
      </c>
      <c r="AH53" s="84"/>
      <c r="AI53" s="73"/>
      <c r="AJ53" s="75">
        <f>$E53/11*(11-($G53-11+$I53))</f>
        <v>33.830909090909095</v>
      </c>
      <c r="AK53" s="74">
        <f>$E53/11*(11-($H53+$I53))</f>
        <v>39.959696969696978</v>
      </c>
      <c r="AL53" s="84"/>
      <c r="AM53" s="73"/>
      <c r="AN53" s="74">
        <f t="shared" si="416"/>
        <v>39.959696969696978</v>
      </c>
      <c r="AO53" s="74">
        <f t="shared" si="416"/>
        <v>39.959696969696978</v>
      </c>
    </row>
    <row r="54" outlineLevel="2">
      <c r="A54" s="76"/>
      <c r="B54" s="85" t="s">
        <v>2</v>
      </c>
      <c r="C54" s="131">
        <f t="shared" si="406"/>
        <v>584.48813559322025</v>
      </c>
      <c r="D54" s="197">
        <f t="shared" si="407"/>
        <v>553.30696969696999</v>
      </c>
      <c r="E54" s="688">
        <f t="shared" si="417"/>
        <v>40.450000000000003</v>
      </c>
      <c r="F54" s="130">
        <f t="shared" si="408"/>
        <v>14</v>
      </c>
      <c r="G54" s="693">
        <f>(60+40)/60</f>
        <v>1.6666666666666667</v>
      </c>
      <c r="H54" s="694"/>
      <c r="I54" s="691">
        <f t="shared" si="392"/>
        <v>0.13333333333333333</v>
      </c>
      <c r="J54" s="695">
        <f t="shared" si="409"/>
        <v>1.8</v>
      </c>
      <c r="K54" s="88"/>
      <c r="L54" s="74"/>
      <c r="M54" s="73"/>
      <c r="N54" s="74">
        <f>$E54/11*(11-($H54+$I54))</f>
        <v>39.959696969696978</v>
      </c>
      <c r="O54" s="74">
        <f>$E54/11*(11-($H54+$I54))</f>
        <v>39.959696969696978</v>
      </c>
      <c r="P54" s="74"/>
      <c r="Q54" s="73"/>
      <c r="R54" s="74">
        <f t="shared" ref="R54:S54" si="418">$E54/11*(11-($H54+$I54))</f>
        <v>39.959696969696978</v>
      </c>
      <c r="S54" s="74">
        <f t="shared" si="418"/>
        <v>39.959696969696978</v>
      </c>
      <c r="T54" s="74"/>
      <c r="U54" s="73"/>
      <c r="V54" s="75">
        <f>$E54/11*(11-($G54+$I54))</f>
        <v>33.830909090909095</v>
      </c>
      <c r="W54" s="74">
        <f t="shared" si="412"/>
        <v>39.959696969696978</v>
      </c>
      <c r="X54" s="74"/>
      <c r="Y54" s="73"/>
      <c r="Z54" s="74">
        <f t="shared" ref="Z54:AA54" si="419">$E54/11*(11-($H54+$I54))</f>
        <v>39.959696969696978</v>
      </c>
      <c r="AA54" s="74">
        <f t="shared" si="419"/>
        <v>39.959696969696978</v>
      </c>
      <c r="AB54" s="74"/>
      <c r="AC54" s="73"/>
      <c r="AD54" s="74">
        <f t="shared" ref="AD54:AO55" si="420">$E54/11*(11-($H54+$I54))</f>
        <v>39.959696969696978</v>
      </c>
      <c r="AE54" s="74">
        <f t="shared" si="420"/>
        <v>39.959696969696978</v>
      </c>
      <c r="AF54" s="74"/>
      <c r="AG54" s="73"/>
      <c r="AH54" s="74">
        <f t="shared" si="415"/>
        <v>39.959696969696978</v>
      </c>
      <c r="AI54" s="74">
        <f t="shared" si="415"/>
        <v>39.959696969696978</v>
      </c>
      <c r="AJ54" s="74"/>
      <c r="AK54" s="73"/>
      <c r="AL54" s="74">
        <f t="shared" ref="AL54:AM54" si="421">$E54/11*(11-($H54+$I54))</f>
        <v>39.959696969696978</v>
      </c>
      <c r="AM54" s="74">
        <f t="shared" si="421"/>
        <v>39.959696969696978</v>
      </c>
      <c r="AN54" s="74"/>
      <c r="AO54" s="73"/>
    </row>
    <row r="55" ht="13.5" outlineLevel="2">
      <c r="A55" s="89"/>
      <c r="B55" s="90" t="s">
        <v>3</v>
      </c>
      <c r="C55" s="696">
        <f t="shared" si="406"/>
        <v>626.23728813559319</v>
      </c>
      <c r="D55" s="697">
        <f t="shared" si="407"/>
        <v>559.43453181818211</v>
      </c>
      <c r="E55" s="688">
        <f t="shared" si="417"/>
        <v>40.450000000000003</v>
      </c>
      <c r="F55" s="130">
        <f t="shared" si="408"/>
        <v>15</v>
      </c>
      <c r="G55" s="689">
        <f>11-0.133</f>
        <v>10.867000000000001</v>
      </c>
      <c r="H55" s="698"/>
      <c r="I55" s="691">
        <f t="shared" si="392"/>
        <v>0.13333333333333333</v>
      </c>
      <c r="J55" s="699">
        <f t="shared" si="409"/>
        <v>11.000333333333334</v>
      </c>
      <c r="K55" s="97"/>
      <c r="L55" s="74"/>
      <c r="M55" s="73">
        <f t="shared" ref="M55:Z55" si="422">$E55/11*(11-($H55+$I55))</f>
        <v>39.959696969696978</v>
      </c>
      <c r="N55" s="73">
        <f t="shared" si="422"/>
        <v>39.959696969696978</v>
      </c>
      <c r="O55" s="98"/>
      <c r="P55" s="74"/>
      <c r="Q55" s="73">
        <f t="shared" si="410"/>
        <v>39.959696969696978</v>
      </c>
      <c r="R55" s="73">
        <f t="shared" si="422"/>
        <v>39.959696969696978</v>
      </c>
      <c r="S55" s="98"/>
      <c r="T55" s="74"/>
      <c r="U55" s="74">
        <f t="shared" si="411"/>
        <v>39.959696969696978</v>
      </c>
      <c r="V55" s="73">
        <f t="shared" si="422"/>
        <v>39.959696969696978</v>
      </c>
      <c r="W55" s="98"/>
      <c r="X55" s="74"/>
      <c r="Y55" s="73">
        <f t="shared" si="422"/>
        <v>39.959696969696978</v>
      </c>
      <c r="Z55" s="73">
        <f t="shared" si="422"/>
        <v>39.959696969696978</v>
      </c>
      <c r="AA55" s="98"/>
      <c r="AB55" s="74"/>
      <c r="AC55" s="75">
        <f>$E55/11*(11-($G55+$I55))</f>
        <v>-0.0012257575757590739</v>
      </c>
      <c r="AD55" s="73">
        <f t="shared" si="420"/>
        <v>39.959696969696978</v>
      </c>
      <c r="AE55" s="98"/>
      <c r="AF55" s="74"/>
      <c r="AG55" s="73">
        <f t="shared" si="420"/>
        <v>39.959696969696978</v>
      </c>
      <c r="AH55" s="73">
        <f t="shared" si="420"/>
        <v>39.959696969696978</v>
      </c>
      <c r="AI55" s="98"/>
      <c r="AJ55" s="74"/>
      <c r="AK55" s="73">
        <f t="shared" si="420"/>
        <v>39.959696969696978</v>
      </c>
      <c r="AL55" s="73">
        <f t="shared" si="420"/>
        <v>39.959696969696978</v>
      </c>
      <c r="AM55" s="98"/>
      <c r="AN55" s="74"/>
      <c r="AO55" s="73">
        <f t="shared" si="420"/>
        <v>39.959696969696978</v>
      </c>
    </row>
    <row r="56" s="99" customFormat="1" ht="18.600000000000001" customHeight="1" outlineLevel="1">
      <c r="A56" s="700"/>
      <c r="B56" s="101" t="s">
        <v>18</v>
      </c>
      <c r="C56" s="102">
        <f>'[3]План пр-ва по единицам обор'!$L$29</f>
        <v>2463.1999999999998</v>
      </c>
      <c r="D56" s="701">
        <f>SUM(D52:D55)</f>
        <v>2264.9658803030316</v>
      </c>
      <c r="E56" s="443" t="s">
        <v>19</v>
      </c>
      <c r="F56" s="702">
        <f>SUM(F52:F55)</f>
        <v>59</v>
      </c>
      <c r="G56" s="703">
        <f>SUM(G52:G55)</f>
        <v>25.200333333333333</v>
      </c>
      <c r="H56" s="704">
        <f>SUM(H52:H55)</f>
        <v>0</v>
      </c>
      <c r="I56" s="556" t="s">
        <v>19</v>
      </c>
      <c r="J56" s="557">
        <f t="shared" ref="J56:AO56" si="423">SUM(J52:J55)</f>
        <v>25.733666666666664</v>
      </c>
      <c r="K56" s="705">
        <f t="shared" si="423"/>
        <v>0</v>
      </c>
      <c r="L56" s="589">
        <f t="shared" si="423"/>
        <v>39.959696969696978</v>
      </c>
      <c r="M56" s="589">
        <f t="shared" si="423"/>
        <v>79.919393939393956</v>
      </c>
      <c r="N56" s="589">
        <f t="shared" si="423"/>
        <v>79.919393939393956</v>
      </c>
      <c r="O56" s="589">
        <f t="shared" si="423"/>
        <v>79.919393939393956</v>
      </c>
      <c r="P56" s="589">
        <f t="shared" si="423"/>
        <v>39.481651515151526</v>
      </c>
      <c r="Q56" s="589">
        <f t="shared" si="423"/>
        <v>79.919393939393956</v>
      </c>
      <c r="R56" s="589">
        <f t="shared" si="423"/>
        <v>79.919393939393956</v>
      </c>
      <c r="S56" s="589">
        <f t="shared" si="423"/>
        <v>79.919393939393956</v>
      </c>
      <c r="T56" s="447">
        <f t="shared" si="423"/>
        <v>79.919393939393956</v>
      </c>
      <c r="U56" s="589">
        <f t="shared" si="423"/>
        <v>79.919393939393956</v>
      </c>
      <c r="V56" s="589">
        <f t="shared" si="423"/>
        <v>73.790606060606081</v>
      </c>
      <c r="W56" s="589">
        <f t="shared" si="423"/>
        <v>79.919393939393956</v>
      </c>
      <c r="X56" s="447">
        <f t="shared" si="423"/>
        <v>79.919393939393956</v>
      </c>
      <c r="Y56" s="589">
        <f t="shared" si="423"/>
        <v>79.919393939393956</v>
      </c>
      <c r="Z56" s="589">
        <f t="shared" si="423"/>
        <v>79.919393939393956</v>
      </c>
      <c r="AA56" s="589">
        <f t="shared" si="423"/>
        <v>79.919393939393956</v>
      </c>
      <c r="AB56" s="446">
        <f t="shared" si="423"/>
        <v>79.919393939393956</v>
      </c>
      <c r="AC56" s="112">
        <f t="shared" si="423"/>
        <v>39.958471212121218</v>
      </c>
      <c r="AD56" s="246">
        <f t="shared" si="423"/>
        <v>79.919393939393956</v>
      </c>
      <c r="AE56" s="246">
        <f t="shared" si="423"/>
        <v>79.919393939393956</v>
      </c>
      <c r="AF56" s="246">
        <f t="shared" si="423"/>
        <v>79.919393939393956</v>
      </c>
      <c r="AG56" s="246">
        <f t="shared" si="423"/>
        <v>79.919393939393956</v>
      </c>
      <c r="AH56" s="246">
        <f t="shared" si="423"/>
        <v>79.919393939393956</v>
      </c>
      <c r="AI56" s="246">
        <f t="shared" si="423"/>
        <v>79.919393939393956</v>
      </c>
      <c r="AJ56" s="246">
        <f t="shared" si="423"/>
        <v>73.790606060606081</v>
      </c>
      <c r="AK56" s="246">
        <f t="shared" si="423"/>
        <v>79.919393939393956</v>
      </c>
      <c r="AL56" s="246">
        <f t="shared" si="423"/>
        <v>79.919393939393956</v>
      </c>
      <c r="AM56" s="246">
        <f t="shared" si="423"/>
        <v>79.919393939393956</v>
      </c>
      <c r="AN56" s="246">
        <f t="shared" si="423"/>
        <v>79.919393939393956</v>
      </c>
      <c r="AO56" s="706">
        <f t="shared" si="423"/>
        <v>79.919393939393956</v>
      </c>
    </row>
    <row r="57" ht="13.5" outlineLevel="1">
      <c r="C57" s="707"/>
      <c r="D57" s="707"/>
      <c r="F57" s="583">
        <f>'[9]План пр-ва по единицам обор'!$I$29</f>
        <v>10.82</v>
      </c>
    </row>
    <row r="58" s="123" customFormat="1" ht="28.149999999999999" customHeight="1" outlineLevel="1">
      <c r="A58" s="47" t="s">
        <v>105</v>
      </c>
      <c r="B58" s="48"/>
      <c r="C58" s="49" t="s">
        <v>11</v>
      </c>
      <c r="D58" s="50" t="s">
        <v>12</v>
      </c>
      <c r="E58" s="407" t="s">
        <v>13</v>
      </c>
      <c r="F58" s="210" t="s">
        <v>14</v>
      </c>
      <c r="G58" s="211" t="s">
        <v>15</v>
      </c>
      <c r="H58" s="212" t="s">
        <v>16</v>
      </c>
      <c r="I58" s="212" t="s">
        <v>17</v>
      </c>
      <c r="J58" s="213" t="s">
        <v>18</v>
      </c>
      <c r="K58" s="56">
        <v>44562</v>
      </c>
      <c r="L58" s="56">
        <v>44563</v>
      </c>
      <c r="M58" s="60">
        <v>44564</v>
      </c>
      <c r="N58" s="56">
        <v>44565</v>
      </c>
      <c r="O58" s="56">
        <v>44566</v>
      </c>
      <c r="P58" s="56">
        <v>44567</v>
      </c>
      <c r="Q58" s="56">
        <v>44568</v>
      </c>
      <c r="R58" s="56">
        <v>44569</v>
      </c>
      <c r="S58" s="56">
        <v>44570</v>
      </c>
      <c r="T58" s="57">
        <v>44571</v>
      </c>
      <c r="U58" s="56">
        <v>44572</v>
      </c>
      <c r="V58" s="56">
        <v>44573</v>
      </c>
      <c r="W58" s="56">
        <v>44574</v>
      </c>
      <c r="X58" s="56">
        <v>44575</v>
      </c>
      <c r="Y58" s="56">
        <v>44576</v>
      </c>
      <c r="Z58" s="56">
        <v>44577</v>
      </c>
      <c r="AA58" s="58">
        <v>44578</v>
      </c>
      <c r="AB58" s="56">
        <v>44579</v>
      </c>
      <c r="AC58" s="56">
        <v>44580</v>
      </c>
      <c r="AD58" s="56">
        <v>44581</v>
      </c>
      <c r="AE58" s="56">
        <v>44582</v>
      </c>
      <c r="AF58" s="56">
        <v>44583</v>
      </c>
      <c r="AG58" s="56">
        <v>44584</v>
      </c>
      <c r="AH58" s="59">
        <v>44585</v>
      </c>
      <c r="AI58" s="56">
        <v>44586</v>
      </c>
      <c r="AJ58" s="56">
        <v>44587</v>
      </c>
      <c r="AK58" s="56">
        <v>44588</v>
      </c>
      <c r="AL58" s="56">
        <v>44589</v>
      </c>
      <c r="AM58" s="56">
        <v>44590</v>
      </c>
      <c r="AN58" s="56">
        <v>44591</v>
      </c>
      <c r="AO58" s="56">
        <v>44561</v>
      </c>
    </row>
    <row r="59" outlineLevel="2">
      <c r="A59" s="62" t="s">
        <v>105</v>
      </c>
      <c r="B59" s="63" t="s">
        <v>0</v>
      </c>
      <c r="C59" s="64">
        <f t="shared" ref="C59:C62" si="424">$C$63/$F$63*F59</f>
        <v>835.49545454545455</v>
      </c>
      <c r="D59" s="65">
        <f t="shared" ref="D59:D62" si="425">SUM(K59:AO59)</f>
        <v>843.87272727272727</v>
      </c>
      <c r="E59" s="348">
        <f>'[3]План пр-ва по единицам обор'!$AS$54</f>
        <v>56</v>
      </c>
      <c r="F59" s="130">
        <f t="shared" ref="F59:F62" si="426">COUNTA(K59:AO59)</f>
        <v>14</v>
      </c>
      <c r="G59" s="708">
        <v>8</v>
      </c>
      <c r="H59" s="709"/>
      <c r="I59" s="710"/>
      <c r="J59" s="711">
        <f t="shared" ref="J59:J62" si="427">SUM(G59:I59)</f>
        <v>8</v>
      </c>
      <c r="K59" s="71"/>
      <c r="L59" s="71"/>
      <c r="M59" s="71"/>
      <c r="N59" s="73"/>
      <c r="O59" s="74">
        <f>76.6/11*(11-($H59+$I59))</f>
        <v>76.599999999999994</v>
      </c>
      <c r="P59" s="74">
        <f t="shared" ref="P59:P60" si="428">76.6/11*(11-($H59+$I59))</f>
        <v>76.599999999999994</v>
      </c>
      <c r="Q59" s="73"/>
      <c r="R59" s="73"/>
      <c r="S59" s="74">
        <f>76.6/11*(11-($H59+$I59))</f>
        <v>76.599999999999994</v>
      </c>
      <c r="T59" s="74">
        <f>75.4/11*(11-($H59+$I59))</f>
        <v>75.400000000000006</v>
      </c>
      <c r="U59" s="73"/>
      <c r="V59" s="73"/>
      <c r="W59" s="74">
        <f>75.4/11*(11-($H59+$I59))</f>
        <v>75.400000000000006</v>
      </c>
      <c r="X59" s="74">
        <f t="shared" ref="X59:Z62" si="429">$E59/11*(11-($H59+$I59))</f>
        <v>56</v>
      </c>
      <c r="Y59" s="73"/>
      <c r="Z59" s="73"/>
      <c r="AA59" s="75">
        <f>$E59/11*(11-($G59+$I59))</f>
        <v>15.272727272727273</v>
      </c>
      <c r="AB59" s="74">
        <f t="shared" ref="AB59:AL62" si="430">$E59/11*(11-($H59+$I59))</f>
        <v>56</v>
      </c>
      <c r="AC59" s="73"/>
      <c r="AD59" s="73"/>
      <c r="AE59" s="74">
        <f t="shared" ref="AE59:AG60" si="431">$E59/11*(11-($H59+$I59))</f>
        <v>56</v>
      </c>
      <c r="AF59" s="74">
        <f t="shared" si="431"/>
        <v>56</v>
      </c>
      <c r="AG59" s="73"/>
      <c r="AH59" s="73"/>
      <c r="AI59" s="74">
        <f t="shared" ref="AI59:AI61" si="432">$E59/11*(11-($H59+$I59))</f>
        <v>56</v>
      </c>
      <c r="AJ59" s="74">
        <f t="shared" ref="AJ59:AK60" si="433">$E59/11*(11-($H59+$I59))</f>
        <v>56</v>
      </c>
      <c r="AK59" s="73"/>
      <c r="AL59" s="73"/>
      <c r="AM59" s="74">
        <f t="shared" ref="AM59:AO60" si="434">$E59/11*(11-($H59+$I59))</f>
        <v>56</v>
      </c>
      <c r="AN59" s="74">
        <f t="shared" si="434"/>
        <v>56</v>
      </c>
      <c r="AO59" s="73"/>
    </row>
    <row r="60" outlineLevel="2">
      <c r="A60" s="76"/>
      <c r="B60" s="77" t="s">
        <v>1</v>
      </c>
      <c r="C60" s="78">
        <f t="shared" si="424"/>
        <v>835.49545454545455</v>
      </c>
      <c r="D60" s="79">
        <f t="shared" si="425"/>
        <v>809.16363636363633</v>
      </c>
      <c r="E60" s="348">
        <f t="shared" ref="E60:E62" si="435">E59</f>
        <v>56</v>
      </c>
      <c r="F60" s="130">
        <f t="shared" si="426"/>
        <v>14</v>
      </c>
      <c r="G60" s="658">
        <v>8</v>
      </c>
      <c r="H60" s="712"/>
      <c r="I60" s="713"/>
      <c r="J60" s="714">
        <f t="shared" si="427"/>
        <v>8</v>
      </c>
      <c r="K60" s="72"/>
      <c r="L60" s="72"/>
      <c r="M60" s="72"/>
      <c r="N60" s="84"/>
      <c r="O60" s="73"/>
      <c r="P60" s="74">
        <f t="shared" si="428"/>
        <v>76.599999999999994</v>
      </c>
      <c r="Q60" s="74">
        <f>76.6/11*(11-($H60+$I60))</f>
        <v>76.599999999999994</v>
      </c>
      <c r="R60" s="84"/>
      <c r="S60" s="74"/>
      <c r="T60" s="75">
        <f>75.4/11*(11-($G60+$I60))</f>
        <v>20.563636363636366</v>
      </c>
      <c r="U60" s="74">
        <f>75.4/11*(11-($H60+$I60))</f>
        <v>75.400000000000006</v>
      </c>
      <c r="V60" s="84"/>
      <c r="W60" s="73"/>
      <c r="X60" s="74">
        <f t="shared" si="429"/>
        <v>56</v>
      </c>
      <c r="Y60" s="74">
        <f t="shared" si="429"/>
        <v>56</v>
      </c>
      <c r="Z60" s="84"/>
      <c r="AA60" s="73"/>
      <c r="AB60" s="74">
        <f t="shared" si="430"/>
        <v>56</v>
      </c>
      <c r="AC60" s="74">
        <f t="shared" si="430"/>
        <v>56</v>
      </c>
      <c r="AD60" s="84"/>
      <c r="AE60" s="73"/>
      <c r="AF60" s="74">
        <f t="shared" si="431"/>
        <v>56</v>
      </c>
      <c r="AG60" s="74">
        <f t="shared" si="431"/>
        <v>56</v>
      </c>
      <c r="AH60" s="84"/>
      <c r="AI60" s="73"/>
      <c r="AJ60" s="74">
        <f t="shared" si="433"/>
        <v>56</v>
      </c>
      <c r="AK60" s="74">
        <f t="shared" si="433"/>
        <v>56</v>
      </c>
      <c r="AL60" s="84"/>
      <c r="AM60" s="73"/>
      <c r="AN60" s="74">
        <f t="shared" si="434"/>
        <v>56</v>
      </c>
      <c r="AO60" s="74">
        <f t="shared" si="434"/>
        <v>56</v>
      </c>
    </row>
    <row r="61" outlineLevel="2">
      <c r="A61" s="76"/>
      <c r="B61" s="85" t="s">
        <v>2</v>
      </c>
      <c r="C61" s="131">
        <f t="shared" si="424"/>
        <v>835.49545454545455</v>
      </c>
      <c r="D61" s="197">
        <f t="shared" si="425"/>
        <v>845.07272727272721</v>
      </c>
      <c r="E61" s="348">
        <f t="shared" si="435"/>
        <v>56</v>
      </c>
      <c r="F61" s="130">
        <f t="shared" si="426"/>
        <v>14</v>
      </c>
      <c r="G61" s="658">
        <v>8</v>
      </c>
      <c r="H61" s="712"/>
      <c r="I61" s="713"/>
      <c r="J61" s="714">
        <f t="shared" si="427"/>
        <v>8</v>
      </c>
      <c r="K61" s="88"/>
      <c r="L61" s="88"/>
      <c r="M61" s="88"/>
      <c r="N61" s="74">
        <f t="shared" ref="N61:N62" si="436">76.6/11*(11-($H61+$I61))</f>
        <v>76.599999999999994</v>
      </c>
      <c r="O61" s="74">
        <f>76.6/11*(11-($H61+$I61))</f>
        <v>76.599999999999994</v>
      </c>
      <c r="P61" s="74"/>
      <c r="Q61" s="73"/>
      <c r="R61" s="74">
        <f t="shared" ref="R61:R62" si="437">76.6/11*(11-($H61+$I61))</f>
        <v>76.599999999999994</v>
      </c>
      <c r="S61" s="74">
        <f>76.6/11*(11-($H61+$I61))</f>
        <v>76.599999999999994</v>
      </c>
      <c r="T61" s="74"/>
      <c r="U61" s="73"/>
      <c r="V61" s="74">
        <f t="shared" ref="V61:V62" si="438">75.4/11*(11-($H61+$I61))</f>
        <v>75.400000000000006</v>
      </c>
      <c r="W61" s="74">
        <f>$E61/11*(11-($H61+$I61))</f>
        <v>56</v>
      </c>
      <c r="X61" s="74"/>
      <c r="Y61" s="73"/>
      <c r="Z61" s="74">
        <f t="shared" ref="Z61:AA61" si="439">$E61/11*(11-($H61+$I61))</f>
        <v>56</v>
      </c>
      <c r="AA61" s="74">
        <f t="shared" si="439"/>
        <v>56</v>
      </c>
      <c r="AB61" s="74"/>
      <c r="AC61" s="73"/>
      <c r="AD61" s="74">
        <f t="shared" ref="AD61:AE61" si="440">$E61/11*(11-($H61+$I61))</f>
        <v>56</v>
      </c>
      <c r="AE61" s="74">
        <f t="shared" si="440"/>
        <v>56</v>
      </c>
      <c r="AF61" s="74"/>
      <c r="AG61" s="73"/>
      <c r="AH61" s="75">
        <f>$E61/11*(11-($G61+$I61))</f>
        <v>15.272727272727273</v>
      </c>
      <c r="AI61" s="74">
        <f t="shared" si="432"/>
        <v>56</v>
      </c>
      <c r="AJ61" s="74"/>
      <c r="AK61" s="73"/>
      <c r="AL61" s="74">
        <f t="shared" ref="AL61:AM61" si="441">$E61/11*(11-($H61+$I61))</f>
        <v>56</v>
      </c>
      <c r="AM61" s="74">
        <f t="shared" si="441"/>
        <v>56</v>
      </c>
      <c r="AN61" s="74"/>
      <c r="AO61" s="73"/>
    </row>
    <row r="62" ht="13.5" outlineLevel="2">
      <c r="A62" s="89"/>
      <c r="B62" s="90" t="s">
        <v>3</v>
      </c>
      <c r="C62" s="635">
        <f t="shared" si="424"/>
        <v>835.49545454545455</v>
      </c>
      <c r="D62" s="200">
        <f t="shared" si="425"/>
        <v>843.87272727272727</v>
      </c>
      <c r="E62" s="348">
        <f t="shared" si="435"/>
        <v>56</v>
      </c>
      <c r="F62" s="130">
        <f t="shared" si="426"/>
        <v>14</v>
      </c>
      <c r="G62" s="660">
        <v>16</v>
      </c>
      <c r="H62" s="715"/>
      <c r="I62" s="716"/>
      <c r="J62" s="717">
        <f t="shared" si="427"/>
        <v>16</v>
      </c>
      <c r="K62" s="97"/>
      <c r="L62" s="97"/>
      <c r="M62" s="97"/>
      <c r="N62" s="74">
        <f t="shared" si="436"/>
        <v>76.599999999999994</v>
      </c>
      <c r="O62" s="98"/>
      <c r="P62" s="74"/>
      <c r="Q62" s="74">
        <f>76.6/11*(11-($H62+$I62))</f>
        <v>76.599999999999994</v>
      </c>
      <c r="R62" s="74">
        <f t="shared" si="437"/>
        <v>76.599999999999994</v>
      </c>
      <c r="S62" s="98"/>
      <c r="T62" s="74"/>
      <c r="U62" s="74">
        <f>75.4/11*(11-($H62+$I62))</f>
        <v>75.400000000000006</v>
      </c>
      <c r="V62" s="74">
        <f t="shared" si="438"/>
        <v>75.400000000000006</v>
      </c>
      <c r="W62" s="98"/>
      <c r="X62" s="74"/>
      <c r="Y62" s="73">
        <f t="shared" si="429"/>
        <v>56</v>
      </c>
      <c r="Z62" s="73">
        <f t="shared" si="429"/>
        <v>56</v>
      </c>
      <c r="AA62" s="98"/>
      <c r="AB62" s="74"/>
      <c r="AC62" s="73">
        <f t="shared" si="430"/>
        <v>56</v>
      </c>
      <c r="AD62" s="73">
        <f t="shared" si="430"/>
        <v>56</v>
      </c>
      <c r="AE62" s="98"/>
      <c r="AF62" s="74"/>
      <c r="AG62" s="73">
        <f t="shared" si="430"/>
        <v>56</v>
      </c>
      <c r="AH62" s="73">
        <f t="shared" si="430"/>
        <v>56</v>
      </c>
      <c r="AI62" s="98"/>
      <c r="AJ62" s="74"/>
      <c r="AK62" s="73">
        <f t="shared" si="430"/>
        <v>56</v>
      </c>
      <c r="AL62" s="73">
        <f t="shared" si="430"/>
        <v>56</v>
      </c>
      <c r="AM62" s="98"/>
      <c r="AN62" s="74"/>
      <c r="AO62" s="75">
        <f>$E62/11*(11-($G62/2+$I62))</f>
        <v>15.272727272727273</v>
      </c>
    </row>
    <row r="63" s="99" customFormat="1" ht="16.899999999999999" customHeight="1" outlineLevel="1">
      <c r="B63" s="101" t="s">
        <v>18</v>
      </c>
      <c r="C63" s="102">
        <f>'[3]План пр-ва по единицам обор'!$L$31</f>
        <v>3341.9818181818182</v>
      </c>
      <c r="D63" s="103">
        <f>SUM(D59:D62)</f>
        <v>3341.9818181818182</v>
      </c>
      <c r="E63" s="443" t="s">
        <v>19</v>
      </c>
      <c r="F63" s="105">
        <f>SUM(F59:F62)</f>
        <v>56</v>
      </c>
      <c r="G63" s="444">
        <f>SUM(G59:G62)</f>
        <v>40</v>
      </c>
      <c r="H63" s="718">
        <f>SUM(H59:H62)</f>
        <v>0</v>
      </c>
      <c r="I63" s="719" t="s">
        <v>19</v>
      </c>
      <c r="J63" s="720">
        <f t="shared" ref="J63:N63" si="442">SUM(J59:J62)</f>
        <v>40</v>
      </c>
      <c r="K63" s="445">
        <f t="shared" si="442"/>
        <v>0</v>
      </c>
      <c r="L63" s="171">
        <f t="shared" si="442"/>
        <v>0</v>
      </c>
      <c r="M63" s="171">
        <f t="shared" si="442"/>
        <v>0</v>
      </c>
      <c r="N63" s="171">
        <f t="shared" si="442"/>
        <v>153.19999999999999</v>
      </c>
      <c r="O63" s="171">
        <f>SUM(O59:O62)</f>
        <v>153.19999999999999</v>
      </c>
      <c r="P63" s="171">
        <f>SUM(P59:P62)</f>
        <v>153.19999999999999</v>
      </c>
      <c r="Q63" s="171">
        <f t="shared" ref="Q63:AO63" si="443">SUM(Q59:Q62)</f>
        <v>153.19999999999999</v>
      </c>
      <c r="R63" s="171">
        <f t="shared" si="443"/>
        <v>153.19999999999999</v>
      </c>
      <c r="S63" s="171">
        <f t="shared" si="443"/>
        <v>153.19999999999999</v>
      </c>
      <c r="T63" s="171">
        <f t="shared" si="443"/>
        <v>95.963636363636368</v>
      </c>
      <c r="U63" s="171">
        <f t="shared" si="443"/>
        <v>150.80000000000001</v>
      </c>
      <c r="V63" s="171">
        <f t="shared" si="443"/>
        <v>150.80000000000001</v>
      </c>
      <c r="W63" s="171">
        <f t="shared" si="443"/>
        <v>131.40000000000001</v>
      </c>
      <c r="X63" s="171">
        <f t="shared" si="443"/>
        <v>112</v>
      </c>
      <c r="Y63" s="171">
        <f t="shared" si="443"/>
        <v>112</v>
      </c>
      <c r="Z63" s="171">
        <f t="shared" si="443"/>
        <v>112</v>
      </c>
      <c r="AA63" s="171">
        <f t="shared" si="443"/>
        <v>71.27272727272728</v>
      </c>
      <c r="AB63" s="172">
        <f t="shared" si="443"/>
        <v>112</v>
      </c>
      <c r="AC63" s="172">
        <f t="shared" si="443"/>
        <v>112</v>
      </c>
      <c r="AD63" s="581">
        <f t="shared" si="443"/>
        <v>112</v>
      </c>
      <c r="AE63" s="581">
        <f t="shared" si="443"/>
        <v>112</v>
      </c>
      <c r="AF63" s="581">
        <f t="shared" si="443"/>
        <v>112</v>
      </c>
      <c r="AG63" s="581">
        <f t="shared" si="443"/>
        <v>112</v>
      </c>
      <c r="AH63" s="581">
        <f t="shared" si="443"/>
        <v>71.27272727272728</v>
      </c>
      <c r="AI63" s="581">
        <f t="shared" si="443"/>
        <v>112</v>
      </c>
      <c r="AJ63" s="581">
        <f t="shared" si="443"/>
        <v>112</v>
      </c>
      <c r="AK63" s="581">
        <f t="shared" si="443"/>
        <v>112</v>
      </c>
      <c r="AL63" s="581">
        <f t="shared" si="443"/>
        <v>112</v>
      </c>
      <c r="AM63" s="581">
        <f t="shared" si="443"/>
        <v>112</v>
      </c>
      <c r="AN63" s="581">
        <f t="shared" si="443"/>
        <v>112</v>
      </c>
      <c r="AO63" s="582">
        <f t="shared" si="443"/>
        <v>71.27272727272728</v>
      </c>
    </row>
    <row r="64" s="99" customFormat="1" ht="11.449999999999999" customHeight="1">
      <c r="A64" s="590"/>
      <c r="B64" s="590"/>
      <c r="C64" s="116"/>
      <c r="D64" s="721"/>
      <c r="E64" s="584"/>
      <c r="F64" s="721"/>
      <c r="G64" s="721"/>
      <c r="H64" s="276"/>
      <c r="I64" s="722"/>
      <c r="J64" s="276"/>
      <c r="K64" s="276"/>
      <c r="L64" s="276"/>
      <c r="M64" s="276"/>
      <c r="N64" s="276"/>
      <c r="O64" s="276"/>
      <c r="P64" s="276"/>
      <c r="Q64" s="276"/>
      <c r="R64" s="276"/>
      <c r="S64" s="276"/>
      <c r="T64" s="276"/>
      <c r="U64" s="276"/>
      <c r="V64" s="276"/>
      <c r="W64" s="276"/>
      <c r="X64" s="276"/>
      <c r="Y64" s="276"/>
      <c r="Z64" s="276"/>
      <c r="AA64" s="276"/>
      <c r="AB64" s="276"/>
      <c r="AC64" s="723"/>
      <c r="AD64" s="723"/>
      <c r="AE64" s="723"/>
      <c r="AF64" s="723"/>
      <c r="AG64" s="723"/>
      <c r="AH64" s="723"/>
      <c r="AI64" s="723"/>
      <c r="AJ64" s="723"/>
      <c r="AK64" s="723"/>
      <c r="AL64" s="723"/>
      <c r="AM64" s="723"/>
      <c r="AN64" s="723"/>
      <c r="AO64" s="723"/>
    </row>
    <row r="65" s="123" customFormat="1" ht="29.449999999999999" customHeight="1">
      <c r="A65" s="149" t="s">
        <v>106</v>
      </c>
      <c r="B65" s="150"/>
      <c r="C65" s="49" t="s">
        <v>11</v>
      </c>
      <c r="D65" s="50" t="s">
        <v>12</v>
      </c>
      <c r="E65" s="407" t="s">
        <v>13</v>
      </c>
      <c r="F65" s="408" t="s">
        <v>14</v>
      </c>
      <c r="G65" s="211" t="s">
        <v>15</v>
      </c>
      <c r="H65" s="212" t="s">
        <v>16</v>
      </c>
      <c r="I65" s="212" t="s">
        <v>17</v>
      </c>
      <c r="J65" s="213" t="s">
        <v>18</v>
      </c>
      <c r="K65" s="56">
        <v>44562</v>
      </c>
      <c r="L65" s="56">
        <v>44563</v>
      </c>
      <c r="M65" s="56">
        <v>44564</v>
      </c>
      <c r="N65" s="56">
        <v>44565</v>
      </c>
      <c r="O65" s="56">
        <v>44566</v>
      </c>
      <c r="P65" s="56">
        <v>44567</v>
      </c>
      <c r="Q65" s="56">
        <v>44568</v>
      </c>
      <c r="R65" s="56">
        <v>44569</v>
      </c>
      <c r="S65" s="56">
        <v>44570</v>
      </c>
      <c r="T65" s="56">
        <v>44571</v>
      </c>
      <c r="U65" s="56">
        <v>44572</v>
      </c>
      <c r="V65" s="56">
        <v>44573</v>
      </c>
      <c r="W65" s="56">
        <v>44574</v>
      </c>
      <c r="X65" s="56">
        <v>44575</v>
      </c>
      <c r="Y65" s="56">
        <v>44576</v>
      </c>
      <c r="Z65" s="56">
        <v>44577</v>
      </c>
      <c r="AA65" s="56">
        <v>44578</v>
      </c>
      <c r="AB65" s="56">
        <v>44579</v>
      </c>
      <c r="AC65" s="56">
        <v>44580</v>
      </c>
      <c r="AD65" s="56">
        <v>44581</v>
      </c>
      <c r="AE65" s="56">
        <v>44582</v>
      </c>
      <c r="AF65" s="56">
        <v>44583</v>
      </c>
      <c r="AG65" s="56">
        <v>44584</v>
      </c>
      <c r="AH65" s="56">
        <v>44585</v>
      </c>
      <c r="AI65" s="56">
        <v>44586</v>
      </c>
      <c r="AJ65" s="56">
        <v>44587</v>
      </c>
      <c r="AK65" s="56">
        <v>44588</v>
      </c>
      <c r="AL65" s="59">
        <v>44589</v>
      </c>
      <c r="AM65" s="56">
        <v>44590</v>
      </c>
      <c r="AN65" s="56">
        <v>44591</v>
      </c>
      <c r="AO65" s="56">
        <v>44561</v>
      </c>
    </row>
    <row r="66" outlineLevel="1">
      <c r="A66" s="724" t="s">
        <v>107</v>
      </c>
      <c r="B66" s="63" t="s">
        <v>0</v>
      </c>
      <c r="C66" s="64">
        <f t="shared" ref="C66:C69" si="444">$C$63/$F$63*F66</f>
        <v>2327.4516233766235</v>
      </c>
      <c r="D66" s="65">
        <f t="shared" ref="D66:D69" si="445">SUM(K66:AO66)</f>
        <v>1749.9496969696972</v>
      </c>
      <c r="E66" s="725">
        <f>E52+E59</f>
        <v>96.450000000000003</v>
      </c>
      <c r="F66" s="591">
        <f t="shared" ref="F66:F69" si="446">F52+F59+F45</f>
        <v>39</v>
      </c>
      <c r="G66" s="541">
        <f t="shared" ref="G66:G69" si="447">G52+G59</f>
        <v>8</v>
      </c>
      <c r="H66" s="709"/>
      <c r="I66" s="726">
        <f t="shared" ref="I66:I69" si="448">I52+I59</f>
        <v>0.13333333333333333</v>
      </c>
      <c r="J66" s="727">
        <f t="shared" ref="J66:J69" si="449">SUM(G66:I66)</f>
        <v>8.1333333333333329</v>
      </c>
      <c r="K66" s="728">
        <f t="shared" ref="K66:Z69" si="450">K45+K52+K59</f>
        <v>0</v>
      </c>
      <c r="L66" s="729">
        <f t="shared" ref="L66:AO69" si="451">L45+L52+L59</f>
        <v>74.535454545454556</v>
      </c>
      <c r="M66" s="729">
        <f t="shared" si="451"/>
        <v>0</v>
      </c>
      <c r="N66" s="729">
        <f t="shared" si="451"/>
        <v>0</v>
      </c>
      <c r="O66" s="729">
        <f t="shared" si="451"/>
        <v>143.27636363636364</v>
      </c>
      <c r="P66" s="729">
        <f t="shared" si="451"/>
        <v>151.13545454545454</v>
      </c>
      <c r="Q66" s="729">
        <f t="shared" si="451"/>
        <v>0</v>
      </c>
      <c r="R66" s="729">
        <f t="shared" si="451"/>
        <v>0</v>
      </c>
      <c r="S66" s="729">
        <f t="shared" si="451"/>
        <v>151.13545454545454</v>
      </c>
      <c r="T66" s="730">
        <f t="shared" si="451"/>
        <v>149.93545454545455</v>
      </c>
      <c r="U66" s="729">
        <f t="shared" si="451"/>
        <v>0</v>
      </c>
      <c r="V66" s="729">
        <f t="shared" si="451"/>
        <v>0</v>
      </c>
      <c r="W66" s="729">
        <f t="shared" si="451"/>
        <v>149.93545454545455</v>
      </c>
      <c r="X66" s="729">
        <f t="shared" si="451"/>
        <v>95.959696969696978</v>
      </c>
      <c r="Y66" s="729">
        <f t="shared" si="451"/>
        <v>0</v>
      </c>
      <c r="Z66" s="729">
        <f t="shared" si="451"/>
        <v>0</v>
      </c>
      <c r="AA66" s="729">
        <f t="shared" si="451"/>
        <v>82.003939393939419</v>
      </c>
      <c r="AB66" s="730">
        <f t="shared" si="451"/>
        <v>95.959696969696978</v>
      </c>
      <c r="AC66" s="729">
        <f t="shared" si="451"/>
        <v>0</v>
      </c>
      <c r="AD66" s="729">
        <f t="shared" si="451"/>
        <v>0</v>
      </c>
      <c r="AE66" s="729">
        <f t="shared" si="451"/>
        <v>122.73121212121214</v>
      </c>
      <c r="AF66" s="729">
        <f t="shared" si="451"/>
        <v>95.959696969696978</v>
      </c>
      <c r="AG66" s="729">
        <f t="shared" si="451"/>
        <v>0</v>
      </c>
      <c r="AH66" s="729">
        <f t="shared" si="451"/>
        <v>0</v>
      </c>
      <c r="AI66" s="729">
        <f t="shared" si="451"/>
        <v>122.73121212121214</v>
      </c>
      <c r="AJ66" s="729">
        <f t="shared" si="451"/>
        <v>95.959696969696978</v>
      </c>
      <c r="AK66" s="729">
        <f t="shared" si="451"/>
        <v>0</v>
      </c>
      <c r="AL66" s="729">
        <f t="shared" si="451"/>
        <v>0</v>
      </c>
      <c r="AM66" s="729">
        <f t="shared" si="451"/>
        <v>122.73121212121214</v>
      </c>
      <c r="AN66" s="729">
        <f t="shared" si="451"/>
        <v>95.959696969696978</v>
      </c>
      <c r="AO66" s="731">
        <f t="shared" si="451"/>
        <v>0</v>
      </c>
    </row>
    <row r="67" outlineLevel="1">
      <c r="A67" s="724"/>
      <c r="B67" s="77" t="s">
        <v>1</v>
      </c>
      <c r="C67" s="78">
        <f t="shared" si="444"/>
        <v>2387.1298701298701</v>
      </c>
      <c r="D67" s="427">
        <f t="shared" si="445"/>
        <v>1685.6543787878791</v>
      </c>
      <c r="E67" s="348">
        <f t="shared" ref="E67:E69" si="452">E66</f>
        <v>96.450000000000003</v>
      </c>
      <c r="F67" s="591">
        <f t="shared" si="446"/>
        <v>40</v>
      </c>
      <c r="G67" s="541">
        <f t="shared" si="447"/>
        <v>20.666666666666664</v>
      </c>
      <c r="H67" s="712"/>
      <c r="I67" s="726">
        <f t="shared" si="448"/>
        <v>0.13333333333333333</v>
      </c>
      <c r="J67" s="732">
        <f t="shared" si="449"/>
        <v>20.799999999999997</v>
      </c>
      <c r="K67" s="733">
        <f t="shared" si="450"/>
        <v>0</v>
      </c>
      <c r="L67" s="734">
        <f t="shared" si="450"/>
        <v>34.575757575757578</v>
      </c>
      <c r="M67" s="734">
        <f t="shared" si="450"/>
        <v>74.535454545454556</v>
      </c>
      <c r="N67" s="734">
        <f t="shared" si="450"/>
        <v>0</v>
      </c>
      <c r="O67" s="734">
        <f t="shared" si="450"/>
        <v>0</v>
      </c>
      <c r="P67" s="734">
        <f t="shared" si="450"/>
        <v>110.69771212121212</v>
      </c>
      <c r="Q67" s="734">
        <f t="shared" si="450"/>
        <v>151.13545454545454</v>
      </c>
      <c r="R67" s="734">
        <f t="shared" si="450"/>
        <v>0</v>
      </c>
      <c r="S67" s="734">
        <f t="shared" si="450"/>
        <v>0</v>
      </c>
      <c r="T67" s="734">
        <f t="shared" si="450"/>
        <v>95.099090909090918</v>
      </c>
      <c r="U67" s="734">
        <f t="shared" si="450"/>
        <v>149.93545454545455</v>
      </c>
      <c r="V67" s="734">
        <f t="shared" si="450"/>
        <v>0</v>
      </c>
      <c r="W67" s="734">
        <f t="shared" si="450"/>
        <v>0</v>
      </c>
      <c r="X67" s="734">
        <f t="shared" si="450"/>
        <v>122.73121212121214</v>
      </c>
      <c r="Y67" s="734">
        <f t="shared" si="450"/>
        <v>95.959696969696978</v>
      </c>
      <c r="Z67" s="734">
        <f t="shared" si="450"/>
        <v>0</v>
      </c>
      <c r="AA67" s="734">
        <f t="shared" si="451"/>
        <v>0</v>
      </c>
      <c r="AB67" s="734">
        <f t="shared" si="451"/>
        <v>122.73121212121214</v>
      </c>
      <c r="AC67" s="734">
        <f t="shared" si="451"/>
        <v>95.959696969696978</v>
      </c>
      <c r="AD67" s="734">
        <f t="shared" si="451"/>
        <v>0</v>
      </c>
      <c r="AE67" s="734">
        <f t="shared" si="451"/>
        <v>0</v>
      </c>
      <c r="AF67" s="734">
        <f t="shared" si="451"/>
        <v>122.73121212121214</v>
      </c>
      <c r="AG67" s="734">
        <f t="shared" si="451"/>
        <v>95.959696969696978</v>
      </c>
      <c r="AH67" s="734">
        <f t="shared" si="451"/>
        <v>0</v>
      </c>
      <c r="AI67" s="734">
        <f t="shared" si="451"/>
        <v>0</v>
      </c>
      <c r="AJ67" s="734">
        <f t="shared" si="451"/>
        <v>98.952121212121227</v>
      </c>
      <c r="AK67" s="734">
        <f t="shared" si="451"/>
        <v>95.959696969696978</v>
      </c>
      <c r="AL67" s="734">
        <f t="shared" si="451"/>
        <v>0</v>
      </c>
      <c r="AM67" s="734">
        <f t="shared" si="451"/>
        <v>0</v>
      </c>
      <c r="AN67" s="734">
        <f t="shared" si="451"/>
        <v>122.73121212121214</v>
      </c>
      <c r="AO67" s="735">
        <f t="shared" si="451"/>
        <v>95.959696969696978</v>
      </c>
    </row>
    <row r="68" outlineLevel="1">
      <c r="A68" s="724"/>
      <c r="B68" s="85" t="s">
        <v>2</v>
      </c>
      <c r="C68" s="131">
        <f t="shared" si="444"/>
        <v>2267.7733766233769</v>
      </c>
      <c r="D68" s="87">
        <f t="shared" si="445"/>
        <v>1679.6615151515152</v>
      </c>
      <c r="E68" s="348">
        <f t="shared" si="452"/>
        <v>96.450000000000003</v>
      </c>
      <c r="F68" s="591">
        <f t="shared" si="446"/>
        <v>38</v>
      </c>
      <c r="G68" s="541">
        <f t="shared" si="447"/>
        <v>9.6666666666666661</v>
      </c>
      <c r="H68" s="712"/>
      <c r="I68" s="726">
        <f t="shared" si="448"/>
        <v>0.13333333333333333</v>
      </c>
      <c r="J68" s="732">
        <f t="shared" si="449"/>
        <v>9.7999999999999989</v>
      </c>
      <c r="K68" s="733">
        <f t="shared" si="450"/>
        <v>0</v>
      </c>
      <c r="L68" s="734">
        <f t="shared" si="451"/>
        <v>0</v>
      </c>
      <c r="M68" s="734">
        <f t="shared" si="451"/>
        <v>0</v>
      </c>
      <c r="N68" s="734">
        <f t="shared" si="451"/>
        <v>151.13545454545454</v>
      </c>
      <c r="O68" s="734">
        <f t="shared" si="451"/>
        <v>151.13545454545454</v>
      </c>
      <c r="P68" s="734">
        <f t="shared" si="451"/>
        <v>0</v>
      </c>
      <c r="Q68" s="734">
        <f t="shared" si="451"/>
        <v>0</v>
      </c>
      <c r="R68" s="734">
        <f t="shared" si="451"/>
        <v>151.13545454545454</v>
      </c>
      <c r="S68" s="734">
        <f t="shared" si="451"/>
        <v>151.13545454545454</v>
      </c>
      <c r="T68" s="734">
        <f t="shared" si="451"/>
        <v>0</v>
      </c>
      <c r="U68" s="734">
        <f t="shared" si="451"/>
        <v>0</v>
      </c>
      <c r="V68" s="734">
        <f t="shared" si="451"/>
        <v>118.35212121212123</v>
      </c>
      <c r="W68" s="734">
        <f t="shared" si="451"/>
        <v>122.73121212121214</v>
      </c>
      <c r="X68" s="734">
        <f t="shared" si="451"/>
        <v>0</v>
      </c>
      <c r="Y68" s="734">
        <f t="shared" si="451"/>
        <v>0</v>
      </c>
      <c r="Z68" s="734">
        <f t="shared" si="451"/>
        <v>122.73121212121214</v>
      </c>
      <c r="AA68" s="734">
        <f t="shared" si="451"/>
        <v>95.959696969696978</v>
      </c>
      <c r="AB68" s="734">
        <f t="shared" si="451"/>
        <v>0</v>
      </c>
      <c r="AC68" s="734">
        <f t="shared" si="451"/>
        <v>0</v>
      </c>
      <c r="AD68" s="734">
        <f t="shared" si="451"/>
        <v>122.73121212121214</v>
      </c>
      <c r="AE68" s="734">
        <f t="shared" si="451"/>
        <v>95.959696969696978</v>
      </c>
      <c r="AF68" s="734">
        <f t="shared" si="451"/>
        <v>0</v>
      </c>
      <c r="AG68" s="734">
        <f t="shared" si="451"/>
        <v>0</v>
      </c>
      <c r="AH68" s="734">
        <f t="shared" si="451"/>
        <v>82.003939393939419</v>
      </c>
      <c r="AI68" s="734">
        <f t="shared" si="451"/>
        <v>95.959696969696978</v>
      </c>
      <c r="AJ68" s="734">
        <f t="shared" si="451"/>
        <v>0</v>
      </c>
      <c r="AK68" s="734">
        <f t="shared" si="451"/>
        <v>0</v>
      </c>
      <c r="AL68" s="734">
        <f t="shared" si="451"/>
        <v>122.73121212121214</v>
      </c>
      <c r="AM68" s="734">
        <f t="shared" si="451"/>
        <v>95.959696969696978</v>
      </c>
      <c r="AN68" s="734">
        <f t="shared" si="451"/>
        <v>0</v>
      </c>
      <c r="AO68" s="731">
        <f t="shared" si="451"/>
        <v>0</v>
      </c>
    </row>
    <row r="69" ht="13.5" outlineLevel="1">
      <c r="A69" s="736"/>
      <c r="B69" s="90" t="s">
        <v>3</v>
      </c>
      <c r="C69" s="133">
        <f t="shared" si="444"/>
        <v>2387.1298701298701</v>
      </c>
      <c r="D69" s="92">
        <f t="shared" si="445"/>
        <v>1738.5341984848487</v>
      </c>
      <c r="E69" s="348">
        <f t="shared" si="452"/>
        <v>96.450000000000003</v>
      </c>
      <c r="F69" s="591">
        <f t="shared" si="446"/>
        <v>40</v>
      </c>
      <c r="G69" s="541">
        <f t="shared" si="447"/>
        <v>26.867000000000001</v>
      </c>
      <c r="H69" s="737"/>
      <c r="I69" s="726">
        <f t="shared" si="448"/>
        <v>0.13333333333333333</v>
      </c>
      <c r="J69" s="738">
        <f t="shared" si="449"/>
        <v>27.000333333333334</v>
      </c>
      <c r="K69" s="733">
        <f t="shared" si="450"/>
        <v>0</v>
      </c>
      <c r="L69" s="734">
        <f t="shared" si="451"/>
        <v>0</v>
      </c>
      <c r="M69" s="734">
        <f t="shared" si="451"/>
        <v>74.535454545454556</v>
      </c>
      <c r="N69" s="734">
        <f t="shared" si="451"/>
        <v>151.13545454545454</v>
      </c>
      <c r="O69" s="734">
        <f t="shared" si="451"/>
        <v>0</v>
      </c>
      <c r="P69" s="734">
        <f t="shared" si="451"/>
        <v>0</v>
      </c>
      <c r="Q69" s="734">
        <f t="shared" si="451"/>
        <v>151.13545454545454</v>
      </c>
      <c r="R69" s="734">
        <f t="shared" si="451"/>
        <v>151.13545454545454</v>
      </c>
      <c r="S69" s="734">
        <f t="shared" si="451"/>
        <v>0</v>
      </c>
      <c r="T69" s="734">
        <f t="shared" si="451"/>
        <v>0</v>
      </c>
      <c r="U69" s="734">
        <f t="shared" si="451"/>
        <v>149.93545454545455</v>
      </c>
      <c r="V69" s="734">
        <f t="shared" si="451"/>
        <v>149.93545454545455</v>
      </c>
      <c r="W69" s="734">
        <f t="shared" si="451"/>
        <v>0</v>
      </c>
      <c r="X69" s="734">
        <f t="shared" si="451"/>
        <v>0</v>
      </c>
      <c r="Y69" s="734">
        <f t="shared" si="451"/>
        <v>122.73121212121214</v>
      </c>
      <c r="Z69" s="734">
        <f t="shared" si="451"/>
        <v>95.959696969696978</v>
      </c>
      <c r="AA69" s="734">
        <f t="shared" si="451"/>
        <v>0</v>
      </c>
      <c r="AB69" s="734">
        <f t="shared" si="451"/>
        <v>0</v>
      </c>
      <c r="AC69" s="734">
        <f t="shared" si="451"/>
        <v>76.68510757575757</v>
      </c>
      <c r="AD69" s="734">
        <f t="shared" si="451"/>
        <v>95.959696969696978</v>
      </c>
      <c r="AE69" s="734">
        <f t="shared" si="451"/>
        <v>0</v>
      </c>
      <c r="AF69" s="734">
        <f t="shared" si="451"/>
        <v>0</v>
      </c>
      <c r="AG69" s="734">
        <f t="shared" si="451"/>
        <v>122.73121212121214</v>
      </c>
      <c r="AH69" s="739">
        <f t="shared" si="451"/>
        <v>95.959696969696978</v>
      </c>
      <c r="AI69" s="740">
        <f t="shared" si="451"/>
        <v>0</v>
      </c>
      <c r="AJ69" s="734">
        <f t="shared" si="451"/>
        <v>0</v>
      </c>
      <c r="AK69" s="734">
        <f t="shared" si="451"/>
        <v>122.73121212121214</v>
      </c>
      <c r="AL69" s="734">
        <f t="shared" si="451"/>
        <v>95.959696969696978</v>
      </c>
      <c r="AM69" s="734">
        <f t="shared" si="451"/>
        <v>0</v>
      </c>
      <c r="AN69" s="734">
        <f t="shared" si="451"/>
        <v>0</v>
      </c>
      <c r="AO69" s="731">
        <f t="shared" si="451"/>
        <v>82.003939393939419</v>
      </c>
    </row>
    <row r="70" s="99" customFormat="1" ht="25.149999999999999" customHeight="1">
      <c r="A70" s="164"/>
      <c r="B70" s="165" t="s">
        <v>18</v>
      </c>
      <c r="C70" s="102">
        <f>'[3]План пр-ва по единицам обор'!$L$34</f>
        <v>6853.893542964679</v>
      </c>
      <c r="D70" s="103">
        <f>SUM(D66:D69)</f>
        <v>6853.799789393941</v>
      </c>
      <c r="E70" s="443" t="s">
        <v>19</v>
      </c>
      <c r="F70" s="553">
        <f>SUM(F66:F69)</f>
        <v>157</v>
      </c>
      <c r="G70" s="106">
        <f>SUM(G66:G69)</f>
        <v>65.200333333333333</v>
      </c>
      <c r="H70" s="741">
        <f>SUM(H66:H69)</f>
        <v>0</v>
      </c>
      <c r="I70" s="168" t="s">
        <v>19</v>
      </c>
      <c r="J70" s="169">
        <f t="shared" ref="J70:AO70" si="453">SUM(J66:J69)</f>
        <v>65.733666666666664</v>
      </c>
      <c r="K70" s="292">
        <f t="shared" si="453"/>
        <v>0</v>
      </c>
      <c r="L70" s="293">
        <f t="shared" si="453"/>
        <v>109.11121212121213</v>
      </c>
      <c r="M70" s="293">
        <f t="shared" si="453"/>
        <v>149.07090909090911</v>
      </c>
      <c r="N70" s="293">
        <f t="shared" si="453"/>
        <v>302.27090909090907</v>
      </c>
      <c r="O70" s="293">
        <f t="shared" si="453"/>
        <v>294.41181818181815</v>
      </c>
      <c r="P70" s="293">
        <f t="shared" si="453"/>
        <v>261.83316666666667</v>
      </c>
      <c r="Q70" s="293">
        <f t="shared" si="453"/>
        <v>302.27090909090907</v>
      </c>
      <c r="R70" s="293">
        <f t="shared" si="453"/>
        <v>302.27090909090907</v>
      </c>
      <c r="S70" s="293">
        <f t="shared" si="453"/>
        <v>302.27090909090907</v>
      </c>
      <c r="T70" s="293">
        <f t="shared" si="453"/>
        <v>245.03454545454548</v>
      </c>
      <c r="U70" s="293">
        <f t="shared" si="453"/>
        <v>299.87090909090909</v>
      </c>
      <c r="V70" s="293">
        <f t="shared" si="453"/>
        <v>268.28757575757578</v>
      </c>
      <c r="W70" s="293">
        <f t="shared" si="453"/>
        <v>272.66666666666669</v>
      </c>
      <c r="X70" s="293">
        <f t="shared" si="453"/>
        <v>218.69090909090912</v>
      </c>
      <c r="Y70" s="293">
        <f t="shared" si="453"/>
        <v>218.69090909090912</v>
      </c>
      <c r="Z70" s="293">
        <f t="shared" si="453"/>
        <v>218.69090909090912</v>
      </c>
      <c r="AA70" s="293">
        <f t="shared" si="453"/>
        <v>177.9636363636364</v>
      </c>
      <c r="AB70" s="294">
        <f t="shared" si="453"/>
        <v>218.69090909090912</v>
      </c>
      <c r="AC70" s="172">
        <f t="shared" si="453"/>
        <v>172.64480454545455</v>
      </c>
      <c r="AD70" s="581">
        <f t="shared" si="453"/>
        <v>218.69090909090912</v>
      </c>
      <c r="AE70" s="581">
        <f t="shared" si="453"/>
        <v>218.69090909090912</v>
      </c>
      <c r="AF70" s="581">
        <f t="shared" si="453"/>
        <v>218.69090909090912</v>
      </c>
      <c r="AG70" s="581">
        <f t="shared" si="453"/>
        <v>218.69090909090912</v>
      </c>
      <c r="AH70" s="581">
        <f t="shared" si="453"/>
        <v>177.9636363636364</v>
      </c>
      <c r="AI70" s="581">
        <f t="shared" si="453"/>
        <v>218.69090909090912</v>
      </c>
      <c r="AJ70" s="581">
        <f t="shared" si="453"/>
        <v>194.91181818181821</v>
      </c>
      <c r="AK70" s="581">
        <f t="shared" si="453"/>
        <v>218.69090909090912</v>
      </c>
      <c r="AL70" s="581">
        <f t="shared" si="453"/>
        <v>218.69090909090912</v>
      </c>
      <c r="AM70" s="581">
        <f t="shared" si="453"/>
        <v>218.69090909090912</v>
      </c>
      <c r="AN70" s="581">
        <f t="shared" si="453"/>
        <v>218.69090909090912</v>
      </c>
      <c r="AO70" s="582">
        <f t="shared" si="453"/>
        <v>177.9636363636364</v>
      </c>
    </row>
    <row r="71" s="99" customFormat="1" ht="25.899999999999999" customHeight="1">
      <c r="A71" s="43" t="s">
        <v>29</v>
      </c>
      <c r="B71" s="43"/>
      <c r="C71" s="116"/>
      <c r="D71" s="116">
        <f>C70-D70</f>
        <v>0.0937535707380448</v>
      </c>
      <c r="E71" s="584"/>
      <c r="F71" s="721"/>
      <c r="G71" s="721"/>
      <c r="H71" s="276"/>
      <c r="I71" s="722"/>
      <c r="J71" s="276"/>
      <c r="K71" s="276"/>
      <c r="L71" s="276"/>
      <c r="M71" s="276"/>
      <c r="N71" s="276"/>
      <c r="O71" s="276"/>
      <c r="P71" s="276"/>
      <c r="Q71" s="276"/>
      <c r="R71" s="276"/>
      <c r="S71" s="276"/>
      <c r="T71" s="276"/>
      <c r="U71" s="276"/>
      <c r="V71" s="276"/>
      <c r="W71" s="276"/>
      <c r="X71" s="276"/>
      <c r="Y71" s="276"/>
      <c r="Z71" s="276"/>
      <c r="AA71" s="276"/>
      <c r="AB71" s="276"/>
      <c r="AC71" s="723"/>
      <c r="AD71" s="723"/>
      <c r="AE71" s="723"/>
      <c r="AF71" s="723"/>
      <c r="AG71" s="723"/>
      <c r="AH71" s="723"/>
      <c r="AI71" s="723"/>
      <c r="AJ71" s="723"/>
      <c r="AK71" s="723"/>
      <c r="AL71" s="723"/>
      <c r="AM71" s="723"/>
      <c r="AN71" s="723"/>
      <c r="AO71" s="723"/>
    </row>
    <row r="72" s="123" customFormat="1" ht="30.600000000000001" customHeight="1" outlineLevel="1">
      <c r="A72" s="405" t="s">
        <v>108</v>
      </c>
      <c r="B72" s="406"/>
      <c r="C72" s="49" t="s">
        <v>11</v>
      </c>
      <c r="D72" s="50" t="s">
        <v>12</v>
      </c>
      <c r="E72" s="687" t="s">
        <v>13</v>
      </c>
      <c r="F72" s="408" t="s">
        <v>14</v>
      </c>
      <c r="G72" s="211" t="s">
        <v>15</v>
      </c>
      <c r="H72" s="212" t="s">
        <v>16</v>
      </c>
      <c r="I72" s="566" t="s">
        <v>17</v>
      </c>
      <c r="J72" s="213" t="s">
        <v>18</v>
      </c>
      <c r="K72" s="56">
        <v>44562</v>
      </c>
      <c r="L72" s="56">
        <v>44563</v>
      </c>
      <c r="M72" s="56">
        <v>44564</v>
      </c>
      <c r="N72" s="56">
        <v>44565</v>
      </c>
      <c r="O72" s="58">
        <v>44566</v>
      </c>
      <c r="P72" s="56">
        <v>44567</v>
      </c>
      <c r="Q72" s="56">
        <v>44568</v>
      </c>
      <c r="R72" s="56">
        <v>44569</v>
      </c>
      <c r="S72" s="56">
        <v>44570</v>
      </c>
      <c r="T72" s="56">
        <v>44571</v>
      </c>
      <c r="U72" s="56">
        <v>44572</v>
      </c>
      <c r="V72" s="56">
        <v>44573</v>
      </c>
      <c r="W72" s="56">
        <v>44574</v>
      </c>
      <c r="X72" s="57">
        <v>44575</v>
      </c>
      <c r="Y72" s="56">
        <v>44576</v>
      </c>
      <c r="Z72" s="56">
        <v>44577</v>
      </c>
      <c r="AA72" s="56">
        <v>44578</v>
      </c>
      <c r="AB72" s="56">
        <v>44579</v>
      </c>
      <c r="AC72" s="56">
        <v>44580</v>
      </c>
      <c r="AD72" s="56">
        <v>44581</v>
      </c>
      <c r="AE72" s="58">
        <v>44582</v>
      </c>
      <c r="AF72" s="56">
        <v>44583</v>
      </c>
      <c r="AG72" s="56">
        <v>44584</v>
      </c>
      <c r="AH72" s="56">
        <v>44585</v>
      </c>
      <c r="AI72" s="56">
        <v>44586</v>
      </c>
      <c r="AJ72" s="56">
        <v>44587</v>
      </c>
      <c r="AK72" s="56">
        <v>44588</v>
      </c>
      <c r="AL72" s="59">
        <v>44589</v>
      </c>
      <c r="AM72" s="56">
        <v>44590</v>
      </c>
      <c r="AN72" s="56">
        <v>44591</v>
      </c>
      <c r="AO72" s="56">
        <v>44592</v>
      </c>
    </row>
    <row r="73" outlineLevel="2">
      <c r="A73" s="416" t="s">
        <v>108</v>
      </c>
      <c r="B73" s="63" t="s">
        <v>0</v>
      </c>
      <c r="C73" s="65">
        <f t="shared" ref="C73:C76" si="454">$C$77/$F$77*F73</f>
        <v>348.39999999999998</v>
      </c>
      <c r="D73" s="65">
        <f t="shared" ref="D73:D76" si="455">SUM(K73:AO73)</f>
        <v>330.67272727272729</v>
      </c>
      <c r="E73" s="348">
        <f>'[6]План пр-ва по единицам обор'!$E$71</f>
        <v>26</v>
      </c>
      <c r="F73" s="130">
        <f t="shared" ref="F73:F76" si="456">COUNTA(K73:AO73)</f>
        <v>14</v>
      </c>
      <c r="G73" s="708">
        <v>12</v>
      </c>
      <c r="H73" s="690"/>
      <c r="I73" s="742">
        <f t="shared" ref="I73:I76" si="457">(6+3)/60</f>
        <v>0.14999999999999999</v>
      </c>
      <c r="J73" s="570">
        <f t="shared" ref="J73:J76" si="458">SUM(G73:I73)</f>
        <v>12.15</v>
      </c>
      <c r="K73" s="71"/>
      <c r="L73" s="71"/>
      <c r="M73" s="71"/>
      <c r="N73" s="73"/>
      <c r="O73" s="75">
        <f>$E73/11*(11-($G73/2+$I73))</f>
        <v>11.463636363636363</v>
      </c>
      <c r="P73" s="74">
        <f t="shared" ref="P73:Q74" si="459">$E73/11*(11-($H73+$I73))</f>
        <v>25.645454545454545</v>
      </c>
      <c r="Q73" s="73"/>
      <c r="R73" s="73"/>
      <c r="S73" s="74">
        <f t="shared" ref="S73:U76" si="460">$E73/11*(11-($H73+$I73))</f>
        <v>25.645454545454545</v>
      </c>
      <c r="T73" s="74">
        <f t="shared" si="460"/>
        <v>25.645454545454545</v>
      </c>
      <c r="U73" s="73"/>
      <c r="V73" s="73"/>
      <c r="W73" s="74">
        <f t="shared" ref="W73:Y74" si="461">$E73/11*(11-($H73+$I73))</f>
        <v>25.645454545454545</v>
      </c>
      <c r="X73" s="74">
        <f t="shared" si="461"/>
        <v>25.645454545454545</v>
      </c>
      <c r="Y73" s="73"/>
      <c r="Z73" s="73"/>
      <c r="AA73" s="74">
        <f t="shared" ref="AA73:AO76" si="462">$E73/11*(11-($H73+$I73))</f>
        <v>25.645454545454545</v>
      </c>
      <c r="AB73" s="74">
        <f t="shared" si="462"/>
        <v>25.645454545454545</v>
      </c>
      <c r="AC73" s="73"/>
      <c r="AD73" s="73"/>
      <c r="AE73" s="75">
        <f>$E73/11*(11-($G73/2+$I73))</f>
        <v>11.463636363636363</v>
      </c>
      <c r="AF73" s="74">
        <f t="shared" ref="AF73:AG74" si="463">$E73/11*(11-($H73+$I73))</f>
        <v>25.645454545454545</v>
      </c>
      <c r="AG73" s="73"/>
      <c r="AH73" s="73"/>
      <c r="AI73" s="74">
        <f t="shared" ref="AH73:AI75" si="464">$E73/11*(11-($H73+$I73))</f>
        <v>25.645454545454545</v>
      </c>
      <c r="AJ73" s="74">
        <f t="shared" ref="AJ73:AK74" si="465">$E73/11*(11-($H73+$I73))</f>
        <v>25.645454545454545</v>
      </c>
      <c r="AK73" s="73"/>
      <c r="AL73" s="73"/>
      <c r="AM73" s="74">
        <f t="shared" ref="AM73:AO75" si="466">$E73/11*(11-($H73+$I73))</f>
        <v>25.645454545454545</v>
      </c>
      <c r="AN73" s="74">
        <f t="shared" si="466"/>
        <v>25.645454545454545</v>
      </c>
      <c r="AO73" s="73"/>
    </row>
    <row r="74" outlineLevel="2">
      <c r="A74" s="426"/>
      <c r="B74" s="77" t="s">
        <v>1</v>
      </c>
      <c r="C74" s="79">
        <f t="shared" si="454"/>
        <v>348.39999999999998</v>
      </c>
      <c r="D74" s="79">
        <f t="shared" si="455"/>
        <v>351.94545454545454</v>
      </c>
      <c r="E74" s="348">
        <f t="shared" ref="E74:E76" si="467">E73</f>
        <v>26</v>
      </c>
      <c r="F74" s="130">
        <f t="shared" si="456"/>
        <v>14</v>
      </c>
      <c r="G74" s="743">
        <v>3</v>
      </c>
      <c r="H74" s="694"/>
      <c r="I74" s="744">
        <f t="shared" si="457"/>
        <v>0.14999999999999999</v>
      </c>
      <c r="J74" s="573">
        <f t="shared" si="458"/>
        <v>3.1499999999999999</v>
      </c>
      <c r="K74" s="72"/>
      <c r="L74" s="72"/>
      <c r="M74" s="71"/>
      <c r="N74" s="84"/>
      <c r="O74" s="73"/>
      <c r="P74" s="74">
        <f t="shared" si="459"/>
        <v>25.645454545454545</v>
      </c>
      <c r="Q74" s="74">
        <f t="shared" si="459"/>
        <v>25.645454545454545</v>
      </c>
      <c r="R74" s="84"/>
      <c r="S74" s="73"/>
      <c r="T74" s="74">
        <f t="shared" si="460"/>
        <v>25.645454545454545</v>
      </c>
      <c r="U74" s="74">
        <f t="shared" si="460"/>
        <v>25.645454545454545</v>
      </c>
      <c r="V74" s="84"/>
      <c r="W74" s="73"/>
      <c r="X74" s="75">
        <f>$E74/11*(11-($G74+$I74))</f>
        <v>18.554545454545455</v>
      </c>
      <c r="Y74" s="74">
        <f t="shared" si="461"/>
        <v>25.645454545454545</v>
      </c>
      <c r="Z74" s="84"/>
      <c r="AA74" s="73"/>
      <c r="AB74" s="74">
        <f t="shared" si="462"/>
        <v>25.645454545454545</v>
      </c>
      <c r="AC74" s="74">
        <f t="shared" si="462"/>
        <v>25.645454545454545</v>
      </c>
      <c r="AD74" s="84"/>
      <c r="AE74" s="73"/>
      <c r="AF74" s="74">
        <f t="shared" si="463"/>
        <v>25.645454545454545</v>
      </c>
      <c r="AG74" s="74">
        <f t="shared" si="463"/>
        <v>25.645454545454545</v>
      </c>
      <c r="AH74" s="84"/>
      <c r="AI74" s="73"/>
      <c r="AJ74" s="74">
        <f t="shared" si="465"/>
        <v>25.645454545454545</v>
      </c>
      <c r="AK74" s="74">
        <f t="shared" si="465"/>
        <v>25.645454545454545</v>
      </c>
      <c r="AL74" s="84"/>
      <c r="AM74" s="73"/>
      <c r="AN74" s="74">
        <f t="shared" si="466"/>
        <v>25.645454545454545</v>
      </c>
      <c r="AO74" s="74">
        <f t="shared" si="466"/>
        <v>25.645454545454545</v>
      </c>
    </row>
    <row r="75" outlineLevel="2">
      <c r="A75" s="426"/>
      <c r="B75" s="85" t="s">
        <v>2</v>
      </c>
      <c r="C75" s="197">
        <f t="shared" si="454"/>
        <v>348.39999999999998</v>
      </c>
      <c r="D75" s="197">
        <f t="shared" si="455"/>
        <v>351.94545454545454</v>
      </c>
      <c r="E75" s="348">
        <f t="shared" si="467"/>
        <v>26</v>
      </c>
      <c r="F75" s="130">
        <f t="shared" si="456"/>
        <v>14</v>
      </c>
      <c r="G75" s="743">
        <v>3</v>
      </c>
      <c r="H75" s="694"/>
      <c r="I75" s="744">
        <f t="shared" si="457"/>
        <v>0.14999999999999999</v>
      </c>
      <c r="J75" s="573">
        <f t="shared" si="458"/>
        <v>3.1499999999999999</v>
      </c>
      <c r="K75" s="88"/>
      <c r="L75" s="72"/>
      <c r="M75" s="72"/>
      <c r="N75" s="74">
        <f t="shared" ref="N75:Z76" si="468">$E75/11*(11-($H75+$I75))</f>
        <v>25.645454545454545</v>
      </c>
      <c r="O75" s="74">
        <f>$E75/11*(11-($H75+$I75))</f>
        <v>25.645454545454545</v>
      </c>
      <c r="P75" s="74"/>
      <c r="Q75" s="73"/>
      <c r="R75" s="74">
        <f t="shared" ref="R75:S75" si="469">$E75/11*(11-($H75+$I75))</f>
        <v>25.645454545454545</v>
      </c>
      <c r="S75" s="74">
        <f t="shared" si="469"/>
        <v>25.645454545454545</v>
      </c>
      <c r="T75" s="74"/>
      <c r="U75" s="73"/>
      <c r="V75" s="74">
        <f t="shared" ref="V75:W75" si="470">$E75/11*(11-($H75+$I75))</f>
        <v>25.645454545454545</v>
      </c>
      <c r="W75" s="74">
        <f t="shared" si="470"/>
        <v>25.645454545454545</v>
      </c>
      <c r="X75" s="74"/>
      <c r="Y75" s="73"/>
      <c r="Z75" s="74">
        <f t="shared" ref="Z75:AA75" si="471">$E75/11*(11-($H75+$I75))</f>
        <v>25.645454545454545</v>
      </c>
      <c r="AA75" s="74">
        <f t="shared" si="471"/>
        <v>25.645454545454545</v>
      </c>
      <c r="AB75" s="74"/>
      <c r="AC75" s="73"/>
      <c r="AD75" s="74">
        <f t="shared" ref="AD75:AE75" si="472">$E75/11*(11-($H75+$I75))</f>
        <v>25.645454545454545</v>
      </c>
      <c r="AE75" s="74">
        <f t="shared" si="472"/>
        <v>25.645454545454545</v>
      </c>
      <c r="AF75" s="74"/>
      <c r="AG75" s="73"/>
      <c r="AH75" s="74">
        <f t="shared" si="464"/>
        <v>25.645454545454545</v>
      </c>
      <c r="AI75" s="74">
        <f t="shared" si="464"/>
        <v>25.645454545454545</v>
      </c>
      <c r="AJ75" s="74"/>
      <c r="AK75" s="73"/>
      <c r="AL75" s="75">
        <f>$E75/11*(11-($G75+$I75))</f>
        <v>18.554545454545455</v>
      </c>
      <c r="AM75" s="74">
        <f t="shared" si="466"/>
        <v>25.645454545454545</v>
      </c>
      <c r="AN75" s="74"/>
      <c r="AO75" s="73"/>
    </row>
    <row r="76" ht="13.5" outlineLevel="2">
      <c r="A76" s="434"/>
      <c r="B76" s="90" t="s">
        <v>3</v>
      </c>
      <c r="C76" s="200">
        <f t="shared" si="454"/>
        <v>348.39999999999998</v>
      </c>
      <c r="D76" s="200">
        <f t="shared" si="455"/>
        <v>359.0363636363636</v>
      </c>
      <c r="E76" s="348">
        <f t="shared" si="467"/>
        <v>26</v>
      </c>
      <c r="F76" s="130">
        <f t="shared" si="456"/>
        <v>14</v>
      </c>
      <c r="G76" s="745"/>
      <c r="H76" s="698"/>
      <c r="I76" s="746">
        <f t="shared" si="457"/>
        <v>0.14999999999999999</v>
      </c>
      <c r="J76" s="747">
        <f t="shared" si="458"/>
        <v>0.14999999999999999</v>
      </c>
      <c r="K76" s="97"/>
      <c r="L76" s="72"/>
      <c r="M76" s="71"/>
      <c r="N76" s="73">
        <f t="shared" si="468"/>
        <v>25.645454545454545</v>
      </c>
      <c r="O76" s="98"/>
      <c r="P76" s="74"/>
      <c r="Q76" s="73">
        <f t="shared" si="468"/>
        <v>25.645454545454545</v>
      </c>
      <c r="R76" s="73">
        <f t="shared" si="468"/>
        <v>25.645454545454545</v>
      </c>
      <c r="S76" s="98"/>
      <c r="T76" s="74"/>
      <c r="U76" s="74">
        <f t="shared" si="460"/>
        <v>25.645454545454545</v>
      </c>
      <c r="V76" s="73">
        <f t="shared" si="468"/>
        <v>25.645454545454545</v>
      </c>
      <c r="W76" s="98"/>
      <c r="X76" s="74"/>
      <c r="Y76" s="73">
        <f t="shared" si="468"/>
        <v>25.645454545454545</v>
      </c>
      <c r="Z76" s="73">
        <f t="shared" si="468"/>
        <v>25.645454545454545</v>
      </c>
      <c r="AA76" s="98"/>
      <c r="AB76" s="74"/>
      <c r="AC76" s="73">
        <f t="shared" si="462"/>
        <v>25.645454545454545</v>
      </c>
      <c r="AD76" s="73">
        <f t="shared" si="462"/>
        <v>25.645454545454545</v>
      </c>
      <c r="AE76" s="98"/>
      <c r="AF76" s="74"/>
      <c r="AG76" s="73">
        <f t="shared" si="462"/>
        <v>25.645454545454545</v>
      </c>
      <c r="AH76" s="73">
        <f t="shared" si="462"/>
        <v>25.645454545454545</v>
      </c>
      <c r="AI76" s="98"/>
      <c r="AJ76" s="74"/>
      <c r="AK76" s="73">
        <f t="shared" si="462"/>
        <v>25.645454545454545</v>
      </c>
      <c r="AL76" s="73">
        <f t="shared" si="462"/>
        <v>25.645454545454545</v>
      </c>
      <c r="AM76" s="98"/>
      <c r="AN76" s="74"/>
      <c r="AO76" s="73">
        <f t="shared" si="462"/>
        <v>25.645454545454545</v>
      </c>
    </row>
    <row r="77" s="99" customFormat="1" ht="18.600000000000001" customHeight="1" outlineLevel="1">
      <c r="B77" s="101" t="s">
        <v>18</v>
      </c>
      <c r="C77" s="166">
        <f>'[3]План пр-ва по единицам обор'!$L$71</f>
        <v>1393.5999999999999</v>
      </c>
      <c r="D77" s="103">
        <f>SUM(D73:D76)</f>
        <v>1393.5999999999999</v>
      </c>
      <c r="E77" s="443" t="s">
        <v>19</v>
      </c>
      <c r="F77" s="553">
        <f>SUM(F73:F76)</f>
        <v>56</v>
      </c>
      <c r="G77" s="554">
        <f>SUM(G73:G76)</f>
        <v>18</v>
      </c>
      <c r="H77" s="748">
        <f>SUM(H73:H76)</f>
        <v>0</v>
      </c>
      <c r="I77" s="749" t="s">
        <v>19</v>
      </c>
      <c r="J77" s="750">
        <f t="shared" ref="J77:N77" si="473">SUM(J73:J76)</f>
        <v>18.599999999999998</v>
      </c>
      <c r="K77" s="558">
        <f t="shared" si="473"/>
        <v>0</v>
      </c>
      <c r="L77" s="559">
        <f t="shared" si="473"/>
        <v>0</v>
      </c>
      <c r="M77" s="559">
        <f t="shared" si="473"/>
        <v>0</v>
      </c>
      <c r="N77" s="559">
        <f t="shared" si="473"/>
        <v>51.290909090909089</v>
      </c>
      <c r="O77" s="559">
        <f>SUM(O73:O76)</f>
        <v>37.109090909090909</v>
      </c>
      <c r="P77" s="559">
        <f>SUM(P73:P76)</f>
        <v>51.290909090909089</v>
      </c>
      <c r="Q77" s="559">
        <f t="shared" ref="Q77:AO77" si="474">SUM(Q73:Q76)</f>
        <v>51.290909090909089</v>
      </c>
      <c r="R77" s="559">
        <f t="shared" si="474"/>
        <v>51.290909090909089</v>
      </c>
      <c r="S77" s="559">
        <f t="shared" si="474"/>
        <v>51.290909090909089</v>
      </c>
      <c r="T77" s="559">
        <f t="shared" si="474"/>
        <v>51.290909090909089</v>
      </c>
      <c r="U77" s="559">
        <f t="shared" si="474"/>
        <v>51.290909090909089</v>
      </c>
      <c r="V77" s="559">
        <f t="shared" si="474"/>
        <v>51.290909090909089</v>
      </c>
      <c r="W77" s="559">
        <f t="shared" si="474"/>
        <v>51.290909090909089</v>
      </c>
      <c r="X77" s="559">
        <f t="shared" si="474"/>
        <v>44.200000000000003</v>
      </c>
      <c r="Y77" s="559">
        <f t="shared" si="474"/>
        <v>51.290909090909089</v>
      </c>
      <c r="Z77" s="559">
        <f t="shared" si="474"/>
        <v>51.290909090909089</v>
      </c>
      <c r="AA77" s="559">
        <f t="shared" si="474"/>
        <v>51.290909090909089</v>
      </c>
      <c r="AB77" s="560">
        <f t="shared" si="474"/>
        <v>51.290909090909089</v>
      </c>
      <c r="AC77" s="172">
        <f t="shared" si="474"/>
        <v>51.290909090909089</v>
      </c>
      <c r="AD77" s="581">
        <f t="shared" si="474"/>
        <v>51.290909090909089</v>
      </c>
      <c r="AE77" s="581">
        <f t="shared" si="474"/>
        <v>37.109090909090909</v>
      </c>
      <c r="AF77" s="581">
        <f t="shared" si="474"/>
        <v>51.290909090909089</v>
      </c>
      <c r="AG77" s="581">
        <f t="shared" si="474"/>
        <v>51.290909090909089</v>
      </c>
      <c r="AH77" s="581">
        <f t="shared" si="474"/>
        <v>51.290909090909089</v>
      </c>
      <c r="AI77" s="581">
        <f t="shared" si="474"/>
        <v>51.290909090909089</v>
      </c>
      <c r="AJ77" s="581">
        <f t="shared" si="474"/>
        <v>51.290909090909089</v>
      </c>
      <c r="AK77" s="581">
        <f t="shared" si="474"/>
        <v>51.290909090909089</v>
      </c>
      <c r="AL77" s="581">
        <f t="shared" si="474"/>
        <v>44.200000000000003</v>
      </c>
      <c r="AM77" s="581">
        <f t="shared" si="474"/>
        <v>51.290909090909089</v>
      </c>
      <c r="AN77" s="582">
        <f t="shared" si="474"/>
        <v>51.290909090909089</v>
      </c>
      <c r="AO77" s="582">
        <f t="shared" si="474"/>
        <v>51.290909090909089</v>
      </c>
    </row>
    <row r="78" ht="13.5" outlineLevel="1">
      <c r="D78" s="751">
        <f>C77-D77</f>
        <v>0</v>
      </c>
      <c r="F78" s="752">
        <f>'[9]План пр-ва по единицам обор'!$I$71</f>
        <v>36</v>
      </c>
    </row>
    <row r="79" s="123" customFormat="1" ht="30.600000000000001" customHeight="1" outlineLevel="1">
      <c r="A79" s="405" t="s">
        <v>109</v>
      </c>
      <c r="B79" s="406"/>
      <c r="C79" s="49" t="s">
        <v>11</v>
      </c>
      <c r="D79" s="50" t="s">
        <v>12</v>
      </c>
      <c r="E79" s="407" t="s">
        <v>13</v>
      </c>
      <c r="F79" s="753" t="s">
        <v>14</v>
      </c>
      <c r="G79" s="211" t="s">
        <v>15</v>
      </c>
      <c r="H79" s="212" t="s">
        <v>16</v>
      </c>
      <c r="I79" s="212" t="s">
        <v>17</v>
      </c>
      <c r="J79" s="213" t="s">
        <v>18</v>
      </c>
      <c r="K79" s="56">
        <v>44562</v>
      </c>
      <c r="L79" s="56">
        <v>44563</v>
      </c>
      <c r="M79" s="56">
        <v>44564</v>
      </c>
      <c r="N79" s="56">
        <v>44565</v>
      </c>
      <c r="O79" s="56">
        <v>44566</v>
      </c>
      <c r="P79" s="56">
        <v>44567</v>
      </c>
      <c r="Q79" s="56">
        <v>44568</v>
      </c>
      <c r="R79" s="56">
        <v>44569</v>
      </c>
      <c r="S79" s="56">
        <v>44570</v>
      </c>
      <c r="T79" s="57">
        <v>44571</v>
      </c>
      <c r="U79" s="56">
        <v>44572</v>
      </c>
      <c r="V79" s="56">
        <v>44573</v>
      </c>
      <c r="W79" s="56">
        <v>44574</v>
      </c>
      <c r="X79" s="56">
        <v>44575</v>
      </c>
      <c r="Y79" s="56">
        <v>44576</v>
      </c>
      <c r="Z79" s="56">
        <v>44577</v>
      </c>
      <c r="AA79" s="58">
        <v>44578</v>
      </c>
      <c r="AB79" s="56">
        <v>44579</v>
      </c>
      <c r="AC79" s="56">
        <v>44580</v>
      </c>
      <c r="AD79" s="56">
        <v>44581</v>
      </c>
      <c r="AE79" s="56">
        <v>44582</v>
      </c>
      <c r="AF79" s="56">
        <v>44583</v>
      </c>
      <c r="AG79" s="56">
        <v>44584</v>
      </c>
      <c r="AH79" s="59">
        <v>44585</v>
      </c>
      <c r="AI79" s="56">
        <v>44586</v>
      </c>
      <c r="AJ79" s="56">
        <v>44587</v>
      </c>
      <c r="AK79" s="56">
        <v>44588</v>
      </c>
      <c r="AL79" s="56">
        <v>44589</v>
      </c>
      <c r="AM79" s="56">
        <v>44590</v>
      </c>
      <c r="AN79" s="56">
        <v>44591</v>
      </c>
      <c r="AO79" s="754">
        <v>44561</v>
      </c>
    </row>
    <row r="80" outlineLevel="2">
      <c r="A80" s="416" t="s">
        <v>109</v>
      </c>
      <c r="B80" s="63" t="s">
        <v>0</v>
      </c>
      <c r="C80" s="64">
        <f t="shared" ref="C80:C83" si="475">$C$84/$F$84*F80</f>
        <v>361.80000000000001</v>
      </c>
      <c r="D80" s="65">
        <f t="shared" ref="D80:D83" si="476">SUM(K80:AO80)</f>
        <v>365.48181818181814</v>
      </c>
      <c r="E80" s="348">
        <f>'[6]План пр-ва по единицам обор'!$E$72</f>
        <v>27</v>
      </c>
      <c r="F80" s="130">
        <f t="shared" ref="F80:F83" si="477">COUNTA(K80:AO80)</f>
        <v>14</v>
      </c>
      <c r="G80" s="755">
        <v>3</v>
      </c>
      <c r="H80" s="419"/>
      <c r="I80" s="420">
        <f>'[10]План пр-ва по единицам обор'!$S$72/'[10]План пр-ва по единицам обор'!$I$72</f>
        <v>0.14999999999999999</v>
      </c>
      <c r="J80" s="421">
        <f t="shared" ref="J80:J83" si="478">SUM(G80:I80)</f>
        <v>3.1499999999999999</v>
      </c>
      <c r="K80" s="71"/>
      <c r="L80" s="71"/>
      <c r="M80" s="71"/>
      <c r="N80" s="73"/>
      <c r="O80" s="74">
        <f t="shared" ref="O80:Q82" si="479">$E80/11*(11-($H80+$I80))</f>
        <v>26.631818181818183</v>
      </c>
      <c r="P80" s="74">
        <f t="shared" si="479"/>
        <v>26.631818181818183</v>
      </c>
      <c r="Q80" s="73"/>
      <c r="R80" s="73"/>
      <c r="S80" s="74">
        <f t="shared" ref="S80:U83" si="480">$E80/11*(11-($H80+$I80))</f>
        <v>26.631818181818183</v>
      </c>
      <c r="T80" s="74">
        <f t="shared" si="480"/>
        <v>26.631818181818183</v>
      </c>
      <c r="U80" s="73"/>
      <c r="V80" s="73"/>
      <c r="W80" s="74">
        <f t="shared" ref="W80:Y81" si="481">$E80/11*(11-($H80+$I80))</f>
        <v>26.631818181818183</v>
      </c>
      <c r="X80" s="74">
        <f t="shared" si="481"/>
        <v>26.631818181818183</v>
      </c>
      <c r="Y80" s="73"/>
      <c r="Z80" s="73"/>
      <c r="AA80" s="75">
        <f>$E80/11*(11-($G80+$I80))</f>
        <v>19.268181818181816</v>
      </c>
      <c r="AB80" s="74">
        <f t="shared" ref="AB80:AL83" si="482">$E80/11*(11-($H80+$I80))</f>
        <v>26.631818181818183</v>
      </c>
      <c r="AC80" s="73"/>
      <c r="AD80" s="73"/>
      <c r="AE80" s="74">
        <f t="shared" ref="AD80:AE82" si="483">$E80/11*(11-($H80+$I80))</f>
        <v>26.631818181818183</v>
      </c>
      <c r="AF80" s="74">
        <f t="shared" ref="AF80:AG81" si="484">$E80/11*(11-($H80+$I80))</f>
        <v>26.631818181818183</v>
      </c>
      <c r="AG80" s="73"/>
      <c r="AH80" s="73"/>
      <c r="AI80" s="74">
        <f t="shared" ref="AI80:AK82" si="485">$E80/11*(11-($H80+$I80))</f>
        <v>26.631818181818183</v>
      </c>
      <c r="AJ80" s="74">
        <f t="shared" si="485"/>
        <v>26.631818181818183</v>
      </c>
      <c r="AK80" s="73"/>
      <c r="AL80" s="73"/>
      <c r="AM80" s="74">
        <f t="shared" ref="AM80:AO81" si="486">$E80/11*(11-($H80+$I80))</f>
        <v>26.631818181818183</v>
      </c>
      <c r="AN80" s="74">
        <f t="shared" si="486"/>
        <v>26.631818181818183</v>
      </c>
      <c r="AO80" s="73"/>
    </row>
    <row r="81" outlineLevel="2">
      <c r="A81" s="426"/>
      <c r="B81" s="77" t="s">
        <v>1</v>
      </c>
      <c r="C81" s="78">
        <f t="shared" si="475"/>
        <v>361.80000000000001</v>
      </c>
      <c r="D81" s="79">
        <f t="shared" si="476"/>
        <v>358.11818181818177</v>
      </c>
      <c r="E81" s="348">
        <f t="shared" ref="E81:E83" si="487">E80</f>
        <v>27</v>
      </c>
      <c r="F81" s="130">
        <f t="shared" si="477"/>
        <v>14</v>
      </c>
      <c r="G81" s="756">
        <v>6</v>
      </c>
      <c r="H81" s="428"/>
      <c r="I81" s="420">
        <f>#NAME?</f>
        <v>0.14999999999999999</v>
      </c>
      <c r="J81" s="430">
        <f t="shared" si="478"/>
        <v>6.1500000000000004</v>
      </c>
      <c r="K81" s="72"/>
      <c r="L81" s="72"/>
      <c r="M81" s="71"/>
      <c r="N81" s="84"/>
      <c r="O81" s="73"/>
      <c r="P81" s="74">
        <f t="shared" si="479"/>
        <v>26.631818181818183</v>
      </c>
      <c r="Q81" s="74">
        <f t="shared" si="479"/>
        <v>26.631818181818183</v>
      </c>
      <c r="R81" s="84"/>
      <c r="S81" s="73"/>
      <c r="T81" s="75">
        <f>$E81/11*(11-($G81+$I81))</f>
        <v>11.904545454545454</v>
      </c>
      <c r="U81" s="74">
        <f t="shared" si="480"/>
        <v>26.631818181818183</v>
      </c>
      <c r="V81" s="84"/>
      <c r="W81" s="73"/>
      <c r="X81" s="74">
        <f t="shared" si="481"/>
        <v>26.631818181818183</v>
      </c>
      <c r="Y81" s="74">
        <f t="shared" si="481"/>
        <v>26.631818181818183</v>
      </c>
      <c r="Z81" s="84"/>
      <c r="AA81" s="73"/>
      <c r="AB81" s="74">
        <f t="shared" si="482"/>
        <v>26.631818181818183</v>
      </c>
      <c r="AC81" s="74">
        <f t="shared" si="482"/>
        <v>26.631818181818183</v>
      </c>
      <c r="AD81" s="84"/>
      <c r="AE81" s="73"/>
      <c r="AF81" s="74">
        <f t="shared" si="484"/>
        <v>26.631818181818183</v>
      </c>
      <c r="AG81" s="74">
        <f t="shared" si="484"/>
        <v>26.631818181818183</v>
      </c>
      <c r="AH81" s="84"/>
      <c r="AI81" s="73"/>
      <c r="AJ81" s="74">
        <f t="shared" si="485"/>
        <v>26.631818181818183</v>
      </c>
      <c r="AK81" s="74">
        <f t="shared" si="485"/>
        <v>26.631818181818183</v>
      </c>
      <c r="AL81" s="84"/>
      <c r="AM81" s="73"/>
      <c r="AN81" s="74">
        <f t="shared" si="486"/>
        <v>26.631818181818183</v>
      </c>
      <c r="AO81" s="74">
        <f t="shared" si="486"/>
        <v>26.631818181818183</v>
      </c>
    </row>
    <row r="82" outlineLevel="2">
      <c r="A82" s="426"/>
      <c r="B82" s="85" t="s">
        <v>2</v>
      </c>
      <c r="C82" s="131">
        <f t="shared" si="475"/>
        <v>361.80000000000001</v>
      </c>
      <c r="D82" s="197">
        <f t="shared" si="476"/>
        <v>358.11818181818177</v>
      </c>
      <c r="E82" s="348">
        <f t="shared" si="487"/>
        <v>27</v>
      </c>
      <c r="F82" s="130">
        <f t="shared" si="477"/>
        <v>14</v>
      </c>
      <c r="G82" s="756">
        <v>6</v>
      </c>
      <c r="H82" s="428"/>
      <c r="I82" s="420">
        <f>#NAME?</f>
        <v>0.14999999999999999</v>
      </c>
      <c r="J82" s="430">
        <f t="shared" si="478"/>
        <v>6.1500000000000004</v>
      </c>
      <c r="K82" s="88"/>
      <c r="L82" s="72"/>
      <c r="M82" s="72"/>
      <c r="N82" s="74">
        <f t="shared" ref="N82:Z83" si="488">$E82/11*(11-($H82+$I82))</f>
        <v>26.631818181818183</v>
      </c>
      <c r="O82" s="74">
        <f t="shared" si="479"/>
        <v>26.631818181818183</v>
      </c>
      <c r="P82" s="74"/>
      <c r="Q82" s="73"/>
      <c r="R82" s="74">
        <f t="shared" ref="R82:S82" si="489">$E82/11*(11-($H82+$I82))</f>
        <v>26.631818181818183</v>
      </c>
      <c r="S82" s="74">
        <f t="shared" si="489"/>
        <v>26.631818181818183</v>
      </c>
      <c r="T82" s="74"/>
      <c r="U82" s="73"/>
      <c r="V82" s="74">
        <f t="shared" ref="V82:W82" si="490">$E82/11*(11-($H82+$I82))</f>
        <v>26.631818181818183</v>
      </c>
      <c r="W82" s="74">
        <f t="shared" si="490"/>
        <v>26.631818181818183</v>
      </c>
      <c r="X82" s="74"/>
      <c r="Y82" s="73"/>
      <c r="Z82" s="74">
        <f t="shared" ref="Z82:AA82" si="491">$E82/11*(11-($H82+$I82))</f>
        <v>26.631818181818183</v>
      </c>
      <c r="AA82" s="74">
        <f t="shared" si="491"/>
        <v>26.631818181818183</v>
      </c>
      <c r="AB82" s="74"/>
      <c r="AC82" s="73"/>
      <c r="AD82" s="74">
        <f t="shared" si="483"/>
        <v>26.631818181818183</v>
      </c>
      <c r="AE82" s="74">
        <f t="shared" si="483"/>
        <v>26.631818181818183</v>
      </c>
      <c r="AF82" s="74"/>
      <c r="AG82" s="73"/>
      <c r="AH82" s="75">
        <f>$E82/11*(11-($G82+$I82))</f>
        <v>11.904545454545454</v>
      </c>
      <c r="AI82" s="74">
        <f t="shared" si="485"/>
        <v>26.631818181818183</v>
      </c>
      <c r="AJ82" s="74"/>
      <c r="AK82" s="73"/>
      <c r="AL82" s="74">
        <f t="shared" ref="AL82:AM82" si="492">$E82/11*(11-($H82+$I82))</f>
        <v>26.631818181818183</v>
      </c>
      <c r="AM82" s="74">
        <f t="shared" si="492"/>
        <v>26.631818181818183</v>
      </c>
      <c r="AN82" s="74"/>
      <c r="AO82" s="73"/>
    </row>
    <row r="83" ht="13.5" outlineLevel="2">
      <c r="A83" s="434"/>
      <c r="B83" s="90" t="s">
        <v>3</v>
      </c>
      <c r="C83" s="635">
        <f t="shared" si="475"/>
        <v>361.80000000000001</v>
      </c>
      <c r="D83" s="200">
        <f t="shared" si="476"/>
        <v>365.48181818181814</v>
      </c>
      <c r="E83" s="352">
        <f t="shared" si="487"/>
        <v>27</v>
      </c>
      <c r="F83" s="130">
        <f t="shared" si="477"/>
        <v>14</v>
      </c>
      <c r="G83" s="755">
        <v>3</v>
      </c>
      <c r="H83" s="661"/>
      <c r="I83" s="420">
        <f>#NAME?</f>
        <v>0.14999999999999999</v>
      </c>
      <c r="J83" s="638">
        <f t="shared" si="478"/>
        <v>3.1499999999999999</v>
      </c>
      <c r="K83" s="97"/>
      <c r="L83" s="72"/>
      <c r="M83" s="71"/>
      <c r="N83" s="73">
        <f t="shared" si="488"/>
        <v>26.631818181818183</v>
      </c>
      <c r="O83" s="98"/>
      <c r="P83" s="74"/>
      <c r="Q83" s="73">
        <f t="shared" si="488"/>
        <v>26.631818181818183</v>
      </c>
      <c r="R83" s="73">
        <f t="shared" si="488"/>
        <v>26.631818181818183</v>
      </c>
      <c r="S83" s="98"/>
      <c r="T83" s="74"/>
      <c r="U83" s="74">
        <f t="shared" si="480"/>
        <v>26.631818181818183</v>
      </c>
      <c r="V83" s="73">
        <f t="shared" si="488"/>
        <v>26.631818181818183</v>
      </c>
      <c r="W83" s="98"/>
      <c r="X83" s="74"/>
      <c r="Y83" s="73">
        <f t="shared" si="488"/>
        <v>26.631818181818183</v>
      </c>
      <c r="Z83" s="73">
        <f t="shared" si="488"/>
        <v>26.631818181818183</v>
      </c>
      <c r="AA83" s="98"/>
      <c r="AB83" s="74"/>
      <c r="AC83" s="73">
        <f t="shared" si="482"/>
        <v>26.631818181818183</v>
      </c>
      <c r="AD83" s="73">
        <f t="shared" si="482"/>
        <v>26.631818181818183</v>
      </c>
      <c r="AE83" s="98"/>
      <c r="AF83" s="74"/>
      <c r="AG83" s="73">
        <f t="shared" si="482"/>
        <v>26.631818181818183</v>
      </c>
      <c r="AH83" s="73">
        <f t="shared" si="482"/>
        <v>26.631818181818183</v>
      </c>
      <c r="AI83" s="98"/>
      <c r="AJ83" s="74"/>
      <c r="AK83" s="73">
        <f t="shared" si="482"/>
        <v>26.631818181818183</v>
      </c>
      <c r="AL83" s="73">
        <f t="shared" si="482"/>
        <v>26.631818181818183</v>
      </c>
      <c r="AM83" s="98"/>
      <c r="AN83" s="74"/>
      <c r="AO83" s="75">
        <f>$E83/11*(11-($G83+$I83))</f>
        <v>19.268181818181816</v>
      </c>
    </row>
    <row r="84" s="99" customFormat="1" ht="22.149999999999999" customHeight="1" outlineLevel="1">
      <c r="B84" s="136" t="s">
        <v>18</v>
      </c>
      <c r="C84" s="102">
        <f>'[3]План пр-ва по единицам обор'!$L$72</f>
        <v>1447.2</v>
      </c>
      <c r="D84" s="103">
        <f>SUM(D80:D83)</f>
        <v>1447.1999999999998</v>
      </c>
      <c r="E84" s="443" t="s">
        <v>19</v>
      </c>
      <c r="F84" s="553">
        <f>SUM(F80:F83)</f>
        <v>56</v>
      </c>
      <c r="G84" s="757">
        <f>SUM(G80:G83)</f>
        <v>18</v>
      </c>
      <c r="H84" s="555">
        <f>SUM(H80:H83)</f>
        <v>0</v>
      </c>
      <c r="I84" s="556" t="s">
        <v>19</v>
      </c>
      <c r="J84" s="557">
        <f t="shared" ref="J84:N84" si="493">SUM(J80:J83)</f>
        <v>18.600000000000001</v>
      </c>
      <c r="K84" s="758">
        <f t="shared" si="493"/>
        <v>0</v>
      </c>
      <c r="L84" s="114">
        <f t="shared" si="493"/>
        <v>0</v>
      </c>
      <c r="M84" s="114">
        <f t="shared" si="493"/>
        <v>0</v>
      </c>
      <c r="N84" s="114">
        <f t="shared" si="493"/>
        <v>53.263636363636365</v>
      </c>
      <c r="O84" s="114">
        <f>SUM(O80:O83)</f>
        <v>53.263636363636365</v>
      </c>
      <c r="P84" s="114">
        <f>SUM(P80:P83)</f>
        <v>53.263636363636365</v>
      </c>
      <c r="Q84" s="114">
        <f t="shared" ref="Q84:AO84" si="494">SUM(Q80:Q83)</f>
        <v>53.263636363636365</v>
      </c>
      <c r="R84" s="114">
        <f t="shared" si="494"/>
        <v>53.263636363636365</v>
      </c>
      <c r="S84" s="114">
        <f t="shared" si="494"/>
        <v>53.263636363636365</v>
      </c>
      <c r="T84" s="114">
        <f t="shared" si="494"/>
        <v>38.536363636363639</v>
      </c>
      <c r="U84" s="114">
        <f t="shared" si="494"/>
        <v>53.263636363636365</v>
      </c>
      <c r="V84" s="114">
        <f t="shared" si="494"/>
        <v>53.263636363636365</v>
      </c>
      <c r="W84" s="114">
        <f t="shared" si="494"/>
        <v>53.263636363636365</v>
      </c>
      <c r="X84" s="114">
        <f t="shared" si="494"/>
        <v>53.263636363636365</v>
      </c>
      <c r="Y84" s="114">
        <f t="shared" si="494"/>
        <v>53.263636363636365</v>
      </c>
      <c r="Z84" s="114">
        <f t="shared" si="494"/>
        <v>53.263636363636365</v>
      </c>
      <c r="AA84" s="114">
        <f t="shared" si="494"/>
        <v>45.899999999999999</v>
      </c>
      <c r="AB84" s="580">
        <f t="shared" si="494"/>
        <v>53.263636363636365</v>
      </c>
      <c r="AC84" s="172">
        <f t="shared" si="494"/>
        <v>53.263636363636365</v>
      </c>
      <c r="AD84" s="581">
        <f t="shared" si="494"/>
        <v>53.263636363636365</v>
      </c>
      <c r="AE84" s="581">
        <f t="shared" si="494"/>
        <v>53.263636363636365</v>
      </c>
      <c r="AF84" s="581">
        <f t="shared" si="494"/>
        <v>53.263636363636365</v>
      </c>
      <c r="AG84" s="581">
        <f t="shared" si="494"/>
        <v>53.263636363636365</v>
      </c>
      <c r="AH84" s="581">
        <f t="shared" si="494"/>
        <v>38.536363636363639</v>
      </c>
      <c r="AI84" s="581">
        <f t="shared" si="494"/>
        <v>53.263636363636365</v>
      </c>
      <c r="AJ84" s="581">
        <f t="shared" si="494"/>
        <v>53.263636363636365</v>
      </c>
      <c r="AK84" s="581">
        <f t="shared" si="494"/>
        <v>53.263636363636365</v>
      </c>
      <c r="AL84" s="581">
        <f t="shared" si="494"/>
        <v>53.263636363636365</v>
      </c>
      <c r="AM84" s="581">
        <f t="shared" si="494"/>
        <v>53.263636363636365</v>
      </c>
      <c r="AN84" s="581">
        <f t="shared" si="494"/>
        <v>53.263636363636365</v>
      </c>
      <c r="AO84" s="582">
        <f t="shared" si="494"/>
        <v>45.899999999999999</v>
      </c>
    </row>
    <row r="85" outlineLevel="1">
      <c r="D85" s="206">
        <f>D84-C84</f>
        <v>0</v>
      </c>
      <c r="F85" s="752">
        <f>'[9]План пр-ва по единицам обор'!$I$72</f>
        <v>36</v>
      </c>
    </row>
    <row r="86" ht="13.5" outlineLevel="1"/>
    <row r="87" s="123" customFormat="1" ht="30.600000000000001" customHeight="1" outlineLevel="1">
      <c r="A87" s="405" t="s">
        <v>75</v>
      </c>
      <c r="B87" s="406"/>
      <c r="C87" s="49" t="s">
        <v>11</v>
      </c>
      <c r="D87" s="50" t="s">
        <v>12</v>
      </c>
      <c r="E87" s="407" t="s">
        <v>13</v>
      </c>
      <c r="F87" s="408" t="s">
        <v>14</v>
      </c>
      <c r="G87" s="211" t="s">
        <v>15</v>
      </c>
      <c r="H87" s="212" t="s">
        <v>16</v>
      </c>
      <c r="I87" s="250" t="s">
        <v>17</v>
      </c>
      <c r="J87" s="759" t="s">
        <v>18</v>
      </c>
      <c r="K87" s="56">
        <v>44562</v>
      </c>
      <c r="L87" s="56">
        <v>44563</v>
      </c>
      <c r="M87" s="56">
        <v>44564</v>
      </c>
      <c r="N87" s="56">
        <v>44565</v>
      </c>
      <c r="O87" s="56">
        <v>44566</v>
      </c>
      <c r="P87" s="56">
        <v>44567</v>
      </c>
      <c r="Q87" s="56">
        <v>44568</v>
      </c>
      <c r="R87" s="56">
        <v>44569</v>
      </c>
      <c r="S87" s="56">
        <v>44570</v>
      </c>
      <c r="T87" s="57">
        <v>44571</v>
      </c>
      <c r="U87" s="56">
        <v>44572</v>
      </c>
      <c r="V87" s="56">
        <v>44573</v>
      </c>
      <c r="W87" s="56">
        <v>44574</v>
      </c>
      <c r="X87" s="56">
        <v>44575</v>
      </c>
      <c r="Y87" s="56">
        <v>44576</v>
      </c>
      <c r="Z87" s="56">
        <v>44577</v>
      </c>
      <c r="AA87" s="58">
        <v>44578</v>
      </c>
      <c r="AB87" s="56">
        <v>44579</v>
      </c>
      <c r="AC87" s="56">
        <v>44580</v>
      </c>
      <c r="AD87" s="56">
        <v>44581</v>
      </c>
      <c r="AE87" s="56">
        <v>44582</v>
      </c>
      <c r="AF87" s="56">
        <v>44583</v>
      </c>
      <c r="AG87" s="56">
        <v>44584</v>
      </c>
      <c r="AH87" s="59">
        <v>44585</v>
      </c>
      <c r="AI87" s="56">
        <v>44586</v>
      </c>
      <c r="AJ87" s="56">
        <v>44587</v>
      </c>
      <c r="AK87" s="56">
        <v>44588</v>
      </c>
      <c r="AL87" s="56">
        <v>44589</v>
      </c>
      <c r="AM87" s="56">
        <v>44590</v>
      </c>
      <c r="AN87" s="56">
        <v>44591</v>
      </c>
      <c r="AO87" s="754">
        <v>44561</v>
      </c>
    </row>
    <row r="88" outlineLevel="2">
      <c r="A88" s="416" t="s">
        <v>75</v>
      </c>
      <c r="B88" s="63" t="s">
        <v>0</v>
      </c>
      <c r="C88" s="65">
        <f t="shared" ref="C88:C91" si="495">$C$92/$F$92*F88</f>
        <v>738.58102432778492</v>
      </c>
      <c r="D88" s="65">
        <f t="shared" ref="D88:D91" si="496">SUM(K88:AO88)</f>
        <v>735.63954545454544</v>
      </c>
      <c r="E88" s="760">
        <f t="shared" ref="E88:E91" si="497">E201+E210+E218+E226</f>
        <v>63</v>
      </c>
      <c r="F88" s="761">
        <f t="shared" ref="F88:G91" si="498">F201+F210+F218+F226</f>
        <v>36</v>
      </c>
      <c r="G88" s="761">
        <f>G201+G210+G218+G226</f>
        <v>10.664999999999999</v>
      </c>
      <c r="H88" s="419"/>
      <c r="I88" s="420"/>
      <c r="J88" s="727">
        <f t="shared" ref="J88:J91" si="499">SUM(G88:I88)</f>
        <v>10.664999999999999</v>
      </c>
      <c r="K88" s="762"/>
      <c r="L88" s="629">
        <f t="shared" ref="K88:L91" si="500">L201+L210+L218+L226</f>
        <v>0</v>
      </c>
      <c r="M88" s="629">
        <f t="shared" ref="M88:N91" si="501">M201+M210+M218+M226</f>
        <v>0</v>
      </c>
      <c r="N88" s="73">
        <f>N201+N210+N218+N226</f>
        <v>0</v>
      </c>
      <c r="O88" s="73">
        <f t="shared" ref="O88:AO91" si="502">O201+O210+O218+O226</f>
        <v>42</v>
      </c>
      <c r="P88" s="73">
        <f t="shared" si="502"/>
        <v>42</v>
      </c>
      <c r="Q88" s="73">
        <f t="shared" si="502"/>
        <v>0</v>
      </c>
      <c r="R88" s="73">
        <f t="shared" si="502"/>
        <v>0</v>
      </c>
      <c r="S88" s="73">
        <f t="shared" si="502"/>
        <v>42</v>
      </c>
      <c r="T88" s="73">
        <f t="shared" si="502"/>
        <v>42</v>
      </c>
      <c r="U88" s="73">
        <f t="shared" si="502"/>
        <v>0</v>
      </c>
      <c r="V88" s="73">
        <f t="shared" si="502"/>
        <v>0</v>
      </c>
      <c r="W88" s="73">
        <f t="shared" si="502"/>
        <v>42</v>
      </c>
      <c r="X88" s="73">
        <f t="shared" si="502"/>
        <v>42</v>
      </c>
      <c r="Y88" s="73">
        <f t="shared" si="502"/>
        <v>0</v>
      </c>
      <c r="Z88" s="73">
        <f t="shared" si="502"/>
        <v>0</v>
      </c>
      <c r="AA88" s="763">
        <f t="shared" si="502"/>
        <v>42.639545454545456</v>
      </c>
      <c r="AB88" s="73">
        <f t="shared" si="502"/>
        <v>63</v>
      </c>
      <c r="AC88" s="73">
        <f t="shared" si="502"/>
        <v>0</v>
      </c>
      <c r="AD88" s="73">
        <f t="shared" si="502"/>
        <v>0</v>
      </c>
      <c r="AE88" s="73">
        <f t="shared" si="502"/>
        <v>63</v>
      </c>
      <c r="AF88" s="73">
        <f t="shared" si="502"/>
        <v>63</v>
      </c>
      <c r="AG88" s="73">
        <f t="shared" si="502"/>
        <v>0</v>
      </c>
      <c r="AH88" s="73">
        <f t="shared" si="502"/>
        <v>0</v>
      </c>
      <c r="AI88" s="73">
        <f t="shared" si="502"/>
        <v>63</v>
      </c>
      <c r="AJ88" s="73">
        <f t="shared" si="502"/>
        <v>63</v>
      </c>
      <c r="AK88" s="73">
        <f t="shared" si="502"/>
        <v>0</v>
      </c>
      <c r="AL88" s="73">
        <f t="shared" si="502"/>
        <v>0</v>
      </c>
      <c r="AM88" s="73">
        <f t="shared" si="502"/>
        <v>63</v>
      </c>
      <c r="AN88" s="73">
        <f t="shared" si="502"/>
        <v>63</v>
      </c>
      <c r="AO88" s="73">
        <f t="shared" si="502"/>
        <v>0</v>
      </c>
      <c r="AQ88" s="425"/>
    </row>
    <row r="89" outlineLevel="2">
      <c r="A89" s="426"/>
      <c r="B89" s="77" t="s">
        <v>1</v>
      </c>
      <c r="C89" s="79">
        <f t="shared" si="495"/>
        <v>738.58102432778492</v>
      </c>
      <c r="D89" s="427">
        <f t="shared" si="496"/>
        <v>740.72727272727275</v>
      </c>
      <c r="E89" s="760">
        <f t="shared" si="497"/>
        <v>63</v>
      </c>
      <c r="F89" s="761">
        <f t="shared" si="498"/>
        <v>36</v>
      </c>
      <c r="G89" s="761">
        <f t="shared" si="498"/>
        <v>8</v>
      </c>
      <c r="H89" s="428"/>
      <c r="I89" s="429"/>
      <c r="J89" s="732">
        <f t="shared" si="499"/>
        <v>8</v>
      </c>
      <c r="K89" s="762"/>
      <c r="L89" s="629">
        <f t="shared" si="500"/>
        <v>0</v>
      </c>
      <c r="M89" s="629">
        <f t="shared" si="501"/>
        <v>0</v>
      </c>
      <c r="N89" s="73">
        <f t="shared" si="501"/>
        <v>0</v>
      </c>
      <c r="O89" s="73">
        <f t="shared" si="502"/>
        <v>0</v>
      </c>
      <c r="P89" s="73">
        <f t="shared" si="502"/>
        <v>42</v>
      </c>
      <c r="Q89" s="73">
        <f t="shared" si="502"/>
        <v>42</v>
      </c>
      <c r="R89" s="73">
        <f t="shared" si="502"/>
        <v>0</v>
      </c>
      <c r="S89" s="73">
        <f t="shared" si="502"/>
        <v>0</v>
      </c>
      <c r="T89" s="763">
        <f t="shared" si="502"/>
        <v>26.727272727272727</v>
      </c>
      <c r="U89" s="73">
        <f t="shared" si="502"/>
        <v>42</v>
      </c>
      <c r="V89" s="73">
        <f t="shared" si="502"/>
        <v>0</v>
      </c>
      <c r="W89" s="73">
        <f t="shared" si="502"/>
        <v>0</v>
      </c>
      <c r="X89" s="73">
        <f t="shared" si="502"/>
        <v>42</v>
      </c>
      <c r="Y89" s="73">
        <f t="shared" si="502"/>
        <v>42</v>
      </c>
      <c r="Z89" s="73">
        <f t="shared" si="502"/>
        <v>0</v>
      </c>
      <c r="AA89" s="73">
        <f t="shared" si="502"/>
        <v>0</v>
      </c>
      <c r="AB89" s="73">
        <f t="shared" si="502"/>
        <v>63</v>
      </c>
      <c r="AC89" s="73">
        <f t="shared" si="502"/>
        <v>63</v>
      </c>
      <c r="AD89" s="73">
        <f t="shared" si="502"/>
        <v>0</v>
      </c>
      <c r="AE89" s="73">
        <f t="shared" si="502"/>
        <v>0</v>
      </c>
      <c r="AF89" s="73">
        <f t="shared" si="502"/>
        <v>63</v>
      </c>
      <c r="AG89" s="73">
        <f t="shared" si="502"/>
        <v>63</v>
      </c>
      <c r="AH89" s="73">
        <f t="shared" si="502"/>
        <v>0</v>
      </c>
      <c r="AI89" s="73">
        <f t="shared" si="502"/>
        <v>0</v>
      </c>
      <c r="AJ89" s="73">
        <f t="shared" si="502"/>
        <v>63</v>
      </c>
      <c r="AK89" s="73">
        <f t="shared" si="502"/>
        <v>63</v>
      </c>
      <c r="AL89" s="73">
        <f t="shared" si="502"/>
        <v>0</v>
      </c>
      <c r="AM89" s="73">
        <f t="shared" si="502"/>
        <v>0</v>
      </c>
      <c r="AN89" s="73">
        <f t="shared" si="502"/>
        <v>63</v>
      </c>
      <c r="AO89" s="73">
        <f t="shared" si="502"/>
        <v>63</v>
      </c>
      <c r="AQ89" s="425"/>
    </row>
    <row r="90" outlineLevel="2">
      <c r="A90" s="426"/>
      <c r="B90" s="85" t="s">
        <v>2</v>
      </c>
      <c r="C90" s="197">
        <f t="shared" si="495"/>
        <v>718.06488476312416</v>
      </c>
      <c r="D90" s="87">
        <f t="shared" si="496"/>
        <v>717.18818181818187</v>
      </c>
      <c r="E90" s="760">
        <f t="shared" si="497"/>
        <v>63</v>
      </c>
      <c r="F90" s="761">
        <f t="shared" si="498"/>
        <v>35</v>
      </c>
      <c r="G90" s="761">
        <f t="shared" si="498"/>
        <v>9.3300000000000001</v>
      </c>
      <c r="H90" s="428"/>
      <c r="I90" s="429"/>
      <c r="J90" s="732">
        <f t="shared" si="499"/>
        <v>9.3300000000000001</v>
      </c>
      <c r="K90" s="762"/>
      <c r="L90" s="629">
        <f t="shared" si="500"/>
        <v>0</v>
      </c>
      <c r="M90" s="629">
        <f t="shared" si="501"/>
        <v>0</v>
      </c>
      <c r="N90" s="73">
        <f t="shared" si="501"/>
        <v>42</v>
      </c>
      <c r="O90" s="73">
        <f t="shared" si="502"/>
        <v>42</v>
      </c>
      <c r="P90" s="73">
        <f t="shared" si="502"/>
        <v>0</v>
      </c>
      <c r="Q90" s="73">
        <f t="shared" si="502"/>
        <v>0</v>
      </c>
      <c r="R90" s="73">
        <f t="shared" si="502"/>
        <v>42</v>
      </c>
      <c r="S90" s="73">
        <f t="shared" si="502"/>
        <v>42</v>
      </c>
      <c r="T90" s="73">
        <f t="shared" si="502"/>
        <v>0</v>
      </c>
      <c r="U90" s="73">
        <f t="shared" si="502"/>
        <v>0</v>
      </c>
      <c r="V90" s="73">
        <f t="shared" si="502"/>
        <v>42</v>
      </c>
      <c r="W90" s="73">
        <f t="shared" si="502"/>
        <v>42</v>
      </c>
      <c r="X90" s="73">
        <f t="shared" si="502"/>
        <v>0</v>
      </c>
      <c r="Y90" s="73">
        <f t="shared" si="502"/>
        <v>0</v>
      </c>
      <c r="Z90" s="73">
        <f t="shared" si="502"/>
        <v>42</v>
      </c>
      <c r="AA90" s="73">
        <f t="shared" si="502"/>
        <v>63</v>
      </c>
      <c r="AB90" s="73">
        <f t="shared" si="502"/>
        <v>0</v>
      </c>
      <c r="AC90" s="73">
        <f t="shared" si="502"/>
        <v>0</v>
      </c>
      <c r="AD90" s="73">
        <f t="shared" si="502"/>
        <v>63</v>
      </c>
      <c r="AE90" s="73">
        <f t="shared" si="502"/>
        <v>63</v>
      </c>
      <c r="AF90" s="73">
        <f t="shared" si="502"/>
        <v>0</v>
      </c>
      <c r="AG90" s="73">
        <f t="shared" si="502"/>
        <v>0</v>
      </c>
      <c r="AH90" s="763">
        <f t="shared" si="502"/>
        <v>45.188181818181818</v>
      </c>
      <c r="AI90" s="73">
        <f t="shared" si="502"/>
        <v>63</v>
      </c>
      <c r="AJ90" s="73">
        <f t="shared" si="502"/>
        <v>0</v>
      </c>
      <c r="AK90" s="73">
        <f t="shared" si="502"/>
        <v>0</v>
      </c>
      <c r="AL90" s="73">
        <f t="shared" si="502"/>
        <v>63</v>
      </c>
      <c r="AM90" s="73">
        <f t="shared" si="502"/>
        <v>63</v>
      </c>
      <c r="AN90" s="73">
        <f t="shared" si="502"/>
        <v>0</v>
      </c>
      <c r="AO90" s="73">
        <f t="shared" si="502"/>
        <v>0</v>
      </c>
      <c r="AQ90" s="425"/>
    </row>
    <row r="91" ht="13.5" outlineLevel="2">
      <c r="A91" s="434"/>
      <c r="B91" s="90" t="s">
        <v>3</v>
      </c>
      <c r="C91" s="200">
        <f t="shared" si="495"/>
        <v>718.06488476312416</v>
      </c>
      <c r="D91" s="200">
        <f t="shared" si="496"/>
        <v>719.73681818181819</v>
      </c>
      <c r="E91" s="760">
        <f t="shared" si="497"/>
        <v>63</v>
      </c>
      <c r="F91" s="761">
        <f t="shared" si="498"/>
        <v>35</v>
      </c>
      <c r="G91" s="761">
        <f t="shared" si="498"/>
        <v>7.9950000000000001</v>
      </c>
      <c r="H91" s="436"/>
      <c r="I91" s="437"/>
      <c r="J91" s="738">
        <f t="shared" si="499"/>
        <v>7.9950000000000001</v>
      </c>
      <c r="K91" s="762">
        <f t="shared" si="500"/>
        <v>0</v>
      </c>
      <c r="L91" s="629">
        <f t="shared" si="500"/>
        <v>0</v>
      </c>
      <c r="M91" s="629">
        <f t="shared" si="501"/>
        <v>0</v>
      </c>
      <c r="N91" s="73">
        <f t="shared" si="501"/>
        <v>42</v>
      </c>
      <c r="O91" s="73">
        <f t="shared" si="502"/>
        <v>0</v>
      </c>
      <c r="P91" s="73">
        <f t="shared" si="502"/>
        <v>0</v>
      </c>
      <c r="Q91" s="73">
        <f t="shared" si="502"/>
        <v>42</v>
      </c>
      <c r="R91" s="73">
        <f t="shared" si="502"/>
        <v>42</v>
      </c>
      <c r="S91" s="73">
        <f t="shared" si="502"/>
        <v>0</v>
      </c>
      <c r="T91" s="73">
        <f t="shared" si="502"/>
        <v>0</v>
      </c>
      <c r="U91" s="73">
        <f t="shared" si="502"/>
        <v>42</v>
      </c>
      <c r="V91" s="73">
        <f t="shared" si="502"/>
        <v>42</v>
      </c>
      <c r="W91" s="73">
        <f t="shared" si="502"/>
        <v>0</v>
      </c>
      <c r="X91" s="73">
        <f t="shared" si="502"/>
        <v>0</v>
      </c>
      <c r="Y91" s="73">
        <f t="shared" si="502"/>
        <v>42</v>
      </c>
      <c r="Z91" s="73">
        <f t="shared" si="502"/>
        <v>42</v>
      </c>
      <c r="AA91" s="73">
        <f t="shared" si="502"/>
        <v>0</v>
      </c>
      <c r="AB91" s="73">
        <f t="shared" si="502"/>
        <v>0</v>
      </c>
      <c r="AC91" s="73">
        <f t="shared" si="502"/>
        <v>63</v>
      </c>
      <c r="AD91" s="73">
        <f t="shared" si="502"/>
        <v>63</v>
      </c>
      <c r="AE91" s="73">
        <f t="shared" si="502"/>
        <v>0</v>
      </c>
      <c r="AF91" s="73">
        <f t="shared" si="502"/>
        <v>0</v>
      </c>
      <c r="AG91" s="73">
        <f t="shared" si="502"/>
        <v>63</v>
      </c>
      <c r="AH91" s="73">
        <f t="shared" si="502"/>
        <v>63</v>
      </c>
      <c r="AI91" s="73">
        <f t="shared" si="502"/>
        <v>0</v>
      </c>
      <c r="AJ91" s="73">
        <f t="shared" si="502"/>
        <v>0</v>
      </c>
      <c r="AK91" s="73">
        <f t="shared" si="502"/>
        <v>63</v>
      </c>
      <c r="AL91" s="73">
        <f t="shared" si="502"/>
        <v>63</v>
      </c>
      <c r="AM91" s="73">
        <f t="shared" si="502"/>
        <v>0</v>
      </c>
      <c r="AN91" s="73">
        <f t="shared" si="502"/>
        <v>0</v>
      </c>
      <c r="AO91" s="763">
        <f t="shared" si="502"/>
        <v>47.736818181818187</v>
      </c>
      <c r="AQ91" s="425"/>
    </row>
    <row r="92" s="99" customFormat="1" ht="20.449999999999999" customHeight="1" outlineLevel="1">
      <c r="B92" s="136" t="s">
        <v>18</v>
      </c>
      <c r="C92" s="166">
        <f>'[3]План пр-ва по единицам обор'!$L$73+'[3]План пр-ва по единицам обор'!$L$74+'[3]План пр-ва по единицам обор'!$L$75</f>
        <v>2913.2918181818181</v>
      </c>
      <c r="D92" s="103">
        <f>SUM(D88:D91)</f>
        <v>2913.2918181818186</v>
      </c>
      <c r="E92" s="443" t="s">
        <v>19</v>
      </c>
      <c r="F92" s="553">
        <f>SUM(F88:F91)</f>
        <v>142</v>
      </c>
      <c r="G92" s="444">
        <f>SUM(G88:G91)</f>
        <v>35.989999999999995</v>
      </c>
      <c r="H92" s="167">
        <f>SUM(H88:H91)</f>
        <v>0</v>
      </c>
      <c r="I92" s="168" t="s">
        <v>19</v>
      </c>
      <c r="J92" s="169">
        <f t="shared" ref="J92:N92" si="503">SUM(J88:J91)</f>
        <v>35.989999999999995</v>
      </c>
      <c r="K92" s="445">
        <f t="shared" si="503"/>
        <v>0</v>
      </c>
      <c r="L92" s="171">
        <f t="shared" si="503"/>
        <v>0</v>
      </c>
      <c r="M92" s="171">
        <f t="shared" si="503"/>
        <v>0</v>
      </c>
      <c r="N92" s="171">
        <f t="shared" si="503"/>
        <v>84</v>
      </c>
      <c r="O92" s="171">
        <f>SUM(O88:O91)</f>
        <v>84</v>
      </c>
      <c r="P92" s="171">
        <f>SUM(P88:P91)</f>
        <v>84</v>
      </c>
      <c r="Q92" s="171">
        <f t="shared" ref="Q92:AO92" si="504">SUM(Q88:Q91)</f>
        <v>84</v>
      </c>
      <c r="R92" s="171">
        <f t="shared" si="504"/>
        <v>84</v>
      </c>
      <c r="S92" s="171">
        <f t="shared" si="504"/>
        <v>84</v>
      </c>
      <c r="T92" s="171">
        <f t="shared" si="504"/>
        <v>68.72727272727272</v>
      </c>
      <c r="U92" s="171">
        <f t="shared" si="504"/>
        <v>84</v>
      </c>
      <c r="V92" s="171">
        <f t="shared" si="504"/>
        <v>84</v>
      </c>
      <c r="W92" s="171">
        <f t="shared" si="504"/>
        <v>84</v>
      </c>
      <c r="X92" s="171">
        <f t="shared" si="504"/>
        <v>84</v>
      </c>
      <c r="Y92" s="171">
        <f t="shared" si="504"/>
        <v>84</v>
      </c>
      <c r="Z92" s="171">
        <f t="shared" si="504"/>
        <v>84</v>
      </c>
      <c r="AA92" s="171">
        <f t="shared" si="504"/>
        <v>105.63954545454546</v>
      </c>
      <c r="AB92" s="172">
        <f t="shared" si="504"/>
        <v>126</v>
      </c>
      <c r="AC92" s="446">
        <f t="shared" si="504"/>
        <v>126</v>
      </c>
      <c r="AD92" s="447">
        <f t="shared" si="504"/>
        <v>126</v>
      </c>
      <c r="AE92" s="447">
        <f t="shared" si="504"/>
        <v>126</v>
      </c>
      <c r="AF92" s="447">
        <f t="shared" si="504"/>
        <v>126</v>
      </c>
      <c r="AG92" s="447">
        <f t="shared" si="504"/>
        <v>126</v>
      </c>
      <c r="AH92" s="447">
        <f t="shared" si="504"/>
        <v>108.18818181818182</v>
      </c>
      <c r="AI92" s="447">
        <f t="shared" si="504"/>
        <v>126</v>
      </c>
      <c r="AJ92" s="447">
        <f t="shared" si="504"/>
        <v>126</v>
      </c>
      <c r="AK92" s="447">
        <f t="shared" si="504"/>
        <v>126</v>
      </c>
      <c r="AL92" s="447">
        <f t="shared" si="504"/>
        <v>126</v>
      </c>
      <c r="AM92" s="447">
        <f t="shared" si="504"/>
        <v>126</v>
      </c>
      <c r="AN92" s="448">
        <f t="shared" si="504"/>
        <v>126</v>
      </c>
      <c r="AO92" s="448">
        <f t="shared" si="504"/>
        <v>110.73681818181819</v>
      </c>
    </row>
    <row r="93">
      <c r="B93" s="42">
        <f>D92-C92</f>
        <v>0</v>
      </c>
      <c r="F93" s="752"/>
    </row>
    <row r="94" ht="12" customHeight="1">
      <c r="N94" s="764"/>
      <c r="U94" s="396"/>
      <c r="AB94" s="764"/>
      <c r="AI94" s="396"/>
    </row>
    <row r="95" s="123" customFormat="1" ht="30.600000000000001" customHeight="1">
      <c r="A95" s="149" t="s">
        <v>110</v>
      </c>
      <c r="B95" s="150"/>
      <c r="C95" s="49" t="s">
        <v>11</v>
      </c>
      <c r="D95" s="50" t="s">
        <v>12</v>
      </c>
      <c r="E95" s="687" t="s">
        <v>13</v>
      </c>
      <c r="F95" s="753" t="s">
        <v>14</v>
      </c>
      <c r="G95" s="765" t="s">
        <v>111</v>
      </c>
      <c r="H95" s="212" t="s">
        <v>16</v>
      </c>
      <c r="I95" s="212" t="s">
        <v>17</v>
      </c>
      <c r="J95" s="213" t="s">
        <v>18</v>
      </c>
      <c r="K95" s="56">
        <v>44562</v>
      </c>
      <c r="L95" s="56">
        <v>44563</v>
      </c>
      <c r="M95" s="56">
        <v>44564</v>
      </c>
      <c r="N95" s="56">
        <v>44565</v>
      </c>
      <c r="O95" s="56">
        <v>44566</v>
      </c>
      <c r="P95" s="56">
        <v>44567</v>
      </c>
      <c r="Q95" s="56">
        <v>44568</v>
      </c>
      <c r="R95" s="56">
        <v>44569</v>
      </c>
      <c r="S95" s="56">
        <v>44570</v>
      </c>
      <c r="T95" s="56">
        <v>44571</v>
      </c>
      <c r="U95" s="56">
        <v>44572</v>
      </c>
      <c r="V95" s="56">
        <v>44573</v>
      </c>
      <c r="W95" s="56">
        <v>44574</v>
      </c>
      <c r="X95" s="56">
        <v>44575</v>
      </c>
      <c r="Y95" s="56">
        <v>44576</v>
      </c>
      <c r="Z95" s="56">
        <v>44577</v>
      </c>
      <c r="AA95" s="56">
        <v>44578</v>
      </c>
      <c r="AB95" s="56">
        <v>44579</v>
      </c>
      <c r="AC95" s="56">
        <v>44580</v>
      </c>
      <c r="AD95" s="56">
        <v>44581</v>
      </c>
      <c r="AE95" s="56">
        <v>44582</v>
      </c>
      <c r="AF95" s="56">
        <v>44583</v>
      </c>
      <c r="AG95" s="56">
        <v>44584</v>
      </c>
      <c r="AH95" s="56">
        <v>44585</v>
      </c>
      <c r="AI95" s="56">
        <v>44586</v>
      </c>
      <c r="AJ95" s="56">
        <v>44587</v>
      </c>
      <c r="AK95" s="56">
        <v>44588</v>
      </c>
      <c r="AL95" s="56">
        <v>44589</v>
      </c>
      <c r="AM95" s="56">
        <v>44590</v>
      </c>
      <c r="AN95" s="56">
        <v>44591</v>
      </c>
      <c r="AO95" s="56">
        <v>44561</v>
      </c>
    </row>
    <row r="96" outlineLevel="1">
      <c r="A96" s="766" t="s">
        <v>112</v>
      </c>
      <c r="B96" s="63" t="s">
        <v>0</v>
      </c>
      <c r="C96" s="65">
        <f t="shared" ref="C96:C99" si="505">$C$100/$F$100*F96</f>
        <v>1449.8499069434502</v>
      </c>
      <c r="D96" s="320">
        <f t="shared" ref="D96:D99" si="506">SUM(K96:AO96)</f>
        <v>1431.7940909090908</v>
      </c>
      <c r="E96" s="767">
        <f>E73+E80+E88</f>
        <v>116</v>
      </c>
      <c r="F96" s="768">
        <f t="shared" ref="F96:F99" si="507">F73+F80+F88</f>
        <v>64</v>
      </c>
      <c r="G96" s="769">
        <f t="shared" ref="G96:I99" si="508">G80+G88+G73</f>
        <v>25.664999999999999</v>
      </c>
      <c r="H96" s="770">
        <f t="shared" ref="H96:I96" si="509">H80+H88+H73</f>
        <v>0</v>
      </c>
      <c r="I96" s="771">
        <f t="shared" si="509"/>
        <v>0.29999999999999999</v>
      </c>
      <c r="J96" s="727">
        <f t="shared" ref="J96:J99" si="510">SUM(G96:I96)</f>
        <v>25.965</v>
      </c>
      <c r="K96" s="772">
        <f t="shared" ref="K96:K99" si="511">K73+K80+K88</f>
        <v>0</v>
      </c>
      <c r="L96" s="773">
        <f t="shared" ref="L96:AO99" si="512">L73+L80+L88</f>
        <v>0</v>
      </c>
      <c r="M96" s="773">
        <f t="shared" si="512"/>
        <v>0</v>
      </c>
      <c r="N96" s="774">
        <f t="shared" si="512"/>
        <v>0</v>
      </c>
      <c r="O96" s="774">
        <f>O73+O80+O88</f>
        <v>80.095454545454544</v>
      </c>
      <c r="P96" s="774">
        <f t="shared" si="512"/>
        <v>94.277272727272731</v>
      </c>
      <c r="Q96" s="774">
        <f t="shared" si="512"/>
        <v>0</v>
      </c>
      <c r="R96" s="774">
        <f t="shared" si="512"/>
        <v>0</v>
      </c>
      <c r="S96" s="774">
        <f t="shared" si="512"/>
        <v>94.277272727272731</v>
      </c>
      <c r="T96" s="774">
        <f t="shared" si="512"/>
        <v>94.277272727272731</v>
      </c>
      <c r="U96" s="774">
        <f t="shared" si="512"/>
        <v>0</v>
      </c>
      <c r="V96" s="774">
        <f t="shared" si="512"/>
        <v>0</v>
      </c>
      <c r="W96" s="774">
        <f>W73+W80+W88</f>
        <v>94.277272727272731</v>
      </c>
      <c r="X96" s="774">
        <f>X73+X80+X88</f>
        <v>94.277272727272731</v>
      </c>
      <c r="Y96" s="774">
        <f t="shared" si="512"/>
        <v>0</v>
      </c>
      <c r="Z96" s="774">
        <f t="shared" si="512"/>
        <v>0</v>
      </c>
      <c r="AA96" s="774">
        <f t="shared" si="512"/>
        <v>87.553181818181812</v>
      </c>
      <c r="AB96" s="775">
        <f t="shared" si="512"/>
        <v>115.27727272727273</v>
      </c>
      <c r="AC96" s="776">
        <f t="shared" si="512"/>
        <v>0</v>
      </c>
      <c r="AD96" s="776">
        <f t="shared" si="512"/>
        <v>0</v>
      </c>
      <c r="AE96" s="776">
        <f t="shared" si="512"/>
        <v>101.09545454545454</v>
      </c>
      <c r="AF96" s="776">
        <f t="shared" si="512"/>
        <v>115.27727272727273</v>
      </c>
      <c r="AG96" s="776">
        <f t="shared" si="512"/>
        <v>0</v>
      </c>
      <c r="AH96" s="776">
        <f t="shared" si="512"/>
        <v>0</v>
      </c>
      <c r="AI96" s="776">
        <f t="shared" si="512"/>
        <v>115.27727272727273</v>
      </c>
      <c r="AJ96" s="776">
        <f t="shared" si="512"/>
        <v>115.27727272727273</v>
      </c>
      <c r="AK96" s="776">
        <f t="shared" si="512"/>
        <v>0</v>
      </c>
      <c r="AL96" s="776">
        <f t="shared" si="512"/>
        <v>0</v>
      </c>
      <c r="AM96" s="776">
        <f t="shared" si="512"/>
        <v>115.27727272727273</v>
      </c>
      <c r="AN96" s="776">
        <f t="shared" si="512"/>
        <v>115.27727272727273</v>
      </c>
      <c r="AO96" s="777">
        <f t="shared" si="512"/>
        <v>0</v>
      </c>
    </row>
    <row r="97" outlineLevel="1">
      <c r="A97" s="778"/>
      <c r="B97" s="77" t="s">
        <v>1</v>
      </c>
      <c r="C97" s="79">
        <f t="shared" si="505"/>
        <v>1449.8499069434502</v>
      </c>
      <c r="D97" s="427">
        <f t="shared" si="506"/>
        <v>1450.7909090909091</v>
      </c>
      <c r="E97" s="66">
        <f t="shared" ref="E97:E99" si="513">E96</f>
        <v>116</v>
      </c>
      <c r="F97" s="768">
        <f t="shared" si="507"/>
        <v>64</v>
      </c>
      <c r="G97" s="769">
        <f t="shared" si="508"/>
        <v>17</v>
      </c>
      <c r="H97" s="770">
        <f t="shared" si="508"/>
        <v>0</v>
      </c>
      <c r="I97" s="771">
        <f t="shared" si="508"/>
        <v>0.29999999999999999</v>
      </c>
      <c r="J97" s="732">
        <f t="shared" si="510"/>
        <v>17.300000000000001</v>
      </c>
      <c r="K97" s="772">
        <f t="shared" si="511"/>
        <v>0</v>
      </c>
      <c r="L97" s="773">
        <f t="shared" si="512"/>
        <v>0</v>
      </c>
      <c r="M97" s="773">
        <f t="shared" si="512"/>
        <v>0</v>
      </c>
      <c r="N97" s="774">
        <f t="shared" si="512"/>
        <v>0</v>
      </c>
      <c r="O97" s="774">
        <f t="shared" si="512"/>
        <v>0</v>
      </c>
      <c r="P97" s="774">
        <f t="shared" si="512"/>
        <v>94.277272727272731</v>
      </c>
      <c r="Q97" s="774">
        <f t="shared" si="512"/>
        <v>94.277272727272731</v>
      </c>
      <c r="R97" s="774">
        <f t="shared" si="512"/>
        <v>0</v>
      </c>
      <c r="S97" s="774">
        <f t="shared" si="512"/>
        <v>0</v>
      </c>
      <c r="T97" s="774">
        <f t="shared" si="512"/>
        <v>64.277272727272731</v>
      </c>
      <c r="U97" s="774">
        <f t="shared" si="512"/>
        <v>94.277272727272731</v>
      </c>
      <c r="V97" s="774">
        <f t="shared" si="512"/>
        <v>0</v>
      </c>
      <c r="W97" s="774">
        <f t="shared" si="512"/>
        <v>0</v>
      </c>
      <c r="X97" s="774">
        <f t="shared" si="512"/>
        <v>87.186363636363637</v>
      </c>
      <c r="Y97" s="774">
        <f t="shared" si="512"/>
        <v>94.277272727272731</v>
      </c>
      <c r="Z97" s="774">
        <f t="shared" si="512"/>
        <v>0</v>
      </c>
      <c r="AA97" s="774">
        <f t="shared" si="512"/>
        <v>0</v>
      </c>
      <c r="AB97" s="775">
        <f t="shared" si="512"/>
        <v>115.27727272727273</v>
      </c>
      <c r="AC97" s="776">
        <f t="shared" si="512"/>
        <v>115.27727272727273</v>
      </c>
      <c r="AD97" s="776">
        <f t="shared" si="512"/>
        <v>0</v>
      </c>
      <c r="AE97" s="776">
        <f t="shared" si="512"/>
        <v>0</v>
      </c>
      <c r="AF97" s="776">
        <f t="shared" si="512"/>
        <v>115.27727272727273</v>
      </c>
      <c r="AG97" s="776">
        <f t="shared" si="512"/>
        <v>115.27727272727273</v>
      </c>
      <c r="AH97" s="776">
        <f t="shared" si="512"/>
        <v>0</v>
      </c>
      <c r="AI97" s="776">
        <f t="shared" si="512"/>
        <v>0</v>
      </c>
      <c r="AJ97" s="776">
        <f t="shared" si="512"/>
        <v>115.27727272727273</v>
      </c>
      <c r="AK97" s="776">
        <f t="shared" si="512"/>
        <v>115.27727272727273</v>
      </c>
      <c r="AL97" s="776">
        <f t="shared" si="512"/>
        <v>0</v>
      </c>
      <c r="AM97" s="776">
        <f t="shared" si="512"/>
        <v>0</v>
      </c>
      <c r="AN97" s="776">
        <f t="shared" si="512"/>
        <v>115.27727272727273</v>
      </c>
      <c r="AO97" s="777">
        <f t="shared" si="512"/>
        <v>115.27727272727273</v>
      </c>
    </row>
    <row r="98" outlineLevel="1">
      <c r="A98" s="778"/>
      <c r="B98" s="85" t="s">
        <v>2</v>
      </c>
      <c r="C98" s="197">
        <f t="shared" si="505"/>
        <v>1427.1960021474588</v>
      </c>
      <c r="D98" s="87">
        <f t="shared" si="506"/>
        <v>1427.251818181818</v>
      </c>
      <c r="E98" s="66">
        <f t="shared" si="513"/>
        <v>116</v>
      </c>
      <c r="F98" s="768">
        <f t="shared" si="507"/>
        <v>63</v>
      </c>
      <c r="G98" s="769">
        <f t="shared" si="508"/>
        <v>18.329999999999998</v>
      </c>
      <c r="H98" s="770">
        <f t="shared" si="508"/>
        <v>0</v>
      </c>
      <c r="I98" s="771">
        <f t="shared" si="508"/>
        <v>0.29999999999999999</v>
      </c>
      <c r="J98" s="732">
        <f t="shared" si="510"/>
        <v>18.629999999999999</v>
      </c>
      <c r="K98" s="772">
        <f t="shared" si="511"/>
        <v>0</v>
      </c>
      <c r="L98" s="773">
        <f t="shared" si="512"/>
        <v>0</v>
      </c>
      <c r="M98" s="773">
        <f t="shared" si="512"/>
        <v>0</v>
      </c>
      <c r="N98" s="774">
        <f t="shared" si="512"/>
        <v>94.277272727272731</v>
      </c>
      <c r="O98" s="774">
        <f t="shared" si="512"/>
        <v>94.277272727272731</v>
      </c>
      <c r="P98" s="774">
        <f t="shared" si="512"/>
        <v>0</v>
      </c>
      <c r="Q98" s="774">
        <f t="shared" si="512"/>
        <v>0</v>
      </c>
      <c r="R98" s="774">
        <f t="shared" si="512"/>
        <v>94.277272727272731</v>
      </c>
      <c r="S98" s="774">
        <f t="shared" si="512"/>
        <v>94.277272727272731</v>
      </c>
      <c r="T98" s="774">
        <f t="shared" si="512"/>
        <v>0</v>
      </c>
      <c r="U98" s="774">
        <f t="shared" si="512"/>
        <v>0</v>
      </c>
      <c r="V98" s="774">
        <f t="shared" si="512"/>
        <v>94.277272727272731</v>
      </c>
      <c r="W98" s="774">
        <f t="shared" si="512"/>
        <v>94.277272727272731</v>
      </c>
      <c r="X98" s="774">
        <f t="shared" si="512"/>
        <v>0</v>
      </c>
      <c r="Y98" s="774">
        <f t="shared" si="512"/>
        <v>0</v>
      </c>
      <c r="Z98" s="774">
        <f t="shared" si="512"/>
        <v>94.277272727272731</v>
      </c>
      <c r="AA98" s="774">
        <f t="shared" si="512"/>
        <v>115.27727272727273</v>
      </c>
      <c r="AB98" s="775">
        <f t="shared" si="512"/>
        <v>0</v>
      </c>
      <c r="AC98" s="776">
        <f t="shared" si="512"/>
        <v>0</v>
      </c>
      <c r="AD98" s="776">
        <f>AD75+AD82+AD90</f>
        <v>115.27727272727273</v>
      </c>
      <c r="AE98" s="776">
        <f t="shared" si="512"/>
        <v>115.27727272727273</v>
      </c>
      <c r="AF98" s="776">
        <f t="shared" si="512"/>
        <v>0</v>
      </c>
      <c r="AG98" s="776">
        <f t="shared" si="512"/>
        <v>0</v>
      </c>
      <c r="AH98" s="776">
        <f t="shared" si="512"/>
        <v>82.738181818181815</v>
      </c>
      <c r="AI98" s="776">
        <f t="shared" si="512"/>
        <v>115.27727272727273</v>
      </c>
      <c r="AJ98" s="776">
        <f t="shared" si="512"/>
        <v>0</v>
      </c>
      <c r="AK98" s="776">
        <f t="shared" si="512"/>
        <v>0</v>
      </c>
      <c r="AL98" s="776">
        <f t="shared" si="512"/>
        <v>108.18636363636364</v>
      </c>
      <c r="AM98" s="776">
        <f t="shared" si="512"/>
        <v>115.27727272727273</v>
      </c>
      <c r="AN98" s="776">
        <f t="shared" si="512"/>
        <v>0</v>
      </c>
      <c r="AO98" s="777">
        <f t="shared" si="512"/>
        <v>0</v>
      </c>
    </row>
    <row r="99" ht="13.5" outlineLevel="1">
      <c r="A99" s="779"/>
      <c r="B99" s="90" t="s">
        <v>3</v>
      </c>
      <c r="C99" s="325">
        <f t="shared" si="505"/>
        <v>1427.1960021474588</v>
      </c>
      <c r="D99" s="325">
        <f t="shared" si="506"/>
        <v>1444.2549999999999</v>
      </c>
      <c r="E99" s="66">
        <f t="shared" si="513"/>
        <v>116</v>
      </c>
      <c r="F99" s="780">
        <f t="shared" si="507"/>
        <v>63</v>
      </c>
      <c r="G99" s="781">
        <f t="shared" si="508"/>
        <v>10.995000000000001</v>
      </c>
      <c r="H99" s="782">
        <f t="shared" si="508"/>
        <v>0</v>
      </c>
      <c r="I99" s="783">
        <f t="shared" si="508"/>
        <v>0.29999999999999999</v>
      </c>
      <c r="J99" s="784">
        <f t="shared" si="510"/>
        <v>11.295000000000002</v>
      </c>
      <c r="K99" s="772">
        <f t="shared" si="511"/>
        <v>0</v>
      </c>
      <c r="L99" s="785">
        <f t="shared" si="512"/>
        <v>0</v>
      </c>
      <c r="M99" s="785">
        <f t="shared" si="512"/>
        <v>0</v>
      </c>
      <c r="N99" s="786">
        <f t="shared" si="512"/>
        <v>94.277272727272731</v>
      </c>
      <c r="O99" s="786">
        <f t="shared" si="512"/>
        <v>0</v>
      </c>
      <c r="P99" s="786">
        <f t="shared" si="512"/>
        <v>0</v>
      </c>
      <c r="Q99" s="786">
        <f t="shared" si="512"/>
        <v>94.277272727272731</v>
      </c>
      <c r="R99" s="786">
        <f t="shared" si="512"/>
        <v>94.277272727272731</v>
      </c>
      <c r="S99" s="786">
        <f t="shared" si="512"/>
        <v>0</v>
      </c>
      <c r="T99" s="786">
        <f t="shared" si="512"/>
        <v>0</v>
      </c>
      <c r="U99" s="786">
        <f t="shared" si="512"/>
        <v>94.277272727272731</v>
      </c>
      <c r="V99" s="786">
        <f t="shared" si="512"/>
        <v>94.277272727272731</v>
      </c>
      <c r="W99" s="786">
        <f t="shared" si="512"/>
        <v>0</v>
      </c>
      <c r="X99" s="786">
        <f t="shared" si="512"/>
        <v>0</v>
      </c>
      <c r="Y99" s="786">
        <f t="shared" si="512"/>
        <v>94.277272727272731</v>
      </c>
      <c r="Z99" s="786">
        <f t="shared" si="512"/>
        <v>94.277272727272731</v>
      </c>
      <c r="AA99" s="786">
        <f t="shared" si="512"/>
        <v>0</v>
      </c>
      <c r="AB99" s="787">
        <f t="shared" si="512"/>
        <v>0</v>
      </c>
      <c r="AC99" s="788">
        <f t="shared" si="512"/>
        <v>115.27727272727273</v>
      </c>
      <c r="AD99" s="788">
        <f t="shared" si="512"/>
        <v>115.27727272727273</v>
      </c>
      <c r="AE99" s="788">
        <f t="shared" si="512"/>
        <v>0</v>
      </c>
      <c r="AF99" s="788">
        <f t="shared" si="512"/>
        <v>0</v>
      </c>
      <c r="AG99" s="788">
        <f t="shared" si="512"/>
        <v>115.27727272727273</v>
      </c>
      <c r="AH99" s="788">
        <f t="shared" si="512"/>
        <v>115.27727272727273</v>
      </c>
      <c r="AI99" s="788">
        <f t="shared" si="512"/>
        <v>0</v>
      </c>
      <c r="AJ99" s="788">
        <f t="shared" si="512"/>
        <v>0</v>
      </c>
      <c r="AK99" s="788">
        <f t="shared" si="512"/>
        <v>115.27727272727273</v>
      </c>
      <c r="AL99" s="788">
        <f t="shared" si="512"/>
        <v>115.27727272727273</v>
      </c>
      <c r="AM99" s="788">
        <f t="shared" si="512"/>
        <v>0</v>
      </c>
      <c r="AN99" s="788">
        <f t="shared" si="512"/>
        <v>0</v>
      </c>
      <c r="AO99" s="789">
        <f t="shared" si="512"/>
        <v>92.650454545454551</v>
      </c>
    </row>
    <row r="100" s="99" customFormat="1" ht="20.449999999999999" customHeight="1">
      <c r="A100" s="164"/>
      <c r="B100" s="165" t="s">
        <v>18</v>
      </c>
      <c r="C100" s="442">
        <f>C77+C84+C92</f>
        <v>5754.0918181818179</v>
      </c>
      <c r="D100" s="103">
        <f>SUM(D96:D99)</f>
        <v>5754.0918181818179</v>
      </c>
      <c r="E100" s="443" t="s">
        <v>19</v>
      </c>
      <c r="F100" s="261">
        <f>SUM(F96:F99)</f>
        <v>254</v>
      </c>
      <c r="G100" s="106">
        <f>SUM(G96:G99)</f>
        <v>71.989999999999995</v>
      </c>
      <c r="H100" s="167">
        <f>SUM(H96:H99)</f>
        <v>0</v>
      </c>
      <c r="I100" s="168" t="s">
        <v>19</v>
      </c>
      <c r="J100" s="169">
        <f t="shared" ref="J100:N100" si="514">SUM(J96:J99)</f>
        <v>73.189999999999998</v>
      </c>
      <c r="K100" s="281">
        <f>SUM(K96:K99)</f>
        <v>0</v>
      </c>
      <c r="L100" s="282">
        <f t="shared" si="514"/>
        <v>0</v>
      </c>
      <c r="M100" s="282">
        <f t="shared" si="514"/>
        <v>0</v>
      </c>
      <c r="N100" s="282">
        <f t="shared" si="514"/>
        <v>188.55454545454546</v>
      </c>
      <c r="O100" s="282">
        <f>SUM(O96:O99)</f>
        <v>174.37272727272727</v>
      </c>
      <c r="P100" s="282">
        <f>SUM(P96:P99)</f>
        <v>188.55454545454546</v>
      </c>
      <c r="Q100" s="282">
        <f t="shared" ref="Q100:AO100" si="515">SUM(Q96:Q99)</f>
        <v>188.55454545454546</v>
      </c>
      <c r="R100" s="282">
        <f t="shared" si="515"/>
        <v>188.55454545454546</v>
      </c>
      <c r="S100" s="282">
        <f t="shared" si="515"/>
        <v>188.55454545454546</v>
      </c>
      <c r="T100" s="282">
        <f t="shared" si="515"/>
        <v>158.55454545454546</v>
      </c>
      <c r="U100" s="282">
        <f t="shared" si="515"/>
        <v>188.55454545454546</v>
      </c>
      <c r="V100" s="282">
        <f t="shared" si="515"/>
        <v>188.55454545454546</v>
      </c>
      <c r="W100" s="282">
        <f t="shared" si="515"/>
        <v>188.55454545454546</v>
      </c>
      <c r="X100" s="282">
        <f t="shared" si="515"/>
        <v>181.46363636363637</v>
      </c>
      <c r="Y100" s="282">
        <f t="shared" si="515"/>
        <v>188.55454545454546</v>
      </c>
      <c r="Z100" s="282">
        <f t="shared" si="515"/>
        <v>188.55454545454546</v>
      </c>
      <c r="AA100" s="282">
        <f t="shared" si="515"/>
        <v>202.83045454545453</v>
      </c>
      <c r="AB100" s="283">
        <f t="shared" si="515"/>
        <v>230.55454545454546</v>
      </c>
      <c r="AC100" s="172">
        <f t="shared" si="515"/>
        <v>230.55454545454546</v>
      </c>
      <c r="AD100" s="581">
        <f t="shared" si="515"/>
        <v>230.55454545454546</v>
      </c>
      <c r="AE100" s="581">
        <f t="shared" si="515"/>
        <v>216.37272727272727</v>
      </c>
      <c r="AF100" s="581">
        <f t="shared" si="515"/>
        <v>230.55454545454546</v>
      </c>
      <c r="AG100" s="581">
        <f t="shared" si="515"/>
        <v>230.55454545454546</v>
      </c>
      <c r="AH100" s="581">
        <f t="shared" si="515"/>
        <v>198.01545454545453</v>
      </c>
      <c r="AI100" s="581">
        <f t="shared" si="515"/>
        <v>230.55454545454546</v>
      </c>
      <c r="AJ100" s="581">
        <f t="shared" si="515"/>
        <v>230.55454545454546</v>
      </c>
      <c r="AK100" s="581">
        <f t="shared" si="515"/>
        <v>230.55454545454546</v>
      </c>
      <c r="AL100" s="581">
        <f t="shared" si="515"/>
        <v>223.46363636363637</v>
      </c>
      <c r="AM100" s="581">
        <f t="shared" si="515"/>
        <v>230.55454545454546</v>
      </c>
      <c r="AN100" s="581">
        <f t="shared" si="515"/>
        <v>230.55454545454546</v>
      </c>
      <c r="AO100" s="582">
        <f t="shared" si="515"/>
        <v>207.92772727272728</v>
      </c>
    </row>
    <row r="101" s="99" customFormat="1" ht="24" customHeight="1">
      <c r="A101" s="174" t="s">
        <v>31</v>
      </c>
      <c r="B101" s="174"/>
      <c r="C101" s="116"/>
      <c r="D101" s="116"/>
      <c r="E101" s="66"/>
      <c r="F101" s="146"/>
      <c r="G101" s="562"/>
      <c r="H101" s="607"/>
      <c r="I101" s="608"/>
      <c r="J101" s="60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47"/>
      <c r="AF101" s="147"/>
      <c r="AG101" s="147"/>
      <c r="AH101" s="147"/>
      <c r="AI101" s="147"/>
      <c r="AJ101" s="147"/>
      <c r="AK101" s="147"/>
      <c r="AL101" s="147"/>
      <c r="AM101" s="147"/>
      <c r="AN101" s="147"/>
      <c r="AO101" s="790"/>
    </row>
    <row r="102" ht="26.449999999999999" customHeight="1">
      <c r="A102" s="247" t="s">
        <v>32</v>
      </c>
      <c r="B102" s="247"/>
      <c r="D102" s="248" t="s">
        <v>113</v>
      </c>
      <c r="E102" s="791" t="s">
        <v>114</v>
      </c>
      <c r="F102" s="408" t="s">
        <v>14</v>
      </c>
      <c r="G102" s="792"/>
      <c r="H102" s="793"/>
      <c r="I102" s="793"/>
      <c r="J102" s="793"/>
      <c r="K102" s="409">
        <v>44562</v>
      </c>
      <c r="L102" s="56">
        <v>44563</v>
      </c>
      <c r="M102" s="56">
        <v>44564</v>
      </c>
      <c r="N102" s="56">
        <v>44565</v>
      </c>
      <c r="O102" s="56">
        <v>44566</v>
      </c>
      <c r="P102" s="56">
        <v>44567</v>
      </c>
      <c r="Q102" s="56">
        <v>44568</v>
      </c>
      <c r="R102" s="56">
        <v>44569</v>
      </c>
      <c r="S102" s="56">
        <v>44570</v>
      </c>
      <c r="T102" s="56">
        <v>44571</v>
      </c>
      <c r="U102" s="56">
        <v>44572</v>
      </c>
      <c r="V102" s="56">
        <v>44573</v>
      </c>
      <c r="W102" s="56">
        <v>44574</v>
      </c>
      <c r="X102" s="56">
        <v>44575</v>
      </c>
      <c r="Y102" s="56">
        <v>44576</v>
      </c>
      <c r="Z102" s="56">
        <v>44577</v>
      </c>
      <c r="AA102" s="56">
        <v>44578</v>
      </c>
      <c r="AB102" s="56">
        <v>44579</v>
      </c>
      <c r="AC102" s="56">
        <v>44580</v>
      </c>
      <c r="AD102" s="56">
        <v>44581</v>
      </c>
      <c r="AE102" s="56">
        <v>44582</v>
      </c>
      <c r="AF102" s="56">
        <v>44583</v>
      </c>
      <c r="AG102" s="56">
        <v>44584</v>
      </c>
      <c r="AH102" s="56">
        <v>44585</v>
      </c>
      <c r="AI102" s="56">
        <v>44586</v>
      </c>
      <c r="AJ102" s="56">
        <v>44587</v>
      </c>
      <c r="AK102" s="56">
        <v>44588</v>
      </c>
      <c r="AL102" s="56">
        <v>44589</v>
      </c>
      <c r="AM102" s="56">
        <v>44590</v>
      </c>
      <c r="AN102" s="56">
        <v>44591</v>
      </c>
      <c r="AO102" s="333">
        <v>44561</v>
      </c>
    </row>
    <row r="103" outlineLevel="1">
      <c r="A103" s="794" t="s">
        <v>34</v>
      </c>
      <c r="B103" s="795">
        <f>D100</f>
        <v>5754.0918181818179</v>
      </c>
      <c r="C103" s="796" t="s">
        <v>0</v>
      </c>
      <c r="D103" s="320">
        <f t="shared" ref="D103:D106" si="516">SUM(K103:AO103)</f>
        <v>1377.5987705767272</v>
      </c>
      <c r="E103" s="252">
        <f t="shared" ref="E103:E106" si="517">E96*$B$107</f>
        <v>111.60924493370229</v>
      </c>
      <c r="F103" s="797">
        <f>[11]Табель!$B$34</f>
        <v>15</v>
      </c>
      <c r="G103" s="798"/>
      <c r="H103" s="24"/>
      <c r="I103" s="24"/>
      <c r="J103" s="799"/>
      <c r="K103" s="800">
        <f t="shared" ref="K103:K106" si="518">K96*$B$107</f>
        <v>0</v>
      </c>
      <c r="L103" s="801">
        <f>L96*$B$107</f>
        <v>0</v>
      </c>
      <c r="M103" s="802">
        <f>M96*$B$107*113.5%</f>
        <v>0</v>
      </c>
      <c r="N103" s="192">
        <f t="shared" ref="N103:AM106" si="519">N96*$B$107</f>
        <v>0</v>
      </c>
      <c r="O103" s="803">
        <f>O96*$B$107</f>
        <v>77.063734521033226</v>
      </c>
      <c r="P103" s="192">
        <f>P96*$B$107</f>
        <v>90.708751926720979</v>
      </c>
      <c r="Q103" s="191">
        <f t="shared" ref="Q103:Q104" si="520">Q96*$B$107</f>
        <v>0</v>
      </c>
      <c r="R103" s="192">
        <f t="shared" si="519"/>
        <v>0</v>
      </c>
      <c r="S103" s="803">
        <f t="shared" si="519"/>
        <v>90.708751926720979</v>
      </c>
      <c r="T103" s="192">
        <f>T96*$B$107</f>
        <v>90.708751926720979</v>
      </c>
      <c r="U103" s="192">
        <f t="shared" ref="U103:U104" si="521">U96*$B$107</f>
        <v>0</v>
      </c>
      <c r="V103" s="192">
        <f t="shared" si="519"/>
        <v>0</v>
      </c>
      <c r="W103" s="192">
        <f t="shared" si="519"/>
        <v>90.708751926720979</v>
      </c>
      <c r="X103" s="192">
        <f>X96*$B$107</f>
        <v>90.708751926720979</v>
      </c>
      <c r="Y103" s="191"/>
      <c r="Z103" s="192">
        <f t="shared" si="519"/>
        <v>0</v>
      </c>
      <c r="AA103" s="803">
        <f>AA96*$B$107</f>
        <v>84.239176847158831</v>
      </c>
      <c r="AB103" s="192">
        <f>AB96*$B$107</f>
        <v>110.91387385437397</v>
      </c>
      <c r="AC103" s="191">
        <f t="shared" ref="AC103:AC104" si="522">AC96*$B$107</f>
        <v>0</v>
      </c>
      <c r="AD103" s="192">
        <f t="shared" ref="AD103:AD104" si="523">AD96*$B$107</f>
        <v>0</v>
      </c>
      <c r="AE103" s="803">
        <f t="shared" si="519"/>
        <v>97.268856448686222</v>
      </c>
      <c r="AF103" s="803">
        <f>AF96*$B$107</f>
        <v>110.91387385437397</v>
      </c>
      <c r="AG103" s="191">
        <f t="shared" ref="AG103:AG104" si="524">AG96*$B$107</f>
        <v>0</v>
      </c>
      <c r="AH103" s="192">
        <f t="shared" si="519"/>
        <v>0</v>
      </c>
      <c r="AI103" s="803">
        <f t="shared" si="519"/>
        <v>110.91387385437397</v>
      </c>
      <c r="AJ103" s="192">
        <f>AJ96*$B$107</f>
        <v>110.91387385437397</v>
      </c>
      <c r="AK103" s="191">
        <f t="shared" ref="AK103:AK104" si="525">AK96*$B$107</f>
        <v>0</v>
      </c>
      <c r="AL103" s="192">
        <f t="shared" ref="AL103:AL104" si="526">AL96*$B$107</f>
        <v>0</v>
      </c>
      <c r="AM103" s="803">
        <f t="shared" si="519"/>
        <v>110.91387385437397</v>
      </c>
      <c r="AN103" s="191">
        <f t="shared" ref="AN103:AN105" si="527">AN96*$B$107</f>
        <v>110.91387385437397</v>
      </c>
      <c r="AO103" s="804">
        <f t="shared" ref="L103:AO106" si="528">AO96*$B$107</f>
        <v>0</v>
      </c>
    </row>
    <row r="104" outlineLevel="1">
      <c r="A104" s="794" t="s">
        <v>35</v>
      </c>
      <c r="B104" s="805">
        <f>'[3]Спецификация пр-ва'!$AC$297</f>
        <v>5536.667057736001</v>
      </c>
      <c r="C104" s="806" t="s">
        <v>1</v>
      </c>
      <c r="D104" s="427">
        <f t="shared" si="516"/>
        <v>1395.8765337958268</v>
      </c>
      <c r="E104" s="252">
        <f t="shared" si="517"/>
        <v>111.60924493370229</v>
      </c>
      <c r="F104" s="807">
        <f>[11]Табель!$C$34</f>
        <v>16</v>
      </c>
      <c r="G104" s="798"/>
      <c r="H104" s="24"/>
      <c r="I104" s="24"/>
      <c r="J104" s="799"/>
      <c r="K104" s="808">
        <f t="shared" si="518"/>
        <v>0</v>
      </c>
      <c r="L104" s="188">
        <f t="shared" si="528"/>
        <v>0</v>
      </c>
      <c r="M104" s="809">
        <f>M97*$B$107*86.5%</f>
        <v>0</v>
      </c>
      <c r="N104" s="189">
        <f t="shared" si="519"/>
        <v>0</v>
      </c>
      <c r="O104" s="810">
        <f t="shared" si="519"/>
        <v>0</v>
      </c>
      <c r="P104" s="189">
        <f t="shared" si="519"/>
        <v>90.708751926720979</v>
      </c>
      <c r="Q104" s="190">
        <f t="shared" si="520"/>
        <v>90.708751926720979</v>
      </c>
      <c r="R104" s="811">
        <f>R97*$B$107</f>
        <v>0</v>
      </c>
      <c r="S104" s="810">
        <f t="shared" si="519"/>
        <v>0</v>
      </c>
      <c r="T104" s="189">
        <f t="shared" si="519"/>
        <v>61.844292030073831</v>
      </c>
      <c r="U104" s="189">
        <f t="shared" si="521"/>
        <v>90.708751926720979</v>
      </c>
      <c r="V104" s="189">
        <f>V97*$B$107</f>
        <v>0</v>
      </c>
      <c r="W104" s="189">
        <f t="shared" ref="W104:W106" si="529">W97*$B$107</f>
        <v>0</v>
      </c>
      <c r="X104" s="189">
        <f t="shared" si="519"/>
        <v>83.886243223877102</v>
      </c>
      <c r="Y104" s="190">
        <f>Y97*$B$107</f>
        <v>90.708751926720979</v>
      </c>
      <c r="Z104" s="189">
        <f>Z97*$B$107</f>
        <v>0</v>
      </c>
      <c r="AA104" s="810">
        <f t="shared" si="519"/>
        <v>0</v>
      </c>
      <c r="AB104" s="189">
        <f t="shared" si="519"/>
        <v>110.91387385437397</v>
      </c>
      <c r="AC104" s="190">
        <f t="shared" si="522"/>
        <v>110.91387385437397</v>
      </c>
      <c r="AD104" s="189">
        <f t="shared" si="523"/>
        <v>0</v>
      </c>
      <c r="AE104" s="810">
        <f t="shared" si="519"/>
        <v>0</v>
      </c>
      <c r="AF104" s="189">
        <f t="shared" si="519"/>
        <v>110.91387385437397</v>
      </c>
      <c r="AG104" s="190">
        <f t="shared" si="524"/>
        <v>110.91387385437397</v>
      </c>
      <c r="AH104" s="189">
        <f>AH97*$B$107</f>
        <v>0</v>
      </c>
      <c r="AI104" s="810">
        <f t="shared" si="519"/>
        <v>0</v>
      </c>
      <c r="AJ104" s="189">
        <f t="shared" si="519"/>
        <v>110.91387385437397</v>
      </c>
      <c r="AK104" s="190">
        <f t="shared" si="525"/>
        <v>110.91387385437397</v>
      </c>
      <c r="AL104" s="189">
        <f t="shared" si="526"/>
        <v>0</v>
      </c>
      <c r="AM104" s="810">
        <f t="shared" ref="AM104:AM106" si="530">AM97*$B$107</f>
        <v>0</v>
      </c>
      <c r="AN104" s="190">
        <f t="shared" si="527"/>
        <v>110.91387385437397</v>
      </c>
      <c r="AO104" s="812">
        <f t="shared" si="528"/>
        <v>110.91387385437397</v>
      </c>
    </row>
    <row r="105" outlineLevel="1">
      <c r="A105" s="794" t="s">
        <v>36</v>
      </c>
      <c r="B105" s="813">
        <f>'[6]Спецификация пр-ва'!$AB$285+'[6]Спецификация пр-ва'!$AC$295</f>
        <v>217.80006726400001</v>
      </c>
      <c r="C105" s="814" t="s">
        <v>2</v>
      </c>
      <c r="D105" s="87">
        <f t="shared" si="516"/>
        <v>1373.2284289441939</v>
      </c>
      <c r="E105" s="252">
        <f t="shared" si="517"/>
        <v>111.60924493370229</v>
      </c>
      <c r="F105" s="807">
        <f>[11]Табель!$D$34</f>
        <v>14</v>
      </c>
      <c r="G105" s="798"/>
      <c r="H105" s="24"/>
      <c r="I105" s="24"/>
      <c r="J105" s="799"/>
      <c r="K105" s="808">
        <f t="shared" si="518"/>
        <v>0</v>
      </c>
      <c r="L105" s="188">
        <f t="shared" si="528"/>
        <v>0</v>
      </c>
      <c r="M105" s="809">
        <f t="shared" si="528"/>
        <v>0</v>
      </c>
      <c r="N105" s="189">
        <f t="shared" si="519"/>
        <v>90.708751926720979</v>
      </c>
      <c r="O105" s="810">
        <f t="shared" ref="O105:O106" si="531">O98*$B$107</f>
        <v>90.708751926720979</v>
      </c>
      <c r="P105" s="189">
        <f>P98*$B$107</f>
        <v>0</v>
      </c>
      <c r="Q105" s="190">
        <f t="shared" si="528"/>
        <v>0</v>
      </c>
      <c r="R105" s="189">
        <f t="shared" si="528"/>
        <v>90.708751926720979</v>
      </c>
      <c r="S105" s="810">
        <f t="shared" ref="S105:S106" si="532">S98*$B$107</f>
        <v>90.708751926720979</v>
      </c>
      <c r="T105" s="189">
        <f>T98*$B$107</f>
        <v>0</v>
      </c>
      <c r="U105" s="189">
        <f t="shared" si="528"/>
        <v>0</v>
      </c>
      <c r="V105" s="189">
        <f t="shared" si="528"/>
        <v>90.708751926720979</v>
      </c>
      <c r="W105" s="189">
        <f t="shared" si="529"/>
        <v>90.708751926720979</v>
      </c>
      <c r="X105" s="189">
        <f>X98*$B$107</f>
        <v>0</v>
      </c>
      <c r="Y105" s="190">
        <f t="shared" si="528"/>
        <v>0</v>
      </c>
      <c r="Z105" s="189">
        <f t="shared" si="528"/>
        <v>90.708751926720979</v>
      </c>
      <c r="AA105" s="810">
        <f t="shared" ref="AA105:AA106" si="533">AA98*$B$107</f>
        <v>110.91387385437397</v>
      </c>
      <c r="AB105" s="189">
        <f>AB98*$B$107</f>
        <v>0</v>
      </c>
      <c r="AC105" s="190">
        <f t="shared" si="528"/>
        <v>0</v>
      </c>
      <c r="AD105" s="189">
        <f t="shared" si="528"/>
        <v>110.91387385437397</v>
      </c>
      <c r="AE105" s="810">
        <f t="shared" ref="AE105:AE106" si="534">AE98*$B$107</f>
        <v>110.91387385437397</v>
      </c>
      <c r="AF105" s="189">
        <f>AF98*$B$107</f>
        <v>0</v>
      </c>
      <c r="AG105" s="190">
        <f t="shared" si="528"/>
        <v>0</v>
      </c>
      <c r="AH105" s="189">
        <f t="shared" si="528"/>
        <v>79.606431033746958</v>
      </c>
      <c r="AI105" s="810">
        <f t="shared" ref="AI105:AI106" si="535">AI98*$B$107</f>
        <v>110.91387385437397</v>
      </c>
      <c r="AJ105" s="189">
        <f>AJ98*$B$107*86.5%</f>
        <v>0</v>
      </c>
      <c r="AK105" s="190">
        <f t="shared" si="528"/>
        <v>0</v>
      </c>
      <c r="AL105" s="189">
        <f t="shared" si="528"/>
        <v>104.0913651515301</v>
      </c>
      <c r="AM105" s="810">
        <f t="shared" si="530"/>
        <v>110.91387385437397</v>
      </c>
      <c r="AN105" s="190">
        <f t="shared" si="527"/>
        <v>0</v>
      </c>
      <c r="AO105" s="812">
        <f t="shared" si="528"/>
        <v>0</v>
      </c>
    </row>
    <row r="106" ht="13.5" outlineLevel="1">
      <c r="A106" s="815"/>
      <c r="B106" s="816">
        <f>B105/B103</f>
        <v>0.037851336778428508</v>
      </c>
      <c r="C106" s="817" t="s">
        <v>3</v>
      </c>
      <c r="D106" s="325">
        <f t="shared" si="516"/>
        <v>1389.5880176010708</v>
      </c>
      <c r="E106" s="252">
        <f t="shared" si="517"/>
        <v>111.60924493370229</v>
      </c>
      <c r="F106" s="818">
        <f>[11]Табель!$E$34</f>
        <v>15</v>
      </c>
      <c r="G106" s="798"/>
      <c r="H106" s="24"/>
      <c r="I106" s="24"/>
      <c r="J106" s="799"/>
      <c r="K106" s="819">
        <f t="shared" si="518"/>
        <v>0</v>
      </c>
      <c r="L106" s="640">
        <f t="shared" si="528"/>
        <v>0</v>
      </c>
      <c r="M106" s="820">
        <f t="shared" si="528"/>
        <v>0</v>
      </c>
      <c r="N106" s="203">
        <f t="shared" si="519"/>
        <v>90.708751926720979</v>
      </c>
      <c r="O106" s="821">
        <f t="shared" si="531"/>
        <v>0</v>
      </c>
      <c r="P106" s="203">
        <f t="shared" si="528"/>
        <v>0</v>
      </c>
      <c r="Q106" s="202">
        <f>Q99*$B$107</f>
        <v>90.708751926720979</v>
      </c>
      <c r="R106" s="202">
        <f>R99*$B$107</f>
        <v>90.708751926720979</v>
      </c>
      <c r="S106" s="821">
        <f t="shared" si="532"/>
        <v>0</v>
      </c>
      <c r="T106" s="203">
        <f t="shared" si="528"/>
        <v>0</v>
      </c>
      <c r="U106" s="203">
        <f t="shared" si="528"/>
        <v>90.708751926720979</v>
      </c>
      <c r="V106" s="203">
        <f>V99*$B$107</f>
        <v>90.708751926720979</v>
      </c>
      <c r="W106" s="203">
        <f t="shared" si="529"/>
        <v>0</v>
      </c>
      <c r="X106" s="203">
        <f t="shared" si="528"/>
        <v>0</v>
      </c>
      <c r="Y106" s="202">
        <f t="shared" si="528"/>
        <v>90.708751926720979</v>
      </c>
      <c r="Z106" s="203">
        <f>Z99*$B$107</f>
        <v>90.708751926720979</v>
      </c>
      <c r="AA106" s="821">
        <f t="shared" si="533"/>
        <v>0</v>
      </c>
      <c r="AB106" s="203">
        <f t="shared" si="528"/>
        <v>0</v>
      </c>
      <c r="AC106" s="202">
        <f t="shared" si="528"/>
        <v>110.91387385437397</v>
      </c>
      <c r="AD106" s="203">
        <f>AD99*$B$107</f>
        <v>110.91387385437397</v>
      </c>
      <c r="AE106" s="821">
        <f t="shared" si="534"/>
        <v>0</v>
      </c>
      <c r="AF106" s="203">
        <f t="shared" si="528"/>
        <v>0</v>
      </c>
      <c r="AG106" s="202">
        <f t="shared" si="528"/>
        <v>110.91387385437397</v>
      </c>
      <c r="AH106" s="203">
        <f>AH99*$B$107</f>
        <v>110.91387385437397</v>
      </c>
      <c r="AI106" s="821">
        <f t="shared" si="535"/>
        <v>0</v>
      </c>
      <c r="AJ106" s="203">
        <f t="shared" si="528"/>
        <v>0</v>
      </c>
      <c r="AK106" s="202">
        <f t="shared" si="528"/>
        <v>110.91387385437397</v>
      </c>
      <c r="AL106" s="203">
        <f>AL99*$B$107</f>
        <v>110.91387385437397</v>
      </c>
      <c r="AM106" s="821">
        <f t="shared" si="530"/>
        <v>0</v>
      </c>
      <c r="AN106" s="202">
        <f t="shared" si="528"/>
        <v>0</v>
      </c>
      <c r="AO106" s="641">
        <f t="shared" si="528"/>
        <v>89.143510987780061</v>
      </c>
    </row>
    <row r="107" ht="18.600000000000001" customHeight="1">
      <c r="A107" s="794" t="s">
        <v>35</v>
      </c>
      <c r="B107" s="822">
        <f>100%-B106</f>
        <v>0.96214866322157144</v>
      </c>
      <c r="D107" s="103">
        <f>SUM(D103:D106)</f>
        <v>5536.2917509178187</v>
      </c>
      <c r="E107" s="443" t="s">
        <v>19</v>
      </c>
      <c r="F107" s="553">
        <f>SUM(F103:F106)</f>
        <v>60</v>
      </c>
      <c r="G107" s="823"/>
      <c r="H107" s="263"/>
      <c r="I107" s="263"/>
      <c r="J107" s="824"/>
      <c r="K107" s="825">
        <f>SUM(K103:K106)</f>
        <v>0</v>
      </c>
      <c r="L107" s="826">
        <f t="shared" ref="L107:AB107" si="536">SUM(L103:L106)</f>
        <v>0</v>
      </c>
      <c r="M107" s="826">
        <f t="shared" si="536"/>
        <v>0</v>
      </c>
      <c r="N107" s="826">
        <f t="shared" si="536"/>
        <v>181.41750385344196</v>
      </c>
      <c r="O107" s="826">
        <f t="shared" si="536"/>
        <v>167.7724864477542</v>
      </c>
      <c r="P107" s="826">
        <f t="shared" si="536"/>
        <v>181.41750385344196</v>
      </c>
      <c r="Q107" s="826">
        <f t="shared" si="536"/>
        <v>181.41750385344196</v>
      </c>
      <c r="R107" s="826">
        <f t="shared" si="536"/>
        <v>181.41750385344196</v>
      </c>
      <c r="S107" s="826">
        <f t="shared" si="536"/>
        <v>181.41750385344196</v>
      </c>
      <c r="T107" s="826">
        <f t="shared" si="536"/>
        <v>152.5530439567948</v>
      </c>
      <c r="U107" s="826">
        <f t="shared" si="536"/>
        <v>181.41750385344196</v>
      </c>
      <c r="V107" s="827">
        <f t="shared" si="536"/>
        <v>181.41750385344196</v>
      </c>
      <c r="W107" s="826">
        <f t="shared" si="536"/>
        <v>181.41750385344196</v>
      </c>
      <c r="X107" s="826">
        <f t="shared" si="536"/>
        <v>174.59499515059809</v>
      </c>
      <c r="Y107" s="828">
        <f t="shared" si="536"/>
        <v>181.41750385344196</v>
      </c>
      <c r="Z107" s="826">
        <f t="shared" si="536"/>
        <v>181.41750385344196</v>
      </c>
      <c r="AA107" s="826">
        <f t="shared" si="536"/>
        <v>195.15305070153281</v>
      </c>
      <c r="AB107" s="829">
        <f t="shared" si="536"/>
        <v>221.82774770874795</v>
      </c>
      <c r="AC107" s="830">
        <f>SUM(AC103:AC106)</f>
        <v>221.82774770874795</v>
      </c>
      <c r="AD107" s="830">
        <f t="shared" ref="AD107:AO107" si="537">SUM(AD103:AD106)</f>
        <v>221.82774770874795</v>
      </c>
      <c r="AE107" s="830">
        <f t="shared" si="537"/>
        <v>208.1827303030602</v>
      </c>
      <c r="AF107" s="831">
        <f t="shared" si="537"/>
        <v>221.82774770874795</v>
      </c>
      <c r="AG107" s="830">
        <f t="shared" si="537"/>
        <v>221.82774770874795</v>
      </c>
      <c r="AH107" s="830">
        <f t="shared" si="537"/>
        <v>190.52030488812093</v>
      </c>
      <c r="AI107" s="830">
        <f t="shared" si="537"/>
        <v>221.82774770874795</v>
      </c>
      <c r="AJ107" s="830">
        <f t="shared" si="537"/>
        <v>221.82774770874795</v>
      </c>
      <c r="AK107" s="830">
        <f t="shared" si="537"/>
        <v>221.82774770874795</v>
      </c>
      <c r="AL107" s="830">
        <f t="shared" si="537"/>
        <v>215.00523900590406</v>
      </c>
      <c r="AM107" s="830">
        <f t="shared" si="537"/>
        <v>221.82774770874795</v>
      </c>
      <c r="AN107" s="830">
        <f t="shared" si="537"/>
        <v>221.82774770874795</v>
      </c>
      <c r="AO107" s="832">
        <f t="shared" si="537"/>
        <v>200.05738484215402</v>
      </c>
    </row>
    <row r="108" s="24" customFormat="1" ht="24" customHeight="1">
      <c r="A108" s="43" t="s">
        <v>40</v>
      </c>
      <c r="B108" s="43"/>
      <c r="C108" s="833"/>
      <c r="D108" s="206">
        <f>D107-B104</f>
        <v>-0.37530681818225275</v>
      </c>
      <c r="E108" s="66"/>
      <c r="F108" s="25"/>
      <c r="G108" s="396"/>
      <c r="K108" s="834">
        <f>K100*$B$107</f>
        <v>0</v>
      </c>
      <c r="L108" s="834">
        <f t="shared" ref="L108:M108" si="538">L100*$B$107</f>
        <v>0</v>
      </c>
      <c r="M108" s="834">
        <f t="shared" si="538"/>
        <v>0</v>
      </c>
      <c r="N108" s="835">
        <f>N100*$B$107</f>
        <v>181.41750385344196</v>
      </c>
      <c r="O108" s="835">
        <f t="shared" ref="O108:AO108" si="539">O100*$B$107</f>
        <v>167.7724864477542</v>
      </c>
      <c r="P108" s="835">
        <f t="shared" si="539"/>
        <v>181.41750385344196</v>
      </c>
      <c r="Q108" s="835">
        <f t="shared" si="539"/>
        <v>181.41750385344196</v>
      </c>
      <c r="R108" s="835">
        <f t="shared" si="539"/>
        <v>181.41750385344196</v>
      </c>
      <c r="S108" s="835">
        <f t="shared" si="539"/>
        <v>181.41750385344196</v>
      </c>
      <c r="T108" s="835">
        <f t="shared" si="539"/>
        <v>152.5530439567948</v>
      </c>
      <c r="U108" s="835">
        <f t="shared" si="539"/>
        <v>181.41750385344196</v>
      </c>
      <c r="V108" s="835">
        <f t="shared" si="539"/>
        <v>181.41750385344196</v>
      </c>
      <c r="W108" s="835">
        <f t="shared" si="539"/>
        <v>181.41750385344196</v>
      </c>
      <c r="X108" s="835">
        <f t="shared" si="539"/>
        <v>174.59499515059807</v>
      </c>
      <c r="Y108" s="835">
        <f t="shared" si="539"/>
        <v>181.41750385344196</v>
      </c>
      <c r="Z108" s="835">
        <f t="shared" si="539"/>
        <v>181.41750385344196</v>
      </c>
      <c r="AA108" s="835">
        <f t="shared" si="539"/>
        <v>195.15305070153278</v>
      </c>
      <c r="AB108" s="835">
        <f t="shared" si="539"/>
        <v>221.82774770874795</v>
      </c>
      <c r="AC108" s="835">
        <f t="shared" si="539"/>
        <v>221.82774770874795</v>
      </c>
      <c r="AD108" s="835">
        <f t="shared" si="539"/>
        <v>221.82774770874795</v>
      </c>
      <c r="AE108" s="835">
        <f t="shared" si="539"/>
        <v>208.1827303030602</v>
      </c>
      <c r="AF108" s="835">
        <f t="shared" si="539"/>
        <v>221.82774770874795</v>
      </c>
      <c r="AG108" s="835">
        <f t="shared" si="539"/>
        <v>221.82774770874795</v>
      </c>
      <c r="AH108" s="835">
        <f t="shared" si="539"/>
        <v>190.52030488812093</v>
      </c>
      <c r="AI108" s="835">
        <f t="shared" si="539"/>
        <v>221.82774770874795</v>
      </c>
      <c r="AJ108" s="835">
        <f t="shared" si="539"/>
        <v>221.82774770874795</v>
      </c>
      <c r="AK108" s="835">
        <f t="shared" si="539"/>
        <v>221.82774770874795</v>
      </c>
      <c r="AL108" s="835">
        <f t="shared" si="539"/>
        <v>215.00523900590409</v>
      </c>
      <c r="AM108" s="835">
        <f t="shared" si="539"/>
        <v>221.82774770874795</v>
      </c>
      <c r="AN108" s="835">
        <f t="shared" si="539"/>
        <v>221.82774770874795</v>
      </c>
      <c r="AO108" s="835">
        <f t="shared" si="539"/>
        <v>200.05738484215405</v>
      </c>
    </row>
    <row r="109" s="123" customFormat="1" ht="28.149999999999999" customHeight="1" outlineLevel="1">
      <c r="A109" s="47" t="s">
        <v>115</v>
      </c>
      <c r="B109" s="48"/>
      <c r="C109" s="49" t="s">
        <v>11</v>
      </c>
      <c r="D109" s="50" t="s">
        <v>12</v>
      </c>
      <c r="E109" s="687" t="s">
        <v>13</v>
      </c>
      <c r="F109" s="408" t="s">
        <v>14</v>
      </c>
      <c r="G109" s="211" t="s">
        <v>15</v>
      </c>
      <c r="H109" s="212" t="s">
        <v>16</v>
      </c>
      <c r="I109" s="212" t="s">
        <v>17</v>
      </c>
      <c r="J109" s="213" t="s">
        <v>18</v>
      </c>
      <c r="K109" s="56">
        <v>44562</v>
      </c>
      <c r="L109" s="56">
        <v>44563</v>
      </c>
      <c r="M109" s="56">
        <v>44564</v>
      </c>
      <c r="N109" s="56">
        <v>44565</v>
      </c>
      <c r="O109" s="56">
        <v>44566</v>
      </c>
      <c r="P109" s="56">
        <v>44567</v>
      </c>
      <c r="Q109" s="56">
        <v>44568</v>
      </c>
      <c r="R109" s="56">
        <v>44569</v>
      </c>
      <c r="S109" s="56">
        <v>44570</v>
      </c>
      <c r="T109" s="56">
        <v>44571</v>
      </c>
      <c r="U109" s="56">
        <v>44572</v>
      </c>
      <c r="V109" s="56">
        <v>44573</v>
      </c>
      <c r="W109" s="56">
        <v>44574</v>
      </c>
      <c r="X109" s="56">
        <v>44575</v>
      </c>
      <c r="Y109" s="56">
        <v>44576</v>
      </c>
      <c r="Z109" s="56">
        <v>44577</v>
      </c>
      <c r="AA109" s="56">
        <v>44578</v>
      </c>
      <c r="AB109" s="56">
        <v>44579</v>
      </c>
      <c r="AC109" s="56">
        <v>44580</v>
      </c>
      <c r="AD109" s="56">
        <v>44581</v>
      </c>
      <c r="AE109" s="56">
        <v>44582</v>
      </c>
      <c r="AF109" s="56">
        <v>44583</v>
      </c>
      <c r="AG109" s="56">
        <v>44584</v>
      </c>
      <c r="AH109" s="56">
        <v>44585</v>
      </c>
      <c r="AI109" s="56">
        <v>44586</v>
      </c>
      <c r="AJ109" s="56">
        <v>44587</v>
      </c>
      <c r="AK109" s="56">
        <v>44588</v>
      </c>
      <c r="AL109" s="56">
        <v>44589</v>
      </c>
      <c r="AM109" s="56">
        <v>44590</v>
      </c>
      <c r="AN109" s="56">
        <v>44591</v>
      </c>
      <c r="AO109" s="56">
        <v>44561</v>
      </c>
    </row>
    <row r="110" outlineLevel="2">
      <c r="A110" s="62" t="s">
        <v>116</v>
      </c>
      <c r="B110" s="63" t="s">
        <v>0</v>
      </c>
      <c r="C110" s="64">
        <f t="shared" ref="C110:C113" si="540">$C$114/$F$114*F110</f>
        <v>49860.606060606064</v>
      </c>
      <c r="D110" s="320">
        <f t="shared" ref="D110:D113" si="541">SUM(K110:AO110)</f>
        <v>49860.606060606064</v>
      </c>
      <c r="E110" s="348">
        <f>'[3]План пр-ва по единицам обор'!$F$61</f>
        <v>4000</v>
      </c>
      <c r="F110" s="130">
        <f t="shared" ref="F110:F113" si="542">COUNTA(K110:AO110)</f>
        <v>14</v>
      </c>
      <c r="G110" s="541">
        <v>6</v>
      </c>
      <c r="H110" s="547">
        <f t="shared" ref="H110:H113" si="543">40/60</f>
        <v>0.66666666666666663</v>
      </c>
      <c r="I110" s="420">
        <f>'[12]План пр-ва по единицам обор'!$S$61/'[12]План пр-ва по единицам обор'!$I$61</f>
        <v>0.15833333333333333</v>
      </c>
      <c r="J110" s="727">
        <f t="shared" ref="J110:J113" si="544">SUM(G110:I110)</f>
        <v>6.8250000000000002</v>
      </c>
      <c r="K110" s="762"/>
      <c r="L110" s="629"/>
      <c r="M110" s="629"/>
      <c r="N110" s="73"/>
      <c r="O110" s="74">
        <f>$E110/11*(11-($H110+$I110))</f>
        <v>3700</v>
      </c>
      <c r="P110" s="74">
        <f t="shared" ref="P110:Q111" si="545">$E110/11*(11-($H110+$I110))</f>
        <v>3700</v>
      </c>
      <c r="Q110" s="73"/>
      <c r="R110" s="73"/>
      <c r="S110" s="74">
        <f t="shared" ref="S110:U113" si="546">$E110/11*(11-($H110+$I110))</f>
        <v>3700</v>
      </c>
      <c r="T110" s="74">
        <f t="shared" si="546"/>
        <v>3700</v>
      </c>
      <c r="U110" s="73"/>
      <c r="V110" s="73"/>
      <c r="W110" s="74">
        <f t="shared" ref="W110:Y111" si="547">$E110/11*(11-($H110+$I110))</f>
        <v>3700</v>
      </c>
      <c r="X110" s="74">
        <f t="shared" si="547"/>
        <v>3700</v>
      </c>
      <c r="Y110" s="73"/>
      <c r="Z110" s="73"/>
      <c r="AA110" s="75">
        <f>$E110/11*(11-($G110+$I110))</f>
        <v>1760.6060606060605</v>
      </c>
      <c r="AB110" s="74">
        <f t="shared" ref="AB110:AL113" si="548">$E110/11*(11-($H110+$I110))</f>
        <v>3700</v>
      </c>
      <c r="AC110" s="73"/>
      <c r="AD110" s="73"/>
      <c r="AE110" s="74">
        <f t="shared" ref="AE110:AG111" si="549">$E110/11*(11-($H110+$I110))</f>
        <v>3700</v>
      </c>
      <c r="AF110" s="74">
        <f t="shared" si="549"/>
        <v>3700</v>
      </c>
      <c r="AG110" s="73"/>
      <c r="AH110" s="73"/>
      <c r="AI110" s="74">
        <f t="shared" ref="AI110:AK112" si="550">$E110/11*(11-($H110+$I110))</f>
        <v>3700</v>
      </c>
      <c r="AJ110" s="74">
        <f t="shared" si="550"/>
        <v>3700</v>
      </c>
      <c r="AK110" s="73"/>
      <c r="AL110" s="73"/>
      <c r="AM110" s="74">
        <f t="shared" ref="AM110:AO111" si="551">$E110/11*(11-($H110+$I110))</f>
        <v>3700</v>
      </c>
      <c r="AN110" s="74">
        <f t="shared" si="551"/>
        <v>3700</v>
      </c>
      <c r="AO110" s="73"/>
      <c r="AQ110" s="122">
        <f t="shared" ref="AQ110:AQ113" si="552">E110*F110-E110/11*(G110+I110*F110+H110*4)</f>
        <v>52042.42424242424</v>
      </c>
    </row>
    <row r="111" outlineLevel="2">
      <c r="A111" s="76"/>
      <c r="B111" s="77" t="s">
        <v>1</v>
      </c>
      <c r="C111" s="78">
        <f t="shared" si="540"/>
        <v>49860.606060606064</v>
      </c>
      <c r="D111" s="427">
        <f t="shared" si="541"/>
        <v>49860.606060606064</v>
      </c>
      <c r="E111" s="348">
        <f t="shared" ref="E111:E113" si="553">E110</f>
        <v>4000</v>
      </c>
      <c r="F111" s="130">
        <f t="shared" si="542"/>
        <v>14</v>
      </c>
      <c r="G111" s="658">
        <v>6</v>
      </c>
      <c r="H111" s="547">
        <f t="shared" si="543"/>
        <v>0.66666666666666663</v>
      </c>
      <c r="I111" s="420">
        <f t="shared" ref="I111:I113" si="554">I110</f>
        <v>0.15833333333333333</v>
      </c>
      <c r="J111" s="732">
        <f t="shared" si="544"/>
        <v>6.8250000000000002</v>
      </c>
      <c r="K111" s="762"/>
      <c r="L111" s="629"/>
      <c r="M111" s="629"/>
      <c r="N111" s="84"/>
      <c r="O111" s="73"/>
      <c r="P111" s="74">
        <f t="shared" si="545"/>
        <v>3700</v>
      </c>
      <c r="Q111" s="74">
        <f t="shared" si="545"/>
        <v>3700</v>
      </c>
      <c r="R111" s="84"/>
      <c r="S111" s="73"/>
      <c r="T111" s="75">
        <f>$E111/11*(11-($G111+$I111))</f>
        <v>1760.6060606060605</v>
      </c>
      <c r="U111" s="74">
        <f t="shared" si="546"/>
        <v>3700</v>
      </c>
      <c r="V111" s="84"/>
      <c r="W111" s="73"/>
      <c r="X111" s="74">
        <f t="shared" si="547"/>
        <v>3700</v>
      </c>
      <c r="Y111" s="74">
        <f t="shared" si="547"/>
        <v>3700</v>
      </c>
      <c r="Z111" s="84"/>
      <c r="AA111" s="73"/>
      <c r="AB111" s="74">
        <f t="shared" si="548"/>
        <v>3700</v>
      </c>
      <c r="AC111" s="74">
        <f t="shared" si="548"/>
        <v>3700</v>
      </c>
      <c r="AD111" s="84"/>
      <c r="AE111" s="73"/>
      <c r="AF111" s="74">
        <f t="shared" si="549"/>
        <v>3700</v>
      </c>
      <c r="AG111" s="74">
        <f t="shared" si="549"/>
        <v>3700</v>
      </c>
      <c r="AH111" s="84"/>
      <c r="AI111" s="73"/>
      <c r="AJ111" s="74">
        <f t="shared" si="550"/>
        <v>3700</v>
      </c>
      <c r="AK111" s="74">
        <f t="shared" si="550"/>
        <v>3700</v>
      </c>
      <c r="AL111" s="84"/>
      <c r="AM111" s="73"/>
      <c r="AN111" s="74">
        <f t="shared" si="551"/>
        <v>3700</v>
      </c>
      <c r="AO111" s="74">
        <f t="shared" si="551"/>
        <v>3700</v>
      </c>
      <c r="AQ111" s="122">
        <f t="shared" si="552"/>
        <v>52042.42424242424</v>
      </c>
    </row>
    <row r="112" outlineLevel="2">
      <c r="A112" s="76"/>
      <c r="B112" s="85" t="s">
        <v>2</v>
      </c>
      <c r="C112" s="131">
        <f t="shared" si="540"/>
        <v>49860.606060606064</v>
      </c>
      <c r="D112" s="87">
        <f t="shared" si="541"/>
        <v>49860.606060606064</v>
      </c>
      <c r="E112" s="348">
        <f t="shared" si="553"/>
        <v>4000</v>
      </c>
      <c r="F112" s="130">
        <f t="shared" si="542"/>
        <v>14</v>
      </c>
      <c r="G112" s="658">
        <v>6</v>
      </c>
      <c r="H112" s="547">
        <f t="shared" si="543"/>
        <v>0.66666666666666663</v>
      </c>
      <c r="I112" s="420">
        <f t="shared" si="554"/>
        <v>0.15833333333333333</v>
      </c>
      <c r="J112" s="732">
        <f t="shared" si="544"/>
        <v>6.8250000000000002</v>
      </c>
      <c r="K112" s="762"/>
      <c r="L112" s="629"/>
      <c r="M112" s="629"/>
      <c r="N112" s="74">
        <f t="shared" ref="N112:Z113" si="555">$E112/11*(11-($H112+$I112))</f>
        <v>3700</v>
      </c>
      <c r="O112" s="74">
        <f>$E112/11*(11-($H112+$I112))</f>
        <v>3700</v>
      </c>
      <c r="P112" s="74"/>
      <c r="Q112" s="73"/>
      <c r="R112" s="74">
        <f t="shared" ref="R112:S112" si="556">$E112/11*(11-($H112+$I112))</f>
        <v>3700</v>
      </c>
      <c r="S112" s="74">
        <f t="shared" si="556"/>
        <v>3700</v>
      </c>
      <c r="T112" s="74"/>
      <c r="U112" s="73"/>
      <c r="V112" s="74">
        <f t="shared" ref="V112:W112" si="557">$E112/11*(11-($H112+$I112))</f>
        <v>3700</v>
      </c>
      <c r="W112" s="74">
        <f t="shared" si="557"/>
        <v>3700</v>
      </c>
      <c r="X112" s="74"/>
      <c r="Y112" s="73"/>
      <c r="Z112" s="74">
        <f t="shared" ref="Z112:AA112" si="558">$E112/11*(11-($H112+$I112))</f>
        <v>3700</v>
      </c>
      <c r="AA112" s="74">
        <f t="shared" si="558"/>
        <v>3700</v>
      </c>
      <c r="AB112" s="74"/>
      <c r="AC112" s="73"/>
      <c r="AD112" s="74">
        <f t="shared" ref="AD112:AE112" si="559">$E112/11*(11-($H112+$I112))</f>
        <v>3700</v>
      </c>
      <c r="AE112" s="74">
        <f t="shared" si="559"/>
        <v>3700</v>
      </c>
      <c r="AF112" s="74"/>
      <c r="AG112" s="73"/>
      <c r="AH112" s="75">
        <f>$E112/11*(11-($G112+$I112))</f>
        <v>1760.6060606060605</v>
      </c>
      <c r="AI112" s="74">
        <f t="shared" si="550"/>
        <v>3700</v>
      </c>
      <c r="AJ112" s="74"/>
      <c r="AK112" s="73"/>
      <c r="AL112" s="74">
        <f t="shared" ref="AL112:AM112" si="560">$E112/11*(11-($H112+$I112))</f>
        <v>3700</v>
      </c>
      <c r="AM112" s="74">
        <f t="shared" si="560"/>
        <v>3700</v>
      </c>
      <c r="AN112" s="74"/>
      <c r="AO112" s="75"/>
      <c r="AQ112" s="122">
        <f t="shared" si="552"/>
        <v>52042.42424242424</v>
      </c>
    </row>
    <row r="113" ht="13.5" outlineLevel="2">
      <c r="A113" s="89"/>
      <c r="B113" s="90" t="s">
        <v>3</v>
      </c>
      <c r="C113" s="131">
        <f t="shared" si="540"/>
        <v>49860.606060606064</v>
      </c>
      <c r="D113" s="836">
        <f t="shared" si="541"/>
        <v>49860.606060606064</v>
      </c>
      <c r="E113" s="348">
        <f t="shared" si="553"/>
        <v>4000</v>
      </c>
      <c r="F113" s="130">
        <f t="shared" si="542"/>
        <v>14</v>
      </c>
      <c r="G113" s="745">
        <v>6</v>
      </c>
      <c r="H113" s="547">
        <f t="shared" si="543"/>
        <v>0.66666666666666663</v>
      </c>
      <c r="I113" s="420">
        <f t="shared" si="554"/>
        <v>0.15833333333333333</v>
      </c>
      <c r="J113" s="738">
        <f t="shared" si="544"/>
        <v>6.8250000000000002</v>
      </c>
      <c r="K113" s="808"/>
      <c r="L113" s="188"/>
      <c r="M113" s="188"/>
      <c r="N113" s="73">
        <f t="shared" si="555"/>
        <v>3700</v>
      </c>
      <c r="O113" s="98"/>
      <c r="P113" s="74"/>
      <c r="Q113" s="73">
        <f t="shared" si="555"/>
        <v>3700</v>
      </c>
      <c r="R113" s="73">
        <f t="shared" si="555"/>
        <v>3700</v>
      </c>
      <c r="S113" s="98"/>
      <c r="T113" s="74"/>
      <c r="U113" s="74">
        <f t="shared" si="546"/>
        <v>3700</v>
      </c>
      <c r="V113" s="73">
        <f t="shared" si="555"/>
        <v>3700</v>
      </c>
      <c r="W113" s="98"/>
      <c r="X113" s="74"/>
      <c r="Y113" s="73">
        <f t="shared" si="555"/>
        <v>3700</v>
      </c>
      <c r="Z113" s="73">
        <f t="shared" si="555"/>
        <v>3700</v>
      </c>
      <c r="AA113" s="98"/>
      <c r="AB113" s="74"/>
      <c r="AC113" s="73">
        <f t="shared" si="548"/>
        <v>3700</v>
      </c>
      <c r="AD113" s="73">
        <f t="shared" si="548"/>
        <v>3700</v>
      </c>
      <c r="AE113" s="98"/>
      <c r="AF113" s="74"/>
      <c r="AG113" s="73">
        <f t="shared" si="548"/>
        <v>3700</v>
      </c>
      <c r="AH113" s="73">
        <f t="shared" si="548"/>
        <v>3700</v>
      </c>
      <c r="AI113" s="98"/>
      <c r="AJ113" s="74"/>
      <c r="AK113" s="73">
        <f t="shared" si="548"/>
        <v>3700</v>
      </c>
      <c r="AL113" s="73">
        <f t="shared" si="548"/>
        <v>3700</v>
      </c>
      <c r="AM113" s="98"/>
      <c r="AN113" s="74"/>
      <c r="AO113" s="75">
        <f>$E113/11*(11-($G113+$I113))</f>
        <v>1760.6060606060605</v>
      </c>
      <c r="AQ113" s="122">
        <f t="shared" si="552"/>
        <v>52042.42424242424</v>
      </c>
    </row>
    <row r="114" s="99" customFormat="1" ht="18.600000000000001" customHeight="1" outlineLevel="1">
      <c r="A114" s="837"/>
      <c r="B114" s="101" t="s">
        <v>18</v>
      </c>
      <c r="C114" s="102">
        <f>'[6]План пр-ва по единицам обор'!$AN$61</f>
        <v>199442.42424242425</v>
      </c>
      <c r="D114" s="103">
        <f>SUM(D110:D113)</f>
        <v>199442.42424242425</v>
      </c>
      <c r="E114" s="443" t="s">
        <v>19</v>
      </c>
      <c r="F114" s="553">
        <f>SUM(F110:F113)</f>
        <v>56</v>
      </c>
      <c r="G114" s="106">
        <f>SUM(G110:G113)</f>
        <v>24</v>
      </c>
      <c r="H114" s="167">
        <f>SUM(H110:H113)</f>
        <v>2.6666666666666665</v>
      </c>
      <c r="I114" s="168" t="s">
        <v>19</v>
      </c>
      <c r="J114" s="169">
        <f t="shared" ref="J114:N114" si="561">SUM(J110:J113)</f>
        <v>27.300000000000001</v>
      </c>
      <c r="K114" s="445">
        <f t="shared" si="561"/>
        <v>0</v>
      </c>
      <c r="L114" s="171">
        <f t="shared" si="561"/>
        <v>0</v>
      </c>
      <c r="M114" s="171">
        <f t="shared" si="561"/>
        <v>0</v>
      </c>
      <c r="N114" s="171">
        <f t="shared" si="561"/>
        <v>7400</v>
      </c>
      <c r="O114" s="171">
        <f>SUM(O110:O113)</f>
        <v>7400</v>
      </c>
      <c r="P114" s="171">
        <f>SUM(P110:P113)</f>
        <v>7400</v>
      </c>
      <c r="Q114" s="171">
        <f t="shared" ref="Q114:AO114" si="562">SUM(Q110:Q113)</f>
        <v>7400</v>
      </c>
      <c r="R114" s="171">
        <f t="shared" si="562"/>
        <v>7400</v>
      </c>
      <c r="S114" s="171">
        <f t="shared" si="562"/>
        <v>7400</v>
      </c>
      <c r="T114" s="171">
        <f t="shared" si="562"/>
        <v>5460.6060606060601</v>
      </c>
      <c r="U114" s="171">
        <f t="shared" si="562"/>
        <v>7400</v>
      </c>
      <c r="V114" s="171">
        <f t="shared" si="562"/>
        <v>7400</v>
      </c>
      <c r="W114" s="171">
        <f t="shared" si="562"/>
        <v>7400</v>
      </c>
      <c r="X114" s="171">
        <f t="shared" si="562"/>
        <v>7400</v>
      </c>
      <c r="Y114" s="171">
        <f t="shared" si="562"/>
        <v>7400</v>
      </c>
      <c r="Z114" s="171">
        <f t="shared" si="562"/>
        <v>7400</v>
      </c>
      <c r="AA114" s="171">
        <f t="shared" si="562"/>
        <v>5460.6060606060601</v>
      </c>
      <c r="AB114" s="172">
        <f t="shared" si="562"/>
        <v>7400</v>
      </c>
      <c r="AC114" s="446">
        <f t="shared" si="562"/>
        <v>7400</v>
      </c>
      <c r="AD114" s="447">
        <f t="shared" si="562"/>
        <v>7400</v>
      </c>
      <c r="AE114" s="447">
        <f t="shared" si="562"/>
        <v>7400</v>
      </c>
      <c r="AF114" s="447">
        <f t="shared" si="562"/>
        <v>7400</v>
      </c>
      <c r="AG114" s="447">
        <f t="shared" si="562"/>
        <v>7400</v>
      </c>
      <c r="AH114" s="447">
        <f t="shared" si="562"/>
        <v>5460.6060606060601</v>
      </c>
      <c r="AI114" s="447">
        <f t="shared" si="562"/>
        <v>7400</v>
      </c>
      <c r="AJ114" s="447">
        <f t="shared" si="562"/>
        <v>7400</v>
      </c>
      <c r="AK114" s="447">
        <f t="shared" si="562"/>
        <v>7400</v>
      </c>
      <c r="AL114" s="447">
        <f t="shared" si="562"/>
        <v>7400</v>
      </c>
      <c r="AM114" s="447">
        <f t="shared" si="562"/>
        <v>7400</v>
      </c>
      <c r="AN114" s="447">
        <f t="shared" si="562"/>
        <v>7400</v>
      </c>
      <c r="AO114" s="448">
        <f t="shared" si="562"/>
        <v>5460.6060606060601</v>
      </c>
    </row>
    <row r="115" ht="13.5" outlineLevel="1">
      <c r="C115" s="838"/>
      <c r="D115" s="839"/>
      <c r="E115" s="680"/>
      <c r="F115" s="840">
        <f>'[9]План пр-ва по единицам обор'!$I$29</f>
        <v>10.82</v>
      </c>
      <c r="G115" s="841"/>
      <c r="H115" s="842"/>
      <c r="I115" s="842"/>
      <c r="J115" s="842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="123" customFormat="1" ht="28.149999999999999" customHeight="1" outlineLevel="1">
      <c r="A116" s="47" t="s">
        <v>117</v>
      </c>
      <c r="B116" s="48"/>
      <c r="C116" s="49" t="s">
        <v>11</v>
      </c>
      <c r="D116" s="50" t="s">
        <v>12</v>
      </c>
      <c r="E116" s="407" t="s">
        <v>13</v>
      </c>
      <c r="F116" s="210" t="s">
        <v>14</v>
      </c>
      <c r="G116" s="211" t="s">
        <v>15</v>
      </c>
      <c r="H116" s="212" t="s">
        <v>16</v>
      </c>
      <c r="I116" s="212" t="s">
        <v>17</v>
      </c>
      <c r="J116" s="250" t="s">
        <v>18</v>
      </c>
      <c r="K116" s="409">
        <v>44562</v>
      </c>
      <c r="L116" s="56">
        <v>44563</v>
      </c>
      <c r="M116" s="56">
        <v>44564</v>
      </c>
      <c r="N116" s="56">
        <v>44565</v>
      </c>
      <c r="O116" s="58">
        <v>44566</v>
      </c>
      <c r="P116" s="56">
        <v>44567</v>
      </c>
      <c r="Q116" s="56">
        <v>44568</v>
      </c>
      <c r="R116" s="56">
        <v>44569</v>
      </c>
      <c r="S116" s="56">
        <v>44570</v>
      </c>
      <c r="T116" s="56">
        <v>44571</v>
      </c>
      <c r="U116" s="56">
        <v>44572</v>
      </c>
      <c r="V116" s="56">
        <v>44573</v>
      </c>
      <c r="W116" s="56">
        <v>44574</v>
      </c>
      <c r="X116" s="57">
        <v>44575</v>
      </c>
      <c r="Y116" s="56">
        <v>44576</v>
      </c>
      <c r="Z116" s="56">
        <v>44577</v>
      </c>
      <c r="AA116" s="56">
        <v>44578</v>
      </c>
      <c r="AB116" s="56">
        <v>44579</v>
      </c>
      <c r="AC116" s="56">
        <v>44580</v>
      </c>
      <c r="AD116" s="56">
        <v>44581</v>
      </c>
      <c r="AE116" s="58">
        <v>44582</v>
      </c>
      <c r="AF116" s="56">
        <v>44583</v>
      </c>
      <c r="AG116" s="56">
        <v>44584</v>
      </c>
      <c r="AH116" s="56">
        <v>44585</v>
      </c>
      <c r="AI116" s="56">
        <v>44586</v>
      </c>
      <c r="AJ116" s="56">
        <v>44587</v>
      </c>
      <c r="AK116" s="56">
        <v>44588</v>
      </c>
      <c r="AL116" s="59">
        <v>44589</v>
      </c>
      <c r="AM116" s="56">
        <v>44590</v>
      </c>
      <c r="AN116" s="56">
        <v>44591</v>
      </c>
      <c r="AO116" s="333">
        <v>44592</v>
      </c>
    </row>
    <row r="117" outlineLevel="2">
      <c r="A117" s="62" t="s">
        <v>118</v>
      </c>
      <c r="B117" s="63" t="s">
        <v>0</v>
      </c>
      <c r="C117" s="127">
        <f t="shared" ref="C117:C120" si="563">$C$121/$F$121*F117</f>
        <v>49860.606060606064</v>
      </c>
      <c r="D117" s="320">
        <f t="shared" ref="D117:D120" si="564">SUM(K117:AO117)</f>
        <v>47921.21212121212</v>
      </c>
      <c r="E117" s="843">
        <f>'[3]План пр-ва по единицам обор'!$F$64</f>
        <v>4000</v>
      </c>
      <c r="F117" s="844">
        <f t="shared" ref="F117:F120" si="565">COUNTA(K117:AO117)</f>
        <v>14</v>
      </c>
      <c r="G117" s="708">
        <v>6</v>
      </c>
      <c r="H117" s="568">
        <f t="shared" ref="H117:H120" si="566">40/60</f>
        <v>0.66666666666666663</v>
      </c>
      <c r="I117" s="360">
        <f t="shared" ref="I117:I120" si="567">(8.5+1)/60</f>
        <v>0.15833333333333333</v>
      </c>
      <c r="J117" s="845">
        <f t="shared" ref="J117:J120" si="568">SUM(G117:I117)</f>
        <v>6.8250000000000002</v>
      </c>
      <c r="K117" s="846"/>
      <c r="L117" s="71"/>
      <c r="M117" s="71"/>
      <c r="N117" s="73"/>
      <c r="O117" s="75">
        <f>$E117/11*(11-($G117+$I117))</f>
        <v>1760.6060606060605</v>
      </c>
      <c r="P117" s="74">
        <f t="shared" ref="P117:Q118" si="569">$E117/11*(11-($H117+$I117))</f>
        <v>3700</v>
      </c>
      <c r="Q117" s="73"/>
      <c r="R117" s="73"/>
      <c r="S117" s="74">
        <f t="shared" ref="S117:U120" si="570">$E117/11*(11-($H117+$I117))</f>
        <v>3700</v>
      </c>
      <c r="T117" s="74">
        <f t="shared" si="570"/>
        <v>3700</v>
      </c>
      <c r="U117" s="73"/>
      <c r="V117" s="73"/>
      <c r="W117" s="74">
        <f t="shared" ref="W117:Y118" si="571">$E117/11*(11-($H117+$I117))</f>
        <v>3700</v>
      </c>
      <c r="X117" s="74">
        <f t="shared" si="571"/>
        <v>3700</v>
      </c>
      <c r="Y117" s="73"/>
      <c r="Z117" s="73"/>
      <c r="AA117" s="74">
        <f t="shared" ref="AA117:AO120" si="572">$E117/11*(11-($H117+$I117))</f>
        <v>3700</v>
      </c>
      <c r="AB117" s="74">
        <f t="shared" si="572"/>
        <v>3700</v>
      </c>
      <c r="AC117" s="73"/>
      <c r="AD117" s="73"/>
      <c r="AE117" s="75">
        <f>$E117/11*(11-($G117+$I117))</f>
        <v>1760.6060606060605</v>
      </c>
      <c r="AF117" s="74">
        <f t="shared" ref="AF117:AG118" si="573">$E117/11*(11-($H117+$I117))</f>
        <v>3700</v>
      </c>
      <c r="AG117" s="73"/>
      <c r="AH117" s="73"/>
      <c r="AI117" s="74">
        <f t="shared" ref="AH117:AK119" si="574">$E117/11*(11-($H117+$I117))</f>
        <v>3700</v>
      </c>
      <c r="AJ117" s="74">
        <f t="shared" si="574"/>
        <v>3700</v>
      </c>
      <c r="AK117" s="73"/>
      <c r="AL117" s="73"/>
      <c r="AM117" s="74">
        <f t="shared" ref="AM117:AO119" si="575">$E117/11*(11-($H117+$I117))</f>
        <v>3700</v>
      </c>
      <c r="AN117" s="74">
        <f t="shared" si="575"/>
        <v>3700</v>
      </c>
      <c r="AO117" s="544"/>
    </row>
    <row r="118" outlineLevel="2">
      <c r="A118" s="76"/>
      <c r="B118" s="77" t="s">
        <v>1</v>
      </c>
      <c r="C118" s="78">
        <f t="shared" si="563"/>
        <v>49860.606060606064</v>
      </c>
      <c r="D118" s="427">
        <f t="shared" si="564"/>
        <v>49860.606060606064</v>
      </c>
      <c r="E118" s="847">
        <f t="shared" ref="E118:E120" si="576">E117</f>
        <v>4000</v>
      </c>
      <c r="F118" s="844">
        <f t="shared" si="565"/>
        <v>14</v>
      </c>
      <c r="G118" s="658">
        <v>6</v>
      </c>
      <c r="H118" s="571">
        <f t="shared" si="566"/>
        <v>0.66666666666666663</v>
      </c>
      <c r="I118" s="360">
        <f t="shared" si="567"/>
        <v>0.15833333333333333</v>
      </c>
      <c r="J118" s="848">
        <f t="shared" si="568"/>
        <v>6.8250000000000002</v>
      </c>
      <c r="K118" s="849"/>
      <c r="L118" s="72"/>
      <c r="M118" s="71"/>
      <c r="N118" s="84"/>
      <c r="O118" s="73"/>
      <c r="P118" s="74">
        <f t="shared" si="569"/>
        <v>3700</v>
      </c>
      <c r="Q118" s="74">
        <f t="shared" si="569"/>
        <v>3700</v>
      </c>
      <c r="R118" s="84"/>
      <c r="S118" s="73"/>
      <c r="T118" s="74">
        <f t="shared" si="570"/>
        <v>3700</v>
      </c>
      <c r="U118" s="74">
        <f t="shared" si="570"/>
        <v>3700</v>
      </c>
      <c r="V118" s="84"/>
      <c r="W118" s="73"/>
      <c r="X118" s="75">
        <f>$E118/11*(11-($G118+$I118))</f>
        <v>1760.6060606060605</v>
      </c>
      <c r="Y118" s="74">
        <f t="shared" si="571"/>
        <v>3700</v>
      </c>
      <c r="Z118" s="84"/>
      <c r="AA118" s="73"/>
      <c r="AB118" s="74">
        <f t="shared" si="572"/>
        <v>3700</v>
      </c>
      <c r="AC118" s="74">
        <f t="shared" si="572"/>
        <v>3700</v>
      </c>
      <c r="AD118" s="84"/>
      <c r="AE118" s="73"/>
      <c r="AF118" s="74">
        <f t="shared" si="573"/>
        <v>3700</v>
      </c>
      <c r="AG118" s="74">
        <f t="shared" si="573"/>
        <v>3700</v>
      </c>
      <c r="AH118" s="84"/>
      <c r="AI118" s="73"/>
      <c r="AJ118" s="74">
        <f t="shared" si="574"/>
        <v>3700</v>
      </c>
      <c r="AK118" s="74">
        <f t="shared" si="574"/>
        <v>3700</v>
      </c>
      <c r="AL118" s="84"/>
      <c r="AM118" s="73"/>
      <c r="AN118" s="74">
        <f t="shared" si="575"/>
        <v>3700</v>
      </c>
      <c r="AO118" s="659">
        <f t="shared" si="575"/>
        <v>3700</v>
      </c>
    </row>
    <row r="119" outlineLevel="2">
      <c r="A119" s="76"/>
      <c r="B119" s="85" t="s">
        <v>2</v>
      </c>
      <c r="C119" s="131">
        <f t="shared" si="563"/>
        <v>49860.606060606064</v>
      </c>
      <c r="D119" s="87">
        <f t="shared" si="564"/>
        <v>49860.606060606064</v>
      </c>
      <c r="E119" s="847">
        <f t="shared" si="576"/>
        <v>4000</v>
      </c>
      <c r="F119" s="844">
        <f t="shared" si="565"/>
        <v>14</v>
      </c>
      <c r="G119" s="658">
        <v>6</v>
      </c>
      <c r="H119" s="571">
        <f t="shared" si="566"/>
        <v>0.66666666666666663</v>
      </c>
      <c r="I119" s="360">
        <f t="shared" si="567"/>
        <v>0.15833333333333333</v>
      </c>
      <c r="J119" s="848">
        <f t="shared" si="568"/>
        <v>6.8250000000000002</v>
      </c>
      <c r="K119" s="846"/>
      <c r="L119" s="72"/>
      <c r="M119" s="72"/>
      <c r="N119" s="74">
        <f t="shared" ref="N119:Z120" si="577">$E119/11*(11-($H119+$I119))</f>
        <v>3700</v>
      </c>
      <c r="O119" s="74">
        <f>$E119/11*(11-($H119+$I119))</f>
        <v>3700</v>
      </c>
      <c r="P119" s="74"/>
      <c r="Q119" s="73"/>
      <c r="R119" s="74">
        <f t="shared" ref="R119:S119" si="578">$E119/11*(11-($H119+$I119))</f>
        <v>3700</v>
      </c>
      <c r="S119" s="74">
        <f t="shared" si="578"/>
        <v>3700</v>
      </c>
      <c r="T119" s="74"/>
      <c r="U119" s="73"/>
      <c r="V119" s="74">
        <f t="shared" ref="V119:W119" si="579">$E119/11*(11-($H119+$I119))</f>
        <v>3700</v>
      </c>
      <c r="W119" s="74">
        <f t="shared" si="579"/>
        <v>3700</v>
      </c>
      <c r="X119" s="74"/>
      <c r="Y119" s="73"/>
      <c r="Z119" s="74">
        <f t="shared" ref="Z119:AA119" si="580">$E119/11*(11-($H119+$I119))</f>
        <v>3700</v>
      </c>
      <c r="AA119" s="74">
        <f t="shared" si="580"/>
        <v>3700</v>
      </c>
      <c r="AB119" s="74"/>
      <c r="AC119" s="73"/>
      <c r="AD119" s="74">
        <f t="shared" ref="AD119:AE119" si="581">$E119/11*(11-($H119+$I119))</f>
        <v>3700</v>
      </c>
      <c r="AE119" s="74">
        <f t="shared" si="581"/>
        <v>3700</v>
      </c>
      <c r="AF119" s="74"/>
      <c r="AG119" s="73"/>
      <c r="AH119" s="74">
        <f t="shared" si="574"/>
        <v>3700</v>
      </c>
      <c r="AI119" s="74">
        <f t="shared" si="574"/>
        <v>3700</v>
      </c>
      <c r="AJ119" s="74"/>
      <c r="AK119" s="73"/>
      <c r="AL119" s="75">
        <f>$E119/11*(11-($G119+$I119))</f>
        <v>1760.6060606060605</v>
      </c>
      <c r="AM119" s="74">
        <f t="shared" si="575"/>
        <v>3700</v>
      </c>
      <c r="AN119" s="74"/>
      <c r="AO119" s="544"/>
    </row>
    <row r="120" ht="13.5" outlineLevel="2">
      <c r="A120" s="89"/>
      <c r="B120" s="90" t="s">
        <v>3</v>
      </c>
      <c r="C120" s="635">
        <f t="shared" si="563"/>
        <v>49860.606060606064</v>
      </c>
      <c r="D120" s="836">
        <f t="shared" si="564"/>
        <v>51800</v>
      </c>
      <c r="E120" s="850">
        <f t="shared" si="576"/>
        <v>4000</v>
      </c>
      <c r="F120" s="844">
        <f t="shared" si="565"/>
        <v>14</v>
      </c>
      <c r="G120" s="745">
        <v>12</v>
      </c>
      <c r="H120" s="851">
        <f t="shared" si="566"/>
        <v>0.66666666666666663</v>
      </c>
      <c r="I120" s="360">
        <f t="shared" si="567"/>
        <v>0.15833333333333333</v>
      </c>
      <c r="J120" s="852">
        <f t="shared" si="568"/>
        <v>12.824999999999999</v>
      </c>
      <c r="K120" s="853"/>
      <c r="L120" s="854"/>
      <c r="M120" s="855"/>
      <c r="N120" s="98">
        <f t="shared" si="577"/>
        <v>3700</v>
      </c>
      <c r="O120" s="98"/>
      <c r="P120" s="663"/>
      <c r="Q120" s="98">
        <f t="shared" si="577"/>
        <v>3700</v>
      </c>
      <c r="R120" s="98">
        <f t="shared" si="577"/>
        <v>3700</v>
      </c>
      <c r="S120" s="98"/>
      <c r="T120" s="663"/>
      <c r="U120" s="663">
        <f t="shared" si="570"/>
        <v>3700</v>
      </c>
      <c r="V120" s="98">
        <f t="shared" si="577"/>
        <v>3700</v>
      </c>
      <c r="W120" s="98"/>
      <c r="X120" s="663"/>
      <c r="Y120" s="98">
        <f t="shared" si="577"/>
        <v>3700</v>
      </c>
      <c r="Z120" s="98">
        <f t="shared" si="577"/>
        <v>3700</v>
      </c>
      <c r="AA120" s="98"/>
      <c r="AB120" s="663"/>
      <c r="AC120" s="98">
        <f t="shared" si="572"/>
        <v>3700</v>
      </c>
      <c r="AD120" s="98">
        <f t="shared" si="572"/>
        <v>3700</v>
      </c>
      <c r="AE120" s="98"/>
      <c r="AF120" s="663"/>
      <c r="AG120" s="98">
        <f t="shared" si="572"/>
        <v>3700</v>
      </c>
      <c r="AH120" s="98">
        <f t="shared" si="572"/>
        <v>3700</v>
      </c>
      <c r="AI120" s="98"/>
      <c r="AJ120" s="663"/>
      <c r="AK120" s="98">
        <f t="shared" si="572"/>
        <v>3700</v>
      </c>
      <c r="AL120" s="98">
        <f t="shared" si="572"/>
        <v>3700</v>
      </c>
      <c r="AM120" s="98"/>
      <c r="AN120" s="663"/>
      <c r="AO120" s="665">
        <f t="shared" si="572"/>
        <v>3700</v>
      </c>
    </row>
    <row r="121" s="99" customFormat="1" ht="16.899999999999999" customHeight="1" outlineLevel="1">
      <c r="B121" s="101" t="s">
        <v>18</v>
      </c>
      <c r="C121" s="102">
        <f>'[6]План пр-ва по единицам обор'!$AN$64</f>
        <v>199442.42424242425</v>
      </c>
      <c r="D121" s="103">
        <f>SUM(D117:D120)</f>
        <v>199442.42424242425</v>
      </c>
      <c r="E121" s="856" t="s">
        <v>19</v>
      </c>
      <c r="F121" s="105">
        <f>SUM(F117:F120)</f>
        <v>56</v>
      </c>
      <c r="G121" s="444">
        <f>SUM(G117:G120)</f>
        <v>30</v>
      </c>
      <c r="H121" s="857">
        <f>SUM(H117:H120)</f>
        <v>2.6666666666666665</v>
      </c>
      <c r="I121" s="858" t="s">
        <v>19</v>
      </c>
      <c r="J121" s="859">
        <f t="shared" ref="J121:AO121" si="582">SUM(J117:J120)</f>
        <v>33.299999999999997</v>
      </c>
      <c r="K121" s="860">
        <f t="shared" si="582"/>
        <v>0</v>
      </c>
      <c r="L121" s="861">
        <f t="shared" si="582"/>
        <v>0</v>
      </c>
      <c r="M121" s="861">
        <f t="shared" si="582"/>
        <v>0</v>
      </c>
      <c r="N121" s="861">
        <f t="shared" si="582"/>
        <v>7400</v>
      </c>
      <c r="O121" s="861">
        <f t="shared" si="582"/>
        <v>5460.6060606060601</v>
      </c>
      <c r="P121" s="861">
        <f t="shared" si="582"/>
        <v>7400</v>
      </c>
      <c r="Q121" s="861">
        <f t="shared" si="582"/>
        <v>7400</v>
      </c>
      <c r="R121" s="861">
        <f t="shared" si="582"/>
        <v>7400</v>
      </c>
      <c r="S121" s="861">
        <f t="shared" si="582"/>
        <v>7400</v>
      </c>
      <c r="T121" s="861">
        <f t="shared" si="582"/>
        <v>7400</v>
      </c>
      <c r="U121" s="861">
        <f t="shared" si="582"/>
        <v>7400</v>
      </c>
      <c r="V121" s="861">
        <f t="shared" si="582"/>
        <v>7400</v>
      </c>
      <c r="W121" s="861">
        <f t="shared" si="582"/>
        <v>7400</v>
      </c>
      <c r="X121" s="861">
        <f t="shared" si="582"/>
        <v>5460.6060606060601</v>
      </c>
      <c r="Y121" s="861">
        <f t="shared" si="582"/>
        <v>7400</v>
      </c>
      <c r="Z121" s="861">
        <f t="shared" si="582"/>
        <v>7400</v>
      </c>
      <c r="AA121" s="861">
        <f t="shared" si="582"/>
        <v>7400</v>
      </c>
      <c r="AB121" s="862">
        <f t="shared" si="582"/>
        <v>7400</v>
      </c>
      <c r="AC121" s="314">
        <f t="shared" si="582"/>
        <v>7400</v>
      </c>
      <c r="AD121" s="863">
        <f t="shared" si="582"/>
        <v>7400</v>
      </c>
      <c r="AE121" s="863">
        <f t="shared" si="582"/>
        <v>5460.6060606060601</v>
      </c>
      <c r="AF121" s="863">
        <f t="shared" si="582"/>
        <v>7400</v>
      </c>
      <c r="AG121" s="863">
        <f t="shared" si="582"/>
        <v>7400</v>
      </c>
      <c r="AH121" s="863">
        <f t="shared" si="582"/>
        <v>7400</v>
      </c>
      <c r="AI121" s="863">
        <f t="shared" si="582"/>
        <v>7400</v>
      </c>
      <c r="AJ121" s="863">
        <f t="shared" si="582"/>
        <v>7400</v>
      </c>
      <c r="AK121" s="863">
        <f t="shared" si="582"/>
        <v>7400</v>
      </c>
      <c r="AL121" s="863">
        <f t="shared" si="582"/>
        <v>5460.6060606060601</v>
      </c>
      <c r="AM121" s="863">
        <f t="shared" si="582"/>
        <v>7400</v>
      </c>
      <c r="AN121" s="863">
        <f t="shared" si="582"/>
        <v>7400</v>
      </c>
      <c r="AO121" s="864">
        <f t="shared" si="582"/>
        <v>7400</v>
      </c>
    </row>
    <row r="122" s="99" customFormat="1" ht="16.149999999999999" customHeight="1">
      <c r="A122" s="590"/>
      <c r="B122" s="590"/>
      <c r="C122" s="116"/>
      <c r="D122" s="721"/>
      <c r="E122" s="584"/>
      <c r="F122" s="721"/>
      <c r="G122" s="721"/>
      <c r="H122" s="276"/>
      <c r="I122" s="722"/>
      <c r="J122" s="276"/>
      <c r="K122" s="276"/>
      <c r="L122" s="276"/>
      <c r="M122" s="276"/>
      <c r="N122" s="276"/>
      <c r="O122" s="276"/>
      <c r="P122" s="276"/>
      <c r="Q122" s="276"/>
      <c r="R122" s="276"/>
      <c r="S122" s="276"/>
      <c r="T122" s="276"/>
      <c r="U122" s="276"/>
      <c r="V122" s="276"/>
      <c r="W122" s="276"/>
      <c r="X122" s="276"/>
      <c r="Y122" s="276"/>
      <c r="Z122" s="276"/>
      <c r="AA122" s="276"/>
      <c r="AB122" s="276"/>
      <c r="AC122" s="723"/>
      <c r="AD122" s="723"/>
      <c r="AE122" s="723"/>
      <c r="AF122" s="723"/>
      <c r="AG122" s="723"/>
      <c r="AH122" s="723"/>
      <c r="AI122" s="723"/>
      <c r="AJ122" s="723"/>
      <c r="AK122" s="723"/>
      <c r="AL122" s="723"/>
      <c r="AM122" s="723"/>
      <c r="AN122" s="723"/>
      <c r="AO122" s="723"/>
    </row>
    <row r="123" s="123" customFormat="1" ht="36.600000000000001" customHeight="1">
      <c r="A123" s="288" t="s">
        <v>44</v>
      </c>
      <c r="B123" s="289"/>
      <c r="C123" s="49" t="s">
        <v>11</v>
      </c>
      <c r="D123" s="50" t="s">
        <v>12</v>
      </c>
      <c r="E123" s="407" t="s">
        <v>13</v>
      </c>
      <c r="F123" s="408" t="s">
        <v>14</v>
      </c>
      <c r="G123" s="211" t="s">
        <v>15</v>
      </c>
      <c r="H123" s="212" t="s">
        <v>16</v>
      </c>
      <c r="I123" s="212" t="s">
        <v>17</v>
      </c>
      <c r="J123" s="213" t="s">
        <v>18</v>
      </c>
      <c r="K123" s="56">
        <v>44562</v>
      </c>
      <c r="L123" s="56">
        <v>44563</v>
      </c>
      <c r="M123" s="56">
        <v>44564</v>
      </c>
      <c r="N123" s="56">
        <v>44565</v>
      </c>
      <c r="O123" s="56">
        <v>44566</v>
      </c>
      <c r="P123" s="56">
        <v>44567</v>
      </c>
      <c r="Q123" s="56">
        <v>44568</v>
      </c>
      <c r="R123" s="56">
        <v>44569</v>
      </c>
      <c r="S123" s="56">
        <v>44570</v>
      </c>
      <c r="T123" s="56">
        <v>44571</v>
      </c>
      <c r="U123" s="56">
        <v>44572</v>
      </c>
      <c r="V123" s="56">
        <v>44573</v>
      </c>
      <c r="W123" s="56">
        <v>44574</v>
      </c>
      <c r="X123" s="56">
        <v>44575</v>
      </c>
      <c r="Y123" s="56">
        <v>44576</v>
      </c>
      <c r="Z123" s="56">
        <v>44577</v>
      </c>
      <c r="AA123" s="56">
        <v>44578</v>
      </c>
      <c r="AB123" s="56">
        <v>44579</v>
      </c>
      <c r="AC123" s="56">
        <v>44580</v>
      </c>
      <c r="AD123" s="56">
        <v>44581</v>
      </c>
      <c r="AE123" s="56">
        <v>44582</v>
      </c>
      <c r="AF123" s="56">
        <v>44583</v>
      </c>
      <c r="AG123" s="56">
        <v>44584</v>
      </c>
      <c r="AH123" s="56">
        <v>44585</v>
      </c>
      <c r="AI123" s="56">
        <v>44586</v>
      </c>
      <c r="AJ123" s="56">
        <v>44587</v>
      </c>
      <c r="AK123" s="56">
        <v>44588</v>
      </c>
      <c r="AL123" s="56">
        <v>44589</v>
      </c>
      <c r="AM123" s="56">
        <v>44590</v>
      </c>
      <c r="AN123" s="56">
        <v>44591</v>
      </c>
      <c r="AO123" s="56">
        <v>44561</v>
      </c>
    </row>
    <row r="124" outlineLevel="1">
      <c r="A124" s="377" t="s">
        <v>45</v>
      </c>
      <c r="B124" s="63" t="s">
        <v>0</v>
      </c>
      <c r="C124" s="64">
        <f t="shared" ref="C124:C127" si="583">$C$128/$F$128*F124</f>
        <v>99721.212121212127</v>
      </c>
      <c r="D124" s="65">
        <f t="shared" ref="D124:D127" si="584">SUM(K124:AO124)</f>
        <v>97781.818181818191</v>
      </c>
      <c r="E124" s="865">
        <f>E110+E117</f>
        <v>8000</v>
      </c>
      <c r="F124" s="591">
        <f t="shared" ref="F124:I127" si="585">F110+F117</f>
        <v>28</v>
      </c>
      <c r="G124" s="541">
        <f>G110+G117</f>
        <v>12</v>
      </c>
      <c r="H124" s="770">
        <f>H110+H117</f>
        <v>1.3333333333333333</v>
      </c>
      <c r="I124" s="866">
        <f>I110+I117</f>
        <v>0.31666666666666665</v>
      </c>
      <c r="J124" s="727">
        <f t="shared" ref="J124:J127" si="586">SUM(G124:I124)</f>
        <v>13.65</v>
      </c>
      <c r="K124" s="867">
        <f t="shared" ref="K124:AO127" si="587">K110+K117</f>
        <v>0</v>
      </c>
      <c r="L124" s="867">
        <f>L110+L117</f>
        <v>0</v>
      </c>
      <c r="M124" s="867">
        <f>M110+M117</f>
        <v>0</v>
      </c>
      <c r="N124" s="868">
        <f t="shared" ref="N124:AB124" si="588">N110+N117</f>
        <v>0</v>
      </c>
      <c r="O124" s="868">
        <f t="shared" si="588"/>
        <v>5460.6060606060601</v>
      </c>
      <c r="P124" s="868">
        <f t="shared" si="588"/>
        <v>7400</v>
      </c>
      <c r="Q124" s="868">
        <f t="shared" si="588"/>
        <v>0</v>
      </c>
      <c r="R124" s="868">
        <f t="shared" si="588"/>
        <v>0</v>
      </c>
      <c r="S124" s="868">
        <f t="shared" si="588"/>
        <v>7400</v>
      </c>
      <c r="T124" s="868">
        <f t="shared" si="588"/>
        <v>7400</v>
      </c>
      <c r="U124" s="868">
        <f t="shared" si="588"/>
        <v>0</v>
      </c>
      <c r="V124" s="868">
        <f t="shared" si="588"/>
        <v>0</v>
      </c>
      <c r="W124" s="868">
        <f t="shared" si="588"/>
        <v>7400</v>
      </c>
      <c r="X124" s="258">
        <f t="shared" si="588"/>
        <v>7400</v>
      </c>
      <c r="Y124" s="258">
        <f t="shared" si="588"/>
        <v>0</v>
      </c>
      <c r="Z124" s="258">
        <f t="shared" si="588"/>
        <v>0</v>
      </c>
      <c r="AA124" s="258">
        <f t="shared" si="588"/>
        <v>5460.6060606060601</v>
      </c>
      <c r="AB124" s="869">
        <f t="shared" si="588"/>
        <v>7400</v>
      </c>
      <c r="AC124" s="73">
        <f>AC110+AC117</f>
        <v>0</v>
      </c>
      <c r="AD124" s="73">
        <f t="shared" ref="AD124:AO124" si="589">AD110+AD117</f>
        <v>0</v>
      </c>
      <c r="AE124" s="73">
        <f t="shared" si="589"/>
        <v>5460.6060606060601</v>
      </c>
      <c r="AF124" s="73">
        <f t="shared" si="589"/>
        <v>7400</v>
      </c>
      <c r="AG124" s="73">
        <f t="shared" si="589"/>
        <v>0</v>
      </c>
      <c r="AH124" s="73">
        <f t="shared" si="589"/>
        <v>0</v>
      </c>
      <c r="AI124" s="73">
        <f t="shared" si="589"/>
        <v>7400</v>
      </c>
      <c r="AJ124" s="73">
        <f t="shared" si="589"/>
        <v>7400</v>
      </c>
      <c r="AK124" s="73">
        <f t="shared" si="589"/>
        <v>0</v>
      </c>
      <c r="AL124" s="73">
        <f t="shared" si="589"/>
        <v>0</v>
      </c>
      <c r="AM124" s="73">
        <f t="shared" si="589"/>
        <v>7400</v>
      </c>
      <c r="AN124" s="73">
        <f t="shared" si="589"/>
        <v>7400</v>
      </c>
      <c r="AO124" s="544">
        <f t="shared" si="589"/>
        <v>0</v>
      </c>
      <c r="AP124" s="122">
        <f t="shared" ref="AP124:AP127" si="590">D124/$AQ$124</f>
        <v>287.85408432147568</v>
      </c>
      <c r="AQ124" s="122">
        <f>'[10]План пр-ва по единицам обор'!$F$61/'[10]План пр-ва по единицам обор'!$E$61</f>
        <v>339.69230769230768</v>
      </c>
    </row>
    <row r="125" outlineLevel="1">
      <c r="A125" s="377"/>
      <c r="B125" s="77" t="s">
        <v>1</v>
      </c>
      <c r="C125" s="78">
        <f t="shared" si="583"/>
        <v>99721.212121212127</v>
      </c>
      <c r="D125" s="79">
        <f t="shared" si="584"/>
        <v>99721.212121212127</v>
      </c>
      <c r="E125" s="348">
        <f t="shared" ref="E125:E127" si="591">E124</f>
        <v>8000</v>
      </c>
      <c r="F125" s="591">
        <f t="shared" si="585"/>
        <v>28</v>
      </c>
      <c r="G125" s="541">
        <f t="shared" si="585"/>
        <v>12</v>
      </c>
      <c r="H125" s="770">
        <f t="shared" si="585"/>
        <v>1.3333333333333333</v>
      </c>
      <c r="I125" s="866">
        <f t="shared" si="585"/>
        <v>0.31666666666666665</v>
      </c>
      <c r="J125" s="732">
        <f t="shared" si="586"/>
        <v>13.65</v>
      </c>
      <c r="K125" s="867">
        <f t="shared" si="587"/>
        <v>0</v>
      </c>
      <c r="L125" s="867">
        <f t="shared" si="587"/>
        <v>0</v>
      </c>
      <c r="M125" s="867">
        <f t="shared" si="587"/>
        <v>0</v>
      </c>
      <c r="N125" s="868">
        <f t="shared" si="587"/>
        <v>0</v>
      </c>
      <c r="O125" s="868">
        <f t="shared" si="587"/>
        <v>0</v>
      </c>
      <c r="P125" s="868">
        <f t="shared" si="587"/>
        <v>7400</v>
      </c>
      <c r="Q125" s="868">
        <f t="shared" si="587"/>
        <v>7400</v>
      </c>
      <c r="R125" s="868">
        <f t="shared" si="587"/>
        <v>0</v>
      </c>
      <c r="S125" s="868">
        <f t="shared" si="587"/>
        <v>0</v>
      </c>
      <c r="T125" s="868">
        <f t="shared" si="587"/>
        <v>5460.6060606060601</v>
      </c>
      <c r="U125" s="868">
        <f t="shared" si="587"/>
        <v>7400</v>
      </c>
      <c r="V125" s="868">
        <f t="shared" si="587"/>
        <v>0</v>
      </c>
      <c r="W125" s="868">
        <f t="shared" si="587"/>
        <v>0</v>
      </c>
      <c r="X125" s="258">
        <f t="shared" si="587"/>
        <v>5460.6060606060601</v>
      </c>
      <c r="Y125" s="258">
        <f t="shared" si="587"/>
        <v>7400</v>
      </c>
      <c r="Z125" s="258">
        <f t="shared" si="587"/>
        <v>0</v>
      </c>
      <c r="AA125" s="258">
        <f t="shared" si="587"/>
        <v>0</v>
      </c>
      <c r="AB125" s="869">
        <f t="shared" si="587"/>
        <v>7400</v>
      </c>
      <c r="AC125" s="73">
        <f t="shared" si="587"/>
        <v>7400</v>
      </c>
      <c r="AD125" s="73">
        <f t="shared" si="587"/>
        <v>0</v>
      </c>
      <c r="AE125" s="73">
        <f t="shared" si="587"/>
        <v>0</v>
      </c>
      <c r="AF125" s="73">
        <f t="shared" si="587"/>
        <v>7400</v>
      </c>
      <c r="AG125" s="73">
        <f t="shared" si="587"/>
        <v>7400</v>
      </c>
      <c r="AH125" s="73">
        <f t="shared" si="587"/>
        <v>0</v>
      </c>
      <c r="AI125" s="73">
        <f t="shared" si="587"/>
        <v>0</v>
      </c>
      <c r="AJ125" s="73">
        <f t="shared" si="587"/>
        <v>7400</v>
      </c>
      <c r="AK125" s="73">
        <f t="shared" si="587"/>
        <v>7400</v>
      </c>
      <c r="AL125" s="73">
        <f t="shared" si="587"/>
        <v>0</v>
      </c>
      <c r="AM125" s="73">
        <f t="shared" si="587"/>
        <v>0</v>
      </c>
      <c r="AN125" s="73">
        <f t="shared" si="587"/>
        <v>7400</v>
      </c>
      <c r="AO125" s="544">
        <f t="shared" si="587"/>
        <v>7400</v>
      </c>
      <c r="AP125" s="122">
        <f t="shared" si="590"/>
        <v>293.56335090030746</v>
      </c>
    </row>
    <row r="126" outlineLevel="1">
      <c r="A126" s="377"/>
      <c r="B126" s="85" t="s">
        <v>2</v>
      </c>
      <c r="C126" s="131">
        <f t="shared" si="583"/>
        <v>99721.212121212127</v>
      </c>
      <c r="D126" s="87">
        <f t="shared" si="584"/>
        <v>99721.212121212127</v>
      </c>
      <c r="E126" s="348">
        <f t="shared" si="591"/>
        <v>8000</v>
      </c>
      <c r="F126" s="591">
        <f t="shared" si="585"/>
        <v>28</v>
      </c>
      <c r="G126" s="541">
        <f t="shared" si="585"/>
        <v>12</v>
      </c>
      <c r="H126" s="770">
        <f t="shared" si="585"/>
        <v>1.3333333333333333</v>
      </c>
      <c r="I126" s="866">
        <f t="shared" si="585"/>
        <v>0.31666666666666665</v>
      </c>
      <c r="J126" s="732">
        <f t="shared" si="586"/>
        <v>13.65</v>
      </c>
      <c r="K126" s="867">
        <f t="shared" si="587"/>
        <v>0</v>
      </c>
      <c r="L126" s="867">
        <f t="shared" si="587"/>
        <v>0</v>
      </c>
      <c r="M126" s="867">
        <f t="shared" si="587"/>
        <v>0</v>
      </c>
      <c r="N126" s="868">
        <f t="shared" si="587"/>
        <v>7400</v>
      </c>
      <c r="O126" s="868">
        <f t="shared" si="587"/>
        <v>7400</v>
      </c>
      <c r="P126" s="868">
        <f t="shared" si="587"/>
        <v>0</v>
      </c>
      <c r="Q126" s="868">
        <f t="shared" si="587"/>
        <v>0</v>
      </c>
      <c r="R126" s="868">
        <f t="shared" si="587"/>
        <v>7400</v>
      </c>
      <c r="S126" s="868">
        <f t="shared" si="587"/>
        <v>7400</v>
      </c>
      <c r="T126" s="868">
        <f t="shared" si="587"/>
        <v>0</v>
      </c>
      <c r="U126" s="868">
        <f t="shared" si="587"/>
        <v>0</v>
      </c>
      <c r="V126" s="868">
        <f t="shared" si="587"/>
        <v>7400</v>
      </c>
      <c r="W126" s="868">
        <f t="shared" si="587"/>
        <v>7400</v>
      </c>
      <c r="X126" s="258">
        <f t="shared" si="587"/>
        <v>0</v>
      </c>
      <c r="Y126" s="258">
        <f t="shared" si="587"/>
        <v>0</v>
      </c>
      <c r="Z126" s="258">
        <f t="shared" si="587"/>
        <v>7400</v>
      </c>
      <c r="AA126" s="258">
        <f t="shared" si="587"/>
        <v>7400</v>
      </c>
      <c r="AB126" s="869">
        <f t="shared" si="587"/>
        <v>0</v>
      </c>
      <c r="AC126" s="73">
        <f t="shared" si="587"/>
        <v>0</v>
      </c>
      <c r="AD126" s="73">
        <f t="shared" si="587"/>
        <v>7400</v>
      </c>
      <c r="AE126" s="73">
        <f t="shared" si="587"/>
        <v>7400</v>
      </c>
      <c r="AF126" s="73">
        <f t="shared" si="587"/>
        <v>0</v>
      </c>
      <c r="AG126" s="73">
        <f t="shared" si="587"/>
        <v>0</v>
      </c>
      <c r="AH126" s="73">
        <f t="shared" si="587"/>
        <v>5460.6060606060601</v>
      </c>
      <c r="AI126" s="73">
        <f t="shared" si="587"/>
        <v>7400</v>
      </c>
      <c r="AJ126" s="73">
        <f t="shared" si="587"/>
        <v>0</v>
      </c>
      <c r="AK126" s="73">
        <f t="shared" si="587"/>
        <v>0</v>
      </c>
      <c r="AL126" s="73">
        <f t="shared" si="587"/>
        <v>5460.6060606060601</v>
      </c>
      <c r="AM126" s="73">
        <f t="shared" si="587"/>
        <v>7400</v>
      </c>
      <c r="AN126" s="73">
        <f t="shared" si="587"/>
        <v>0</v>
      </c>
      <c r="AO126" s="544">
        <f t="shared" si="587"/>
        <v>0</v>
      </c>
      <c r="AP126" s="122">
        <f t="shared" si="590"/>
        <v>293.56335090030746</v>
      </c>
    </row>
    <row r="127" ht="13.5" outlineLevel="1">
      <c r="A127" s="381"/>
      <c r="B127" s="90" t="s">
        <v>3</v>
      </c>
      <c r="C127" s="133">
        <f t="shared" si="583"/>
        <v>99721.212121212127</v>
      </c>
      <c r="D127" s="200">
        <f t="shared" si="584"/>
        <v>101660.60606060606</v>
      </c>
      <c r="E127" s="348">
        <f t="shared" si="591"/>
        <v>8000</v>
      </c>
      <c r="F127" s="321">
        <f t="shared" si="585"/>
        <v>28</v>
      </c>
      <c r="G127" s="870">
        <f t="shared" si="585"/>
        <v>18</v>
      </c>
      <c r="H127" s="770">
        <f t="shared" si="585"/>
        <v>1.3333333333333333</v>
      </c>
      <c r="I127" s="866">
        <f t="shared" si="585"/>
        <v>0.31666666666666665</v>
      </c>
      <c r="J127" s="738">
        <f t="shared" si="586"/>
        <v>19.649999999999999</v>
      </c>
      <c r="K127" s="867">
        <f t="shared" si="587"/>
        <v>0</v>
      </c>
      <c r="L127" s="871">
        <f t="shared" si="587"/>
        <v>0</v>
      </c>
      <c r="M127" s="871">
        <f t="shared" si="587"/>
        <v>0</v>
      </c>
      <c r="N127" s="872">
        <f t="shared" si="587"/>
        <v>7400</v>
      </c>
      <c r="O127" s="872">
        <f t="shared" si="587"/>
        <v>0</v>
      </c>
      <c r="P127" s="872">
        <f t="shared" si="587"/>
        <v>0</v>
      </c>
      <c r="Q127" s="872">
        <f t="shared" si="587"/>
        <v>7400</v>
      </c>
      <c r="R127" s="872">
        <f t="shared" si="587"/>
        <v>7400</v>
      </c>
      <c r="S127" s="872">
        <f t="shared" si="587"/>
        <v>0</v>
      </c>
      <c r="T127" s="872">
        <f t="shared" si="587"/>
        <v>0</v>
      </c>
      <c r="U127" s="872">
        <f t="shared" si="587"/>
        <v>7400</v>
      </c>
      <c r="V127" s="872">
        <f t="shared" si="587"/>
        <v>7400</v>
      </c>
      <c r="W127" s="872">
        <f t="shared" si="587"/>
        <v>0</v>
      </c>
      <c r="X127" s="873">
        <f t="shared" si="587"/>
        <v>0</v>
      </c>
      <c r="Y127" s="873">
        <f>Y113+Y120</f>
        <v>7400</v>
      </c>
      <c r="Z127" s="873">
        <f t="shared" si="587"/>
        <v>7400</v>
      </c>
      <c r="AA127" s="873">
        <f t="shared" si="587"/>
        <v>0</v>
      </c>
      <c r="AB127" s="42">
        <f t="shared" si="587"/>
        <v>0</v>
      </c>
      <c r="AC127" s="290">
        <f t="shared" si="587"/>
        <v>7400</v>
      </c>
      <c r="AD127" s="290">
        <f t="shared" si="587"/>
        <v>7400</v>
      </c>
      <c r="AE127" s="290">
        <f t="shared" si="587"/>
        <v>0</v>
      </c>
      <c r="AF127" s="290">
        <f t="shared" si="587"/>
        <v>0</v>
      </c>
      <c r="AG127" s="290">
        <f t="shared" si="587"/>
        <v>7400</v>
      </c>
      <c r="AH127" s="290">
        <f t="shared" si="587"/>
        <v>7400</v>
      </c>
      <c r="AI127" s="290">
        <f t="shared" si="587"/>
        <v>0</v>
      </c>
      <c r="AJ127" s="290">
        <f t="shared" si="587"/>
        <v>0</v>
      </c>
      <c r="AK127" s="290">
        <f t="shared" si="587"/>
        <v>7400</v>
      </c>
      <c r="AL127" s="290">
        <f t="shared" si="587"/>
        <v>7400</v>
      </c>
      <c r="AM127" s="290">
        <f t="shared" si="587"/>
        <v>0</v>
      </c>
      <c r="AN127" s="290">
        <f t="shared" si="587"/>
        <v>0</v>
      </c>
      <c r="AO127" s="874">
        <f t="shared" si="587"/>
        <v>5460.6060606060601</v>
      </c>
      <c r="AP127" s="122">
        <f t="shared" si="590"/>
        <v>299.27261747913923</v>
      </c>
    </row>
    <row r="128" s="875" customFormat="1" ht="25.149999999999999" customHeight="1">
      <c r="A128" s="876"/>
      <c r="B128" s="165" t="s">
        <v>18</v>
      </c>
      <c r="C128" s="102">
        <f>'[6]План пр-ва по единицам обор'!$AN$61+'[6]План пр-ва по единицам обор'!$AN$64</f>
        <v>398884.84848484851</v>
      </c>
      <c r="D128" s="103">
        <f>SUM(D124:D127)</f>
        <v>398884.84848484851</v>
      </c>
      <c r="E128" s="443" t="s">
        <v>19</v>
      </c>
      <c r="F128" s="553">
        <f>SUM(F124:F127)</f>
        <v>112</v>
      </c>
      <c r="G128" s="106">
        <f>SUM(G124:G127)</f>
        <v>54</v>
      </c>
      <c r="H128" s="167">
        <f>SUM(H124:H127)</f>
        <v>5.333333333333333</v>
      </c>
      <c r="I128" s="168" t="s">
        <v>19</v>
      </c>
      <c r="J128" s="169">
        <f t="shared" ref="J128:AO128" si="592">SUM(J124:J127)</f>
        <v>60.600000000000001</v>
      </c>
      <c r="K128" s="312">
        <f t="shared" si="592"/>
        <v>0</v>
      </c>
      <c r="L128" s="313">
        <f t="shared" si="592"/>
        <v>0</v>
      </c>
      <c r="M128" s="313">
        <f t="shared" si="592"/>
        <v>0</v>
      </c>
      <c r="N128" s="313">
        <f t="shared" si="592"/>
        <v>14800</v>
      </c>
      <c r="O128" s="313">
        <f t="shared" si="592"/>
        <v>12860.60606060606</v>
      </c>
      <c r="P128" s="313">
        <f t="shared" si="592"/>
        <v>14800</v>
      </c>
      <c r="Q128" s="313">
        <f t="shared" si="592"/>
        <v>14800</v>
      </c>
      <c r="R128" s="313">
        <f t="shared" si="592"/>
        <v>14800</v>
      </c>
      <c r="S128" s="313">
        <f t="shared" si="592"/>
        <v>14800</v>
      </c>
      <c r="T128" s="313">
        <f t="shared" si="592"/>
        <v>12860.60606060606</v>
      </c>
      <c r="U128" s="313">
        <f t="shared" si="592"/>
        <v>14800</v>
      </c>
      <c r="V128" s="313">
        <f t="shared" si="592"/>
        <v>14800</v>
      </c>
      <c r="W128" s="313">
        <f t="shared" si="592"/>
        <v>14800</v>
      </c>
      <c r="X128" s="313">
        <f t="shared" si="592"/>
        <v>12860.60606060606</v>
      </c>
      <c r="Y128" s="313">
        <f t="shared" si="592"/>
        <v>14800</v>
      </c>
      <c r="Z128" s="313">
        <f t="shared" si="592"/>
        <v>14800</v>
      </c>
      <c r="AA128" s="313">
        <f t="shared" si="592"/>
        <v>12860.60606060606</v>
      </c>
      <c r="AB128" s="314">
        <f t="shared" si="592"/>
        <v>14800</v>
      </c>
      <c r="AC128" s="314">
        <f t="shared" si="592"/>
        <v>14800</v>
      </c>
      <c r="AD128" s="863">
        <f t="shared" si="592"/>
        <v>14800</v>
      </c>
      <c r="AE128" s="863">
        <f t="shared" si="592"/>
        <v>12860.60606060606</v>
      </c>
      <c r="AF128" s="863">
        <f t="shared" si="592"/>
        <v>14800</v>
      </c>
      <c r="AG128" s="863">
        <f t="shared" si="592"/>
        <v>14800</v>
      </c>
      <c r="AH128" s="863">
        <f t="shared" si="592"/>
        <v>12860.60606060606</v>
      </c>
      <c r="AI128" s="863">
        <f t="shared" si="592"/>
        <v>14800</v>
      </c>
      <c r="AJ128" s="863">
        <f t="shared" si="592"/>
        <v>14800</v>
      </c>
      <c r="AK128" s="863">
        <f t="shared" si="592"/>
        <v>14800</v>
      </c>
      <c r="AL128" s="863">
        <f t="shared" si="592"/>
        <v>12860.60606060606</v>
      </c>
      <c r="AM128" s="863">
        <f t="shared" si="592"/>
        <v>14800</v>
      </c>
      <c r="AN128" s="863">
        <f t="shared" si="592"/>
        <v>14800</v>
      </c>
      <c r="AO128" s="864">
        <f t="shared" si="592"/>
        <v>12860.60606060606</v>
      </c>
      <c r="AP128" s="877">
        <f>SUM(AP124:AP127)</f>
        <v>1174.2534036012298</v>
      </c>
    </row>
    <row r="129">
      <c r="D129" s="878"/>
    </row>
    <row r="130" s="24" customFormat="1" ht="19.5">
      <c r="A130" s="43" t="s">
        <v>46</v>
      </c>
      <c r="B130" s="43"/>
      <c r="C130" s="25"/>
      <c r="D130" s="878"/>
      <c r="E130" s="66"/>
      <c r="F130" s="25"/>
      <c r="G130" s="396"/>
      <c r="S130" s="42">
        <f>S132-S139</f>
        <v>0</v>
      </c>
      <c r="T130" s="42">
        <f t="shared" ref="T130:AN130" si="593">T132-T139</f>
        <v>0</v>
      </c>
      <c r="U130" s="42">
        <f t="shared" si="593"/>
        <v>0</v>
      </c>
      <c r="V130" s="42">
        <f t="shared" si="593"/>
        <v>0</v>
      </c>
      <c r="W130" s="42">
        <f t="shared" si="593"/>
        <v>0</v>
      </c>
      <c r="X130" s="42">
        <f t="shared" si="593"/>
        <v>0</v>
      </c>
      <c r="Y130" s="42">
        <f t="shared" si="593"/>
        <v>0</v>
      </c>
      <c r="Z130" s="42">
        <f t="shared" si="593"/>
        <v>0</v>
      </c>
      <c r="AA130" s="42">
        <f t="shared" si="593"/>
        <v>-335.63636363636351</v>
      </c>
      <c r="AB130" s="42">
        <f t="shared" si="593"/>
        <v>0</v>
      </c>
      <c r="AC130" s="42">
        <f t="shared" si="593"/>
        <v>0</v>
      </c>
      <c r="AD130" s="42">
        <f t="shared" si="593"/>
        <v>0</v>
      </c>
      <c r="AE130" s="42">
        <f t="shared" si="593"/>
        <v>0</v>
      </c>
      <c r="AF130" s="42">
        <f t="shared" si="593"/>
        <v>0</v>
      </c>
      <c r="AG130" s="42">
        <f t="shared" si="593"/>
        <v>0</v>
      </c>
      <c r="AH130" s="42">
        <f t="shared" si="593"/>
        <v>0</v>
      </c>
      <c r="AI130" s="42">
        <f t="shared" si="593"/>
        <v>0</v>
      </c>
      <c r="AJ130" s="42">
        <f t="shared" si="593"/>
        <v>0</v>
      </c>
      <c r="AK130" s="42">
        <f t="shared" si="593"/>
        <v>0</v>
      </c>
      <c r="AL130" s="42">
        <f t="shared" si="593"/>
        <v>0</v>
      </c>
      <c r="AM130" s="42">
        <f t="shared" si="593"/>
        <v>0</v>
      </c>
      <c r="AN130" s="42">
        <f t="shared" si="593"/>
        <v>0</v>
      </c>
    </row>
    <row r="131" s="46" customFormat="1" ht="33.600000000000001" customHeight="1" outlineLevel="1">
      <c r="A131" s="47" t="s">
        <v>47</v>
      </c>
      <c r="B131" s="295"/>
      <c r="C131" s="49" t="s">
        <v>11</v>
      </c>
      <c r="D131" s="50" t="s">
        <v>12</v>
      </c>
      <c r="E131" s="407" t="s">
        <v>13</v>
      </c>
      <c r="F131" s="612" t="s">
        <v>14</v>
      </c>
      <c r="G131" s="211" t="s">
        <v>15</v>
      </c>
      <c r="H131" s="212" t="s">
        <v>16</v>
      </c>
      <c r="I131" s="212" t="s">
        <v>17</v>
      </c>
      <c r="J131" s="213" t="s">
        <v>18</v>
      </c>
      <c r="K131" s="56">
        <v>44562</v>
      </c>
      <c r="L131" s="56">
        <v>44563</v>
      </c>
      <c r="M131" s="56">
        <v>44564</v>
      </c>
      <c r="N131" s="59">
        <v>44565</v>
      </c>
      <c r="O131" s="56">
        <v>44566</v>
      </c>
      <c r="P131" s="56">
        <v>44567</v>
      </c>
      <c r="Q131" s="56">
        <v>44568</v>
      </c>
      <c r="R131" s="56">
        <v>44569</v>
      </c>
      <c r="S131" s="56">
        <v>44570</v>
      </c>
      <c r="T131" s="56">
        <v>44571</v>
      </c>
      <c r="U131" s="56">
        <v>44572</v>
      </c>
      <c r="V131" s="56">
        <v>44573</v>
      </c>
      <c r="W131" s="56">
        <v>44574</v>
      </c>
      <c r="X131" s="56">
        <v>44575</v>
      </c>
      <c r="Y131" s="56">
        <v>44576</v>
      </c>
      <c r="Z131" s="56">
        <v>44577</v>
      </c>
      <c r="AA131" s="58">
        <v>44578</v>
      </c>
      <c r="AB131" s="56">
        <v>44579</v>
      </c>
      <c r="AC131" s="56">
        <v>44580</v>
      </c>
      <c r="AD131" s="56">
        <v>44581</v>
      </c>
      <c r="AE131" s="56">
        <v>44582</v>
      </c>
      <c r="AF131" s="56">
        <v>44583</v>
      </c>
      <c r="AG131" s="56">
        <v>44584</v>
      </c>
      <c r="AH131" s="56">
        <v>44585</v>
      </c>
      <c r="AI131" s="56">
        <v>44586</v>
      </c>
      <c r="AJ131" s="56">
        <v>44587</v>
      </c>
      <c r="AK131" s="56">
        <v>44588</v>
      </c>
      <c r="AL131" s="56">
        <v>44589</v>
      </c>
      <c r="AM131" s="56">
        <v>44590</v>
      </c>
      <c r="AN131" s="56">
        <v>44591</v>
      </c>
      <c r="AO131" s="60">
        <v>44561</v>
      </c>
    </row>
    <row r="132" outlineLevel="2">
      <c r="A132" s="62" t="s">
        <v>47</v>
      </c>
      <c r="B132" s="63" t="s">
        <v>0</v>
      </c>
      <c r="C132" s="64">
        <f t="shared" ref="C132:C135" si="594">$C$136/$F$136*F132</f>
        <v>13119.238159371493</v>
      </c>
      <c r="D132" s="320">
        <f t="shared" ref="D132:D135" si="595">SUM(K132:AO132)</f>
        <v>12566.784848484845</v>
      </c>
      <c r="E132" s="348">
        <f>'[13]План пр-ва по единицам обор'!$F$56</f>
        <v>923</v>
      </c>
      <c r="F132" s="130">
        <f t="shared" ref="F132:F135" si="596">COUNTA(K132:AN132)</f>
        <v>14</v>
      </c>
      <c r="G132" s="546">
        <v>4</v>
      </c>
      <c r="H132" s="542"/>
      <c r="I132" s="542">
        <f t="shared" ref="I132:I149" si="597">1/60</f>
        <v>0.016666666666666666</v>
      </c>
      <c r="J132" s="421">
        <f t="shared" ref="J132:J135" si="598">SUM(G132:I132)</f>
        <v>4.0166666666666666</v>
      </c>
      <c r="K132" s="762"/>
      <c r="L132" s="629"/>
      <c r="M132" s="629"/>
      <c r="N132" s="73"/>
      <c r="O132" s="74">
        <f>$E132/11*(11-($H132+$I132))</f>
        <v>921.60151515151506</v>
      </c>
      <c r="P132" s="74">
        <f t="shared" ref="P132:Q133" si="599">$E132/11*(11-($H132+$I132))</f>
        <v>921.60151515151506</v>
      </c>
      <c r="Q132" s="73"/>
      <c r="R132" s="73"/>
      <c r="S132" s="74">
        <f t="shared" ref="S132:U135" si="600">$E132/11*(11-($H132+$I132))</f>
        <v>921.60151515151506</v>
      </c>
      <c r="T132" s="74">
        <f t="shared" si="600"/>
        <v>921.60151515151506</v>
      </c>
      <c r="U132" s="73"/>
      <c r="V132" s="73"/>
      <c r="W132" s="74">
        <f t="shared" ref="W132:Y133" si="601">$E132/11*(11-($H132+$I132))</f>
        <v>921.60151515151506</v>
      </c>
      <c r="X132" s="74">
        <f t="shared" si="601"/>
        <v>921.60151515151506</v>
      </c>
      <c r="Y132" s="73"/>
      <c r="Z132" s="73"/>
      <c r="AA132" s="75">
        <f>$E132/11*(11-($G132+$I132))</f>
        <v>585.96515151515155</v>
      </c>
      <c r="AB132" s="74">
        <f t="shared" ref="AB132:AL135" si="602">$E132/11*(11-($H132+$I132))</f>
        <v>921.60151515151506</v>
      </c>
      <c r="AC132" s="73"/>
      <c r="AD132" s="73"/>
      <c r="AE132" s="74">
        <f t="shared" ref="AE132:AG133" si="603">$E132/11*(11-($H132+$I132))</f>
        <v>921.60151515151506</v>
      </c>
      <c r="AF132" s="74">
        <f t="shared" si="603"/>
        <v>921.60151515151506</v>
      </c>
      <c r="AG132" s="73"/>
      <c r="AH132" s="73"/>
      <c r="AI132" s="74">
        <f t="shared" ref="AI132:AK133" si="604">$E132/11*(11-($H132+$I132))</f>
        <v>921.60151515151506</v>
      </c>
      <c r="AJ132" s="74">
        <f t="shared" si="604"/>
        <v>921.60151515151506</v>
      </c>
      <c r="AK132" s="73"/>
      <c r="AL132" s="73"/>
      <c r="AM132" s="74">
        <f t="shared" ref="AM132:AO133" si="605">$E132/11*(11-($H132+$I132))</f>
        <v>921.60151515151506</v>
      </c>
      <c r="AN132" s="74">
        <f t="shared" si="605"/>
        <v>921.60151515151506</v>
      </c>
      <c r="AO132" s="73"/>
    </row>
    <row r="133" outlineLevel="2">
      <c r="A133" s="296"/>
      <c r="B133" s="77" t="s">
        <v>1</v>
      </c>
      <c r="C133" s="78">
        <f t="shared" si="594"/>
        <v>12182.149719416386</v>
      </c>
      <c r="D133" s="427">
        <f t="shared" si="595"/>
        <v>12902.421212121209</v>
      </c>
      <c r="E133" s="348">
        <f t="shared" ref="E133:E135" si="606">E132</f>
        <v>923</v>
      </c>
      <c r="F133" s="130">
        <f t="shared" si="596"/>
        <v>13</v>
      </c>
      <c r="G133" s="546"/>
      <c r="H133" s="547"/>
      <c r="I133" s="542">
        <f t="shared" si="597"/>
        <v>0.016666666666666666</v>
      </c>
      <c r="J133" s="430">
        <f t="shared" si="598"/>
        <v>0.016666666666666666</v>
      </c>
      <c r="K133" s="762"/>
      <c r="L133" s="629"/>
      <c r="M133" s="629"/>
      <c r="N133" s="84"/>
      <c r="O133" s="73"/>
      <c r="P133" s="74">
        <f t="shared" si="599"/>
        <v>921.60151515151506</v>
      </c>
      <c r="Q133" s="74">
        <f t="shared" si="599"/>
        <v>921.60151515151506</v>
      </c>
      <c r="R133" s="84"/>
      <c r="S133" s="73"/>
      <c r="T133" s="74">
        <f t="shared" si="600"/>
        <v>921.60151515151506</v>
      </c>
      <c r="U133" s="74">
        <f t="shared" si="600"/>
        <v>921.60151515151506</v>
      </c>
      <c r="V133" s="84"/>
      <c r="W133" s="73"/>
      <c r="X133" s="74">
        <f t="shared" si="601"/>
        <v>921.60151515151506</v>
      </c>
      <c r="Y133" s="74">
        <f t="shared" si="601"/>
        <v>921.60151515151506</v>
      </c>
      <c r="Z133" s="84"/>
      <c r="AA133" s="73"/>
      <c r="AB133" s="74">
        <f t="shared" si="602"/>
        <v>921.60151515151506</v>
      </c>
      <c r="AC133" s="74">
        <f t="shared" si="602"/>
        <v>921.60151515151506</v>
      </c>
      <c r="AD133" s="84"/>
      <c r="AE133" s="73"/>
      <c r="AF133" s="74">
        <f t="shared" si="603"/>
        <v>921.60151515151506</v>
      </c>
      <c r="AG133" s="74">
        <f t="shared" si="603"/>
        <v>921.60151515151506</v>
      </c>
      <c r="AH133" s="84"/>
      <c r="AI133" s="73"/>
      <c r="AJ133" s="74">
        <f t="shared" si="604"/>
        <v>921.60151515151506</v>
      </c>
      <c r="AK133" s="74">
        <f t="shared" si="604"/>
        <v>921.60151515151506</v>
      </c>
      <c r="AL133" s="84"/>
      <c r="AM133" s="73"/>
      <c r="AN133" s="74">
        <f t="shared" si="605"/>
        <v>921.60151515151506</v>
      </c>
      <c r="AO133" s="74">
        <f t="shared" si="605"/>
        <v>921.60151515151506</v>
      </c>
    </row>
    <row r="134" outlineLevel="2">
      <c r="A134" s="296"/>
      <c r="B134" s="85" t="s">
        <v>2</v>
      </c>
      <c r="C134" s="131">
        <f t="shared" si="594"/>
        <v>13119.238159371493</v>
      </c>
      <c r="D134" s="87">
        <f t="shared" si="595"/>
        <v>12566.784848484845</v>
      </c>
      <c r="E134" s="348">
        <f t="shared" si="606"/>
        <v>923</v>
      </c>
      <c r="F134" s="130">
        <f t="shared" si="596"/>
        <v>14</v>
      </c>
      <c r="G134" s="546">
        <v>4</v>
      </c>
      <c r="H134" s="547"/>
      <c r="I134" s="542">
        <f t="shared" si="597"/>
        <v>0.016666666666666666</v>
      </c>
      <c r="J134" s="430">
        <f t="shared" si="598"/>
        <v>4.0166666666666666</v>
      </c>
      <c r="K134" s="762"/>
      <c r="L134" s="629"/>
      <c r="M134" s="629"/>
      <c r="N134" s="75">
        <f>$E134/11*(11-($G134+$I134))</f>
        <v>585.96515151515155</v>
      </c>
      <c r="O134" s="74">
        <f>$E134/11*(11-($H134+$I134))</f>
        <v>921.60151515151506</v>
      </c>
      <c r="P134" s="74"/>
      <c r="Q134" s="73"/>
      <c r="R134" s="74">
        <f t="shared" ref="R134:S134" si="607">$E134/11*(11-($H134+$I134))</f>
        <v>921.60151515151506</v>
      </c>
      <c r="S134" s="74">
        <f t="shared" si="607"/>
        <v>921.60151515151506</v>
      </c>
      <c r="T134" s="74"/>
      <c r="U134" s="73"/>
      <c r="V134" s="74">
        <f t="shared" ref="V134:W134" si="608">$E134/11*(11-($H134+$I134))</f>
        <v>921.60151515151506</v>
      </c>
      <c r="W134" s="74">
        <f t="shared" si="608"/>
        <v>921.60151515151506</v>
      </c>
      <c r="X134" s="74"/>
      <c r="Y134" s="73"/>
      <c r="Z134" s="74">
        <f t="shared" ref="Z134:AA134" si="609">$E134/11*(11-($H134+$I134))</f>
        <v>921.60151515151506</v>
      </c>
      <c r="AA134" s="74">
        <f t="shared" si="609"/>
        <v>921.60151515151506</v>
      </c>
      <c r="AB134" s="74"/>
      <c r="AC134" s="73"/>
      <c r="AD134" s="74">
        <f t="shared" ref="AD134:AE134" si="610">$E134/11*(11-($H134+$I134))</f>
        <v>921.60151515151506</v>
      </c>
      <c r="AE134" s="74">
        <f t="shared" si="610"/>
        <v>921.60151515151506</v>
      </c>
      <c r="AF134" s="74"/>
      <c r="AG134" s="73"/>
      <c r="AH134" s="74">
        <f t="shared" ref="AH134:AI134" si="611">$E134/11*(11-($H134+$I134))</f>
        <v>921.60151515151506</v>
      </c>
      <c r="AI134" s="74">
        <f t="shared" si="611"/>
        <v>921.60151515151506</v>
      </c>
      <c r="AJ134" s="74"/>
      <c r="AK134" s="73"/>
      <c r="AL134" s="74">
        <f t="shared" ref="AL134:AM134" si="612">$E134/11*(11-($H134+$I134))</f>
        <v>921.60151515151506</v>
      </c>
      <c r="AM134" s="74">
        <f t="shared" si="612"/>
        <v>921.60151515151506</v>
      </c>
      <c r="AN134" s="74"/>
      <c r="AO134" s="75"/>
    </row>
    <row r="135" ht="13.5" outlineLevel="2">
      <c r="A135" s="297"/>
      <c r="B135" s="90" t="s">
        <v>3</v>
      </c>
      <c r="C135" s="133">
        <f t="shared" si="594"/>
        <v>12182.149719416386</v>
      </c>
      <c r="D135" s="836">
        <f t="shared" si="595"/>
        <v>12566.784848484845</v>
      </c>
      <c r="E135" s="348">
        <f t="shared" si="606"/>
        <v>923</v>
      </c>
      <c r="F135" s="130">
        <f t="shared" si="596"/>
        <v>13</v>
      </c>
      <c r="G135" s="549">
        <v>4</v>
      </c>
      <c r="H135" s="550"/>
      <c r="I135" s="542">
        <f t="shared" si="597"/>
        <v>0.016666666666666666</v>
      </c>
      <c r="J135" s="438">
        <f t="shared" si="598"/>
        <v>4.0166666666666666</v>
      </c>
      <c r="K135" s="808"/>
      <c r="L135" s="188"/>
      <c r="M135" s="188"/>
      <c r="N135" s="73">
        <f t="shared" ref="N135:Z135" si="613">$E135/11*(11-($H135+$I135))</f>
        <v>921.60151515151506</v>
      </c>
      <c r="O135" s="98"/>
      <c r="P135" s="74"/>
      <c r="Q135" s="73">
        <f t="shared" si="613"/>
        <v>921.60151515151506</v>
      </c>
      <c r="R135" s="73">
        <f t="shared" si="613"/>
        <v>921.60151515151506</v>
      </c>
      <c r="S135" s="98"/>
      <c r="T135" s="74"/>
      <c r="U135" s="74">
        <f t="shared" si="600"/>
        <v>921.60151515151506</v>
      </c>
      <c r="V135" s="73">
        <f t="shared" si="613"/>
        <v>921.60151515151506</v>
      </c>
      <c r="W135" s="98"/>
      <c r="X135" s="74"/>
      <c r="Y135" s="73">
        <f t="shared" si="613"/>
        <v>921.60151515151506</v>
      </c>
      <c r="Z135" s="73">
        <f t="shared" si="613"/>
        <v>921.60151515151506</v>
      </c>
      <c r="AA135" s="98"/>
      <c r="AB135" s="74"/>
      <c r="AC135" s="73">
        <f t="shared" si="602"/>
        <v>921.60151515151506</v>
      </c>
      <c r="AD135" s="73">
        <f t="shared" si="602"/>
        <v>921.60151515151506</v>
      </c>
      <c r="AE135" s="98"/>
      <c r="AF135" s="74"/>
      <c r="AG135" s="73">
        <f t="shared" si="602"/>
        <v>921.60151515151506</v>
      </c>
      <c r="AH135" s="73">
        <f t="shared" si="602"/>
        <v>921.60151515151506</v>
      </c>
      <c r="AI135" s="98"/>
      <c r="AJ135" s="74"/>
      <c r="AK135" s="73">
        <f t="shared" si="602"/>
        <v>921.60151515151506</v>
      </c>
      <c r="AL135" s="73">
        <f t="shared" si="602"/>
        <v>921.60151515151506</v>
      </c>
      <c r="AM135" s="98"/>
      <c r="AN135" s="74"/>
      <c r="AO135" s="75">
        <f>$E135/11*(11-($G135+$I135))</f>
        <v>585.96515151515155</v>
      </c>
    </row>
    <row r="136" s="99" customFormat="1" ht="16.899999999999999" customHeight="1" outlineLevel="1">
      <c r="A136" s="100"/>
      <c r="B136" s="136" t="s">
        <v>18</v>
      </c>
      <c r="C136" s="102">
        <f>'[6]План пр-ва по единицам обор'!$AN$56</f>
        <v>50602.775757575757</v>
      </c>
      <c r="D136" s="103">
        <f>SUM(D132:D135)</f>
        <v>50602.775757575742</v>
      </c>
      <c r="E136" s="330" t="s">
        <v>19</v>
      </c>
      <c r="F136" s="553">
        <f>SUM(F132:F135)</f>
        <v>54</v>
      </c>
      <c r="G136" s="554">
        <f>SUM(G132:G135)</f>
        <v>12</v>
      </c>
      <c r="H136" s="555">
        <f>SUM(H132:H135)</f>
        <v>0</v>
      </c>
      <c r="I136" s="556" t="s">
        <v>19</v>
      </c>
      <c r="J136" s="557">
        <f t="shared" ref="J136:AO136" si="614">SUM(J132:J135)</f>
        <v>12.066666666666666</v>
      </c>
      <c r="K136" s="879">
        <f t="shared" si="614"/>
        <v>0</v>
      </c>
      <c r="L136" s="880">
        <f t="shared" si="614"/>
        <v>0</v>
      </c>
      <c r="M136" s="880">
        <f t="shared" si="614"/>
        <v>0</v>
      </c>
      <c r="N136" s="880">
        <f t="shared" si="614"/>
        <v>1507.5666666666666</v>
      </c>
      <c r="O136" s="880">
        <f t="shared" si="614"/>
        <v>1843.2030303030301</v>
      </c>
      <c r="P136" s="880">
        <f t="shared" si="614"/>
        <v>1843.2030303030301</v>
      </c>
      <c r="Q136" s="880">
        <f t="shared" si="614"/>
        <v>1843.2030303030301</v>
      </c>
      <c r="R136" s="880">
        <f t="shared" si="614"/>
        <v>1843.2030303030301</v>
      </c>
      <c r="S136" s="880">
        <f t="shared" si="614"/>
        <v>1843.2030303030301</v>
      </c>
      <c r="T136" s="880">
        <f t="shared" si="614"/>
        <v>1843.2030303030301</v>
      </c>
      <c r="U136" s="880">
        <f t="shared" si="614"/>
        <v>1843.2030303030301</v>
      </c>
      <c r="V136" s="880">
        <f t="shared" si="614"/>
        <v>1843.2030303030301</v>
      </c>
      <c r="W136" s="880">
        <f t="shared" si="614"/>
        <v>1843.2030303030301</v>
      </c>
      <c r="X136" s="880">
        <f t="shared" si="614"/>
        <v>1843.2030303030301</v>
      </c>
      <c r="Y136" s="880">
        <f t="shared" si="614"/>
        <v>1843.2030303030301</v>
      </c>
      <c r="Z136" s="880">
        <f t="shared" si="614"/>
        <v>1843.2030303030301</v>
      </c>
      <c r="AA136" s="880">
        <f t="shared" si="614"/>
        <v>1507.5666666666666</v>
      </c>
      <c r="AB136" s="881">
        <f t="shared" si="614"/>
        <v>1843.2030303030301</v>
      </c>
      <c r="AC136" s="862">
        <f t="shared" si="614"/>
        <v>1843.2030303030301</v>
      </c>
      <c r="AD136" s="882">
        <f t="shared" si="614"/>
        <v>1843.2030303030301</v>
      </c>
      <c r="AE136" s="882">
        <f t="shared" si="614"/>
        <v>1843.2030303030301</v>
      </c>
      <c r="AF136" s="882">
        <f t="shared" si="614"/>
        <v>1843.2030303030301</v>
      </c>
      <c r="AG136" s="882">
        <f t="shared" si="614"/>
        <v>1843.2030303030301</v>
      </c>
      <c r="AH136" s="882">
        <f t="shared" si="614"/>
        <v>1843.2030303030301</v>
      </c>
      <c r="AI136" s="882">
        <f t="shared" si="614"/>
        <v>1843.2030303030301</v>
      </c>
      <c r="AJ136" s="882">
        <f t="shared" si="614"/>
        <v>1843.2030303030301</v>
      </c>
      <c r="AK136" s="882">
        <f t="shared" si="614"/>
        <v>1843.2030303030301</v>
      </c>
      <c r="AL136" s="882">
        <f t="shared" si="614"/>
        <v>1843.2030303030301</v>
      </c>
      <c r="AM136" s="882">
        <f t="shared" si="614"/>
        <v>1843.2030303030301</v>
      </c>
      <c r="AN136" s="882">
        <f t="shared" si="614"/>
        <v>1843.2030303030301</v>
      </c>
      <c r="AO136" s="883">
        <f t="shared" si="614"/>
        <v>1507.5666666666666</v>
      </c>
    </row>
    <row r="137" s="24" customFormat="1" ht="13.5" outlineLevel="1">
      <c r="A137" s="115"/>
      <c r="B137" s="115"/>
      <c r="C137" s="116"/>
      <c r="D137" s="116"/>
      <c r="E137" s="66"/>
      <c r="F137" s="561">
        <f>'[9]План пр-ва по единицам обор'!$I$17</f>
        <v>6</v>
      </c>
      <c r="G137" s="562"/>
      <c r="H137" s="120"/>
      <c r="I137" s="121"/>
      <c r="J137" s="120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  <c r="AC137" s="122"/>
      <c r="AD137" s="563"/>
      <c r="AE137" s="563"/>
      <c r="AF137" s="563"/>
      <c r="AG137" s="563"/>
      <c r="AH137" s="563"/>
      <c r="AI137" s="563"/>
      <c r="AJ137" s="563"/>
      <c r="AK137" s="563"/>
      <c r="AL137" s="563"/>
      <c r="AM137" s="563"/>
      <c r="AN137" s="563"/>
      <c r="AO137" s="563"/>
    </row>
    <row r="138" s="123" customFormat="1" ht="31.149999999999999" customHeight="1" outlineLevel="1">
      <c r="A138" s="47" t="s">
        <v>48</v>
      </c>
      <c r="B138" s="295"/>
      <c r="C138" s="49" t="s">
        <v>11</v>
      </c>
      <c r="D138" s="50" t="s">
        <v>12</v>
      </c>
      <c r="E138" s="407" t="s">
        <v>13</v>
      </c>
      <c r="F138" s="539" t="s">
        <v>14</v>
      </c>
      <c r="G138" s="211" t="s">
        <v>15</v>
      </c>
      <c r="H138" s="212" t="s">
        <v>16</v>
      </c>
      <c r="I138" s="212" t="s">
        <v>17</v>
      </c>
      <c r="J138" s="213" t="s">
        <v>18</v>
      </c>
      <c r="K138" s="56">
        <v>44562</v>
      </c>
      <c r="L138" s="56">
        <v>44563</v>
      </c>
      <c r="M138" s="56">
        <v>44564</v>
      </c>
      <c r="N138" s="56">
        <v>44565</v>
      </c>
      <c r="O138" s="56">
        <v>44566</v>
      </c>
      <c r="P138" s="56">
        <v>44567</v>
      </c>
      <c r="Q138" s="56">
        <v>44568</v>
      </c>
      <c r="R138" s="56">
        <v>44569</v>
      </c>
      <c r="S138" s="56">
        <v>44570</v>
      </c>
      <c r="T138" s="57">
        <v>44571</v>
      </c>
      <c r="U138" s="56">
        <v>44572</v>
      </c>
      <c r="V138" s="56">
        <v>44573</v>
      </c>
      <c r="W138" s="56">
        <v>44574</v>
      </c>
      <c r="X138" s="56">
        <v>44575</v>
      </c>
      <c r="Y138" s="56">
        <v>44576</v>
      </c>
      <c r="Z138" s="56">
        <v>44577</v>
      </c>
      <c r="AA138" s="56">
        <v>44578</v>
      </c>
      <c r="AB138" s="56">
        <v>44579</v>
      </c>
      <c r="AC138" s="56">
        <v>44580</v>
      </c>
      <c r="AD138" s="56">
        <v>44581</v>
      </c>
      <c r="AE138" s="56">
        <v>44582</v>
      </c>
      <c r="AF138" s="56">
        <v>44583</v>
      </c>
      <c r="AG138" s="56">
        <v>44584</v>
      </c>
      <c r="AH138" s="59">
        <v>44585</v>
      </c>
      <c r="AI138" s="56">
        <v>44586</v>
      </c>
      <c r="AJ138" s="56">
        <v>44587</v>
      </c>
      <c r="AK138" s="56">
        <v>44588</v>
      </c>
      <c r="AL138" s="56">
        <v>44589</v>
      </c>
      <c r="AM138" s="56">
        <v>44590</v>
      </c>
      <c r="AN138" s="56">
        <v>44591</v>
      </c>
      <c r="AO138" s="56">
        <v>44561</v>
      </c>
    </row>
    <row r="139" outlineLevel="2">
      <c r="A139" s="126" t="s">
        <v>48</v>
      </c>
      <c r="B139" s="63" t="s">
        <v>0</v>
      </c>
      <c r="C139" s="64">
        <f t="shared" ref="C139:C142" si="615">$C$143/$F$143*F139</f>
        <v>12734.603030303031</v>
      </c>
      <c r="D139" s="320">
        <f t="shared" ref="D139:D142" si="616">SUM(K139:AO139)</f>
        <v>12902.421212121209</v>
      </c>
      <c r="E139" s="348">
        <f>'[13]План пр-ва по единицам обор'!$F$57</f>
        <v>923</v>
      </c>
      <c r="F139" s="130">
        <f t="shared" ref="F139:F142" si="617">COUNTA(K139:AO139)</f>
        <v>14</v>
      </c>
      <c r="G139" s="541"/>
      <c r="H139" s="542"/>
      <c r="I139" s="542">
        <f t="shared" si="597"/>
        <v>0.016666666666666666</v>
      </c>
      <c r="J139" s="421">
        <f t="shared" ref="J139:J142" si="618">SUM(G139:I139)</f>
        <v>0.016666666666666666</v>
      </c>
      <c r="K139" s="762"/>
      <c r="L139" s="629"/>
      <c r="M139" s="629"/>
      <c r="N139" s="73"/>
      <c r="O139" s="74">
        <f>$E139/11*(11-($H139+$I139))</f>
        <v>921.60151515151506</v>
      </c>
      <c r="P139" s="74">
        <f t="shared" ref="P139:Q140" si="619">$E139/11*(11-($H139+$I139))</f>
        <v>921.60151515151506</v>
      </c>
      <c r="Q139" s="73"/>
      <c r="R139" s="73"/>
      <c r="S139" s="74">
        <f t="shared" ref="S139:U142" si="620">$E139/11*(11-($H139+$I139))</f>
        <v>921.60151515151506</v>
      </c>
      <c r="T139" s="73">
        <f t="shared" ref="T139:T140" si="621">$E139/11*(11-($G139+$I139))</f>
        <v>921.60151515151506</v>
      </c>
      <c r="U139" s="73"/>
      <c r="V139" s="73"/>
      <c r="W139" s="74">
        <f t="shared" ref="W139:Y140" si="622">$E139/11*(11-($H139+$I139))</f>
        <v>921.60151515151506</v>
      </c>
      <c r="X139" s="74">
        <f t="shared" si="622"/>
        <v>921.60151515151506</v>
      </c>
      <c r="Y139" s="73"/>
      <c r="Z139" s="73"/>
      <c r="AA139" s="74">
        <f t="shared" ref="AA139:AL142" si="623">$E139/11*(11-($H139+$I139))</f>
        <v>921.60151515151506</v>
      </c>
      <c r="AB139" s="74">
        <f t="shared" si="623"/>
        <v>921.60151515151506</v>
      </c>
      <c r="AC139" s="73"/>
      <c r="AD139" s="73"/>
      <c r="AE139" s="74">
        <f t="shared" ref="AE139:AG140" si="624">$E139/11*(11-($H139+$I139))</f>
        <v>921.60151515151506</v>
      </c>
      <c r="AF139" s="74">
        <f t="shared" si="624"/>
        <v>921.60151515151506</v>
      </c>
      <c r="AG139" s="73"/>
      <c r="AH139" s="73"/>
      <c r="AI139" s="74">
        <f t="shared" ref="AI139:AK141" si="625">$E139/11*(11-($H139+$I139))</f>
        <v>921.60151515151506</v>
      </c>
      <c r="AJ139" s="74">
        <f t="shared" si="625"/>
        <v>921.60151515151506</v>
      </c>
      <c r="AK139" s="73"/>
      <c r="AL139" s="73"/>
      <c r="AM139" s="74">
        <f t="shared" ref="AM139:AO142" si="626">$E139/11*(11-($H139+$I139))</f>
        <v>921.60151515151506</v>
      </c>
      <c r="AN139" s="74">
        <f t="shared" si="626"/>
        <v>921.60151515151506</v>
      </c>
      <c r="AO139" s="73"/>
    </row>
    <row r="140" outlineLevel="2">
      <c r="A140" s="126"/>
      <c r="B140" s="77" t="s">
        <v>1</v>
      </c>
      <c r="C140" s="78">
        <f t="shared" si="615"/>
        <v>12734.603030303031</v>
      </c>
      <c r="D140" s="427">
        <f t="shared" si="616"/>
        <v>12566.784848484845</v>
      </c>
      <c r="E140" s="348">
        <f t="shared" ref="E140:E142" si="627">E139</f>
        <v>923</v>
      </c>
      <c r="F140" s="130">
        <f t="shared" si="617"/>
        <v>14</v>
      </c>
      <c r="G140" s="546">
        <v>4</v>
      </c>
      <c r="H140" s="547"/>
      <c r="I140" s="542">
        <f t="shared" si="597"/>
        <v>0.016666666666666666</v>
      </c>
      <c r="J140" s="430">
        <f t="shared" si="618"/>
        <v>4.0166666666666666</v>
      </c>
      <c r="K140" s="762"/>
      <c r="L140" s="629"/>
      <c r="M140" s="629"/>
      <c r="N140" s="84"/>
      <c r="O140" s="73"/>
      <c r="P140" s="74">
        <f t="shared" si="619"/>
        <v>921.60151515151506</v>
      </c>
      <c r="Q140" s="74">
        <f t="shared" si="619"/>
        <v>921.60151515151506</v>
      </c>
      <c r="R140" s="84"/>
      <c r="S140" s="73"/>
      <c r="T140" s="75">
        <f t="shared" si="621"/>
        <v>585.96515151515155</v>
      </c>
      <c r="U140" s="74">
        <f t="shared" si="620"/>
        <v>921.60151515151506</v>
      </c>
      <c r="V140" s="84"/>
      <c r="W140" s="73"/>
      <c r="X140" s="74">
        <f t="shared" si="622"/>
        <v>921.60151515151506</v>
      </c>
      <c r="Y140" s="74">
        <f t="shared" si="622"/>
        <v>921.60151515151506</v>
      </c>
      <c r="Z140" s="84"/>
      <c r="AA140" s="73"/>
      <c r="AB140" s="74">
        <f t="shared" si="623"/>
        <v>921.60151515151506</v>
      </c>
      <c r="AC140" s="74">
        <f t="shared" si="623"/>
        <v>921.60151515151506</v>
      </c>
      <c r="AD140" s="84"/>
      <c r="AE140" s="73"/>
      <c r="AF140" s="74">
        <f t="shared" si="624"/>
        <v>921.60151515151506</v>
      </c>
      <c r="AG140" s="74">
        <f t="shared" si="624"/>
        <v>921.60151515151506</v>
      </c>
      <c r="AH140" s="84"/>
      <c r="AI140" s="73"/>
      <c r="AJ140" s="74">
        <f t="shared" si="625"/>
        <v>921.60151515151506</v>
      </c>
      <c r="AK140" s="74">
        <f t="shared" si="625"/>
        <v>921.60151515151506</v>
      </c>
      <c r="AL140" s="84"/>
      <c r="AM140" s="73"/>
      <c r="AN140" s="74">
        <f t="shared" si="626"/>
        <v>921.60151515151506</v>
      </c>
      <c r="AO140" s="74">
        <f t="shared" si="626"/>
        <v>921.60151515151506</v>
      </c>
    </row>
    <row r="141" outlineLevel="2">
      <c r="A141" s="126"/>
      <c r="B141" s="85" t="s">
        <v>2</v>
      </c>
      <c r="C141" s="131">
        <f t="shared" si="615"/>
        <v>12734.603030303031</v>
      </c>
      <c r="D141" s="87">
        <f t="shared" si="616"/>
        <v>12566.784848484845</v>
      </c>
      <c r="E141" s="348">
        <f t="shared" si="627"/>
        <v>923</v>
      </c>
      <c r="F141" s="130">
        <f t="shared" si="617"/>
        <v>14</v>
      </c>
      <c r="G141" s="546">
        <v>4</v>
      </c>
      <c r="H141" s="547"/>
      <c r="I141" s="542">
        <f t="shared" si="597"/>
        <v>0.016666666666666666</v>
      </c>
      <c r="J141" s="430">
        <f t="shared" si="618"/>
        <v>4.0166666666666666</v>
      </c>
      <c r="K141" s="762"/>
      <c r="L141" s="629"/>
      <c r="M141" s="629"/>
      <c r="N141" s="74">
        <f t="shared" ref="N141:Z142" si="628">$E141/11*(11-($H141+$I141))</f>
        <v>921.60151515151506</v>
      </c>
      <c r="O141" s="74">
        <f>$E141/11*(11-($H141+$I141))</f>
        <v>921.60151515151506</v>
      </c>
      <c r="P141" s="74"/>
      <c r="Q141" s="73"/>
      <c r="R141" s="74">
        <f t="shared" ref="R141:S141" si="629">$E141/11*(11-($H141+$I141))</f>
        <v>921.60151515151506</v>
      </c>
      <c r="S141" s="74">
        <f t="shared" si="629"/>
        <v>921.60151515151506</v>
      </c>
      <c r="T141" s="74"/>
      <c r="U141" s="73"/>
      <c r="V141" s="74">
        <f t="shared" ref="V141:W141" si="630">$E141/11*(11-($H141+$I141))</f>
        <v>921.60151515151506</v>
      </c>
      <c r="W141" s="74">
        <f t="shared" si="630"/>
        <v>921.60151515151506</v>
      </c>
      <c r="X141" s="74"/>
      <c r="Y141" s="73"/>
      <c r="Z141" s="74">
        <f t="shared" ref="Z141:AA141" si="631">$E141/11*(11-($H141+$I141))</f>
        <v>921.60151515151506</v>
      </c>
      <c r="AA141" s="74">
        <f t="shared" si="631"/>
        <v>921.60151515151506</v>
      </c>
      <c r="AB141" s="74"/>
      <c r="AC141" s="73"/>
      <c r="AD141" s="74">
        <f t="shared" ref="AD141:AE141" si="632">$E141/11*(11-($H141+$I141))</f>
        <v>921.60151515151506</v>
      </c>
      <c r="AE141" s="74">
        <f t="shared" si="632"/>
        <v>921.60151515151506</v>
      </c>
      <c r="AF141" s="74"/>
      <c r="AG141" s="73"/>
      <c r="AH141" s="75">
        <f>$E141/11*(11-($G141+$I141))</f>
        <v>585.96515151515155</v>
      </c>
      <c r="AI141" s="74">
        <f t="shared" si="625"/>
        <v>921.60151515151506</v>
      </c>
      <c r="AJ141" s="74"/>
      <c r="AK141" s="73"/>
      <c r="AL141" s="74">
        <f t="shared" ref="AL141:AM141" si="633">$E141/11*(11-($H141+$I141))</f>
        <v>921.60151515151506</v>
      </c>
      <c r="AM141" s="74">
        <f t="shared" si="633"/>
        <v>921.60151515151506</v>
      </c>
      <c r="AN141" s="74"/>
      <c r="AO141" s="75"/>
    </row>
    <row r="142" ht="13.5" outlineLevel="2">
      <c r="A142" s="132"/>
      <c r="B142" s="90" t="s">
        <v>3</v>
      </c>
      <c r="C142" s="133">
        <f t="shared" si="615"/>
        <v>12734.603030303031</v>
      </c>
      <c r="D142" s="836">
        <f t="shared" si="616"/>
        <v>12902.421212121209</v>
      </c>
      <c r="E142" s="348">
        <f t="shared" si="627"/>
        <v>923</v>
      </c>
      <c r="F142" s="130">
        <f t="shared" si="617"/>
        <v>14</v>
      </c>
      <c r="G142" s="574"/>
      <c r="H142" s="637"/>
      <c r="I142" s="542">
        <f t="shared" si="597"/>
        <v>0.016666666666666666</v>
      </c>
      <c r="J142" s="638">
        <f t="shared" si="618"/>
        <v>0.016666666666666666</v>
      </c>
      <c r="K142" s="808"/>
      <c r="L142" s="188"/>
      <c r="M142" s="188"/>
      <c r="N142" s="73">
        <f t="shared" si="628"/>
        <v>921.60151515151506</v>
      </c>
      <c r="O142" s="98"/>
      <c r="P142" s="74"/>
      <c r="Q142" s="73">
        <f t="shared" si="628"/>
        <v>921.60151515151506</v>
      </c>
      <c r="R142" s="73">
        <f t="shared" si="628"/>
        <v>921.60151515151506</v>
      </c>
      <c r="S142" s="98"/>
      <c r="T142" s="74"/>
      <c r="U142" s="74">
        <f t="shared" si="620"/>
        <v>921.60151515151506</v>
      </c>
      <c r="V142" s="73">
        <f t="shared" si="628"/>
        <v>921.60151515151506</v>
      </c>
      <c r="W142" s="98"/>
      <c r="X142" s="74"/>
      <c r="Y142" s="73">
        <f t="shared" si="628"/>
        <v>921.60151515151506</v>
      </c>
      <c r="Z142" s="73">
        <f t="shared" si="628"/>
        <v>921.60151515151506</v>
      </c>
      <c r="AA142" s="98"/>
      <c r="AB142" s="74"/>
      <c r="AC142" s="73">
        <f t="shared" si="623"/>
        <v>921.60151515151506</v>
      </c>
      <c r="AD142" s="73">
        <f t="shared" si="623"/>
        <v>921.60151515151506</v>
      </c>
      <c r="AE142" s="98"/>
      <c r="AF142" s="74"/>
      <c r="AG142" s="73">
        <f t="shared" si="623"/>
        <v>921.60151515151506</v>
      </c>
      <c r="AH142" s="73">
        <f t="shared" si="623"/>
        <v>921.60151515151506</v>
      </c>
      <c r="AI142" s="98"/>
      <c r="AJ142" s="74"/>
      <c r="AK142" s="73">
        <f t="shared" si="623"/>
        <v>921.60151515151506</v>
      </c>
      <c r="AL142" s="73">
        <f t="shared" si="623"/>
        <v>921.60151515151506</v>
      </c>
      <c r="AM142" s="98"/>
      <c r="AN142" s="74"/>
      <c r="AO142" s="74">
        <f t="shared" si="626"/>
        <v>921.60151515151506</v>
      </c>
    </row>
    <row r="143" s="99" customFormat="1" ht="20.449999999999999" customHeight="1" outlineLevel="1">
      <c r="B143" s="136" t="s">
        <v>18</v>
      </c>
      <c r="C143" s="102">
        <f>'[6]План пр-ва по единицам обор'!$AN$57</f>
        <v>50938.412121212124</v>
      </c>
      <c r="D143" s="103">
        <f>SUM(D139:D142)</f>
        <v>50938.41212121211</v>
      </c>
      <c r="E143" s="443" t="s">
        <v>19</v>
      </c>
      <c r="F143" s="884">
        <f>SUM(F139:F142)</f>
        <v>56</v>
      </c>
      <c r="G143" s="885">
        <f>SUM(G139:G142)</f>
        <v>8</v>
      </c>
      <c r="H143" s="886">
        <f>SUM(H139:H142)</f>
        <v>0</v>
      </c>
      <c r="I143" s="886" t="s">
        <v>19</v>
      </c>
      <c r="J143" s="887">
        <f t="shared" ref="J143:N143" si="634">SUM(J139:J142)</f>
        <v>8.0666666666666682</v>
      </c>
      <c r="K143" s="888">
        <f t="shared" si="634"/>
        <v>0</v>
      </c>
      <c r="L143" s="889">
        <f t="shared" si="634"/>
        <v>0</v>
      </c>
      <c r="M143" s="889">
        <f t="shared" si="634"/>
        <v>0</v>
      </c>
      <c r="N143" s="889">
        <f t="shared" si="634"/>
        <v>1843.2030303030301</v>
      </c>
      <c r="O143" s="889">
        <f>SUM(O139:O142)</f>
        <v>1843.2030303030301</v>
      </c>
      <c r="P143" s="889">
        <f>SUM(P139:P142)</f>
        <v>1843.2030303030301</v>
      </c>
      <c r="Q143" s="889">
        <f t="shared" ref="Q143:AO143" si="635">SUM(Q139:Q142)</f>
        <v>1843.2030303030301</v>
      </c>
      <c r="R143" s="889">
        <f t="shared" si="635"/>
        <v>1843.2030303030301</v>
      </c>
      <c r="S143" s="889">
        <f t="shared" si="635"/>
        <v>1843.2030303030301</v>
      </c>
      <c r="T143" s="889">
        <f t="shared" si="635"/>
        <v>1507.5666666666666</v>
      </c>
      <c r="U143" s="889">
        <f t="shared" si="635"/>
        <v>1843.2030303030301</v>
      </c>
      <c r="V143" s="889">
        <f t="shared" si="635"/>
        <v>1843.2030303030301</v>
      </c>
      <c r="W143" s="889">
        <f t="shared" si="635"/>
        <v>1843.2030303030301</v>
      </c>
      <c r="X143" s="889">
        <f t="shared" si="635"/>
        <v>1843.2030303030301</v>
      </c>
      <c r="Y143" s="889">
        <f t="shared" si="635"/>
        <v>1843.2030303030301</v>
      </c>
      <c r="Z143" s="889">
        <f t="shared" si="635"/>
        <v>1843.2030303030301</v>
      </c>
      <c r="AA143" s="889">
        <f t="shared" si="635"/>
        <v>1843.2030303030301</v>
      </c>
      <c r="AB143" s="890">
        <f t="shared" si="635"/>
        <v>1843.2030303030301</v>
      </c>
      <c r="AC143" s="891">
        <f t="shared" si="635"/>
        <v>1843.2030303030301</v>
      </c>
      <c r="AD143" s="892">
        <f t="shared" si="635"/>
        <v>1843.2030303030301</v>
      </c>
      <c r="AE143" s="892">
        <f t="shared" si="635"/>
        <v>1843.2030303030301</v>
      </c>
      <c r="AF143" s="892">
        <f t="shared" si="635"/>
        <v>1843.2030303030301</v>
      </c>
      <c r="AG143" s="892">
        <f t="shared" si="635"/>
        <v>1843.2030303030301</v>
      </c>
      <c r="AH143" s="892">
        <f t="shared" si="635"/>
        <v>1507.5666666666666</v>
      </c>
      <c r="AI143" s="892">
        <f t="shared" si="635"/>
        <v>1843.2030303030301</v>
      </c>
      <c r="AJ143" s="892">
        <f t="shared" si="635"/>
        <v>1843.2030303030301</v>
      </c>
      <c r="AK143" s="892">
        <f t="shared" si="635"/>
        <v>1843.2030303030301</v>
      </c>
      <c r="AL143" s="892">
        <f t="shared" si="635"/>
        <v>1843.2030303030301</v>
      </c>
      <c r="AM143" s="892">
        <f t="shared" si="635"/>
        <v>1843.2030303030301</v>
      </c>
      <c r="AN143" s="892">
        <f t="shared" si="635"/>
        <v>1843.2030303030301</v>
      </c>
      <c r="AO143" s="893">
        <f t="shared" si="635"/>
        <v>1843.2030303030301</v>
      </c>
    </row>
    <row r="144" ht="13.5" outlineLevel="1">
      <c r="C144" s="206"/>
      <c r="D144" s="206"/>
      <c r="E144" s="66"/>
      <c r="F144" s="583"/>
      <c r="G144" s="584"/>
      <c r="H144" s="147"/>
      <c r="I144" s="207"/>
      <c r="J144" s="147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</row>
    <row r="145" s="123" customFormat="1" ht="36.600000000000001" customHeight="1" outlineLevel="1">
      <c r="A145" s="47" t="s">
        <v>49</v>
      </c>
      <c r="B145" s="295"/>
      <c r="C145" s="49" t="s">
        <v>11</v>
      </c>
      <c r="D145" s="50" t="s">
        <v>12</v>
      </c>
      <c r="E145" s="407" t="s">
        <v>13</v>
      </c>
      <c r="F145" s="539" t="s">
        <v>14</v>
      </c>
      <c r="G145" s="211" t="s">
        <v>15</v>
      </c>
      <c r="H145" s="212" t="s">
        <v>16</v>
      </c>
      <c r="I145" s="212" t="s">
        <v>17</v>
      </c>
      <c r="J145" s="213" t="s">
        <v>18</v>
      </c>
      <c r="K145" s="56">
        <v>44562</v>
      </c>
      <c r="L145" s="56">
        <v>44563</v>
      </c>
      <c r="M145" s="56">
        <v>44564</v>
      </c>
      <c r="N145" s="59">
        <v>44565</v>
      </c>
      <c r="O145" s="56">
        <v>44566</v>
      </c>
      <c r="P145" s="56">
        <v>44567</v>
      </c>
      <c r="Q145" s="56">
        <v>44568</v>
      </c>
      <c r="R145" s="56">
        <v>44569</v>
      </c>
      <c r="S145" s="56">
        <v>44570</v>
      </c>
      <c r="T145" s="56">
        <v>44571</v>
      </c>
      <c r="U145" s="56">
        <v>44572</v>
      </c>
      <c r="V145" s="56">
        <v>44573</v>
      </c>
      <c r="W145" s="56">
        <v>44574</v>
      </c>
      <c r="X145" s="56">
        <v>44575</v>
      </c>
      <c r="Y145" s="56">
        <v>44576</v>
      </c>
      <c r="Z145" s="56">
        <v>44577</v>
      </c>
      <c r="AA145" s="58">
        <v>44578</v>
      </c>
      <c r="AB145" s="56">
        <v>44579</v>
      </c>
      <c r="AC145" s="56">
        <v>44580</v>
      </c>
      <c r="AD145" s="56">
        <v>44581</v>
      </c>
      <c r="AE145" s="56">
        <v>44582</v>
      </c>
      <c r="AF145" s="56">
        <v>44583</v>
      </c>
      <c r="AG145" s="56">
        <v>44584</v>
      </c>
      <c r="AH145" s="56">
        <v>44585</v>
      </c>
      <c r="AI145" s="56">
        <v>44586</v>
      </c>
      <c r="AJ145" s="56">
        <v>44587</v>
      </c>
      <c r="AK145" s="56">
        <v>44588</v>
      </c>
      <c r="AL145" s="56">
        <v>44589</v>
      </c>
      <c r="AM145" s="56">
        <v>44590</v>
      </c>
      <c r="AN145" s="56">
        <v>44591</v>
      </c>
      <c r="AO145" s="60">
        <v>44561</v>
      </c>
    </row>
    <row r="146" ht="13.15" customHeight="1" outlineLevel="2">
      <c r="A146" s="126" t="s">
        <v>49</v>
      </c>
      <c r="B146" s="63" t="s">
        <v>0</v>
      </c>
      <c r="C146" s="64">
        <f t="shared" ref="C146:C149" si="636">$C$150/$F$150*F146</f>
        <v>12650.693939393939</v>
      </c>
      <c r="D146" s="320">
        <f t="shared" ref="D146:D149" si="637">SUM(K146:AO146)</f>
        <v>12566.784848484845</v>
      </c>
      <c r="E146" s="348">
        <f>'[13]План пр-ва по единицам обор'!$F$58</f>
        <v>923</v>
      </c>
      <c r="F146" s="130">
        <f t="shared" ref="F146:F149" si="638">COUNTA(K146:AO146)</f>
        <v>14</v>
      </c>
      <c r="G146" s="541">
        <v>4</v>
      </c>
      <c r="H146" s="542"/>
      <c r="I146" s="542">
        <f t="shared" si="597"/>
        <v>0.016666666666666666</v>
      </c>
      <c r="J146" s="421">
        <f t="shared" ref="J146:J149" si="639">SUM(G146:I146)</f>
        <v>4.0166666666666666</v>
      </c>
      <c r="K146" s="762"/>
      <c r="L146" s="629"/>
      <c r="M146" s="629"/>
      <c r="N146" s="73"/>
      <c r="O146" s="74">
        <f>$E146/11*(11-($H146+$I146))</f>
        <v>921.60151515151506</v>
      </c>
      <c r="P146" s="74">
        <f t="shared" ref="P146:Q147" si="640">$E146/11*(11-($H146+$I146))</f>
        <v>921.60151515151506</v>
      </c>
      <c r="Q146" s="73"/>
      <c r="R146" s="73"/>
      <c r="S146" s="74">
        <f t="shared" ref="S146:U149" si="641">$E146/11*(11-($H146+$I146))</f>
        <v>921.60151515151506</v>
      </c>
      <c r="T146" s="74">
        <f t="shared" si="641"/>
        <v>921.60151515151506</v>
      </c>
      <c r="U146" s="73"/>
      <c r="V146" s="73"/>
      <c r="W146" s="74">
        <f t="shared" ref="W146:Y147" si="642">$E146/11*(11-($H146+$I146))</f>
        <v>921.60151515151506</v>
      </c>
      <c r="X146" s="74">
        <f t="shared" si="642"/>
        <v>921.60151515151506</v>
      </c>
      <c r="Y146" s="73"/>
      <c r="Z146" s="73"/>
      <c r="AA146" s="75">
        <f>$E146/11*(11-($G146+$I146))</f>
        <v>585.96515151515155</v>
      </c>
      <c r="AB146" s="74">
        <f t="shared" ref="AB146:AL149" si="643">$E146/11*(11-($H146+$I146))</f>
        <v>921.60151515151506</v>
      </c>
      <c r="AC146" s="73"/>
      <c r="AD146" s="73"/>
      <c r="AE146" s="74">
        <f t="shared" ref="AE146:AG147" si="644">$E146/11*(11-($H146+$I146))</f>
        <v>921.60151515151506</v>
      </c>
      <c r="AF146" s="74">
        <f t="shared" si="644"/>
        <v>921.60151515151506</v>
      </c>
      <c r="AG146" s="73"/>
      <c r="AH146" s="73"/>
      <c r="AI146" s="74">
        <f t="shared" ref="AI146:AK147" si="645">$E146/11*(11-($H146+$I146))</f>
        <v>921.60151515151506</v>
      </c>
      <c r="AJ146" s="74">
        <f t="shared" si="645"/>
        <v>921.60151515151506</v>
      </c>
      <c r="AK146" s="73"/>
      <c r="AL146" s="73"/>
      <c r="AM146" s="74">
        <f t="shared" ref="AM146:AO147" si="646">$E146/11*(11-($H146+$I146))</f>
        <v>921.60151515151506</v>
      </c>
      <c r="AN146" s="74">
        <f t="shared" si="646"/>
        <v>921.60151515151506</v>
      </c>
      <c r="AO146" s="73"/>
    </row>
    <row r="147" ht="13.15" customHeight="1" outlineLevel="2">
      <c r="A147" s="126"/>
      <c r="B147" s="77" t="s">
        <v>1</v>
      </c>
      <c r="C147" s="78">
        <f t="shared" si="636"/>
        <v>12650.693939393939</v>
      </c>
      <c r="D147" s="427">
        <f t="shared" si="637"/>
        <v>12902.421212121209</v>
      </c>
      <c r="E147" s="348">
        <f t="shared" ref="E147:E149" si="647">E146</f>
        <v>923</v>
      </c>
      <c r="F147" s="130">
        <f t="shared" si="638"/>
        <v>14</v>
      </c>
      <c r="G147" s="546"/>
      <c r="H147" s="547"/>
      <c r="I147" s="542">
        <f t="shared" si="597"/>
        <v>0.016666666666666666</v>
      </c>
      <c r="J147" s="430">
        <f t="shared" si="639"/>
        <v>0.016666666666666666</v>
      </c>
      <c r="K147" s="762"/>
      <c r="L147" s="629"/>
      <c r="M147" s="629"/>
      <c r="N147" s="84"/>
      <c r="O147" s="73"/>
      <c r="P147" s="74">
        <f t="shared" si="640"/>
        <v>921.60151515151506</v>
      </c>
      <c r="Q147" s="74">
        <f t="shared" si="640"/>
        <v>921.60151515151506</v>
      </c>
      <c r="R147" s="84"/>
      <c r="S147" s="73"/>
      <c r="T147" s="74">
        <f t="shared" si="641"/>
        <v>921.60151515151506</v>
      </c>
      <c r="U147" s="74">
        <f t="shared" si="641"/>
        <v>921.60151515151506</v>
      </c>
      <c r="V147" s="84"/>
      <c r="W147" s="73"/>
      <c r="X147" s="74">
        <f t="shared" si="642"/>
        <v>921.60151515151506</v>
      </c>
      <c r="Y147" s="74">
        <f t="shared" si="642"/>
        <v>921.60151515151506</v>
      </c>
      <c r="Z147" s="84"/>
      <c r="AA147" s="73"/>
      <c r="AB147" s="74">
        <f t="shared" si="643"/>
        <v>921.60151515151506</v>
      </c>
      <c r="AC147" s="74">
        <f t="shared" si="643"/>
        <v>921.60151515151506</v>
      </c>
      <c r="AD147" s="84"/>
      <c r="AE147" s="73"/>
      <c r="AF147" s="74">
        <f t="shared" si="644"/>
        <v>921.60151515151506</v>
      </c>
      <c r="AG147" s="74">
        <f t="shared" si="644"/>
        <v>921.60151515151506</v>
      </c>
      <c r="AH147" s="84"/>
      <c r="AI147" s="73"/>
      <c r="AJ147" s="74">
        <f t="shared" si="645"/>
        <v>921.60151515151506</v>
      </c>
      <c r="AK147" s="74">
        <f t="shared" si="645"/>
        <v>921.60151515151506</v>
      </c>
      <c r="AL147" s="84"/>
      <c r="AM147" s="73"/>
      <c r="AN147" s="74">
        <f t="shared" si="646"/>
        <v>921.60151515151506</v>
      </c>
      <c r="AO147" s="74">
        <f t="shared" si="646"/>
        <v>921.60151515151506</v>
      </c>
    </row>
    <row r="148" ht="13.15" customHeight="1" outlineLevel="2">
      <c r="A148" s="126"/>
      <c r="B148" s="85" t="s">
        <v>2</v>
      </c>
      <c r="C148" s="131">
        <f t="shared" si="636"/>
        <v>12650.693939393939</v>
      </c>
      <c r="D148" s="87">
        <f t="shared" si="637"/>
        <v>12566.784848484845</v>
      </c>
      <c r="E148" s="348">
        <f t="shared" si="647"/>
        <v>923</v>
      </c>
      <c r="F148" s="130">
        <f t="shared" si="638"/>
        <v>14</v>
      </c>
      <c r="G148" s="546">
        <v>4</v>
      </c>
      <c r="H148" s="547"/>
      <c r="I148" s="542">
        <f t="shared" si="597"/>
        <v>0.016666666666666666</v>
      </c>
      <c r="J148" s="430">
        <f t="shared" si="639"/>
        <v>4.0166666666666666</v>
      </c>
      <c r="K148" s="762"/>
      <c r="L148" s="629"/>
      <c r="M148" s="629"/>
      <c r="N148" s="75">
        <f>$E148/11*(11-($G148+$I148))</f>
        <v>585.96515151515155</v>
      </c>
      <c r="O148" s="74">
        <f>$E148/11*(11-($H148+$I148))</f>
        <v>921.60151515151506</v>
      </c>
      <c r="P148" s="74"/>
      <c r="Q148" s="73"/>
      <c r="R148" s="74">
        <f t="shared" ref="R148:S148" si="648">$E148/11*(11-($H148+$I148))</f>
        <v>921.60151515151506</v>
      </c>
      <c r="S148" s="74">
        <f t="shared" si="648"/>
        <v>921.60151515151506</v>
      </c>
      <c r="T148" s="74"/>
      <c r="U148" s="73"/>
      <c r="V148" s="74">
        <f t="shared" ref="V148:W148" si="649">$E148/11*(11-($H148+$I148))</f>
        <v>921.60151515151506</v>
      </c>
      <c r="W148" s="74">
        <f t="shared" si="649"/>
        <v>921.60151515151506</v>
      </c>
      <c r="X148" s="74"/>
      <c r="Y148" s="73"/>
      <c r="Z148" s="74">
        <f t="shared" ref="Z148:AA148" si="650">$E148/11*(11-($H148+$I148))</f>
        <v>921.60151515151506</v>
      </c>
      <c r="AA148" s="74">
        <f t="shared" si="650"/>
        <v>921.60151515151506</v>
      </c>
      <c r="AB148" s="74"/>
      <c r="AC148" s="73"/>
      <c r="AD148" s="74">
        <f t="shared" ref="AD148:AE148" si="651">$E148/11*(11-($H148+$I148))</f>
        <v>921.60151515151506</v>
      </c>
      <c r="AE148" s="74">
        <f t="shared" si="651"/>
        <v>921.60151515151506</v>
      </c>
      <c r="AF148" s="74"/>
      <c r="AG148" s="73"/>
      <c r="AH148" s="74">
        <f t="shared" ref="AH148:AI148" si="652">$E148/11*(11-($H148+$I148))</f>
        <v>921.60151515151506</v>
      </c>
      <c r="AI148" s="74">
        <f t="shared" si="652"/>
        <v>921.60151515151506</v>
      </c>
      <c r="AJ148" s="74"/>
      <c r="AK148" s="73"/>
      <c r="AL148" s="74">
        <f t="shared" ref="AL148:AM148" si="653">$E148/11*(11-($H148+$I148))</f>
        <v>921.60151515151506</v>
      </c>
      <c r="AM148" s="74">
        <f t="shared" si="653"/>
        <v>921.60151515151506</v>
      </c>
      <c r="AN148" s="74"/>
      <c r="AO148" s="75"/>
    </row>
    <row r="149" ht="13.9" customHeight="1" outlineLevel="2">
      <c r="A149" s="132"/>
      <c r="B149" s="90" t="s">
        <v>3</v>
      </c>
      <c r="C149" s="133">
        <f t="shared" si="636"/>
        <v>12650.693939393939</v>
      </c>
      <c r="D149" s="836">
        <f t="shared" si="637"/>
        <v>12566.784848484845</v>
      </c>
      <c r="E149" s="348">
        <f t="shared" si="647"/>
        <v>923</v>
      </c>
      <c r="F149" s="130">
        <f t="shared" si="638"/>
        <v>14</v>
      </c>
      <c r="G149" s="549">
        <v>4</v>
      </c>
      <c r="H149" s="550"/>
      <c r="I149" s="542">
        <f t="shared" si="597"/>
        <v>0.016666666666666666</v>
      </c>
      <c r="J149" s="438">
        <f t="shared" si="639"/>
        <v>4.0166666666666666</v>
      </c>
      <c r="K149" s="808"/>
      <c r="L149" s="188"/>
      <c r="M149" s="188"/>
      <c r="N149" s="73">
        <f t="shared" ref="N149:Z149" si="654">$E149/11*(11-($H149+$I149))</f>
        <v>921.60151515151506</v>
      </c>
      <c r="O149" s="98"/>
      <c r="P149" s="74"/>
      <c r="Q149" s="73">
        <f t="shared" si="654"/>
        <v>921.60151515151506</v>
      </c>
      <c r="R149" s="73">
        <f t="shared" si="654"/>
        <v>921.60151515151506</v>
      </c>
      <c r="S149" s="98"/>
      <c r="T149" s="74"/>
      <c r="U149" s="74">
        <f t="shared" si="641"/>
        <v>921.60151515151506</v>
      </c>
      <c r="V149" s="73">
        <f t="shared" si="654"/>
        <v>921.60151515151506</v>
      </c>
      <c r="W149" s="98"/>
      <c r="X149" s="74"/>
      <c r="Y149" s="73">
        <f t="shared" si="654"/>
        <v>921.60151515151506</v>
      </c>
      <c r="Z149" s="73">
        <f t="shared" si="654"/>
        <v>921.60151515151506</v>
      </c>
      <c r="AA149" s="98"/>
      <c r="AB149" s="74"/>
      <c r="AC149" s="73">
        <f t="shared" si="643"/>
        <v>921.60151515151506</v>
      </c>
      <c r="AD149" s="73">
        <f t="shared" si="643"/>
        <v>921.60151515151506</v>
      </c>
      <c r="AE149" s="98"/>
      <c r="AF149" s="74"/>
      <c r="AG149" s="73">
        <f t="shared" si="643"/>
        <v>921.60151515151506</v>
      </c>
      <c r="AH149" s="73">
        <f t="shared" si="643"/>
        <v>921.60151515151506</v>
      </c>
      <c r="AI149" s="98"/>
      <c r="AJ149" s="74"/>
      <c r="AK149" s="73">
        <f t="shared" si="643"/>
        <v>921.60151515151506</v>
      </c>
      <c r="AL149" s="73">
        <f t="shared" si="643"/>
        <v>921.60151515151506</v>
      </c>
      <c r="AM149" s="98"/>
      <c r="AN149" s="74"/>
      <c r="AO149" s="75">
        <f>$E149/11*(11-($G149+$I149))</f>
        <v>585.96515151515155</v>
      </c>
    </row>
    <row r="150" s="99" customFormat="1" ht="18" customHeight="1" outlineLevel="1">
      <c r="B150" s="136" t="s">
        <v>18</v>
      </c>
      <c r="C150" s="102">
        <f>'[6]План пр-ва по единицам обор'!$AN$58</f>
        <v>50602.775757575757</v>
      </c>
      <c r="D150" s="103">
        <f>SUM(D146:D149)</f>
        <v>50602.775757575742</v>
      </c>
      <c r="E150" s="443" t="s">
        <v>19</v>
      </c>
      <c r="F150" s="553">
        <f>SUM(F146:F149)</f>
        <v>56</v>
      </c>
      <c r="G150" s="444">
        <f>SUM(G146:G149)</f>
        <v>12</v>
      </c>
      <c r="H150" s="167">
        <f>SUM(H146:H149)</f>
        <v>0</v>
      </c>
      <c r="I150" s="168" t="s">
        <v>19</v>
      </c>
      <c r="J150" s="169">
        <f t="shared" ref="J150:N150" si="655">SUM(J146:J149)</f>
        <v>12.066666666666666</v>
      </c>
      <c r="K150" s="281">
        <f t="shared" si="655"/>
        <v>0</v>
      </c>
      <c r="L150" s="282">
        <f t="shared" si="655"/>
        <v>0</v>
      </c>
      <c r="M150" s="282">
        <f t="shared" si="655"/>
        <v>0</v>
      </c>
      <c r="N150" s="282">
        <f t="shared" si="655"/>
        <v>1507.5666666666666</v>
      </c>
      <c r="O150" s="282">
        <f>SUM(O146:O149)</f>
        <v>1843.2030303030301</v>
      </c>
      <c r="P150" s="282">
        <f>SUM(P146:P149)</f>
        <v>1843.2030303030301</v>
      </c>
      <c r="Q150" s="282">
        <f t="shared" ref="Q150:AO150" si="656">SUM(Q146:Q149)</f>
        <v>1843.2030303030301</v>
      </c>
      <c r="R150" s="282">
        <f t="shared" si="656"/>
        <v>1843.2030303030301</v>
      </c>
      <c r="S150" s="282">
        <f t="shared" si="656"/>
        <v>1843.2030303030301</v>
      </c>
      <c r="T150" s="282">
        <f t="shared" si="656"/>
        <v>1843.2030303030301</v>
      </c>
      <c r="U150" s="282">
        <f t="shared" si="656"/>
        <v>1843.2030303030301</v>
      </c>
      <c r="V150" s="282">
        <f t="shared" si="656"/>
        <v>1843.2030303030301</v>
      </c>
      <c r="W150" s="282">
        <f t="shared" si="656"/>
        <v>1843.2030303030301</v>
      </c>
      <c r="X150" s="282">
        <f t="shared" si="656"/>
        <v>1843.2030303030301</v>
      </c>
      <c r="Y150" s="282">
        <f t="shared" si="656"/>
        <v>1843.2030303030301</v>
      </c>
      <c r="Z150" s="282">
        <f t="shared" si="656"/>
        <v>1843.2030303030301</v>
      </c>
      <c r="AA150" s="282">
        <f t="shared" si="656"/>
        <v>1507.5666666666666</v>
      </c>
      <c r="AB150" s="286">
        <f t="shared" si="656"/>
        <v>1843.2030303030301</v>
      </c>
      <c r="AC150" s="894">
        <f t="shared" si="656"/>
        <v>1843.2030303030301</v>
      </c>
      <c r="AD150" s="246">
        <f t="shared" si="656"/>
        <v>1843.2030303030301</v>
      </c>
      <c r="AE150" s="246">
        <f t="shared" si="656"/>
        <v>1843.2030303030301</v>
      </c>
      <c r="AF150" s="246">
        <f t="shared" si="656"/>
        <v>1843.2030303030301</v>
      </c>
      <c r="AG150" s="246">
        <f t="shared" si="656"/>
        <v>1843.2030303030301</v>
      </c>
      <c r="AH150" s="246">
        <f t="shared" si="656"/>
        <v>1843.2030303030301</v>
      </c>
      <c r="AI150" s="246">
        <f t="shared" si="656"/>
        <v>1843.2030303030301</v>
      </c>
      <c r="AJ150" s="246">
        <f t="shared" si="656"/>
        <v>1843.2030303030301</v>
      </c>
      <c r="AK150" s="246">
        <f t="shared" si="656"/>
        <v>1843.2030303030301</v>
      </c>
      <c r="AL150" s="246">
        <f t="shared" si="656"/>
        <v>1843.2030303030301</v>
      </c>
      <c r="AM150" s="246">
        <f t="shared" si="656"/>
        <v>1843.2030303030301</v>
      </c>
      <c r="AN150" s="246">
        <f t="shared" si="656"/>
        <v>1843.2030303030301</v>
      </c>
      <c r="AO150" s="706">
        <f t="shared" si="656"/>
        <v>1507.5666666666666</v>
      </c>
    </row>
    <row r="151" s="99" customFormat="1" ht="13.5">
      <c r="A151" s="590"/>
      <c r="B151" s="590"/>
      <c r="C151" s="11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146"/>
      <c r="AN151" s="146"/>
      <c r="AO151" s="146"/>
    </row>
    <row r="152" s="123" customFormat="1" ht="30" customHeight="1">
      <c r="A152" s="149" t="s">
        <v>50</v>
      </c>
      <c r="B152" s="150"/>
      <c r="C152" s="49" t="s">
        <v>11</v>
      </c>
      <c r="D152" s="50" t="s">
        <v>12</v>
      </c>
      <c r="E152" s="407" t="s">
        <v>13</v>
      </c>
      <c r="F152" s="895" t="s">
        <v>14</v>
      </c>
      <c r="G152" s="211" t="s">
        <v>15</v>
      </c>
      <c r="H152" s="212" t="s">
        <v>16</v>
      </c>
      <c r="I152" s="212" t="s">
        <v>17</v>
      </c>
      <c r="J152" s="213" t="s">
        <v>18</v>
      </c>
      <c r="K152" s="56">
        <v>44562</v>
      </c>
      <c r="L152" s="56">
        <v>44563</v>
      </c>
      <c r="M152" s="56">
        <v>44564</v>
      </c>
      <c r="N152" s="56">
        <v>44565</v>
      </c>
      <c r="O152" s="56">
        <v>44566</v>
      </c>
      <c r="P152" s="56">
        <v>44567</v>
      </c>
      <c r="Q152" s="56">
        <v>44568</v>
      </c>
      <c r="R152" s="56">
        <v>44569</v>
      </c>
      <c r="S152" s="56">
        <v>44570</v>
      </c>
      <c r="T152" s="57">
        <v>44571</v>
      </c>
      <c r="U152" s="56">
        <v>44572</v>
      </c>
      <c r="V152" s="56">
        <v>44573</v>
      </c>
      <c r="W152" s="56">
        <v>44574</v>
      </c>
      <c r="X152" s="56">
        <v>44575</v>
      </c>
      <c r="Y152" s="56">
        <v>44576</v>
      </c>
      <c r="Z152" s="56">
        <v>44577</v>
      </c>
      <c r="AA152" s="58">
        <v>44578</v>
      </c>
      <c r="AB152" s="56">
        <v>44579</v>
      </c>
      <c r="AC152" s="56">
        <v>44580</v>
      </c>
      <c r="AD152" s="56">
        <v>44581</v>
      </c>
      <c r="AE152" s="56">
        <v>44582</v>
      </c>
      <c r="AF152" s="56">
        <v>44583</v>
      </c>
      <c r="AG152" s="56">
        <v>44584</v>
      </c>
      <c r="AH152" s="59">
        <v>44585</v>
      </c>
      <c r="AI152" s="56">
        <v>44586</v>
      </c>
      <c r="AJ152" s="56">
        <v>44587</v>
      </c>
      <c r="AK152" s="56">
        <v>44588</v>
      </c>
      <c r="AL152" s="56">
        <v>44589</v>
      </c>
      <c r="AM152" s="56">
        <v>44590</v>
      </c>
      <c r="AN152" s="56">
        <v>44591</v>
      </c>
      <c r="AO152" s="60">
        <v>44561</v>
      </c>
    </row>
    <row r="153" outlineLevel="1">
      <c r="A153" s="724" t="s">
        <v>51</v>
      </c>
      <c r="B153" s="63" t="s">
        <v>0</v>
      </c>
      <c r="C153" s="64">
        <f t="shared" ref="C153:C156" si="657">$C$157/$F$157*F153</f>
        <v>38494.255859802848</v>
      </c>
      <c r="D153" s="320">
        <f t="shared" ref="D153:D156" si="658">SUM(K153:AO153)</f>
        <v>38035.990909090913</v>
      </c>
      <c r="E153" s="348">
        <f>E132+E139+E146</f>
        <v>2769</v>
      </c>
      <c r="F153" s="591">
        <f t="shared" ref="F153:G156" si="659">F132+F139+F146</f>
        <v>42</v>
      </c>
      <c r="G153" s="726">
        <f>G132+G139+G146</f>
        <v>8</v>
      </c>
      <c r="H153" s="542"/>
      <c r="I153" s="542"/>
      <c r="J153" s="421">
        <f t="shared" ref="J153:J156" si="660">SUM(G153:I153)</f>
        <v>8</v>
      </c>
      <c r="K153" s="896">
        <f t="shared" ref="K153:AB156" si="661">K132+K139+K146</f>
        <v>0</v>
      </c>
      <c r="L153" s="897">
        <f t="shared" si="661"/>
        <v>0</v>
      </c>
      <c r="M153" s="897">
        <f>M132+M139+M146</f>
        <v>0</v>
      </c>
      <c r="N153" s="898">
        <f t="shared" si="661"/>
        <v>0</v>
      </c>
      <c r="O153" s="899">
        <f t="shared" si="661"/>
        <v>2764.8045454545454</v>
      </c>
      <c r="P153" s="898">
        <f t="shared" si="661"/>
        <v>2764.8045454545454</v>
      </c>
      <c r="Q153" s="898">
        <f t="shared" si="661"/>
        <v>0</v>
      </c>
      <c r="R153" s="898">
        <f t="shared" si="661"/>
        <v>0</v>
      </c>
      <c r="S153" s="898">
        <f t="shared" si="661"/>
        <v>2764.8045454545454</v>
      </c>
      <c r="T153" s="898">
        <f t="shared" si="661"/>
        <v>2764.8045454545454</v>
      </c>
      <c r="U153" s="898">
        <f t="shared" si="661"/>
        <v>0</v>
      </c>
      <c r="V153" s="898">
        <f t="shared" si="661"/>
        <v>0</v>
      </c>
      <c r="W153" s="898">
        <f t="shared" si="661"/>
        <v>2764.8045454545454</v>
      </c>
      <c r="X153" s="898">
        <f t="shared" si="661"/>
        <v>2764.8045454545454</v>
      </c>
      <c r="Y153" s="898">
        <f t="shared" si="661"/>
        <v>0</v>
      </c>
      <c r="Z153" s="898">
        <f t="shared" si="661"/>
        <v>0</v>
      </c>
      <c r="AA153" s="898">
        <f t="shared" si="661"/>
        <v>2093.5318181818184</v>
      </c>
      <c r="AB153" s="900">
        <f t="shared" si="661"/>
        <v>2764.8045454545454</v>
      </c>
      <c r="AC153" s="656">
        <f t="shared" ref="AC153:AC156" si="662">AC132+AC139+AC146</f>
        <v>0</v>
      </c>
      <c r="AD153" s="656">
        <f t="shared" ref="AD153:AO156" si="663">AD132+AD139+AD146</f>
        <v>0</v>
      </c>
      <c r="AE153" s="656">
        <f t="shared" si="663"/>
        <v>2764.8045454545454</v>
      </c>
      <c r="AF153" s="656">
        <f t="shared" si="663"/>
        <v>2764.8045454545454</v>
      </c>
      <c r="AG153" s="656">
        <f t="shared" si="663"/>
        <v>0</v>
      </c>
      <c r="AH153" s="656">
        <f t="shared" si="663"/>
        <v>0</v>
      </c>
      <c r="AI153" s="656">
        <f t="shared" si="663"/>
        <v>2764.8045454545454</v>
      </c>
      <c r="AJ153" s="656">
        <f t="shared" si="663"/>
        <v>2764.8045454545454</v>
      </c>
      <c r="AK153" s="656">
        <f t="shared" si="663"/>
        <v>0</v>
      </c>
      <c r="AL153" s="656">
        <f t="shared" si="663"/>
        <v>0</v>
      </c>
      <c r="AM153" s="656">
        <f t="shared" si="663"/>
        <v>2764.8045454545454</v>
      </c>
      <c r="AN153" s="901">
        <f t="shared" si="663"/>
        <v>2764.8045454545454</v>
      </c>
      <c r="AO153" s="657">
        <f t="shared" si="663"/>
        <v>0</v>
      </c>
      <c r="AP153" s="122">
        <f t="shared" ref="AP153:AP156" si="664">D153/$AQ$153</f>
        <v>111.87056149732622</v>
      </c>
      <c r="AQ153" s="24">
        <f>'[7]План пр-ва по единицам обор'!$F$56/'[7]План пр-ва по единицам обор'!$E$56</f>
        <v>340</v>
      </c>
    </row>
    <row r="154" outlineLevel="1">
      <c r="A154" s="724"/>
      <c r="B154" s="77" t="s">
        <v>1</v>
      </c>
      <c r="C154" s="78">
        <f t="shared" si="657"/>
        <v>37577.725958378971</v>
      </c>
      <c r="D154" s="427">
        <f t="shared" si="658"/>
        <v>38371.627272727274</v>
      </c>
      <c r="E154" s="348">
        <f t="shared" ref="E154:E156" si="665">E153</f>
        <v>2769</v>
      </c>
      <c r="F154" s="591">
        <f t="shared" si="659"/>
        <v>41</v>
      </c>
      <c r="G154" s="726">
        <f t="shared" si="659"/>
        <v>4</v>
      </c>
      <c r="H154" s="547"/>
      <c r="I154" s="547"/>
      <c r="J154" s="430">
        <f t="shared" si="660"/>
        <v>4</v>
      </c>
      <c r="K154" s="896">
        <f t="shared" si="661"/>
        <v>0</v>
      </c>
      <c r="L154" s="897">
        <f t="shared" si="661"/>
        <v>0</v>
      </c>
      <c r="M154" s="897">
        <f t="shared" si="661"/>
        <v>0</v>
      </c>
      <c r="N154" s="898">
        <f t="shared" si="661"/>
        <v>0</v>
      </c>
      <c r="O154" s="898">
        <f t="shared" si="661"/>
        <v>0</v>
      </c>
      <c r="P154" s="898">
        <f t="shared" si="661"/>
        <v>2764.8045454545454</v>
      </c>
      <c r="Q154" s="898">
        <f t="shared" si="661"/>
        <v>2764.8045454545454</v>
      </c>
      <c r="R154" s="898">
        <f t="shared" si="661"/>
        <v>0</v>
      </c>
      <c r="S154" s="898">
        <f t="shared" si="661"/>
        <v>0</v>
      </c>
      <c r="T154" s="902">
        <f t="shared" si="661"/>
        <v>2429.1681818181814</v>
      </c>
      <c r="U154" s="898">
        <f t="shared" si="661"/>
        <v>2764.8045454545454</v>
      </c>
      <c r="V154" s="898">
        <f t="shared" si="661"/>
        <v>0</v>
      </c>
      <c r="W154" s="898">
        <f t="shared" si="661"/>
        <v>0</v>
      </c>
      <c r="X154" s="898">
        <f t="shared" si="661"/>
        <v>2764.8045454545454</v>
      </c>
      <c r="Y154" s="903">
        <f t="shared" si="661"/>
        <v>2764.8045454545454</v>
      </c>
      <c r="Z154" s="898">
        <f t="shared" si="661"/>
        <v>0</v>
      </c>
      <c r="AA154" s="898">
        <f t="shared" si="661"/>
        <v>0</v>
      </c>
      <c r="AB154" s="900">
        <f t="shared" si="661"/>
        <v>2764.8045454545454</v>
      </c>
      <c r="AC154" s="73">
        <f t="shared" si="662"/>
        <v>2764.8045454545454</v>
      </c>
      <c r="AD154" s="73">
        <f t="shared" si="663"/>
        <v>0</v>
      </c>
      <c r="AE154" s="73">
        <f t="shared" si="663"/>
        <v>0</v>
      </c>
      <c r="AF154" s="73">
        <f t="shared" si="663"/>
        <v>2764.8045454545454</v>
      </c>
      <c r="AG154" s="73">
        <f t="shared" si="663"/>
        <v>2764.8045454545454</v>
      </c>
      <c r="AH154" s="73">
        <f t="shared" si="663"/>
        <v>0</v>
      </c>
      <c r="AI154" s="73">
        <f t="shared" si="663"/>
        <v>0</v>
      </c>
      <c r="AJ154" s="73">
        <f t="shared" si="663"/>
        <v>2764.8045454545454</v>
      </c>
      <c r="AK154" s="73">
        <f t="shared" si="663"/>
        <v>2764.8045454545454</v>
      </c>
      <c r="AL154" s="73">
        <f t="shared" si="663"/>
        <v>0</v>
      </c>
      <c r="AM154" s="73">
        <f t="shared" si="663"/>
        <v>0</v>
      </c>
      <c r="AN154" s="73">
        <f t="shared" si="663"/>
        <v>2764.8045454545454</v>
      </c>
      <c r="AO154" s="544">
        <f t="shared" si="663"/>
        <v>2764.8045454545454</v>
      </c>
      <c r="AP154" s="122">
        <f t="shared" si="664"/>
        <v>112.85772727272727</v>
      </c>
    </row>
    <row r="155" outlineLevel="1">
      <c r="A155" s="724"/>
      <c r="B155" s="85" t="s">
        <v>2</v>
      </c>
      <c r="C155" s="86">
        <f t="shared" si="657"/>
        <v>38494.255859802848</v>
      </c>
      <c r="D155" s="87">
        <f t="shared" si="658"/>
        <v>37700.354545454546</v>
      </c>
      <c r="E155" s="348">
        <f t="shared" si="665"/>
        <v>2769</v>
      </c>
      <c r="F155" s="591">
        <f t="shared" si="659"/>
        <v>42</v>
      </c>
      <c r="G155" s="726">
        <f t="shared" si="659"/>
        <v>12</v>
      </c>
      <c r="H155" s="547"/>
      <c r="I155" s="547"/>
      <c r="J155" s="430">
        <f t="shared" si="660"/>
        <v>12</v>
      </c>
      <c r="K155" s="904">
        <f t="shared" si="661"/>
        <v>0</v>
      </c>
      <c r="L155" s="897">
        <f t="shared" si="661"/>
        <v>0</v>
      </c>
      <c r="M155" s="897">
        <f t="shared" si="661"/>
        <v>0</v>
      </c>
      <c r="N155" s="898">
        <f>N134+N141+N148</f>
        <v>2093.5318181818184</v>
      </c>
      <c r="O155" s="898">
        <f t="shared" si="661"/>
        <v>2764.8045454545454</v>
      </c>
      <c r="P155" s="898">
        <f t="shared" si="661"/>
        <v>0</v>
      </c>
      <c r="Q155" s="898">
        <f t="shared" si="661"/>
        <v>0</v>
      </c>
      <c r="R155" s="898">
        <f t="shared" si="661"/>
        <v>2764.8045454545454</v>
      </c>
      <c r="S155" s="898">
        <f t="shared" si="661"/>
        <v>2764.8045454545454</v>
      </c>
      <c r="T155" s="898">
        <f t="shared" si="661"/>
        <v>0</v>
      </c>
      <c r="U155" s="898">
        <f t="shared" si="661"/>
        <v>0</v>
      </c>
      <c r="V155" s="899">
        <f t="shared" si="661"/>
        <v>2764.8045454545454</v>
      </c>
      <c r="W155" s="898">
        <f t="shared" si="661"/>
        <v>2764.8045454545454</v>
      </c>
      <c r="X155" s="898">
        <f t="shared" si="661"/>
        <v>0</v>
      </c>
      <c r="Y155" s="898">
        <f t="shared" si="661"/>
        <v>0</v>
      </c>
      <c r="Z155" s="898">
        <f t="shared" si="661"/>
        <v>2764.8045454545454</v>
      </c>
      <c r="AA155" s="898">
        <f t="shared" si="661"/>
        <v>2764.8045454545454</v>
      </c>
      <c r="AB155" s="900">
        <f t="shared" si="661"/>
        <v>0</v>
      </c>
      <c r="AC155" s="73">
        <f t="shared" si="662"/>
        <v>0</v>
      </c>
      <c r="AD155" s="73">
        <f t="shared" si="663"/>
        <v>2764.8045454545454</v>
      </c>
      <c r="AE155" s="73">
        <f t="shared" si="663"/>
        <v>2764.8045454545454</v>
      </c>
      <c r="AF155" s="73">
        <f t="shared" si="663"/>
        <v>0</v>
      </c>
      <c r="AG155" s="73">
        <f t="shared" si="663"/>
        <v>0</v>
      </c>
      <c r="AH155" s="905">
        <f t="shared" si="663"/>
        <v>2429.1681818181814</v>
      </c>
      <c r="AI155" s="73">
        <f t="shared" si="663"/>
        <v>2764.8045454545454</v>
      </c>
      <c r="AJ155" s="73">
        <f t="shared" si="663"/>
        <v>0</v>
      </c>
      <c r="AK155" s="73">
        <f t="shared" si="663"/>
        <v>0</v>
      </c>
      <c r="AL155" s="73">
        <f t="shared" si="663"/>
        <v>2764.8045454545454</v>
      </c>
      <c r="AM155" s="75">
        <f t="shared" si="663"/>
        <v>2764.8045454545454</v>
      </c>
      <c r="AN155" s="73">
        <f t="shared" si="663"/>
        <v>0</v>
      </c>
      <c r="AO155" s="544">
        <f t="shared" si="663"/>
        <v>0</v>
      </c>
      <c r="AP155" s="122">
        <f t="shared" si="664"/>
        <v>110.88339572192514</v>
      </c>
    </row>
    <row r="156" ht="13.5" outlineLevel="1">
      <c r="A156" s="736"/>
      <c r="B156" s="90" t="s">
        <v>3</v>
      </c>
      <c r="C156" s="91">
        <f t="shared" si="657"/>
        <v>37577.725958378971</v>
      </c>
      <c r="D156" s="836">
        <f t="shared" si="658"/>
        <v>38035.990909090906</v>
      </c>
      <c r="E156" s="348">
        <f t="shared" si="665"/>
        <v>2769</v>
      </c>
      <c r="F156" s="321">
        <f t="shared" si="659"/>
        <v>41</v>
      </c>
      <c r="G156" s="906">
        <f t="shared" si="659"/>
        <v>8</v>
      </c>
      <c r="H156" s="550"/>
      <c r="I156" s="550"/>
      <c r="J156" s="438">
        <f t="shared" si="660"/>
        <v>8</v>
      </c>
      <c r="K156" s="907">
        <f t="shared" si="661"/>
        <v>0</v>
      </c>
      <c r="L156" s="908">
        <f t="shared" si="661"/>
        <v>0</v>
      </c>
      <c r="M156" s="908">
        <f t="shared" si="661"/>
        <v>0</v>
      </c>
      <c r="N156" s="909">
        <f t="shared" si="661"/>
        <v>2764.8045454545454</v>
      </c>
      <c r="O156" s="909">
        <f t="shared" si="661"/>
        <v>0</v>
      </c>
      <c r="P156" s="909">
        <f t="shared" si="661"/>
        <v>0</v>
      </c>
      <c r="Q156" s="909">
        <f t="shared" si="661"/>
        <v>2764.8045454545454</v>
      </c>
      <c r="R156" s="909">
        <f t="shared" si="661"/>
        <v>2764.8045454545454</v>
      </c>
      <c r="S156" s="909">
        <f t="shared" si="661"/>
        <v>0</v>
      </c>
      <c r="T156" s="909">
        <f t="shared" si="661"/>
        <v>0</v>
      </c>
      <c r="U156" s="909">
        <f t="shared" si="661"/>
        <v>2764.8045454545454</v>
      </c>
      <c r="V156" s="909">
        <f t="shared" si="661"/>
        <v>2764.8045454545454</v>
      </c>
      <c r="W156" s="909">
        <f t="shared" si="661"/>
        <v>0</v>
      </c>
      <c r="X156" s="909">
        <f t="shared" si="661"/>
        <v>0</v>
      </c>
      <c r="Y156" s="909">
        <f t="shared" si="661"/>
        <v>2764.8045454545454</v>
      </c>
      <c r="Z156" s="910">
        <f t="shared" si="661"/>
        <v>2764.8045454545454</v>
      </c>
      <c r="AA156" s="909">
        <f t="shared" si="661"/>
        <v>0</v>
      </c>
      <c r="AB156" s="911">
        <f t="shared" si="661"/>
        <v>0</v>
      </c>
      <c r="AC156" s="98">
        <f t="shared" si="662"/>
        <v>2764.8045454545454</v>
      </c>
      <c r="AD156" s="98">
        <f t="shared" si="663"/>
        <v>2764.8045454545454</v>
      </c>
      <c r="AE156" s="98">
        <f t="shared" si="663"/>
        <v>0</v>
      </c>
      <c r="AF156" s="98">
        <f t="shared" si="663"/>
        <v>0</v>
      </c>
      <c r="AG156" s="98">
        <f t="shared" si="663"/>
        <v>2764.8045454545454</v>
      </c>
      <c r="AH156" s="98">
        <f t="shared" si="663"/>
        <v>2764.8045454545454</v>
      </c>
      <c r="AI156" s="98">
        <f t="shared" si="663"/>
        <v>0</v>
      </c>
      <c r="AJ156" s="98">
        <f t="shared" si="663"/>
        <v>0</v>
      </c>
      <c r="AK156" s="98">
        <f t="shared" si="663"/>
        <v>2764.8045454545454</v>
      </c>
      <c r="AL156" s="98">
        <f t="shared" si="663"/>
        <v>2764.8045454545454</v>
      </c>
      <c r="AM156" s="98">
        <f t="shared" si="663"/>
        <v>0</v>
      </c>
      <c r="AN156" s="98">
        <f t="shared" si="663"/>
        <v>0</v>
      </c>
      <c r="AO156" s="665">
        <f t="shared" si="663"/>
        <v>2093.5318181818184</v>
      </c>
      <c r="AP156" s="122">
        <f t="shared" si="664"/>
        <v>111.87056149732619</v>
      </c>
    </row>
    <row r="157" s="99" customFormat="1" ht="19.149999999999999" customHeight="1">
      <c r="A157" s="164"/>
      <c r="B157" s="165" t="s">
        <v>18</v>
      </c>
      <c r="C157" s="102">
        <f>'[6]План пр-ва по единицам обор'!$AN$56+'[6]План пр-ва по единицам обор'!$AN$57+'[6]План пр-ва по единицам обор'!$AN$58</f>
        <v>152143.96363636362</v>
      </c>
      <c r="D157" s="103">
        <f>SUM(D153:D156)</f>
        <v>152143.96363636365</v>
      </c>
      <c r="E157" s="443" t="s">
        <v>19</v>
      </c>
      <c r="F157" s="553">
        <f>SUM(F153:F156)</f>
        <v>166</v>
      </c>
      <c r="G157" s="444">
        <f>SUM(G153:G156)</f>
        <v>32</v>
      </c>
      <c r="H157" s="167">
        <f>SUM(H153:H156)</f>
        <v>0</v>
      </c>
      <c r="I157" s="168" t="s">
        <v>19</v>
      </c>
      <c r="J157" s="169">
        <f t="shared" ref="J157:N157" si="666">SUM(J153:J156)</f>
        <v>32</v>
      </c>
      <c r="K157" s="281">
        <f t="shared" si="666"/>
        <v>0</v>
      </c>
      <c r="L157" s="282">
        <f t="shared" si="666"/>
        <v>0</v>
      </c>
      <c r="M157" s="282">
        <f t="shared" si="666"/>
        <v>0</v>
      </c>
      <c r="N157" s="282">
        <f t="shared" si="666"/>
        <v>4858.3363636363638</v>
      </c>
      <c r="O157" s="282">
        <f>SUM(O153:O156)</f>
        <v>5529.6090909090908</v>
      </c>
      <c r="P157" s="282">
        <f>SUM(P153:P156)</f>
        <v>5529.6090909090908</v>
      </c>
      <c r="Q157" s="282">
        <f t="shared" ref="Q157:AO157" si="667">SUM(Q153:Q156)</f>
        <v>5529.6090909090908</v>
      </c>
      <c r="R157" s="282">
        <f t="shared" si="667"/>
        <v>5529.6090909090908</v>
      </c>
      <c r="S157" s="282">
        <f t="shared" si="667"/>
        <v>5529.6090909090908</v>
      </c>
      <c r="T157" s="282">
        <f t="shared" si="667"/>
        <v>5193.9727272727268</v>
      </c>
      <c r="U157" s="282">
        <f t="shared" si="667"/>
        <v>5529.6090909090908</v>
      </c>
      <c r="V157" s="282">
        <f t="shared" si="667"/>
        <v>5529.6090909090908</v>
      </c>
      <c r="W157" s="282">
        <f t="shared" si="667"/>
        <v>5529.6090909090908</v>
      </c>
      <c r="X157" s="282">
        <f t="shared" si="667"/>
        <v>5529.6090909090908</v>
      </c>
      <c r="Y157" s="282">
        <f t="shared" si="667"/>
        <v>5529.6090909090908</v>
      </c>
      <c r="Z157" s="282">
        <f t="shared" si="667"/>
        <v>5529.6090909090908</v>
      </c>
      <c r="AA157" s="282">
        <f t="shared" si="667"/>
        <v>4858.3363636363638</v>
      </c>
      <c r="AB157" s="283">
        <f t="shared" si="667"/>
        <v>5529.6090909090908</v>
      </c>
      <c r="AC157" s="912">
        <f t="shared" si="667"/>
        <v>5529.6090909090908</v>
      </c>
      <c r="AD157" s="913">
        <f t="shared" si="667"/>
        <v>5529.6090909090908</v>
      </c>
      <c r="AE157" s="913">
        <f t="shared" si="667"/>
        <v>5529.6090909090908</v>
      </c>
      <c r="AF157" s="913">
        <f t="shared" si="667"/>
        <v>5529.6090909090908</v>
      </c>
      <c r="AG157" s="913">
        <f t="shared" si="667"/>
        <v>5529.6090909090908</v>
      </c>
      <c r="AH157" s="913">
        <f t="shared" si="667"/>
        <v>5193.9727272727268</v>
      </c>
      <c r="AI157" s="913">
        <f t="shared" si="667"/>
        <v>5529.6090909090908</v>
      </c>
      <c r="AJ157" s="913">
        <f t="shared" si="667"/>
        <v>5529.6090909090908</v>
      </c>
      <c r="AK157" s="913">
        <f t="shared" si="667"/>
        <v>5529.6090909090908</v>
      </c>
      <c r="AL157" s="913">
        <f t="shared" si="667"/>
        <v>5529.6090909090908</v>
      </c>
      <c r="AM157" s="913">
        <f t="shared" si="667"/>
        <v>5529.6090909090908</v>
      </c>
      <c r="AN157" s="913">
        <f>SUM(AN153:AN156)</f>
        <v>5529.6090909090908</v>
      </c>
      <c r="AO157" s="914">
        <f t="shared" si="667"/>
        <v>4858.3363636363638</v>
      </c>
      <c r="AP157" s="913">
        <f>SUM(AP153:AP156)</f>
        <v>447.48224598930483</v>
      </c>
    </row>
    <row r="159" ht="19.5">
      <c r="A159" s="43" t="s">
        <v>52</v>
      </c>
      <c r="B159" s="43"/>
    </row>
    <row r="160" s="123" customFormat="1" ht="39" customHeight="1">
      <c r="A160" s="208" t="s">
        <v>119</v>
      </c>
      <c r="B160" s="209"/>
      <c r="C160" s="49" t="s">
        <v>11</v>
      </c>
      <c r="D160" s="50" t="s">
        <v>12</v>
      </c>
      <c r="E160" s="687" t="s">
        <v>13</v>
      </c>
      <c r="F160" s="210" t="s">
        <v>14</v>
      </c>
      <c r="G160" s="211" t="s">
        <v>15</v>
      </c>
      <c r="H160" s="212" t="s">
        <v>16</v>
      </c>
      <c r="I160" s="212" t="s">
        <v>17</v>
      </c>
      <c r="J160" s="213" t="s">
        <v>18</v>
      </c>
      <c r="K160" s="56">
        <v>44562</v>
      </c>
      <c r="L160" s="56">
        <v>44563</v>
      </c>
      <c r="M160" s="56">
        <v>44564</v>
      </c>
      <c r="N160" s="56">
        <v>44565</v>
      </c>
      <c r="O160" s="56">
        <v>44566</v>
      </c>
      <c r="P160" s="56">
        <v>44567</v>
      </c>
      <c r="Q160" s="56">
        <v>44568</v>
      </c>
      <c r="R160" s="56">
        <v>44569</v>
      </c>
      <c r="S160" s="56">
        <v>44570</v>
      </c>
      <c r="T160" s="56">
        <v>44571</v>
      </c>
      <c r="U160" s="56">
        <v>44572</v>
      </c>
      <c r="V160" s="56">
        <v>44573</v>
      </c>
      <c r="W160" s="56">
        <v>44574</v>
      </c>
      <c r="X160" s="56">
        <v>44575</v>
      </c>
      <c r="Y160" s="56">
        <v>44576</v>
      </c>
      <c r="Z160" s="56">
        <v>44577</v>
      </c>
      <c r="AA160" s="58">
        <v>44578</v>
      </c>
      <c r="AB160" s="56">
        <v>44579</v>
      </c>
      <c r="AC160" s="56">
        <v>44580</v>
      </c>
      <c r="AD160" s="56">
        <v>44581</v>
      </c>
      <c r="AE160" s="56">
        <v>44582</v>
      </c>
      <c r="AF160" s="56">
        <v>44583</v>
      </c>
      <c r="AG160" s="56">
        <v>44584</v>
      </c>
      <c r="AH160" s="56">
        <v>44585</v>
      </c>
      <c r="AI160" s="56">
        <v>44586</v>
      </c>
      <c r="AJ160" s="56">
        <v>44587</v>
      </c>
      <c r="AK160" s="56">
        <v>44588</v>
      </c>
      <c r="AL160" s="56">
        <v>44589</v>
      </c>
      <c r="AM160" s="56">
        <v>44590</v>
      </c>
      <c r="AN160" s="56">
        <v>44591</v>
      </c>
      <c r="AO160" s="60">
        <v>44561</v>
      </c>
      <c r="AP160" s="24"/>
    </row>
    <row r="161" outlineLevel="1">
      <c r="A161" s="915" t="s">
        <v>119</v>
      </c>
      <c r="B161" s="63" t="s">
        <v>0</v>
      </c>
      <c r="C161" s="64">
        <f t="shared" ref="C161:C164" si="668">$C$165/$F$165*F161</f>
        <v>1431.1090909090913</v>
      </c>
      <c r="D161" s="65">
        <f t="shared" ref="D161:D164" si="669">SUM(K161:AO161)</f>
        <v>1413.0826722066597</v>
      </c>
      <c r="E161" s="567">
        <f>'[6]План пр-ва по единицам обор'!$E$89</f>
        <v>107.28076053746467</v>
      </c>
      <c r="F161" s="130">
        <v>15</v>
      </c>
      <c r="G161" s="916">
        <v>4</v>
      </c>
      <c r="H161" s="542">
        <f>18.2/60</f>
        <v>0.30333333333333334</v>
      </c>
      <c r="I161" s="917">
        <f t="shared" ref="I161:I164" si="670">(5+0)/60</f>
        <v>0.083333333333333329</v>
      </c>
      <c r="J161" s="918">
        <f t="shared" ref="J161:J164" si="671">SUM(G161:I161)</f>
        <v>4.3866666666666667</v>
      </c>
      <c r="K161" s="762"/>
      <c r="L161" s="629"/>
      <c r="M161" s="629"/>
      <c r="N161" s="73"/>
      <c r="O161" s="74">
        <f>$E161/11*(11-($H161+$I161))</f>
        <v>103.50967925796591</v>
      </c>
      <c r="P161" s="74">
        <f t="shared" ref="P161:Q162" si="672">$E161/11*(11-($H161+$I161))</f>
        <v>103.50967925796591</v>
      </c>
      <c r="Q161" s="73"/>
      <c r="R161" s="73"/>
      <c r="S161" s="74">
        <f t="shared" ref="S161:U164" si="673">$E161/11*(11-($H161+$I161))</f>
        <v>103.50967925796591</v>
      </c>
      <c r="T161" s="74">
        <f t="shared" si="673"/>
        <v>103.50967925796591</v>
      </c>
      <c r="U161" s="73"/>
      <c r="V161" s="73"/>
      <c r="W161" s="74">
        <f t="shared" ref="W161:Y162" si="674">$E161/11*(11-($H161+$I161))</f>
        <v>103.50967925796591</v>
      </c>
      <c r="X161" s="74">
        <f t="shared" si="674"/>
        <v>103.50967925796591</v>
      </c>
      <c r="Y161" s="73"/>
      <c r="Z161" s="73"/>
      <c r="AA161" s="75">
        <f>$E161/11*(11-($G161+$I161))</f>
        <v>67.456841853102787</v>
      </c>
      <c r="AB161" s="74">
        <f t="shared" ref="AB161:AL164" si="675">$E161/11*(11-($H161+$I161))</f>
        <v>103.50967925796591</v>
      </c>
      <c r="AC161" s="73"/>
      <c r="AD161" s="73"/>
      <c r="AE161" s="74">
        <f t="shared" ref="AE161:AG162" si="676">$E161/11*(11-($H161+$I161))</f>
        <v>103.50967925796591</v>
      </c>
      <c r="AF161" s="74">
        <f t="shared" si="676"/>
        <v>103.50967925796591</v>
      </c>
      <c r="AG161" s="73"/>
      <c r="AH161" s="73"/>
      <c r="AI161" s="74">
        <f t="shared" ref="AI161:AK162" si="677">$E161/11*(11-($H161+$I161))</f>
        <v>103.50967925796591</v>
      </c>
      <c r="AJ161" s="74">
        <f t="shared" si="677"/>
        <v>103.50967925796591</v>
      </c>
      <c r="AK161" s="73"/>
      <c r="AL161" s="73"/>
      <c r="AM161" s="74">
        <f t="shared" ref="AM161:AO162" si="678">$E161/11*(11-($H161+$I161))</f>
        <v>103.50967925796591</v>
      </c>
      <c r="AN161" s="74">
        <f t="shared" si="678"/>
        <v>103.50967925796591</v>
      </c>
      <c r="AO161" s="73"/>
    </row>
    <row r="162" outlineLevel="1">
      <c r="A162" s="919"/>
      <c r="B162" s="77" t="s">
        <v>1</v>
      </c>
      <c r="C162" s="78">
        <f t="shared" si="668"/>
        <v>1526.5163636363641</v>
      </c>
      <c r="D162" s="427">
        <f t="shared" si="669"/>
        <v>1449.1355096115228</v>
      </c>
      <c r="E162" s="567">
        <f t="shared" ref="E162:E164" si="679">E161</f>
        <v>107.28076053746467</v>
      </c>
      <c r="F162" s="130">
        <v>16</v>
      </c>
      <c r="G162" s="920"/>
      <c r="H162" s="547">
        <f t="shared" ref="H162:H164" si="680">H161</f>
        <v>0.30333333333333334</v>
      </c>
      <c r="I162" s="917">
        <f t="shared" si="670"/>
        <v>0.083333333333333329</v>
      </c>
      <c r="J162" s="921">
        <f t="shared" si="671"/>
        <v>0.38666666666666666</v>
      </c>
      <c r="K162" s="762"/>
      <c r="L162" s="629"/>
      <c r="M162" s="629"/>
      <c r="N162" s="84"/>
      <c r="O162" s="73"/>
      <c r="P162" s="74">
        <f t="shared" si="672"/>
        <v>103.50967925796591</v>
      </c>
      <c r="Q162" s="74">
        <f t="shared" si="672"/>
        <v>103.50967925796591</v>
      </c>
      <c r="R162" s="84"/>
      <c r="S162" s="73"/>
      <c r="T162" s="74">
        <f t="shared" si="673"/>
        <v>103.50967925796591</v>
      </c>
      <c r="U162" s="74">
        <f t="shared" si="673"/>
        <v>103.50967925796591</v>
      </c>
      <c r="V162" s="84"/>
      <c r="W162" s="73"/>
      <c r="X162" s="74">
        <f t="shared" si="674"/>
        <v>103.50967925796591</v>
      </c>
      <c r="Y162" s="74">
        <f t="shared" si="674"/>
        <v>103.50967925796591</v>
      </c>
      <c r="Z162" s="84"/>
      <c r="AA162" s="73"/>
      <c r="AB162" s="74">
        <f t="shared" si="675"/>
        <v>103.50967925796591</v>
      </c>
      <c r="AC162" s="74">
        <f t="shared" si="675"/>
        <v>103.50967925796591</v>
      </c>
      <c r="AD162" s="84"/>
      <c r="AE162" s="73"/>
      <c r="AF162" s="74">
        <f t="shared" si="676"/>
        <v>103.50967925796591</v>
      </c>
      <c r="AG162" s="74">
        <f t="shared" si="676"/>
        <v>103.50967925796591</v>
      </c>
      <c r="AH162" s="84"/>
      <c r="AI162" s="73"/>
      <c r="AJ162" s="74">
        <f t="shared" si="677"/>
        <v>103.50967925796591</v>
      </c>
      <c r="AK162" s="74">
        <f t="shared" si="677"/>
        <v>103.50967925796591</v>
      </c>
      <c r="AL162" s="84"/>
      <c r="AM162" s="73"/>
      <c r="AN162" s="74">
        <f t="shared" si="678"/>
        <v>103.50967925796591</v>
      </c>
      <c r="AO162" s="74">
        <f t="shared" si="678"/>
        <v>103.50967925796591</v>
      </c>
    </row>
    <row r="163" outlineLevel="1">
      <c r="A163" s="919"/>
      <c r="B163" s="85" t="s">
        <v>2</v>
      </c>
      <c r="C163" s="131">
        <f t="shared" si="668"/>
        <v>1335.7018181818185</v>
      </c>
      <c r="D163" s="87">
        <f t="shared" si="669"/>
        <v>1449.1355096115228</v>
      </c>
      <c r="E163" s="567">
        <f t="shared" si="679"/>
        <v>107.28076053746467</v>
      </c>
      <c r="F163" s="130">
        <v>14</v>
      </c>
      <c r="G163" s="920"/>
      <c r="H163" s="547">
        <f t="shared" si="680"/>
        <v>0.30333333333333334</v>
      </c>
      <c r="I163" s="917">
        <f t="shared" si="670"/>
        <v>0.083333333333333329</v>
      </c>
      <c r="J163" s="921">
        <f t="shared" si="671"/>
        <v>0.38666666666666666</v>
      </c>
      <c r="K163" s="762"/>
      <c r="L163" s="629"/>
      <c r="M163" s="629"/>
      <c r="N163" s="74">
        <f t="shared" ref="N163:Z164" si="681">$E163/11*(11-($H163+$I163))</f>
        <v>103.50967925796591</v>
      </c>
      <c r="O163" s="74">
        <f>$E163/11*(11-($H163+$I163))</f>
        <v>103.50967925796591</v>
      </c>
      <c r="P163" s="74"/>
      <c r="Q163" s="73"/>
      <c r="R163" s="74">
        <f t="shared" ref="R163:S163" si="682">$E163/11*(11-($H163+$I163))</f>
        <v>103.50967925796591</v>
      </c>
      <c r="S163" s="74">
        <f t="shared" si="682"/>
        <v>103.50967925796591</v>
      </c>
      <c r="T163" s="74"/>
      <c r="U163" s="73"/>
      <c r="V163" s="74">
        <f t="shared" ref="V163:W163" si="683">$E163/11*(11-($H163+$I163))</f>
        <v>103.50967925796591</v>
      </c>
      <c r="W163" s="74">
        <f t="shared" si="683"/>
        <v>103.50967925796591</v>
      </c>
      <c r="X163" s="74"/>
      <c r="Y163" s="73"/>
      <c r="Z163" s="74">
        <f t="shared" ref="Z163:AA163" si="684">$E163/11*(11-($H163+$I163))</f>
        <v>103.50967925796591</v>
      </c>
      <c r="AA163" s="74">
        <f t="shared" si="684"/>
        <v>103.50967925796591</v>
      </c>
      <c r="AB163" s="74"/>
      <c r="AC163" s="73"/>
      <c r="AD163" s="74">
        <f t="shared" ref="AD163:AE163" si="685">$E163/11*(11-($H163+$I163))</f>
        <v>103.50967925796591</v>
      </c>
      <c r="AE163" s="74">
        <f t="shared" si="685"/>
        <v>103.50967925796591</v>
      </c>
      <c r="AF163" s="74"/>
      <c r="AG163" s="73"/>
      <c r="AH163" s="74">
        <f t="shared" ref="AH163:AI163" si="686">$E163/11*(11-($H163+$I163))</f>
        <v>103.50967925796591</v>
      </c>
      <c r="AI163" s="74">
        <f t="shared" si="686"/>
        <v>103.50967925796591</v>
      </c>
      <c r="AJ163" s="74"/>
      <c r="AK163" s="73"/>
      <c r="AL163" s="74">
        <f t="shared" ref="AL163:AM163" si="687">$E163/11*(11-($H163+$I163))</f>
        <v>103.50967925796591</v>
      </c>
      <c r="AM163" s="74">
        <f t="shared" si="687"/>
        <v>103.50967925796591</v>
      </c>
      <c r="AN163" s="74"/>
      <c r="AO163" s="75"/>
    </row>
    <row r="164" ht="13.5" outlineLevel="1">
      <c r="A164" s="922"/>
      <c r="B164" s="90" t="s">
        <v>3</v>
      </c>
      <c r="C164" s="133">
        <f t="shared" si="668"/>
        <v>1431.1090909090913</v>
      </c>
      <c r="D164" s="836">
        <f t="shared" si="669"/>
        <v>1413.0826722066597</v>
      </c>
      <c r="E164" s="567">
        <f t="shared" si="679"/>
        <v>107.28076053746467</v>
      </c>
      <c r="F164" s="130">
        <v>15</v>
      </c>
      <c r="G164" s="923">
        <v>4</v>
      </c>
      <c r="H164" s="550">
        <f t="shared" si="680"/>
        <v>0.30333333333333334</v>
      </c>
      <c r="I164" s="917">
        <f t="shared" si="670"/>
        <v>0.083333333333333329</v>
      </c>
      <c r="J164" s="924">
        <f t="shared" si="671"/>
        <v>4.3866666666666667</v>
      </c>
      <c r="K164" s="808"/>
      <c r="L164" s="188"/>
      <c r="M164" s="188"/>
      <c r="N164" s="73">
        <f t="shared" si="681"/>
        <v>103.50967925796591</v>
      </c>
      <c r="O164" s="98"/>
      <c r="P164" s="74"/>
      <c r="Q164" s="73">
        <f t="shared" si="681"/>
        <v>103.50967925796591</v>
      </c>
      <c r="R164" s="73">
        <f t="shared" si="681"/>
        <v>103.50967925796591</v>
      </c>
      <c r="S164" s="98"/>
      <c r="T164" s="74"/>
      <c r="U164" s="74">
        <f t="shared" si="673"/>
        <v>103.50967925796591</v>
      </c>
      <c r="V164" s="73">
        <f t="shared" si="681"/>
        <v>103.50967925796591</v>
      </c>
      <c r="W164" s="98"/>
      <c r="X164" s="74"/>
      <c r="Y164" s="73">
        <f t="shared" si="681"/>
        <v>103.50967925796591</v>
      </c>
      <c r="Z164" s="73">
        <f t="shared" si="681"/>
        <v>103.50967925796591</v>
      </c>
      <c r="AA164" s="98"/>
      <c r="AB164" s="74"/>
      <c r="AC164" s="73">
        <f t="shared" si="675"/>
        <v>103.50967925796591</v>
      </c>
      <c r="AD164" s="73">
        <f t="shared" si="675"/>
        <v>103.50967925796591</v>
      </c>
      <c r="AE164" s="98"/>
      <c r="AF164" s="74"/>
      <c r="AG164" s="73">
        <f t="shared" si="675"/>
        <v>103.50967925796591</v>
      </c>
      <c r="AH164" s="73">
        <f t="shared" si="675"/>
        <v>103.50967925796591</v>
      </c>
      <c r="AI164" s="98"/>
      <c r="AJ164" s="74"/>
      <c r="AK164" s="73">
        <f t="shared" si="675"/>
        <v>103.50967925796591</v>
      </c>
      <c r="AL164" s="73">
        <f t="shared" si="675"/>
        <v>103.50967925796591</v>
      </c>
      <c r="AM164" s="98"/>
      <c r="AN164" s="74"/>
      <c r="AO164" s="75">
        <f>$E164/11*(11-($G164+$I164))</f>
        <v>67.456841853102787</v>
      </c>
    </row>
    <row r="165" s="99" customFormat="1" ht="16.899999999999999" customHeight="1">
      <c r="A165" s="164"/>
      <c r="B165" s="925" t="s">
        <v>18</v>
      </c>
      <c r="C165" s="102">
        <f>'[6]План пр-ва по единицам обор'!$L$89</f>
        <v>5724.4363636363651</v>
      </c>
      <c r="D165" s="103">
        <f>SUM(D161:D164)</f>
        <v>5724.4363636363651</v>
      </c>
      <c r="E165" s="443" t="s">
        <v>19</v>
      </c>
      <c r="F165" s="105">
        <f>SUM(F161:F164)</f>
        <v>60</v>
      </c>
      <c r="G165" s="444">
        <f>SUM(G161:G164)</f>
        <v>8</v>
      </c>
      <c r="H165" s="857">
        <f>SUM(H161:H164)</f>
        <v>1.2133333333333334</v>
      </c>
      <c r="I165" s="858" t="s">
        <v>19</v>
      </c>
      <c r="J165" s="859">
        <f t="shared" ref="J165:AO165" si="688">SUM(J161:J164)</f>
        <v>9.5466666666666669</v>
      </c>
      <c r="K165" s="860">
        <f t="shared" si="688"/>
        <v>0</v>
      </c>
      <c r="L165" s="861">
        <f t="shared" si="688"/>
        <v>0</v>
      </c>
      <c r="M165" s="861">
        <f t="shared" si="688"/>
        <v>0</v>
      </c>
      <c r="N165" s="861">
        <f t="shared" si="688"/>
        <v>207.01935851593183</v>
      </c>
      <c r="O165" s="861">
        <f t="shared" si="688"/>
        <v>207.01935851593183</v>
      </c>
      <c r="P165" s="861">
        <f t="shared" si="688"/>
        <v>207.01935851593183</v>
      </c>
      <c r="Q165" s="861">
        <f t="shared" si="688"/>
        <v>207.01935851593183</v>
      </c>
      <c r="R165" s="861">
        <f t="shared" si="688"/>
        <v>207.01935851593183</v>
      </c>
      <c r="S165" s="861">
        <f t="shared" si="688"/>
        <v>207.01935851593183</v>
      </c>
      <c r="T165" s="861">
        <f t="shared" si="688"/>
        <v>207.01935851593183</v>
      </c>
      <c r="U165" s="861">
        <f t="shared" si="688"/>
        <v>207.01935851593183</v>
      </c>
      <c r="V165" s="861">
        <f t="shared" si="688"/>
        <v>207.01935851593183</v>
      </c>
      <c r="W165" s="861">
        <f t="shared" si="688"/>
        <v>207.01935851593183</v>
      </c>
      <c r="X165" s="861">
        <f t="shared" si="688"/>
        <v>207.01935851593183</v>
      </c>
      <c r="Y165" s="861">
        <f t="shared" si="688"/>
        <v>207.01935851593183</v>
      </c>
      <c r="Z165" s="861">
        <f t="shared" si="688"/>
        <v>207.01935851593183</v>
      </c>
      <c r="AA165" s="861">
        <f t="shared" si="688"/>
        <v>170.96652111106869</v>
      </c>
      <c r="AB165" s="862">
        <f t="shared" si="688"/>
        <v>207.01935851593183</v>
      </c>
      <c r="AC165" s="314">
        <f t="shared" si="688"/>
        <v>207.01935851593183</v>
      </c>
      <c r="AD165" s="863">
        <f t="shared" si="688"/>
        <v>207.01935851593183</v>
      </c>
      <c r="AE165" s="863">
        <f t="shared" si="688"/>
        <v>207.01935851593183</v>
      </c>
      <c r="AF165" s="863">
        <f t="shared" si="688"/>
        <v>207.01935851593183</v>
      </c>
      <c r="AG165" s="863">
        <f t="shared" si="688"/>
        <v>207.01935851593183</v>
      </c>
      <c r="AH165" s="863">
        <f t="shared" si="688"/>
        <v>207.01935851593183</v>
      </c>
      <c r="AI165" s="863">
        <f t="shared" si="688"/>
        <v>207.01935851593183</v>
      </c>
      <c r="AJ165" s="863">
        <f t="shared" si="688"/>
        <v>207.01935851593183</v>
      </c>
      <c r="AK165" s="863">
        <f t="shared" si="688"/>
        <v>207.01935851593183</v>
      </c>
      <c r="AL165" s="863">
        <f t="shared" si="688"/>
        <v>207.01935851593183</v>
      </c>
      <c r="AM165" s="863">
        <f t="shared" si="688"/>
        <v>207.01935851593183</v>
      </c>
      <c r="AN165" s="863">
        <f t="shared" si="688"/>
        <v>207.01935851593183</v>
      </c>
      <c r="AO165" s="864">
        <f t="shared" si="688"/>
        <v>170.96652111106869</v>
      </c>
    </row>
    <row r="166" ht="25.149999999999999" customHeight="1">
      <c r="A166" s="43" t="s">
        <v>54</v>
      </c>
      <c r="B166" s="43"/>
      <c r="D166" s="118">
        <f>C165-D165</f>
        <v>0</v>
      </c>
      <c r="E166" s="332"/>
      <c r="P166" s="396" t="s">
        <v>72</v>
      </c>
      <c r="W166" s="396" t="s">
        <v>72</v>
      </c>
      <c r="AD166" s="396" t="s">
        <v>72</v>
      </c>
      <c r="AK166" s="396" t="s">
        <v>72</v>
      </c>
    </row>
    <row r="167" s="123" customFormat="1" ht="43.899999999999999" customHeight="1">
      <c r="A167" s="208" t="s">
        <v>120</v>
      </c>
      <c r="B167" s="209"/>
      <c r="C167" s="49" t="s">
        <v>11</v>
      </c>
      <c r="D167" s="50" t="s">
        <v>12</v>
      </c>
      <c r="E167" s="687" t="s">
        <v>13</v>
      </c>
      <c r="F167" s="926" t="s">
        <v>14</v>
      </c>
      <c r="G167" s="211" t="s">
        <v>15</v>
      </c>
      <c r="H167" s="212" t="s">
        <v>16</v>
      </c>
      <c r="I167" s="566" t="s">
        <v>17</v>
      </c>
      <c r="J167" s="213" t="s">
        <v>18</v>
      </c>
      <c r="K167" s="56">
        <v>44562</v>
      </c>
      <c r="L167" s="56">
        <v>44563</v>
      </c>
      <c r="M167" s="56">
        <v>44564</v>
      </c>
      <c r="N167" s="56">
        <v>44565</v>
      </c>
      <c r="O167" s="58">
        <v>44566</v>
      </c>
      <c r="P167" s="56">
        <v>44567</v>
      </c>
      <c r="Q167" s="56">
        <v>44568</v>
      </c>
      <c r="R167" s="56">
        <v>44569</v>
      </c>
      <c r="S167" s="56">
        <v>44570</v>
      </c>
      <c r="T167" s="56">
        <v>44571</v>
      </c>
      <c r="U167" s="56">
        <v>44572</v>
      </c>
      <c r="V167" s="56">
        <v>44573</v>
      </c>
      <c r="W167" s="56">
        <v>44574</v>
      </c>
      <c r="X167" s="56">
        <v>44575</v>
      </c>
      <c r="Y167" s="56">
        <v>44576</v>
      </c>
      <c r="Z167" s="56">
        <v>44577</v>
      </c>
      <c r="AA167" s="56">
        <v>44578</v>
      </c>
      <c r="AB167" s="56">
        <v>44579</v>
      </c>
      <c r="AC167" s="60">
        <v>44580</v>
      </c>
      <c r="AD167" s="56">
        <v>44581</v>
      </c>
      <c r="AE167" s="56">
        <v>44582</v>
      </c>
      <c r="AF167" s="56">
        <v>44583</v>
      </c>
      <c r="AG167" s="56">
        <v>44584</v>
      </c>
      <c r="AH167" s="56">
        <v>44585</v>
      </c>
      <c r="AI167" s="56">
        <v>44586</v>
      </c>
      <c r="AJ167" s="56">
        <v>44587</v>
      </c>
      <c r="AK167" s="56">
        <v>44588</v>
      </c>
      <c r="AL167" s="56">
        <v>44589</v>
      </c>
      <c r="AM167" s="56">
        <v>44590</v>
      </c>
      <c r="AN167" s="56">
        <v>44591</v>
      </c>
      <c r="AO167" s="56">
        <v>44592</v>
      </c>
    </row>
    <row r="168" outlineLevel="1">
      <c r="A168" s="927" t="s">
        <v>120</v>
      </c>
      <c r="B168" s="63" t="s">
        <v>0</v>
      </c>
      <c r="C168" s="64">
        <f t="shared" ref="C168:C171" si="689">$C$172/$F$172*F168</f>
        <v>141.18406250000001</v>
      </c>
      <c r="D168" s="65">
        <f t="shared" ref="D168:D171" si="690">SUM(K168:AO168)</f>
        <v>141.18406250000001</v>
      </c>
      <c r="E168" s="567">
        <f>'[6]План пр-ва по единицам обор'!$E$93</f>
        <v>11.803790282739227</v>
      </c>
      <c r="F168" s="386">
        <f t="shared" ref="F168:F171" si="691">COUNTA(K168:AO168)</f>
        <v>12</v>
      </c>
      <c r="G168" s="418"/>
      <c r="H168" s="568"/>
      <c r="I168" s="928">
        <f t="shared" ref="I168:I171" si="692">(1+1+0.15)/60</f>
        <v>0.035833333333333335</v>
      </c>
      <c r="J168" s="918">
        <f t="shared" ref="J168:J171" si="693">SUM(G168:I168)</f>
        <v>0.035833333333333335</v>
      </c>
      <c r="K168" s="762"/>
      <c r="L168" s="629"/>
      <c r="M168" s="629"/>
      <c r="N168" s="73"/>
      <c r="O168" s="72"/>
      <c r="P168" s="74">
        <f t="shared" ref="P168:Q169" si="694">$E168/11*(11-($H168+$I168))</f>
        <v>11.765338541666669</v>
      </c>
      <c r="Q168" s="73"/>
      <c r="R168" s="73"/>
      <c r="S168" s="74">
        <f t="shared" ref="S168:U171" si="695">$E168/11*(11-($H168+$I168))</f>
        <v>11.765338541666669</v>
      </c>
      <c r="T168" s="74">
        <f t="shared" si="695"/>
        <v>11.765338541666669</v>
      </c>
      <c r="U168" s="73"/>
      <c r="V168" s="72"/>
      <c r="W168" s="74">
        <f t="shared" ref="W168:Y170" si="696">$E168/11*(11-($H168+$I168))</f>
        <v>11.765338541666669</v>
      </c>
      <c r="X168" s="74">
        <f t="shared" si="696"/>
        <v>11.765338541666669</v>
      </c>
      <c r="Y168" s="73"/>
      <c r="Z168" s="73"/>
      <c r="AA168" s="74">
        <f t="shared" ref="Z168:AA170" si="697">$E168/11*(11-($H168+$I168))</f>
        <v>11.765338541666669</v>
      </c>
      <c r="AB168" s="74">
        <f t="shared" ref="AB168:AB169" si="698">$E168/11*(11-($H168+$I168))</f>
        <v>11.765338541666669</v>
      </c>
      <c r="AC168" s="72"/>
      <c r="AD168" s="73"/>
      <c r="AE168" s="74">
        <f t="shared" ref="AE168:AG169" si="699">$E168/11*(11-($H168+$I168))</f>
        <v>11.765338541666669</v>
      </c>
      <c r="AF168" s="74">
        <f t="shared" si="699"/>
        <v>11.765338541666669</v>
      </c>
      <c r="AG168" s="73"/>
      <c r="AH168" s="73"/>
      <c r="AI168" s="74">
        <f t="shared" ref="AI168:AK169" si="700">$E168/11*(11-($H168+$I168))</f>
        <v>11.765338541666669</v>
      </c>
      <c r="AJ168" s="72"/>
      <c r="AK168" s="73"/>
      <c r="AL168" s="73"/>
      <c r="AM168" s="74">
        <f t="shared" ref="AM168:AO171" si="701">$E168/11*(11-($H168+$I168))</f>
        <v>11.765338541666669</v>
      </c>
      <c r="AN168" s="74">
        <f t="shared" si="701"/>
        <v>11.765338541666669</v>
      </c>
      <c r="AO168" s="73"/>
    </row>
    <row r="169" outlineLevel="1">
      <c r="A169" s="929"/>
      <c r="B169" s="77" t="s">
        <v>1</v>
      </c>
      <c r="C169" s="78">
        <f t="shared" si="689"/>
        <v>141.18406250000001</v>
      </c>
      <c r="D169" s="427">
        <f t="shared" si="690"/>
        <v>141.18406250000001</v>
      </c>
      <c r="E169" s="567">
        <f t="shared" ref="E169:E171" si="702">E168</f>
        <v>11.803790282739227</v>
      </c>
      <c r="F169" s="387">
        <f t="shared" si="691"/>
        <v>12</v>
      </c>
      <c r="G169" s="930"/>
      <c r="H169" s="571"/>
      <c r="I169" s="931">
        <f t="shared" si="692"/>
        <v>0.035833333333333335</v>
      </c>
      <c r="J169" s="921">
        <f t="shared" si="693"/>
        <v>0.035833333333333335</v>
      </c>
      <c r="K169" s="762"/>
      <c r="L169" s="629"/>
      <c r="M169" s="629"/>
      <c r="N169" s="84"/>
      <c r="O169" s="71"/>
      <c r="P169" s="74">
        <f t="shared" si="694"/>
        <v>11.765338541666669</v>
      </c>
      <c r="Q169" s="74">
        <f t="shared" si="694"/>
        <v>11.765338541666669</v>
      </c>
      <c r="R169" s="84"/>
      <c r="S169" s="73"/>
      <c r="T169" s="74">
        <f t="shared" si="695"/>
        <v>11.765338541666669</v>
      </c>
      <c r="U169" s="74">
        <f t="shared" si="695"/>
        <v>11.765338541666669</v>
      </c>
      <c r="V169" s="71"/>
      <c r="W169" s="73"/>
      <c r="X169" s="74">
        <f t="shared" si="696"/>
        <v>11.765338541666669</v>
      </c>
      <c r="Y169" s="74">
        <f t="shared" si="696"/>
        <v>11.765338541666669</v>
      </c>
      <c r="Z169" s="84"/>
      <c r="AA169" s="73"/>
      <c r="AB169" s="74">
        <f t="shared" si="698"/>
        <v>11.765338541666669</v>
      </c>
      <c r="AC169" s="71"/>
      <c r="AD169" s="84"/>
      <c r="AE169" s="73"/>
      <c r="AF169" s="74">
        <f t="shared" si="699"/>
        <v>11.765338541666669</v>
      </c>
      <c r="AG169" s="74">
        <f t="shared" si="699"/>
        <v>11.765338541666669</v>
      </c>
      <c r="AH169" s="84"/>
      <c r="AI169" s="73"/>
      <c r="AJ169" s="71"/>
      <c r="AK169" s="74">
        <f t="shared" si="700"/>
        <v>11.765338541666669</v>
      </c>
      <c r="AL169" s="84"/>
      <c r="AM169" s="73"/>
      <c r="AN169" s="74">
        <f t="shared" si="701"/>
        <v>11.765338541666669</v>
      </c>
      <c r="AO169" s="74">
        <f t="shared" si="701"/>
        <v>11.765338541666669</v>
      </c>
    </row>
    <row r="170" outlineLevel="1">
      <c r="A170" s="929"/>
      <c r="B170" s="85" t="s">
        <v>2</v>
      </c>
      <c r="C170" s="131">
        <f t="shared" si="689"/>
        <v>141.18406250000001</v>
      </c>
      <c r="D170" s="87">
        <f t="shared" si="690"/>
        <v>141.18406250000001</v>
      </c>
      <c r="E170" s="567">
        <f t="shared" si="702"/>
        <v>11.803790282739227</v>
      </c>
      <c r="F170" s="387">
        <f t="shared" si="691"/>
        <v>12</v>
      </c>
      <c r="G170" s="930"/>
      <c r="H170" s="571"/>
      <c r="I170" s="931">
        <f t="shared" si="692"/>
        <v>0.035833333333333335</v>
      </c>
      <c r="J170" s="921">
        <f t="shared" si="693"/>
        <v>0.035833333333333335</v>
      </c>
      <c r="K170" s="762"/>
      <c r="L170" s="629"/>
      <c r="M170" s="629"/>
      <c r="N170" s="74">
        <f t="shared" ref="N170:Z171" si="703">$E170/11*(11-($H170+$I170))</f>
        <v>11.765338541666669</v>
      </c>
      <c r="O170" s="72"/>
      <c r="P170" s="74"/>
      <c r="Q170" s="73"/>
      <c r="R170" s="74">
        <f t="shared" ref="R170:S170" si="704">$E170/11*(11-($H170+$I170))</f>
        <v>11.765338541666669</v>
      </c>
      <c r="S170" s="74">
        <f t="shared" si="704"/>
        <v>11.765338541666669</v>
      </c>
      <c r="T170" s="74"/>
      <c r="U170" s="73"/>
      <c r="V170" s="72"/>
      <c r="W170" s="74">
        <f t="shared" si="696"/>
        <v>11.765338541666669</v>
      </c>
      <c r="X170" s="74"/>
      <c r="Y170" s="73"/>
      <c r="Z170" s="74">
        <f t="shared" si="697"/>
        <v>11.765338541666669</v>
      </c>
      <c r="AA170" s="74">
        <f t="shared" si="697"/>
        <v>11.765338541666669</v>
      </c>
      <c r="AB170" s="74"/>
      <c r="AC170" s="72"/>
      <c r="AD170" s="74">
        <f t="shared" ref="AD170:AL171" si="705">$E170/11*(11-($H170+$I170))</f>
        <v>11.765338541666669</v>
      </c>
      <c r="AE170" s="74">
        <f t="shared" si="705"/>
        <v>11.765338541666669</v>
      </c>
      <c r="AF170" s="74"/>
      <c r="AG170" s="73"/>
      <c r="AH170" s="74">
        <f t="shared" ref="AH170:AI170" si="706">$E170/11*(11-($H170+$I170))</f>
        <v>11.765338541666669</v>
      </c>
      <c r="AI170" s="74">
        <f t="shared" si="706"/>
        <v>11.765338541666669</v>
      </c>
      <c r="AJ170" s="72"/>
      <c r="AK170" s="73"/>
      <c r="AL170" s="74">
        <f t="shared" ref="AL170:AM170" si="707">$E170/11*(11-($H170+$I170))</f>
        <v>11.765338541666669</v>
      </c>
      <c r="AM170" s="74">
        <f t="shared" si="707"/>
        <v>11.765338541666669</v>
      </c>
      <c r="AN170" s="74"/>
      <c r="AO170" s="75"/>
    </row>
    <row r="171" ht="13.5" outlineLevel="1">
      <c r="A171" s="932"/>
      <c r="B171" s="90" t="s">
        <v>3</v>
      </c>
      <c r="C171" s="133">
        <f t="shared" si="689"/>
        <v>141.18406250000001</v>
      </c>
      <c r="D171" s="836">
        <f t="shared" si="690"/>
        <v>141.18406250000001</v>
      </c>
      <c r="E171" s="567">
        <f t="shared" si="702"/>
        <v>11.803790282739227</v>
      </c>
      <c r="F171" s="389">
        <f t="shared" si="691"/>
        <v>12</v>
      </c>
      <c r="G171" s="933"/>
      <c r="H171" s="571"/>
      <c r="I171" s="934">
        <f t="shared" si="692"/>
        <v>0.035833333333333335</v>
      </c>
      <c r="J171" s="935">
        <f t="shared" si="693"/>
        <v>0.035833333333333335</v>
      </c>
      <c r="K171" s="808"/>
      <c r="L171" s="188"/>
      <c r="M171" s="188"/>
      <c r="N171" s="73">
        <f t="shared" si="703"/>
        <v>11.765338541666669</v>
      </c>
      <c r="O171" s="855"/>
      <c r="P171" s="74"/>
      <c r="Q171" s="73">
        <f t="shared" si="703"/>
        <v>11.765338541666669</v>
      </c>
      <c r="R171" s="73">
        <f t="shared" si="703"/>
        <v>11.765338541666669</v>
      </c>
      <c r="S171" s="98"/>
      <c r="T171" s="74"/>
      <c r="U171" s="74">
        <f t="shared" si="695"/>
        <v>11.765338541666669</v>
      </c>
      <c r="V171" s="855"/>
      <c r="W171" s="98"/>
      <c r="X171" s="74"/>
      <c r="Y171" s="73">
        <f t="shared" si="703"/>
        <v>11.765338541666669</v>
      </c>
      <c r="Z171" s="73">
        <f t="shared" si="703"/>
        <v>11.765338541666669</v>
      </c>
      <c r="AA171" s="98"/>
      <c r="AB171" s="74"/>
      <c r="AC171" s="855"/>
      <c r="AD171" s="73">
        <f t="shared" si="705"/>
        <v>11.765338541666669</v>
      </c>
      <c r="AE171" s="98"/>
      <c r="AF171" s="74"/>
      <c r="AG171" s="73">
        <f t="shared" si="705"/>
        <v>11.765338541666669</v>
      </c>
      <c r="AH171" s="73">
        <f t="shared" si="705"/>
        <v>11.765338541666669</v>
      </c>
      <c r="AI171" s="98"/>
      <c r="AJ171" s="855"/>
      <c r="AK171" s="73">
        <f t="shared" si="705"/>
        <v>11.765338541666669</v>
      </c>
      <c r="AL171" s="73">
        <f t="shared" si="705"/>
        <v>11.765338541666669</v>
      </c>
      <c r="AM171" s="98"/>
      <c r="AN171" s="74"/>
      <c r="AO171" s="74">
        <f t="shared" si="701"/>
        <v>11.765338541666669</v>
      </c>
    </row>
    <row r="172" s="99" customFormat="1" ht="16.899999999999999" customHeight="1">
      <c r="A172" s="164"/>
      <c r="B172" s="925" t="s">
        <v>18</v>
      </c>
      <c r="C172" s="102">
        <f>'[6]План пр-ва по единицам обор'!$L$93</f>
        <v>564.73625000000004</v>
      </c>
      <c r="D172" s="103">
        <f>SUM(D168:D171)</f>
        <v>564.73625000000004</v>
      </c>
      <c r="E172" s="443" t="s">
        <v>19</v>
      </c>
      <c r="F172" s="138">
        <f>SUM(F168:F171)</f>
        <v>48</v>
      </c>
      <c r="G172" s="444">
        <f>SUM(G168:G171)</f>
        <v>0</v>
      </c>
      <c r="H172" s="857">
        <f>SUM(H168:H171)</f>
        <v>0</v>
      </c>
      <c r="I172" s="936" t="s">
        <v>19</v>
      </c>
      <c r="J172" s="859">
        <f t="shared" ref="J172:AO172" si="708">SUM(J168:J171)</f>
        <v>0.14333333333333334</v>
      </c>
      <c r="K172" s="312">
        <f t="shared" si="708"/>
        <v>0</v>
      </c>
      <c r="L172" s="313">
        <f t="shared" si="708"/>
        <v>0</v>
      </c>
      <c r="M172" s="313">
        <f t="shared" si="708"/>
        <v>0</v>
      </c>
      <c r="N172" s="313">
        <f t="shared" si="708"/>
        <v>23.530677083333337</v>
      </c>
      <c r="O172" s="313">
        <f t="shared" si="708"/>
        <v>0</v>
      </c>
      <c r="P172" s="313">
        <f t="shared" si="708"/>
        <v>23.530677083333337</v>
      </c>
      <c r="Q172" s="313">
        <f t="shared" si="708"/>
        <v>23.530677083333337</v>
      </c>
      <c r="R172" s="313">
        <f>SUM(R168:R171)</f>
        <v>23.530677083333337</v>
      </c>
      <c r="S172" s="313">
        <f t="shared" si="708"/>
        <v>23.530677083333337</v>
      </c>
      <c r="T172" s="313">
        <f t="shared" si="708"/>
        <v>23.530677083333337</v>
      </c>
      <c r="U172" s="313">
        <f t="shared" si="708"/>
        <v>23.530677083333337</v>
      </c>
      <c r="V172" s="313">
        <f t="shared" si="708"/>
        <v>0</v>
      </c>
      <c r="W172" s="313">
        <f t="shared" si="708"/>
        <v>23.530677083333337</v>
      </c>
      <c r="X172" s="313">
        <f t="shared" si="708"/>
        <v>23.530677083333337</v>
      </c>
      <c r="Y172" s="313">
        <f t="shared" si="708"/>
        <v>23.530677083333337</v>
      </c>
      <c r="Z172" s="313">
        <f t="shared" si="708"/>
        <v>23.530677083333337</v>
      </c>
      <c r="AA172" s="313">
        <f t="shared" si="708"/>
        <v>23.530677083333337</v>
      </c>
      <c r="AB172" s="314">
        <f t="shared" si="708"/>
        <v>23.530677083333337</v>
      </c>
      <c r="AC172" s="314">
        <f t="shared" si="708"/>
        <v>0</v>
      </c>
      <c r="AD172" s="863">
        <f t="shared" si="708"/>
        <v>23.530677083333337</v>
      </c>
      <c r="AE172" s="863">
        <f t="shared" si="708"/>
        <v>23.530677083333337</v>
      </c>
      <c r="AF172" s="863">
        <f t="shared" si="708"/>
        <v>23.530677083333337</v>
      </c>
      <c r="AG172" s="863">
        <f t="shared" si="708"/>
        <v>23.530677083333337</v>
      </c>
      <c r="AH172" s="863">
        <f t="shared" si="708"/>
        <v>23.530677083333337</v>
      </c>
      <c r="AI172" s="863">
        <f t="shared" si="708"/>
        <v>23.530677083333337</v>
      </c>
      <c r="AJ172" s="863">
        <f t="shared" si="708"/>
        <v>0</v>
      </c>
      <c r="AK172" s="863">
        <f t="shared" si="708"/>
        <v>23.530677083333337</v>
      </c>
      <c r="AL172" s="863">
        <f t="shared" si="708"/>
        <v>23.530677083333337</v>
      </c>
      <c r="AM172" s="863">
        <f t="shared" si="708"/>
        <v>23.530677083333337</v>
      </c>
      <c r="AN172" s="863">
        <f t="shared" si="708"/>
        <v>23.530677083333337</v>
      </c>
      <c r="AO172" s="864">
        <f t="shared" si="708"/>
        <v>23.530677083333337</v>
      </c>
    </row>
    <row r="173" ht="28.899999999999999" customHeight="1">
      <c r="A173" s="43" t="s">
        <v>57</v>
      </c>
      <c r="B173" s="43"/>
    </row>
    <row r="174" s="123" customFormat="1" ht="44.450000000000003" customHeight="1">
      <c r="A174" s="345" t="s">
        <v>121</v>
      </c>
      <c r="B174" s="937"/>
      <c r="C174" s="49" t="s">
        <v>11</v>
      </c>
      <c r="D174" s="50" t="s">
        <v>12</v>
      </c>
      <c r="E174" s="687" t="s">
        <v>13</v>
      </c>
      <c r="F174" s="210" t="s">
        <v>14</v>
      </c>
      <c r="G174" s="211" t="s">
        <v>15</v>
      </c>
      <c r="H174" s="212" t="s">
        <v>16</v>
      </c>
      <c r="I174" s="566" t="s">
        <v>17</v>
      </c>
      <c r="J174" s="213" t="s">
        <v>18</v>
      </c>
      <c r="K174" s="56">
        <v>44562</v>
      </c>
      <c r="L174" s="56">
        <v>44563</v>
      </c>
      <c r="M174" s="56">
        <v>44564</v>
      </c>
      <c r="N174" s="56">
        <v>44565</v>
      </c>
      <c r="O174" s="56">
        <v>44566</v>
      </c>
      <c r="P174" s="56">
        <v>44567</v>
      </c>
      <c r="Q174" s="56">
        <v>44568</v>
      </c>
      <c r="R174" s="56">
        <v>44569</v>
      </c>
      <c r="S174" s="56">
        <v>44570</v>
      </c>
      <c r="T174" s="57">
        <v>44571</v>
      </c>
      <c r="U174" s="56">
        <v>44572</v>
      </c>
      <c r="V174" s="56">
        <v>44573</v>
      </c>
      <c r="W174" s="56">
        <v>44574</v>
      </c>
      <c r="X174" s="56">
        <v>44575</v>
      </c>
      <c r="Y174" s="56">
        <v>44576</v>
      </c>
      <c r="Z174" s="56">
        <v>44577</v>
      </c>
      <c r="AA174" s="56">
        <v>44578</v>
      </c>
      <c r="AB174" s="56">
        <v>44579</v>
      </c>
      <c r="AC174" s="56">
        <v>44580</v>
      </c>
      <c r="AD174" s="56">
        <v>44581</v>
      </c>
      <c r="AE174" s="56">
        <v>44582</v>
      </c>
      <c r="AF174" s="56">
        <v>44583</v>
      </c>
      <c r="AG174" s="56">
        <v>44584</v>
      </c>
      <c r="AH174" s="59">
        <v>44585</v>
      </c>
      <c r="AI174" s="56">
        <v>44586</v>
      </c>
      <c r="AJ174" s="56">
        <v>44587</v>
      </c>
      <c r="AK174" s="56">
        <v>44588</v>
      </c>
      <c r="AL174" s="56">
        <v>44589</v>
      </c>
      <c r="AM174" s="56">
        <v>44590</v>
      </c>
      <c r="AN174" s="56">
        <v>44591</v>
      </c>
      <c r="AO174" s="56">
        <v>44561</v>
      </c>
    </row>
    <row r="175" outlineLevel="1">
      <c r="A175" s="927" t="s">
        <v>121</v>
      </c>
      <c r="B175" s="63" t="s">
        <v>0</v>
      </c>
      <c r="C175" s="64">
        <f t="shared" ref="C175:C178" si="709">$C$179/$F$179*F175</f>
        <v>605.59090909090912</v>
      </c>
      <c r="D175" s="320">
        <f t="shared" ref="D175:D178" si="710">SUM(K175:AO175)</f>
        <v>613.77272727272748</v>
      </c>
      <c r="E175" s="567">
        <f>'[6]План пр-ва по единицам обор'!$E$97</f>
        <v>45</v>
      </c>
      <c r="F175" s="130">
        <v>15</v>
      </c>
      <c r="G175" s="916"/>
      <c r="H175" s="568"/>
      <c r="I175" s="928">
        <f t="shared" ref="I175:I178" si="711">(2+15)/60</f>
        <v>0.28333333333333333</v>
      </c>
      <c r="J175" s="918">
        <f t="shared" ref="J175:J178" si="712">SUM(G175:I175)</f>
        <v>0.28333333333333333</v>
      </c>
      <c r="K175" s="762"/>
      <c r="L175" s="629"/>
      <c r="M175" s="629"/>
      <c r="N175" s="73"/>
      <c r="O175" s="74">
        <f>$E175/11*(11-($H175+$I175))</f>
        <v>43.840909090909093</v>
      </c>
      <c r="P175" s="74">
        <f t="shared" ref="P175:Q176" si="713">$E175/11*(11-($H175+$I175))</f>
        <v>43.840909090909093</v>
      </c>
      <c r="Q175" s="73"/>
      <c r="R175" s="73"/>
      <c r="S175" s="74">
        <f t="shared" ref="S175:U178" si="714">$E175/11*(11-($H175+$I175))</f>
        <v>43.840909090909093</v>
      </c>
      <c r="T175" s="74">
        <f t="shared" si="714"/>
        <v>43.840909090909093</v>
      </c>
      <c r="U175" s="73"/>
      <c r="V175" s="73"/>
      <c r="W175" s="74">
        <f t="shared" ref="W175:Y176" si="715">$E175/11*(11-($H175+$I175))</f>
        <v>43.840909090909093</v>
      </c>
      <c r="X175" s="74">
        <f t="shared" si="715"/>
        <v>43.840909090909093</v>
      </c>
      <c r="Y175" s="73"/>
      <c r="Z175" s="73"/>
      <c r="AA175" s="74">
        <f t="shared" ref="AA175:AL178" si="716">$E175/11*(11-($H175+$I175))</f>
        <v>43.840909090909093</v>
      </c>
      <c r="AB175" s="74">
        <f t="shared" si="716"/>
        <v>43.840909090909093</v>
      </c>
      <c r="AC175" s="73"/>
      <c r="AD175" s="73"/>
      <c r="AE175" s="74">
        <f t="shared" ref="AE175:AG176" si="717">$E175/11*(11-($H175+$I175))</f>
        <v>43.840909090909093</v>
      </c>
      <c r="AF175" s="74">
        <f t="shared" si="717"/>
        <v>43.840909090909093</v>
      </c>
      <c r="AG175" s="73"/>
      <c r="AH175" s="73"/>
      <c r="AI175" s="74">
        <f t="shared" ref="AI175:AK177" si="718">$E175/11*(11-($H175+$I175))</f>
        <v>43.840909090909093</v>
      </c>
      <c r="AJ175" s="74">
        <f t="shared" si="718"/>
        <v>43.840909090909093</v>
      </c>
      <c r="AK175" s="73"/>
      <c r="AL175" s="73"/>
      <c r="AM175" s="74">
        <f t="shared" ref="AM175:AO178" si="719">$E175/11*(11-($H175+$I175))</f>
        <v>43.840909090909093</v>
      </c>
      <c r="AN175" s="74">
        <f t="shared" si="719"/>
        <v>43.840909090909093</v>
      </c>
      <c r="AO175" s="73"/>
    </row>
    <row r="176" outlineLevel="1">
      <c r="A176" s="929"/>
      <c r="B176" s="77" t="s">
        <v>1</v>
      </c>
      <c r="C176" s="78">
        <f t="shared" si="709"/>
        <v>645.9636363636364</v>
      </c>
      <c r="D176" s="427">
        <f t="shared" si="710"/>
        <v>597.40909090909111</v>
      </c>
      <c r="E176" s="567">
        <f t="shared" ref="E176:E178" si="720">E175</f>
        <v>45</v>
      </c>
      <c r="F176" s="130">
        <v>16</v>
      </c>
      <c r="G176" s="920">
        <v>4</v>
      </c>
      <c r="H176" s="571"/>
      <c r="I176" s="931">
        <f t="shared" si="711"/>
        <v>0.28333333333333333</v>
      </c>
      <c r="J176" s="921">
        <f t="shared" si="712"/>
        <v>4.2833333333333332</v>
      </c>
      <c r="K176" s="762"/>
      <c r="L176" s="629"/>
      <c r="M176" s="629"/>
      <c r="N176" s="84"/>
      <c r="O176" s="73"/>
      <c r="P176" s="74">
        <f t="shared" si="713"/>
        <v>43.840909090909093</v>
      </c>
      <c r="Q176" s="74">
        <f t="shared" si="713"/>
        <v>43.840909090909093</v>
      </c>
      <c r="R176" s="84"/>
      <c r="S176" s="73"/>
      <c r="T176" s="75">
        <f>$E176/11*(11-($G176+$I176))</f>
        <v>27.477272727272727</v>
      </c>
      <c r="U176" s="74">
        <f t="shared" si="714"/>
        <v>43.840909090909093</v>
      </c>
      <c r="V176" s="84"/>
      <c r="W176" s="73"/>
      <c r="X176" s="74">
        <f t="shared" si="715"/>
        <v>43.840909090909093</v>
      </c>
      <c r="Y176" s="74">
        <f t="shared" si="715"/>
        <v>43.840909090909093</v>
      </c>
      <c r="Z176" s="84"/>
      <c r="AA176" s="73"/>
      <c r="AB176" s="74">
        <f t="shared" si="716"/>
        <v>43.840909090909093</v>
      </c>
      <c r="AC176" s="74">
        <f t="shared" si="716"/>
        <v>43.840909090909093</v>
      </c>
      <c r="AD176" s="84"/>
      <c r="AE176" s="73"/>
      <c r="AF176" s="74">
        <f t="shared" si="717"/>
        <v>43.840909090909093</v>
      </c>
      <c r="AG176" s="74">
        <f t="shared" si="717"/>
        <v>43.840909090909093</v>
      </c>
      <c r="AH176" s="84"/>
      <c r="AI176" s="73"/>
      <c r="AJ176" s="74">
        <f t="shared" si="718"/>
        <v>43.840909090909093</v>
      </c>
      <c r="AK176" s="74">
        <f t="shared" si="718"/>
        <v>43.840909090909093</v>
      </c>
      <c r="AL176" s="84"/>
      <c r="AM176" s="73"/>
      <c r="AN176" s="74">
        <f t="shared" si="719"/>
        <v>43.840909090909093</v>
      </c>
      <c r="AO176" s="74">
        <f t="shared" si="719"/>
        <v>43.840909090909093</v>
      </c>
    </row>
    <row r="177" outlineLevel="1">
      <c r="A177" s="929"/>
      <c r="B177" s="85" t="s">
        <v>2</v>
      </c>
      <c r="C177" s="131">
        <f t="shared" si="709"/>
        <v>565.21818181818185</v>
      </c>
      <c r="D177" s="87">
        <f t="shared" si="710"/>
        <v>597.40909090909111</v>
      </c>
      <c r="E177" s="567">
        <f t="shared" si="720"/>
        <v>45</v>
      </c>
      <c r="F177" s="130">
        <v>14</v>
      </c>
      <c r="G177" s="920">
        <v>4</v>
      </c>
      <c r="H177" s="571"/>
      <c r="I177" s="931">
        <f t="shared" si="711"/>
        <v>0.28333333333333333</v>
      </c>
      <c r="J177" s="921">
        <f t="shared" si="712"/>
        <v>4.2833333333333332</v>
      </c>
      <c r="K177" s="762"/>
      <c r="L177" s="629"/>
      <c r="M177" s="629"/>
      <c r="N177" s="74">
        <f t="shared" ref="N177:Z178" si="721">$E177/11*(11-($H177+$I177))</f>
        <v>43.840909090909093</v>
      </c>
      <c r="O177" s="74">
        <f>$E177/11*(11-($H177+$I177))</f>
        <v>43.840909090909093</v>
      </c>
      <c r="P177" s="74"/>
      <c r="Q177" s="73"/>
      <c r="R177" s="74">
        <f t="shared" ref="R177:S177" si="722">$E177/11*(11-($H177+$I177))</f>
        <v>43.840909090909093</v>
      </c>
      <c r="S177" s="74">
        <f t="shared" si="722"/>
        <v>43.840909090909093</v>
      </c>
      <c r="T177" s="74"/>
      <c r="U177" s="73"/>
      <c r="V177" s="74">
        <f t="shared" ref="V177:W177" si="723">$E177/11*(11-($H177+$I177))</f>
        <v>43.840909090909093</v>
      </c>
      <c r="W177" s="74">
        <f t="shared" si="723"/>
        <v>43.840909090909093</v>
      </c>
      <c r="X177" s="74"/>
      <c r="Y177" s="73"/>
      <c r="Z177" s="74">
        <f t="shared" ref="Z177:AA177" si="724">$E177/11*(11-($H177+$I177))</f>
        <v>43.840909090909093</v>
      </c>
      <c r="AA177" s="74">
        <f t="shared" si="724"/>
        <v>43.840909090909093</v>
      </c>
      <c r="AB177" s="74"/>
      <c r="AC177" s="73"/>
      <c r="AD177" s="74">
        <f t="shared" ref="AD177:AE177" si="725">$E177/11*(11-($H177+$I177))</f>
        <v>43.840909090909093</v>
      </c>
      <c r="AE177" s="74">
        <f t="shared" si="725"/>
        <v>43.840909090909093</v>
      </c>
      <c r="AF177" s="74"/>
      <c r="AG177" s="73"/>
      <c r="AH177" s="75">
        <f>$E177/11*(11-($G177+$I177))</f>
        <v>27.477272727272727</v>
      </c>
      <c r="AI177" s="74">
        <f t="shared" si="718"/>
        <v>43.840909090909093</v>
      </c>
      <c r="AJ177" s="74"/>
      <c r="AK177" s="73"/>
      <c r="AL177" s="74">
        <f t="shared" ref="AL177:AM177" si="726">$E177/11*(11-($H177+$I177))</f>
        <v>43.840909090909093</v>
      </c>
      <c r="AM177" s="74">
        <f t="shared" si="726"/>
        <v>43.840909090909093</v>
      </c>
      <c r="AN177" s="74"/>
      <c r="AO177" s="75"/>
    </row>
    <row r="178" ht="13.5" outlineLevel="1">
      <c r="A178" s="932"/>
      <c r="B178" s="90" t="s">
        <v>3</v>
      </c>
      <c r="C178" s="133">
        <f t="shared" si="709"/>
        <v>605.59090909090912</v>
      </c>
      <c r="D178" s="836">
        <f t="shared" si="710"/>
        <v>613.77272727272748</v>
      </c>
      <c r="E178" s="567">
        <f t="shared" si="720"/>
        <v>45</v>
      </c>
      <c r="F178" s="130">
        <v>15</v>
      </c>
      <c r="G178" s="923"/>
      <c r="H178" s="571"/>
      <c r="I178" s="934">
        <f t="shared" si="711"/>
        <v>0.28333333333333333</v>
      </c>
      <c r="J178" s="935">
        <f t="shared" si="712"/>
        <v>0.28333333333333333</v>
      </c>
      <c r="K178" s="808"/>
      <c r="L178" s="188"/>
      <c r="M178" s="188"/>
      <c r="N178" s="73">
        <f t="shared" si="721"/>
        <v>43.840909090909093</v>
      </c>
      <c r="O178" s="98"/>
      <c r="P178" s="74"/>
      <c r="Q178" s="73">
        <f t="shared" si="721"/>
        <v>43.840909090909093</v>
      </c>
      <c r="R178" s="73">
        <f t="shared" si="721"/>
        <v>43.840909090909093</v>
      </c>
      <c r="S178" s="98"/>
      <c r="T178" s="74"/>
      <c r="U178" s="74">
        <f t="shared" si="714"/>
        <v>43.840909090909093</v>
      </c>
      <c r="V178" s="73">
        <f t="shared" si="721"/>
        <v>43.840909090909093</v>
      </c>
      <c r="W178" s="98"/>
      <c r="X178" s="74"/>
      <c r="Y178" s="73">
        <f t="shared" si="721"/>
        <v>43.840909090909093</v>
      </c>
      <c r="Z178" s="73">
        <f t="shared" si="721"/>
        <v>43.840909090909093</v>
      </c>
      <c r="AA178" s="98"/>
      <c r="AB178" s="74"/>
      <c r="AC178" s="73">
        <f t="shared" si="716"/>
        <v>43.840909090909093</v>
      </c>
      <c r="AD178" s="73">
        <f t="shared" si="716"/>
        <v>43.840909090909093</v>
      </c>
      <c r="AE178" s="98"/>
      <c r="AF178" s="74"/>
      <c r="AG178" s="73">
        <f t="shared" si="716"/>
        <v>43.840909090909093</v>
      </c>
      <c r="AH178" s="73">
        <f t="shared" si="716"/>
        <v>43.840909090909093</v>
      </c>
      <c r="AI178" s="98"/>
      <c r="AJ178" s="74"/>
      <c r="AK178" s="73">
        <f t="shared" si="716"/>
        <v>43.840909090909093</v>
      </c>
      <c r="AL178" s="73">
        <f t="shared" si="716"/>
        <v>43.840909090909093</v>
      </c>
      <c r="AM178" s="98"/>
      <c r="AN178" s="74"/>
      <c r="AO178" s="74">
        <f t="shared" si="719"/>
        <v>43.840909090909093</v>
      </c>
    </row>
    <row r="179" s="99" customFormat="1" ht="16.899999999999999" customHeight="1">
      <c r="A179" s="164"/>
      <c r="B179" s="925" t="s">
        <v>18</v>
      </c>
      <c r="C179" s="102">
        <f>'[6]План пр-ва по единицам обор'!$L$97</f>
        <v>2422.3636363636365</v>
      </c>
      <c r="D179" s="103">
        <f>SUM(D175:D178)</f>
        <v>2422.3636363636369</v>
      </c>
      <c r="E179" s="443" t="s">
        <v>19</v>
      </c>
      <c r="F179" s="105">
        <f>SUM(F175:F178)</f>
        <v>60</v>
      </c>
      <c r="G179" s="444">
        <f>SUM(G175:G178)</f>
        <v>8</v>
      </c>
      <c r="H179" s="857">
        <f>SUM(H175:H178)</f>
        <v>0</v>
      </c>
      <c r="I179" s="936" t="s">
        <v>19</v>
      </c>
      <c r="J179" s="859">
        <f t="shared" ref="J179:AO189" si="727">SUM(J175:J178)</f>
        <v>9.1333333333333329</v>
      </c>
      <c r="K179" s="938">
        <f t="shared" si="727"/>
        <v>0</v>
      </c>
      <c r="L179" s="939">
        <f t="shared" si="727"/>
        <v>0</v>
      </c>
      <c r="M179" s="939">
        <f t="shared" si="727"/>
        <v>0</v>
      </c>
      <c r="N179" s="939">
        <f t="shared" si="727"/>
        <v>87.681818181818187</v>
      </c>
      <c r="O179" s="939">
        <f t="shared" si="727"/>
        <v>87.681818181818187</v>
      </c>
      <c r="P179" s="939">
        <f t="shared" si="727"/>
        <v>87.681818181818187</v>
      </c>
      <c r="Q179" s="939">
        <f t="shared" si="727"/>
        <v>87.681818181818187</v>
      </c>
      <c r="R179" s="939">
        <f t="shared" si="727"/>
        <v>87.681818181818187</v>
      </c>
      <c r="S179" s="939">
        <f t="shared" si="727"/>
        <v>87.681818181818187</v>
      </c>
      <c r="T179" s="939">
        <f t="shared" si="727"/>
        <v>71.318181818181813</v>
      </c>
      <c r="U179" s="939">
        <f t="shared" si="727"/>
        <v>87.681818181818187</v>
      </c>
      <c r="V179" s="939">
        <f t="shared" si="727"/>
        <v>87.681818181818187</v>
      </c>
      <c r="W179" s="939">
        <f t="shared" si="727"/>
        <v>87.681818181818187</v>
      </c>
      <c r="X179" s="939">
        <f t="shared" si="727"/>
        <v>87.681818181818187</v>
      </c>
      <c r="Y179" s="939">
        <f t="shared" si="727"/>
        <v>87.681818181818187</v>
      </c>
      <c r="Z179" s="939">
        <f t="shared" si="727"/>
        <v>87.681818181818187</v>
      </c>
      <c r="AA179" s="939">
        <f t="shared" si="727"/>
        <v>87.681818181818187</v>
      </c>
      <c r="AB179" s="940">
        <f t="shared" si="727"/>
        <v>87.681818181818187</v>
      </c>
      <c r="AC179" s="294">
        <f t="shared" si="727"/>
        <v>87.681818181818187</v>
      </c>
      <c r="AD179" s="941">
        <f t="shared" si="727"/>
        <v>87.681818181818187</v>
      </c>
      <c r="AE179" s="941">
        <f t="shared" si="727"/>
        <v>87.681818181818187</v>
      </c>
      <c r="AF179" s="941">
        <f t="shared" si="727"/>
        <v>87.681818181818187</v>
      </c>
      <c r="AG179" s="941">
        <f t="shared" si="727"/>
        <v>87.681818181818187</v>
      </c>
      <c r="AH179" s="941">
        <f t="shared" si="727"/>
        <v>71.318181818181813</v>
      </c>
      <c r="AI179" s="941">
        <f t="shared" si="727"/>
        <v>87.681818181818187</v>
      </c>
      <c r="AJ179" s="941">
        <f t="shared" si="727"/>
        <v>87.681818181818187</v>
      </c>
      <c r="AK179" s="941">
        <f t="shared" si="727"/>
        <v>87.681818181818187</v>
      </c>
      <c r="AL179" s="941">
        <f t="shared" si="727"/>
        <v>87.681818181818187</v>
      </c>
      <c r="AM179" s="941">
        <f t="shared" si="727"/>
        <v>87.681818181818187</v>
      </c>
      <c r="AN179" s="941">
        <f t="shared" si="727"/>
        <v>87.681818181818187</v>
      </c>
      <c r="AO179" s="942">
        <f t="shared" si="727"/>
        <v>87.681818181818187</v>
      </c>
    </row>
    <row r="180">
      <c r="D180" s="118">
        <f>D179-C179</f>
        <v>0</v>
      </c>
      <c r="E180" s="332"/>
    </row>
    <row r="181">
      <c r="D181" s="118"/>
      <c r="E181" s="332"/>
      <c r="N181" s="943"/>
    </row>
    <row r="183" ht="51" customHeight="1">
      <c r="A183" s="944" t="s">
        <v>122</v>
      </c>
      <c r="B183" s="944"/>
      <c r="C183" s="206"/>
      <c r="D183" s="206"/>
      <c r="E183" s="26"/>
      <c r="F183" s="25"/>
      <c r="G183" s="146"/>
      <c r="H183" s="147"/>
      <c r="I183" s="207"/>
      <c r="J183" s="147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42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42"/>
      <c r="AL183" s="24"/>
      <c r="AM183" s="24"/>
      <c r="AN183" s="24"/>
      <c r="AP183" s="61"/>
    </row>
    <row r="184" s="123" customFormat="1" ht="34.149999999999999" customHeight="1">
      <c r="A184" s="477"/>
      <c r="B184" s="478"/>
      <c r="C184" s="479" t="s">
        <v>11</v>
      </c>
      <c r="D184" s="480" t="s">
        <v>12</v>
      </c>
      <c r="E184" s="481" t="s">
        <v>13</v>
      </c>
      <c r="F184" s="482" t="s">
        <v>14</v>
      </c>
      <c r="G184" s="483" t="s">
        <v>15</v>
      </c>
      <c r="H184" s="484" t="s">
        <v>16</v>
      </c>
      <c r="I184" s="484" t="s">
        <v>17</v>
      </c>
      <c r="J184" s="485" t="s">
        <v>18</v>
      </c>
      <c r="K184" s="56">
        <v>44562</v>
      </c>
      <c r="L184" s="56">
        <v>44563</v>
      </c>
      <c r="M184" s="56">
        <v>44564</v>
      </c>
      <c r="N184" s="56">
        <v>44565</v>
      </c>
      <c r="O184" s="56">
        <v>44566</v>
      </c>
      <c r="P184" s="56">
        <v>44567</v>
      </c>
      <c r="Q184" s="56">
        <v>44568</v>
      </c>
      <c r="R184" s="56">
        <v>44569</v>
      </c>
      <c r="S184" s="56">
        <v>44570</v>
      </c>
      <c r="T184" s="56">
        <v>44571</v>
      </c>
      <c r="U184" s="56">
        <v>44572</v>
      </c>
      <c r="V184" s="56">
        <v>44573</v>
      </c>
      <c r="W184" s="56">
        <v>44574</v>
      </c>
      <c r="X184" s="56">
        <v>44575</v>
      </c>
      <c r="Y184" s="56">
        <v>44576</v>
      </c>
      <c r="Z184" s="56">
        <v>44577</v>
      </c>
      <c r="AA184" s="56">
        <v>44578</v>
      </c>
      <c r="AB184" s="56">
        <v>44579</v>
      </c>
      <c r="AC184" s="56">
        <v>44580</v>
      </c>
      <c r="AD184" s="56">
        <v>44581</v>
      </c>
      <c r="AE184" s="56">
        <v>44582</v>
      </c>
      <c r="AF184" s="56">
        <v>44583</v>
      </c>
      <c r="AG184" s="56">
        <v>44584</v>
      </c>
      <c r="AH184" s="56">
        <v>44585</v>
      </c>
      <c r="AI184" s="56">
        <v>44586</v>
      </c>
      <c r="AJ184" s="56">
        <v>44587</v>
      </c>
      <c r="AK184" s="56">
        <v>44588</v>
      </c>
      <c r="AL184" s="56">
        <v>44589</v>
      </c>
      <c r="AM184" s="56">
        <v>44590</v>
      </c>
      <c r="AN184" s="56">
        <v>44591</v>
      </c>
      <c r="AO184" s="56">
        <v>44592</v>
      </c>
      <c r="AP184" s="61"/>
    </row>
    <row r="185" ht="34.149999999999999" customHeight="1" outlineLevel="1">
      <c r="A185" s="487" t="s">
        <v>123</v>
      </c>
      <c r="B185" s="488" t="s">
        <v>83</v>
      </c>
      <c r="C185" s="489">
        <f>'[6]Баланс ЦПБФ'!$G$99-'[6]Баланс ЦПБФ'!$G$92</f>
        <v>957.34434401123031</v>
      </c>
      <c r="D185" s="490">
        <f t="shared" ref="D185:D188" si="728">SUM(K185:AO185)</f>
        <v>957.34434401123053</v>
      </c>
      <c r="E185" s="491"/>
      <c r="F185" s="504">
        <f t="shared" ref="F185:F186" si="729">COUNTA(K185:AO185)</f>
        <v>31</v>
      </c>
      <c r="G185" s="945"/>
      <c r="H185" s="506"/>
      <c r="I185" s="507"/>
      <c r="J185" s="946"/>
      <c r="K185" s="947">
        <f>$C$189/$D$70*K70</f>
        <v>0</v>
      </c>
      <c r="L185" s="947">
        <f t="shared" ref="L185:AO185" si="730">$C$189/$D$70*L70</f>
        <v>15.240743091751273</v>
      </c>
      <c r="M185" s="947">
        <f t="shared" si="730"/>
        <v>20.822346152514868</v>
      </c>
      <c r="N185" s="947">
        <f t="shared" si="730"/>
        <v>42.221447090578536</v>
      </c>
      <c r="O185" s="947">
        <f t="shared" si="730"/>
        <v>41.123682863130391</v>
      </c>
      <c r="P185" s="947">
        <f t="shared" si="730"/>
        <v>36.573070250867161</v>
      </c>
      <c r="Q185" s="947">
        <f t="shared" si="730"/>
        <v>42.221447090578536</v>
      </c>
      <c r="R185" s="947">
        <f t="shared" si="730"/>
        <v>42.221447090578536</v>
      </c>
      <c r="S185" s="947">
        <f t="shared" si="730"/>
        <v>42.221447090578536</v>
      </c>
      <c r="T185" s="947">
        <f t="shared" si="730"/>
        <v>34.226625140302673</v>
      </c>
      <c r="U185" s="947">
        <f t="shared" si="730"/>
        <v>41.886213133324276</v>
      </c>
      <c r="V185" s="947">
        <f t="shared" si="730"/>
        <v>37.474627376401884</v>
      </c>
      <c r="W185" s="947">
        <f t="shared" si="730"/>
        <v>38.086302365831344</v>
      </c>
      <c r="X185" s="947">
        <f t="shared" si="730"/>
        <v>30.546924529198893</v>
      </c>
      <c r="Y185" s="947">
        <f t="shared" si="730"/>
        <v>30.546924529198893</v>
      </c>
      <c r="Z185" s="947">
        <f t="shared" si="730"/>
        <v>30.546924529198893</v>
      </c>
      <c r="AA185" s="947">
        <f t="shared" si="730"/>
        <v>24.858105860641736</v>
      </c>
      <c r="AB185" s="947">
        <f t="shared" si="730"/>
        <v>30.546924529198893</v>
      </c>
      <c r="AC185" s="947">
        <f t="shared" si="730"/>
        <v>24.115167094650495</v>
      </c>
      <c r="AD185" s="947">
        <f t="shared" si="730"/>
        <v>30.546924529198893</v>
      </c>
      <c r="AE185" s="947">
        <f t="shared" si="730"/>
        <v>30.546924529198893</v>
      </c>
      <c r="AF185" s="947">
        <f t="shared" si="730"/>
        <v>30.546924529198893</v>
      </c>
      <c r="AG185" s="947">
        <f t="shared" si="730"/>
        <v>30.546924529198893</v>
      </c>
      <c r="AH185" s="947">
        <f t="shared" si="730"/>
        <v>24.858105860641736</v>
      </c>
      <c r="AI185" s="947">
        <f t="shared" si="730"/>
        <v>30.546924529198893</v>
      </c>
      <c r="AJ185" s="947">
        <f t="shared" si="730"/>
        <v>27.225441718630822</v>
      </c>
      <c r="AK185" s="947">
        <f t="shared" si="730"/>
        <v>30.546924529198893</v>
      </c>
      <c r="AL185" s="947">
        <f t="shared" si="730"/>
        <v>30.546924529198893</v>
      </c>
      <c r="AM185" s="947">
        <f t="shared" si="730"/>
        <v>30.546924529198893</v>
      </c>
      <c r="AN185" s="947">
        <f t="shared" si="730"/>
        <v>30.546924529198893</v>
      </c>
      <c r="AO185" s="947">
        <f t="shared" si="730"/>
        <v>24.858105860641736</v>
      </c>
      <c r="AP185" s="61"/>
    </row>
    <row r="186" ht="36.600000000000001" customHeight="1" outlineLevel="1">
      <c r="A186" s="498"/>
      <c r="B186" s="499" t="s">
        <v>84</v>
      </c>
      <c r="C186" s="489">
        <f>ЦПБФ!C204</f>
        <v>0</v>
      </c>
      <c r="D186" s="490">
        <f t="shared" si="728"/>
        <v>0</v>
      </c>
      <c r="E186" s="491"/>
      <c r="F186" s="948">
        <f t="shared" si="729"/>
        <v>31</v>
      </c>
      <c r="G186" s="949"/>
      <c r="H186" s="950"/>
      <c r="I186" s="951"/>
      <c r="J186" s="952"/>
      <c r="K186" s="953">
        <f>ЦПБФ!K204</f>
        <v>0</v>
      </c>
      <c r="L186" s="953">
        <f>ЦПБФ!L204</f>
        <v>0</v>
      </c>
      <c r="M186" s="953">
        <f>ЦПБФ!M204</f>
        <v>0</v>
      </c>
      <c r="N186" s="953">
        <f>ЦПБФ!N204</f>
        <v>0</v>
      </c>
      <c r="O186" s="953">
        <f>ЦПБФ!O204</f>
        <v>0</v>
      </c>
      <c r="P186" s="953">
        <f>ЦПБФ!P204</f>
        <v>0</v>
      </c>
      <c r="Q186" s="953">
        <f>ЦПБФ!Q204</f>
        <v>0</v>
      </c>
      <c r="R186" s="953">
        <f>ЦПБФ!R204</f>
        <v>0</v>
      </c>
      <c r="S186" s="953">
        <f>ЦПБФ!S204</f>
        <v>0</v>
      </c>
      <c r="T186" s="953">
        <f>ЦПБФ!T204</f>
        <v>0</v>
      </c>
      <c r="U186" s="953">
        <f>ЦПБФ!U204</f>
        <v>0</v>
      </c>
      <c r="V186" s="953">
        <f>ЦПБФ!V204</f>
        <v>0</v>
      </c>
      <c r="W186" s="953">
        <f>ЦПБФ!W204</f>
        <v>0</v>
      </c>
      <c r="X186" s="953">
        <f>ЦПБФ!X204</f>
        <v>0</v>
      </c>
      <c r="Y186" s="953">
        <f>ЦПБФ!Y204</f>
        <v>0</v>
      </c>
      <c r="Z186" s="953">
        <f>ЦПБФ!Z204</f>
        <v>0</v>
      </c>
      <c r="AA186" s="953">
        <f>ЦПБФ!AA204</f>
        <v>0</v>
      </c>
      <c r="AB186" s="953">
        <f>ЦПБФ!AB204</f>
        <v>0</v>
      </c>
      <c r="AC186" s="953">
        <f>ЦПБФ!AC204</f>
        <v>0</v>
      </c>
      <c r="AD186" s="953">
        <f>ЦПБФ!AD204</f>
        <v>0</v>
      </c>
      <c r="AE186" s="953">
        <f>ЦПБФ!AE204</f>
        <v>0</v>
      </c>
      <c r="AF186" s="953">
        <f>ЦПБФ!AF204</f>
        <v>0</v>
      </c>
      <c r="AG186" s="953">
        <f>ЦПБФ!AG204</f>
        <v>0</v>
      </c>
      <c r="AH186" s="953">
        <f>ЦПБФ!AH204</f>
        <v>0</v>
      </c>
      <c r="AI186" s="953">
        <f>ЦПБФ!AI204</f>
        <v>0</v>
      </c>
      <c r="AJ186" s="953">
        <f>ЦПБФ!AJ204</f>
        <v>0</v>
      </c>
      <c r="AK186" s="953">
        <f>ЦПБФ!AK204</f>
        <v>0</v>
      </c>
      <c r="AL186" s="953">
        <f>ЦПБФ!AL204</f>
        <v>0</v>
      </c>
      <c r="AM186" s="953">
        <f>ЦПБФ!AM204</f>
        <v>0</v>
      </c>
      <c r="AN186" s="953">
        <f>ЦПБФ!AN204</f>
        <v>0</v>
      </c>
      <c r="AO186" s="953">
        <f>ЦПБФ!AO204</f>
        <v>0</v>
      </c>
      <c r="AP186" s="61"/>
    </row>
    <row r="187" ht="13.15" customHeight="1" outlineLevel="1">
      <c r="A187" s="498"/>
      <c r="B187" s="502"/>
      <c r="C187" s="503"/>
      <c r="D187" s="490">
        <f t="shared" si="728"/>
        <v>0</v>
      </c>
      <c r="E187" s="491"/>
      <c r="F187" s="504"/>
      <c r="G187" s="505"/>
      <c r="H187" s="506"/>
      <c r="I187" s="507"/>
      <c r="J187" s="508"/>
      <c r="K187" s="501">
        <f t="shared" ref="K187:K188" si="731">$E187/11*(11-($H187+$I187))</f>
        <v>0</v>
      </c>
      <c r="L187" s="954">
        <f>$E187/11*(11-($H187+$I187))</f>
        <v>0</v>
      </c>
      <c r="M187" s="954"/>
      <c r="N187" s="955"/>
      <c r="O187" s="954">
        <f t="shared" ref="O187:P188" si="732">$E187/11*(11-($H187+$I187))</f>
        <v>0</v>
      </c>
      <c r="P187" s="954">
        <f t="shared" si="732"/>
        <v>0</v>
      </c>
      <c r="Q187" s="954"/>
      <c r="R187" s="955"/>
      <c r="S187" s="954">
        <f t="shared" ref="S187:S188" si="733">$E187/11*(11-($H187+$I187))</f>
        <v>0</v>
      </c>
      <c r="T187" s="954">
        <f>$E187/11*(11-($H187+$I187))</f>
        <v>0</v>
      </c>
      <c r="U187" s="954"/>
      <c r="V187" s="955"/>
      <c r="W187" s="954">
        <f t="shared" ref="W187:X188" si="734">$E187/11*(11-($H187+$I187))</f>
        <v>0</v>
      </c>
      <c r="X187" s="954">
        <f t="shared" si="734"/>
        <v>0</v>
      </c>
      <c r="Y187" s="954"/>
      <c r="Z187" s="955"/>
      <c r="AA187" s="956">
        <f>$E187/11*(11-($G187+$I187))</f>
        <v>0</v>
      </c>
      <c r="AB187" s="954">
        <f t="shared" ref="AA187:AB188" si="735">$E187/11*(11-($H187+$I187))</f>
        <v>0</v>
      </c>
      <c r="AC187" s="954"/>
      <c r="AD187" s="955"/>
      <c r="AE187" s="954">
        <f t="shared" ref="AE187:AF188" si="736">$E187/11*(11-($H187+$I187))</f>
        <v>0</v>
      </c>
      <c r="AF187" s="954">
        <f t="shared" si="736"/>
        <v>0</v>
      </c>
      <c r="AG187" s="954"/>
      <c r="AH187" s="955"/>
      <c r="AI187" s="954">
        <f t="shared" ref="AI187:AJ188" si="737">$E187/11*(11-($H187+$I187))</f>
        <v>0</v>
      </c>
      <c r="AJ187" s="954">
        <f t="shared" si="737"/>
        <v>0</v>
      </c>
      <c r="AK187" s="954"/>
      <c r="AL187" s="955"/>
      <c r="AM187" s="954">
        <f t="shared" ref="AM187:AN188" si="738">$E187/11*(11-($H187+$I187))</f>
        <v>0</v>
      </c>
      <c r="AN187" s="954">
        <f t="shared" si="738"/>
        <v>0</v>
      </c>
      <c r="AO187" s="73"/>
      <c r="AP187" s="61"/>
    </row>
    <row r="188" ht="13.9" customHeight="1" outlineLevel="1">
      <c r="A188" s="509"/>
      <c r="B188" s="510"/>
      <c r="C188" s="503"/>
      <c r="D188" s="490">
        <f t="shared" si="728"/>
        <v>0</v>
      </c>
      <c r="E188" s="491"/>
      <c r="F188" s="504"/>
      <c r="G188" s="505"/>
      <c r="H188" s="506"/>
      <c r="I188" s="507"/>
      <c r="J188" s="508"/>
      <c r="K188" s="511">
        <f t="shared" si="731"/>
        <v>0</v>
      </c>
      <c r="L188" s="954"/>
      <c r="M188" s="954"/>
      <c r="N188" s="955">
        <f>$E188/11*(11-($H188+$I188))</f>
        <v>0</v>
      </c>
      <c r="O188" s="957">
        <f t="shared" si="732"/>
        <v>0</v>
      </c>
      <c r="P188" s="954"/>
      <c r="Q188" s="954"/>
      <c r="R188" s="955">
        <f>$E188/11*(11-($H188+$I188))</f>
        <v>0</v>
      </c>
      <c r="S188" s="957">
        <f t="shared" si="733"/>
        <v>0</v>
      </c>
      <c r="T188" s="954"/>
      <c r="U188" s="954"/>
      <c r="V188" s="955">
        <f>$E188/11*(11-($H188+$I188))</f>
        <v>0</v>
      </c>
      <c r="W188" s="957">
        <f t="shared" si="734"/>
        <v>0</v>
      </c>
      <c r="X188" s="954"/>
      <c r="Y188" s="954"/>
      <c r="Z188" s="955">
        <f>$E188/11*(11-($H188+$I188))</f>
        <v>0</v>
      </c>
      <c r="AA188" s="957">
        <f t="shared" si="735"/>
        <v>0</v>
      </c>
      <c r="AB188" s="954"/>
      <c r="AC188" s="954"/>
      <c r="AD188" s="955">
        <f>$E188/11*(11-($H188+$I188))</f>
        <v>0</v>
      </c>
      <c r="AE188" s="957">
        <f t="shared" si="736"/>
        <v>0</v>
      </c>
      <c r="AF188" s="954"/>
      <c r="AG188" s="954"/>
      <c r="AH188" s="956">
        <f>$E188/11*(11-($G188+$I188))</f>
        <v>0</v>
      </c>
      <c r="AI188" s="957">
        <f t="shared" si="737"/>
        <v>0</v>
      </c>
      <c r="AJ188" s="954"/>
      <c r="AK188" s="954"/>
      <c r="AL188" s="955">
        <f>$E188/11*(11-($H188+$I188))</f>
        <v>0</v>
      </c>
      <c r="AM188" s="957">
        <f t="shared" si="738"/>
        <v>0</v>
      </c>
      <c r="AN188" s="954"/>
      <c r="AO188" s="73"/>
      <c r="AP188" s="61"/>
    </row>
    <row r="189" s="220" customFormat="1" ht="18.600000000000001" customHeight="1">
      <c r="A189" s="221"/>
      <c r="B189" s="165" t="s">
        <v>18</v>
      </c>
      <c r="C189" s="958">
        <f>SUM(C185:C188)</f>
        <v>957.34434401123031</v>
      </c>
      <c r="D189" s="959">
        <f>SUM(D185:D188)</f>
        <v>957.34434401123053</v>
      </c>
      <c r="E189" s="960" t="s">
        <v>19</v>
      </c>
      <c r="F189" s="961">
        <f>SUM(F185:F188)</f>
        <v>62</v>
      </c>
      <c r="G189" s="962">
        <f>SUM(G185:G188)</f>
        <v>0</v>
      </c>
      <c r="H189" s="963">
        <f>SUM(H185:H188)</f>
        <v>0</v>
      </c>
      <c r="I189" s="964" t="s">
        <v>19</v>
      </c>
      <c r="J189" s="965">
        <f t="shared" si="727"/>
        <v>0</v>
      </c>
      <c r="K189" s="966">
        <f t="shared" si="727"/>
        <v>0</v>
      </c>
      <c r="L189" s="967">
        <f t="shared" si="727"/>
        <v>15.240743091751273</v>
      </c>
      <c r="M189" s="967">
        <f t="shared" si="727"/>
        <v>20.822346152514868</v>
      </c>
      <c r="N189" s="967">
        <f t="shared" si="727"/>
        <v>42.221447090578536</v>
      </c>
      <c r="O189" s="967">
        <f t="shared" si="727"/>
        <v>41.123682863130391</v>
      </c>
      <c r="P189" s="967">
        <f t="shared" si="727"/>
        <v>36.573070250867161</v>
      </c>
      <c r="Q189" s="967">
        <f t="shared" si="727"/>
        <v>42.221447090578536</v>
      </c>
      <c r="R189" s="967">
        <f t="shared" si="727"/>
        <v>42.221447090578536</v>
      </c>
      <c r="S189" s="967">
        <f t="shared" si="727"/>
        <v>42.221447090578536</v>
      </c>
      <c r="T189" s="967">
        <f t="shared" si="727"/>
        <v>34.226625140302673</v>
      </c>
      <c r="U189" s="967">
        <f t="shared" si="727"/>
        <v>41.886213133324276</v>
      </c>
      <c r="V189" s="967">
        <f t="shared" si="727"/>
        <v>37.474627376401884</v>
      </c>
      <c r="W189" s="967">
        <f t="shared" si="727"/>
        <v>38.086302365831344</v>
      </c>
      <c r="X189" s="967">
        <f t="shared" si="727"/>
        <v>30.546924529198893</v>
      </c>
      <c r="Y189" s="968">
        <f t="shared" si="727"/>
        <v>30.546924529198893</v>
      </c>
      <c r="Z189" s="969">
        <f t="shared" si="727"/>
        <v>30.546924529198893</v>
      </c>
      <c r="AA189" s="967">
        <f t="shared" si="727"/>
        <v>24.858105860641736</v>
      </c>
      <c r="AB189" s="968">
        <f t="shared" si="727"/>
        <v>30.546924529198893</v>
      </c>
      <c r="AC189" s="970">
        <f t="shared" si="727"/>
        <v>24.115167094650495</v>
      </c>
      <c r="AD189" s="971">
        <f t="shared" si="727"/>
        <v>30.546924529198893</v>
      </c>
      <c r="AE189" s="971">
        <f t="shared" si="727"/>
        <v>30.546924529198893</v>
      </c>
      <c r="AF189" s="971">
        <f t="shared" si="727"/>
        <v>30.546924529198893</v>
      </c>
      <c r="AG189" s="971">
        <f t="shared" si="727"/>
        <v>30.546924529198893</v>
      </c>
      <c r="AH189" s="971">
        <f t="shared" si="727"/>
        <v>24.858105860641736</v>
      </c>
      <c r="AI189" s="971">
        <f t="shared" si="727"/>
        <v>30.546924529198893</v>
      </c>
      <c r="AJ189" s="971">
        <f t="shared" si="727"/>
        <v>27.225441718630822</v>
      </c>
      <c r="AK189" s="971">
        <f t="shared" si="727"/>
        <v>30.546924529198893</v>
      </c>
      <c r="AL189" s="971">
        <f t="shared" si="727"/>
        <v>30.546924529198893</v>
      </c>
      <c r="AM189" s="971">
        <f t="shared" si="727"/>
        <v>30.546924529198893</v>
      </c>
      <c r="AN189" s="971">
        <f t="shared" si="727"/>
        <v>30.546924529198893</v>
      </c>
      <c r="AO189" s="971">
        <f t="shared" si="727"/>
        <v>24.858105860641736</v>
      </c>
      <c r="AP189" s="61"/>
    </row>
    <row r="193" s="402" customFormat="1" ht="34.5" customHeight="1">
      <c r="A193" s="972" t="s">
        <v>124</v>
      </c>
      <c r="B193" s="973"/>
      <c r="C193" s="974">
        <f>ЦПБФ!C197</f>
        <v>6626.3013454545462</v>
      </c>
      <c r="D193" s="473">
        <f>SUM(K193:AO193)</f>
        <v>6626.3013454545471</v>
      </c>
      <c r="E193" s="975"/>
      <c r="F193" s="976"/>
      <c r="G193" s="976"/>
      <c r="H193" s="973"/>
      <c r="I193" s="973"/>
      <c r="J193" s="973"/>
      <c r="K193" s="977">
        <f>ЦПБФ!K197</f>
        <v>0</v>
      </c>
      <c r="L193" s="977">
        <f>ЦПБФ!L197</f>
        <v>0</v>
      </c>
      <c r="M193" s="977">
        <f>ЦПБФ!M197</f>
        <v>0</v>
      </c>
      <c r="N193" s="977">
        <f>ЦПБФ!N197</f>
        <v>442.32276657390139</v>
      </c>
      <c r="O193" s="977">
        <f>ЦПБФ!O197</f>
        <v>442.32276657390139</v>
      </c>
      <c r="P193" s="977">
        <f>ЦПБФ!P197</f>
        <v>442.32276657390139</v>
      </c>
      <c r="Q193" s="977">
        <f>ЦПБФ!Q197</f>
        <v>442.32276657390139</v>
      </c>
      <c r="R193" s="977">
        <f>ЦПБФ!R197</f>
        <v>442.32276657390139</v>
      </c>
      <c r="S193" s="977">
        <f>ЦПБФ!S197</f>
        <v>442.32276657390139</v>
      </c>
      <c r="T193" s="977">
        <f>ЦПБФ!T197</f>
        <v>0</v>
      </c>
      <c r="U193" s="977">
        <f>ЦПБФ!U197</f>
        <v>0</v>
      </c>
      <c r="V193" s="977">
        <f>ЦПБФ!V197</f>
        <v>0</v>
      </c>
      <c r="W193" s="977">
        <f>ЦПБФ!W197</f>
        <v>111.79930405770432</v>
      </c>
      <c r="X193" s="977">
        <f>ЦПБФ!X197</f>
        <v>223.59860811540864</v>
      </c>
      <c r="Y193" s="977">
        <f>ЦПБФ!Y197</f>
        <v>223.59860811540864</v>
      </c>
      <c r="Z193" s="977">
        <f>ЦПБФ!Z197</f>
        <v>223.59860811540864</v>
      </c>
      <c r="AA193" s="977">
        <f>ЦПБФ!AA197</f>
        <v>223.59860811540864</v>
      </c>
      <c r="AB193" s="977">
        <f>ЦПБФ!AB197</f>
        <v>223.59860811540864</v>
      </c>
      <c r="AC193" s="977">
        <f>ЦПБФ!AC197</f>
        <v>141.49385605344708</v>
      </c>
      <c r="AD193" s="977">
        <f>ЦПБФ!AD197</f>
        <v>223.59860811540864</v>
      </c>
      <c r="AE193" s="977">
        <f>ЦПБФ!AE197</f>
        <v>223.59860811540864</v>
      </c>
      <c r="AF193" s="977">
        <f>ЦПБФ!AF197</f>
        <v>223.59860811540864</v>
      </c>
      <c r="AG193" s="977">
        <f>ЦПБФ!AG197</f>
        <v>223.59860811540864</v>
      </c>
      <c r="AH193" s="977">
        <f>ЦПБФ!AH197</f>
        <v>223.59860811540864</v>
      </c>
      <c r="AI193" s="977">
        <f>ЦПБФ!AI197</f>
        <v>223.59860811540864</v>
      </c>
      <c r="AJ193" s="977">
        <f>ЦПБФ!AJ197</f>
        <v>141.49385605344708</v>
      </c>
      <c r="AK193" s="977">
        <f>ЦПБФ!AK197</f>
        <v>223.59860811540864</v>
      </c>
      <c r="AL193" s="977">
        <f>ЦПБФ!AL197</f>
        <v>223.59860811540864</v>
      </c>
      <c r="AM193" s="977">
        <f>ЦПБФ!AM197</f>
        <v>223.59860811540864</v>
      </c>
      <c r="AN193" s="977">
        <f>ЦПБФ!AN197</f>
        <v>223.59860811540864</v>
      </c>
      <c r="AO193" s="977">
        <f>ЦПБФ!AO197</f>
        <v>223.59860811540864</v>
      </c>
      <c r="AP193" s="402"/>
    </row>
    <row r="198">
      <c r="F198" s="66"/>
      <c r="G198" s="66"/>
      <c r="H198" s="66"/>
      <c r="I198" s="66"/>
      <c r="J198" s="66"/>
    </row>
    <row r="199" ht="13.5">
      <c r="F199" s="66"/>
      <c r="G199" s="66"/>
      <c r="H199" s="66"/>
      <c r="I199" s="66"/>
      <c r="J199" s="66"/>
      <c r="N199" s="396"/>
      <c r="U199" s="396"/>
      <c r="AA199" s="396" t="s">
        <v>125</v>
      </c>
      <c r="AB199" s="396" t="s">
        <v>126</v>
      </c>
      <c r="AH199" s="396" t="s">
        <v>125</v>
      </c>
      <c r="AI199" s="396" t="s">
        <v>127</v>
      </c>
    </row>
    <row r="200" s="123" customFormat="1" ht="30.600000000000001" customHeight="1" outlineLevel="1">
      <c r="A200" s="405" t="s">
        <v>128</v>
      </c>
      <c r="B200" s="406"/>
      <c r="C200" s="49" t="s">
        <v>11</v>
      </c>
      <c r="D200" s="50" t="s">
        <v>12</v>
      </c>
      <c r="E200" s="978" t="s">
        <v>13</v>
      </c>
      <c r="F200" s="408" t="s">
        <v>14</v>
      </c>
      <c r="G200" s="211" t="s">
        <v>15</v>
      </c>
      <c r="H200" s="212" t="s">
        <v>16</v>
      </c>
      <c r="I200" s="212" t="s">
        <v>17</v>
      </c>
      <c r="J200" s="213" t="s">
        <v>18</v>
      </c>
      <c r="K200" s="56">
        <v>44531</v>
      </c>
      <c r="L200" s="56">
        <v>44532</v>
      </c>
      <c r="M200" s="56">
        <v>44533</v>
      </c>
      <c r="N200" s="56">
        <v>44534</v>
      </c>
      <c r="O200" s="56">
        <v>44535</v>
      </c>
      <c r="P200" s="651">
        <v>44536</v>
      </c>
      <c r="Q200" s="56">
        <v>44537</v>
      </c>
      <c r="R200" s="56">
        <v>44538</v>
      </c>
      <c r="S200" s="56">
        <v>44539</v>
      </c>
      <c r="T200" s="56">
        <v>44540</v>
      </c>
      <c r="U200" s="56">
        <v>44541</v>
      </c>
      <c r="V200" s="56">
        <v>44542</v>
      </c>
      <c r="W200" s="57">
        <v>44543</v>
      </c>
      <c r="X200" s="56">
        <v>44544</v>
      </c>
      <c r="Y200" s="56">
        <v>44545</v>
      </c>
      <c r="Z200" s="56">
        <v>44546</v>
      </c>
      <c r="AA200" s="58">
        <v>44578</v>
      </c>
      <c r="AB200" s="56">
        <v>44579</v>
      </c>
      <c r="AC200" s="56">
        <v>44580</v>
      </c>
      <c r="AD200" s="56">
        <v>44581</v>
      </c>
      <c r="AE200" s="56">
        <v>44582</v>
      </c>
      <c r="AF200" s="56">
        <v>44583</v>
      </c>
      <c r="AG200" s="56">
        <v>44584</v>
      </c>
      <c r="AH200" s="59">
        <v>44585</v>
      </c>
      <c r="AI200" s="56">
        <v>44586</v>
      </c>
      <c r="AJ200" s="56">
        <v>44587</v>
      </c>
      <c r="AK200" s="56">
        <v>44588</v>
      </c>
      <c r="AL200" s="56">
        <v>44589</v>
      </c>
      <c r="AM200" s="56">
        <v>44590</v>
      </c>
      <c r="AN200" s="56">
        <v>44591</v>
      </c>
      <c r="AO200" s="754">
        <v>44561</v>
      </c>
    </row>
    <row r="201" outlineLevel="2">
      <c r="A201" s="979" t="s">
        <v>129</v>
      </c>
      <c r="B201" s="63" t="s">
        <v>0</v>
      </c>
      <c r="C201" s="65">
        <f t="shared" ref="C201:C204" si="739">$C$92/$F$92*F201</f>
        <v>164.12911651728552</v>
      </c>
      <c r="D201" s="127">
        <f t="shared" ref="D201:D204" si="740">SUM(K201:AO201)</f>
        <v>162.91227272727272</v>
      </c>
      <c r="E201" s="843">
        <f>'[3]План пр-ва по единицам обор'!$E$73</f>
        <v>21</v>
      </c>
      <c r="F201" s="25">
        <f t="shared" ref="F201:F204" si="741">COUNTA(K201:AO201)</f>
        <v>8</v>
      </c>
      <c r="G201" s="980">
        <v>2.665</v>
      </c>
      <c r="H201" s="419"/>
      <c r="I201" s="420"/>
      <c r="J201" s="727">
        <f t="shared" ref="J201:J204" si="742">SUM(G201:I201)</f>
        <v>2.665</v>
      </c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5">
        <f>$E201/11*(11-($G201+$I201))</f>
        <v>15.912272727272729</v>
      </c>
      <c r="AB201" s="74">
        <f t="shared" ref="AB201:AL204" si="743">$E201/11*(11-($H201+$I201))</f>
        <v>21</v>
      </c>
      <c r="AC201" s="73"/>
      <c r="AD201" s="73"/>
      <c r="AE201" s="74">
        <f t="shared" ref="AE201:AG202" si="744">$E201/11*(11-($H201+$I201))</f>
        <v>21</v>
      </c>
      <c r="AF201" s="74">
        <f t="shared" si="744"/>
        <v>21</v>
      </c>
      <c r="AG201" s="73"/>
      <c r="AH201" s="73"/>
      <c r="AI201" s="74">
        <f t="shared" ref="AI201:AK203" si="745">$E201/11*(11-($H201+$I201))</f>
        <v>21</v>
      </c>
      <c r="AJ201" s="74">
        <f t="shared" si="745"/>
        <v>21</v>
      </c>
      <c r="AK201" s="73"/>
      <c r="AL201" s="73"/>
      <c r="AM201" s="74">
        <f t="shared" ref="AM201:AO202" si="746">$E201/11*(11-($H201+$I201))</f>
        <v>21</v>
      </c>
      <c r="AN201" s="74">
        <f t="shared" si="746"/>
        <v>21</v>
      </c>
      <c r="AO201" s="73"/>
      <c r="AQ201" s="425"/>
    </row>
    <row r="202" outlineLevel="2">
      <c r="A202" s="981"/>
      <c r="B202" s="77" t="s">
        <v>1</v>
      </c>
      <c r="C202" s="79">
        <f t="shared" si="739"/>
        <v>164.12911651728552</v>
      </c>
      <c r="D202" s="982">
        <f t="shared" si="740"/>
        <v>168</v>
      </c>
      <c r="E202" s="847">
        <f t="shared" ref="E202:E204" si="747">E201</f>
        <v>21</v>
      </c>
      <c r="F202" s="25">
        <f t="shared" si="741"/>
        <v>8</v>
      </c>
      <c r="G202" s="980"/>
      <c r="H202" s="428"/>
      <c r="I202" s="429"/>
      <c r="J202" s="732">
        <f t="shared" si="742"/>
        <v>0</v>
      </c>
      <c r="K202" s="72"/>
      <c r="L202" s="72"/>
      <c r="M202" s="71"/>
      <c r="N202" s="218"/>
      <c r="O202" s="71"/>
      <c r="P202" s="72"/>
      <c r="Q202" s="71"/>
      <c r="R202" s="218"/>
      <c r="S202" s="72"/>
      <c r="T202" s="72"/>
      <c r="U202" s="71"/>
      <c r="V202" s="218"/>
      <c r="W202" s="216"/>
      <c r="X202" s="72"/>
      <c r="Y202" s="71"/>
      <c r="Z202" s="218"/>
      <c r="AA202" s="73"/>
      <c r="AB202" s="74">
        <f t="shared" si="743"/>
        <v>21</v>
      </c>
      <c r="AC202" s="74">
        <f t="shared" si="743"/>
        <v>21</v>
      </c>
      <c r="AD202" s="84"/>
      <c r="AE202" s="73"/>
      <c r="AF202" s="74">
        <f t="shared" si="744"/>
        <v>21</v>
      </c>
      <c r="AG202" s="74">
        <f t="shared" si="744"/>
        <v>21</v>
      </c>
      <c r="AH202" s="84"/>
      <c r="AI202" s="73"/>
      <c r="AJ202" s="74">
        <f t="shared" si="745"/>
        <v>21</v>
      </c>
      <c r="AK202" s="74">
        <f t="shared" si="745"/>
        <v>21</v>
      </c>
      <c r="AL202" s="84"/>
      <c r="AM202" s="73"/>
      <c r="AN202" s="74">
        <f t="shared" si="746"/>
        <v>21</v>
      </c>
      <c r="AO202" s="74">
        <f t="shared" si="746"/>
        <v>21</v>
      </c>
      <c r="AQ202" s="425"/>
    </row>
    <row r="203" outlineLevel="2">
      <c r="A203" s="981"/>
      <c r="B203" s="85" t="s">
        <v>2</v>
      </c>
      <c r="C203" s="197">
        <f t="shared" si="739"/>
        <v>143.61297695262482</v>
      </c>
      <c r="D203" s="86">
        <f t="shared" si="740"/>
        <v>139.36363636363637</v>
      </c>
      <c r="E203" s="847">
        <f t="shared" si="747"/>
        <v>21</v>
      </c>
      <c r="F203" s="25">
        <f t="shared" si="741"/>
        <v>7</v>
      </c>
      <c r="G203" s="980">
        <v>4</v>
      </c>
      <c r="H203" s="428"/>
      <c r="I203" s="429"/>
      <c r="J203" s="732">
        <f t="shared" si="742"/>
        <v>4</v>
      </c>
      <c r="K203" s="88"/>
      <c r="L203" s="72"/>
      <c r="M203" s="71"/>
      <c r="N203" s="71"/>
      <c r="O203" s="88"/>
      <c r="P203" s="72"/>
      <c r="Q203" s="72"/>
      <c r="R203" s="71"/>
      <c r="S203" s="88"/>
      <c r="T203" s="72"/>
      <c r="U203" s="71"/>
      <c r="V203" s="71"/>
      <c r="W203" s="88"/>
      <c r="X203" s="72"/>
      <c r="Y203" s="72"/>
      <c r="Z203" s="71"/>
      <c r="AA203" s="74">
        <f>$E203/11*(11-($H203+$I203))</f>
        <v>21</v>
      </c>
      <c r="AB203" s="74"/>
      <c r="AC203" s="73"/>
      <c r="AD203" s="74">
        <f t="shared" ref="AD203:AE203" si="748">$E203/11*(11-($H203+$I203))</f>
        <v>21</v>
      </c>
      <c r="AE203" s="74">
        <f t="shared" si="748"/>
        <v>21</v>
      </c>
      <c r="AF203" s="74"/>
      <c r="AG203" s="73"/>
      <c r="AH203" s="75">
        <f>$E203/11*(11-($G203+$I203))</f>
        <v>13.363636363636363</v>
      </c>
      <c r="AI203" s="74">
        <f t="shared" si="745"/>
        <v>21</v>
      </c>
      <c r="AJ203" s="74"/>
      <c r="AK203" s="73"/>
      <c r="AL203" s="74">
        <f t="shared" ref="AL203:AM203" si="749">$E203/11*(11-($H203+$I203))</f>
        <v>21</v>
      </c>
      <c r="AM203" s="74">
        <f t="shared" si="749"/>
        <v>21</v>
      </c>
      <c r="AN203" s="74"/>
      <c r="AO203" s="75"/>
      <c r="AQ203" s="425"/>
    </row>
    <row r="204" ht="13.5" outlineLevel="2">
      <c r="A204" s="983"/>
      <c r="B204" s="90" t="s">
        <v>3</v>
      </c>
      <c r="C204" s="200">
        <f t="shared" si="739"/>
        <v>143.61297695262482</v>
      </c>
      <c r="D204" s="133">
        <f t="shared" si="740"/>
        <v>141.91227272727272</v>
      </c>
      <c r="E204" s="847">
        <f t="shared" si="747"/>
        <v>21</v>
      </c>
      <c r="F204" s="25">
        <f t="shared" si="741"/>
        <v>7</v>
      </c>
      <c r="G204" s="980">
        <v>2.665</v>
      </c>
      <c r="H204" s="436"/>
      <c r="I204" s="437"/>
      <c r="J204" s="738">
        <f t="shared" si="742"/>
        <v>2.665</v>
      </c>
      <c r="K204" s="97"/>
      <c r="L204" s="72"/>
      <c r="M204" s="71"/>
      <c r="N204" s="216"/>
      <c r="O204" s="855"/>
      <c r="P204" s="216"/>
      <c r="Q204" s="71"/>
      <c r="R204" s="216"/>
      <c r="S204" s="855"/>
      <c r="T204" s="72"/>
      <c r="U204" s="71"/>
      <c r="V204" s="216"/>
      <c r="W204" s="855"/>
      <c r="X204" s="72"/>
      <c r="Y204" s="71"/>
      <c r="Z204" s="216"/>
      <c r="AA204" s="98"/>
      <c r="AB204" s="74"/>
      <c r="AC204" s="73">
        <f t="shared" si="743"/>
        <v>21</v>
      </c>
      <c r="AD204" s="73">
        <f t="shared" si="743"/>
        <v>21</v>
      </c>
      <c r="AE204" s="98"/>
      <c r="AF204" s="74"/>
      <c r="AG204" s="73">
        <f t="shared" si="743"/>
        <v>21</v>
      </c>
      <c r="AH204" s="73">
        <f t="shared" si="743"/>
        <v>21</v>
      </c>
      <c r="AI204" s="98"/>
      <c r="AJ204" s="74"/>
      <c r="AK204" s="73">
        <f t="shared" si="743"/>
        <v>21</v>
      </c>
      <c r="AL204" s="73">
        <f t="shared" si="743"/>
        <v>21</v>
      </c>
      <c r="AM204" s="98"/>
      <c r="AN204" s="74"/>
      <c r="AO204" s="75">
        <f>$E204/11*(11-($G204+$I204))</f>
        <v>15.912272727272729</v>
      </c>
      <c r="AQ204" s="425"/>
    </row>
    <row r="205" s="99" customFormat="1" ht="20.449999999999999" customHeight="1" outlineLevel="1">
      <c r="B205" s="136" t="s">
        <v>18</v>
      </c>
      <c r="C205" s="166">
        <f>'[3]План пр-ва по единицам обор'!$L$73</f>
        <v>612.18818181818187</v>
      </c>
      <c r="D205" s="103">
        <f>SUM(D201:D204)</f>
        <v>612.18818181818176</v>
      </c>
      <c r="E205" s="443" t="s">
        <v>19</v>
      </c>
      <c r="F205" s="261">
        <f>SUM(F201:F204)</f>
        <v>30</v>
      </c>
      <c r="G205" s="444">
        <f>SUM(G201:G204)</f>
        <v>9.3300000000000001</v>
      </c>
      <c r="H205" s="167">
        <f>SUM(H201:H204)</f>
        <v>0</v>
      </c>
      <c r="I205" s="168" t="s">
        <v>19</v>
      </c>
      <c r="J205" s="169">
        <f t="shared" ref="J205:N205" si="750">SUM(J201:J204)</f>
        <v>9.3300000000000001</v>
      </c>
      <c r="K205" s="984">
        <f t="shared" si="750"/>
        <v>0</v>
      </c>
      <c r="L205" s="985">
        <f t="shared" si="750"/>
        <v>0</v>
      </c>
      <c r="M205" s="985">
        <f t="shared" si="750"/>
        <v>0</v>
      </c>
      <c r="N205" s="985">
        <f t="shared" si="750"/>
        <v>0</v>
      </c>
      <c r="O205" s="985">
        <f>SUM(O201:O204)</f>
        <v>0</v>
      </c>
      <c r="P205" s="985">
        <f>SUM(P201:P204)</f>
        <v>0</v>
      </c>
      <c r="Q205" s="985">
        <f t="shared" ref="Q205:AO205" si="751">SUM(Q201:Q204)</f>
        <v>0</v>
      </c>
      <c r="R205" s="985">
        <f t="shared" si="751"/>
        <v>0</v>
      </c>
      <c r="S205" s="985">
        <f t="shared" si="751"/>
        <v>0</v>
      </c>
      <c r="T205" s="985">
        <f t="shared" si="751"/>
        <v>0</v>
      </c>
      <c r="U205" s="985">
        <f t="shared" si="751"/>
        <v>0</v>
      </c>
      <c r="V205" s="986">
        <f t="shared" si="751"/>
        <v>0</v>
      </c>
      <c r="W205" s="986">
        <f t="shared" si="751"/>
        <v>0</v>
      </c>
      <c r="X205" s="986">
        <f t="shared" si="751"/>
        <v>0</v>
      </c>
      <c r="Y205" s="986">
        <f t="shared" si="751"/>
        <v>0</v>
      </c>
      <c r="Z205" s="986">
        <f t="shared" si="751"/>
        <v>0</v>
      </c>
      <c r="AA205" s="986">
        <f t="shared" si="751"/>
        <v>36.912272727272729</v>
      </c>
      <c r="AB205" s="987">
        <f t="shared" si="751"/>
        <v>42</v>
      </c>
      <c r="AC205" s="987">
        <f t="shared" si="751"/>
        <v>42</v>
      </c>
      <c r="AD205" s="988">
        <f t="shared" si="751"/>
        <v>42</v>
      </c>
      <c r="AE205" s="988">
        <f t="shared" si="751"/>
        <v>42</v>
      </c>
      <c r="AF205" s="988">
        <f t="shared" si="751"/>
        <v>42</v>
      </c>
      <c r="AG205" s="988">
        <f t="shared" si="751"/>
        <v>42</v>
      </c>
      <c r="AH205" s="988">
        <f t="shared" si="751"/>
        <v>34.36363636363636</v>
      </c>
      <c r="AI205" s="988">
        <f t="shared" si="751"/>
        <v>42</v>
      </c>
      <c r="AJ205" s="988">
        <f t="shared" si="751"/>
        <v>42</v>
      </c>
      <c r="AK205" s="988">
        <f t="shared" si="751"/>
        <v>42</v>
      </c>
      <c r="AL205" s="988">
        <f t="shared" si="751"/>
        <v>42</v>
      </c>
      <c r="AM205" s="988">
        <f t="shared" si="751"/>
        <v>42</v>
      </c>
      <c r="AN205" s="988">
        <f t="shared" si="751"/>
        <v>42</v>
      </c>
      <c r="AO205" s="989">
        <f t="shared" si="751"/>
        <v>36.912272727272729</v>
      </c>
    </row>
    <row r="208" ht="13.5">
      <c r="N208" s="396" t="s">
        <v>126</v>
      </c>
      <c r="U208" s="396" t="s">
        <v>127</v>
      </c>
      <c r="AB208" s="396" t="s">
        <v>126</v>
      </c>
      <c r="AI208" s="396" t="s">
        <v>127</v>
      </c>
    </row>
    <row r="209" s="123" customFormat="1" ht="30.600000000000001" customHeight="1" outlineLevel="1">
      <c r="A209" s="405" t="s">
        <v>128</v>
      </c>
      <c r="B209" s="406"/>
      <c r="C209" s="49" t="s">
        <v>11</v>
      </c>
      <c r="D209" s="50" t="s">
        <v>12</v>
      </c>
      <c r="E209" s="978" t="s">
        <v>13</v>
      </c>
      <c r="F209" s="408" t="s">
        <v>14</v>
      </c>
      <c r="G209" s="211" t="s">
        <v>15</v>
      </c>
      <c r="H209" s="212" t="s">
        <v>16</v>
      </c>
      <c r="I209" s="212" t="s">
        <v>17</v>
      </c>
      <c r="J209" s="213" t="s">
        <v>18</v>
      </c>
      <c r="K209" s="56">
        <v>44562</v>
      </c>
      <c r="L209" s="56">
        <v>44563</v>
      </c>
      <c r="M209" s="56">
        <v>44564</v>
      </c>
      <c r="N209" s="56">
        <v>44565</v>
      </c>
      <c r="O209" s="56">
        <v>44566</v>
      </c>
      <c r="P209" s="56">
        <v>44567</v>
      </c>
      <c r="Q209" s="56">
        <v>44568</v>
      </c>
      <c r="R209" s="56">
        <v>44569</v>
      </c>
      <c r="S209" s="56">
        <v>44570</v>
      </c>
      <c r="T209" s="57">
        <v>44571</v>
      </c>
      <c r="U209" s="56">
        <v>44572</v>
      </c>
      <c r="V209" s="56">
        <v>44573</v>
      </c>
      <c r="W209" s="56">
        <v>44574</v>
      </c>
      <c r="X209" s="56">
        <v>44575</v>
      </c>
      <c r="Y209" s="56">
        <v>44576</v>
      </c>
      <c r="Z209" s="56">
        <v>44577</v>
      </c>
      <c r="AA209" s="58">
        <v>44578</v>
      </c>
      <c r="AB209" s="56">
        <v>44579</v>
      </c>
      <c r="AC209" s="56">
        <v>44580</v>
      </c>
      <c r="AD209" s="56">
        <v>44581</v>
      </c>
      <c r="AE209" s="56">
        <v>44582</v>
      </c>
      <c r="AF209" s="56">
        <v>44583</v>
      </c>
      <c r="AG209" s="56">
        <v>44584</v>
      </c>
      <c r="AH209" s="59">
        <v>44585</v>
      </c>
      <c r="AI209" s="56">
        <v>44586</v>
      </c>
      <c r="AJ209" s="56">
        <v>44587</v>
      </c>
      <c r="AK209" s="56">
        <v>44588</v>
      </c>
      <c r="AL209" s="56">
        <v>44589</v>
      </c>
      <c r="AM209" s="56">
        <v>44590</v>
      </c>
      <c r="AN209" s="56">
        <v>44591</v>
      </c>
      <c r="AO209" s="754">
        <v>44561</v>
      </c>
    </row>
    <row r="210" outlineLevel="2">
      <c r="A210" s="979" t="s">
        <v>130</v>
      </c>
      <c r="B210" s="63" t="s">
        <v>0</v>
      </c>
      <c r="C210" s="65">
        <f t="shared" ref="C210:C213" si="752">$C$92/$F$92*F210</f>
        <v>287.22595390524964</v>
      </c>
      <c r="D210" s="990">
        <f t="shared" ref="D210:D213" si="753">SUM(K210:AO210)</f>
        <v>286.36363636363637</v>
      </c>
      <c r="E210" s="843">
        <f>'[6]План пр-ва по единицам обор'!$E$74</f>
        <v>21</v>
      </c>
      <c r="F210" s="25">
        <f t="shared" ref="F210:F213" si="754">COUNTA(K210:AO210)</f>
        <v>14</v>
      </c>
      <c r="G210" s="980">
        <v>4</v>
      </c>
      <c r="H210" s="419"/>
      <c r="I210" s="420"/>
      <c r="J210" s="727">
        <f t="shared" ref="J210:J213" si="755">SUM(G210:I210)</f>
        <v>4</v>
      </c>
      <c r="K210" s="762"/>
      <c r="L210" s="629"/>
      <c r="M210" s="629"/>
      <c r="N210" s="73"/>
      <c r="O210" s="74">
        <f>$E210/11*(11-($H210+$I210))</f>
        <v>21</v>
      </c>
      <c r="P210" s="74">
        <f t="shared" ref="P210:Q211" si="756">$E210/11*(11-($H210+$I210))</f>
        <v>21</v>
      </c>
      <c r="Q210" s="73"/>
      <c r="R210" s="73"/>
      <c r="S210" s="74">
        <f t="shared" ref="S210:U213" si="757">$E210/11*(11-($H210+$I210))</f>
        <v>21</v>
      </c>
      <c r="T210" s="74">
        <f t="shared" si="757"/>
        <v>21</v>
      </c>
      <c r="U210" s="73"/>
      <c r="V210" s="73"/>
      <c r="W210" s="74">
        <f t="shared" ref="W210:Y211" si="758">$E210/11*(11-($H210+$I210))</f>
        <v>21</v>
      </c>
      <c r="X210" s="74">
        <f t="shared" si="758"/>
        <v>21</v>
      </c>
      <c r="Y210" s="73"/>
      <c r="Z210" s="73"/>
      <c r="AA210" s="75">
        <f>$E210/11*(11-($G210+$I210))</f>
        <v>13.363636363636363</v>
      </c>
      <c r="AB210" s="74">
        <f t="shared" ref="AB210:AL213" si="759">$E210/11*(11-($H210+$I210))</f>
        <v>21</v>
      </c>
      <c r="AC210" s="73"/>
      <c r="AD210" s="73"/>
      <c r="AE210" s="74">
        <f t="shared" ref="AE210:AG211" si="760">$E210/11*(11-($H210+$I210))</f>
        <v>21</v>
      </c>
      <c r="AF210" s="74">
        <f t="shared" si="760"/>
        <v>21</v>
      </c>
      <c r="AG210" s="73"/>
      <c r="AH210" s="73"/>
      <c r="AI210" s="74">
        <f t="shared" ref="AI210:AK212" si="761">$E210/11*(11-($H210+$I210))</f>
        <v>21</v>
      </c>
      <c r="AJ210" s="74">
        <f t="shared" si="761"/>
        <v>21</v>
      </c>
      <c r="AK210" s="73"/>
      <c r="AL210" s="73"/>
      <c r="AM210" s="74">
        <f t="shared" ref="AM210:AO211" si="762">$E210/11*(11-($H210+$I210))</f>
        <v>21</v>
      </c>
      <c r="AN210" s="74">
        <f t="shared" si="762"/>
        <v>21</v>
      </c>
      <c r="AO210" s="73"/>
      <c r="AQ210" s="425"/>
    </row>
    <row r="211" outlineLevel="2">
      <c r="A211" s="981"/>
      <c r="B211" s="77" t="s">
        <v>1</v>
      </c>
      <c r="C211" s="79">
        <f t="shared" si="752"/>
        <v>287.22595390524964</v>
      </c>
      <c r="D211" s="64">
        <f t="shared" si="753"/>
        <v>286.36363636363637</v>
      </c>
      <c r="E211" s="847">
        <f t="shared" ref="E211:E213" si="763">E210</f>
        <v>21</v>
      </c>
      <c r="F211" s="25">
        <f t="shared" si="754"/>
        <v>14</v>
      </c>
      <c r="G211" s="980">
        <v>4</v>
      </c>
      <c r="H211" s="428"/>
      <c r="I211" s="429"/>
      <c r="J211" s="732">
        <f t="shared" si="755"/>
        <v>4</v>
      </c>
      <c r="K211" s="762"/>
      <c r="L211" s="629"/>
      <c r="M211" s="629"/>
      <c r="N211" s="84"/>
      <c r="O211" s="73"/>
      <c r="P211" s="74">
        <f t="shared" si="756"/>
        <v>21</v>
      </c>
      <c r="Q211" s="74">
        <f t="shared" si="756"/>
        <v>21</v>
      </c>
      <c r="R211" s="84"/>
      <c r="S211" s="73"/>
      <c r="T211" s="75">
        <f>$E211/11*(11-($G211+$I211))</f>
        <v>13.363636363636363</v>
      </c>
      <c r="U211" s="74">
        <f t="shared" si="757"/>
        <v>21</v>
      </c>
      <c r="V211" s="84"/>
      <c r="W211" s="73"/>
      <c r="X211" s="74">
        <f t="shared" si="758"/>
        <v>21</v>
      </c>
      <c r="Y211" s="74">
        <f t="shared" si="758"/>
        <v>21</v>
      </c>
      <c r="Z211" s="84"/>
      <c r="AA211" s="73"/>
      <c r="AB211" s="74">
        <f t="shared" si="759"/>
        <v>21</v>
      </c>
      <c r="AC211" s="74">
        <f t="shared" si="759"/>
        <v>21</v>
      </c>
      <c r="AD211" s="84"/>
      <c r="AE211" s="73"/>
      <c r="AF211" s="74">
        <f t="shared" si="760"/>
        <v>21</v>
      </c>
      <c r="AG211" s="74">
        <f t="shared" si="760"/>
        <v>21</v>
      </c>
      <c r="AH211" s="84"/>
      <c r="AI211" s="73"/>
      <c r="AJ211" s="74">
        <f t="shared" si="761"/>
        <v>21</v>
      </c>
      <c r="AK211" s="74">
        <f t="shared" si="761"/>
        <v>21</v>
      </c>
      <c r="AL211" s="84"/>
      <c r="AM211" s="73"/>
      <c r="AN211" s="74">
        <f t="shared" si="762"/>
        <v>21</v>
      </c>
      <c r="AO211" s="74">
        <f t="shared" si="762"/>
        <v>21</v>
      </c>
      <c r="AQ211" s="425"/>
    </row>
    <row r="212" outlineLevel="2">
      <c r="A212" s="981"/>
      <c r="B212" s="85" t="s">
        <v>2</v>
      </c>
      <c r="C212" s="197">
        <f t="shared" si="752"/>
        <v>287.22595390524964</v>
      </c>
      <c r="D212" s="86">
        <f t="shared" si="753"/>
        <v>288.91227272727269</v>
      </c>
      <c r="E212" s="847">
        <f t="shared" si="763"/>
        <v>21</v>
      </c>
      <c r="F212" s="25">
        <f t="shared" si="754"/>
        <v>14</v>
      </c>
      <c r="G212" s="980">
        <v>2.665</v>
      </c>
      <c r="H212" s="428"/>
      <c r="I212" s="429"/>
      <c r="J212" s="732">
        <f t="shared" si="755"/>
        <v>2.665</v>
      </c>
      <c r="K212" s="762"/>
      <c r="L212" s="629"/>
      <c r="M212" s="629"/>
      <c r="N212" s="74">
        <f t="shared" ref="N212:Z213" si="764">$E212/11*(11-($H212+$I212))</f>
        <v>21</v>
      </c>
      <c r="O212" s="74">
        <f>$E212/11*(11-($H212+$I212))</f>
        <v>21</v>
      </c>
      <c r="P212" s="74"/>
      <c r="Q212" s="73"/>
      <c r="R212" s="74">
        <f t="shared" ref="R212:S212" si="765">$E212/11*(11-($H212+$I212))</f>
        <v>21</v>
      </c>
      <c r="S212" s="74">
        <f t="shared" si="765"/>
        <v>21</v>
      </c>
      <c r="T212" s="74"/>
      <c r="U212" s="73"/>
      <c r="V212" s="74">
        <f t="shared" ref="V212:W212" si="766">$E212/11*(11-($H212+$I212))</f>
        <v>21</v>
      </c>
      <c r="W212" s="74">
        <f t="shared" si="766"/>
        <v>21</v>
      </c>
      <c r="X212" s="74"/>
      <c r="Y212" s="73"/>
      <c r="Z212" s="74">
        <f t="shared" ref="Z212:AA212" si="767">$E212/11*(11-($H212+$I212))</f>
        <v>21</v>
      </c>
      <c r="AA212" s="74">
        <f t="shared" si="767"/>
        <v>21</v>
      </c>
      <c r="AB212" s="74"/>
      <c r="AC212" s="73"/>
      <c r="AD212" s="74">
        <f t="shared" ref="AD212:AE212" si="768">$E212/11*(11-($H212+$I212))</f>
        <v>21</v>
      </c>
      <c r="AE212" s="74">
        <f t="shared" si="768"/>
        <v>21</v>
      </c>
      <c r="AF212" s="74"/>
      <c r="AG212" s="73"/>
      <c r="AH212" s="75">
        <f>$E212/11*(11-($G212+$I212))</f>
        <v>15.912272727272729</v>
      </c>
      <c r="AI212" s="74">
        <f t="shared" si="761"/>
        <v>21</v>
      </c>
      <c r="AJ212" s="74"/>
      <c r="AK212" s="73"/>
      <c r="AL212" s="74">
        <f t="shared" ref="AL212:AM212" si="769">$E212/11*(11-($H212+$I212))</f>
        <v>21</v>
      </c>
      <c r="AM212" s="74">
        <f t="shared" si="769"/>
        <v>21</v>
      </c>
      <c r="AN212" s="74"/>
      <c r="AO212" s="75"/>
      <c r="AQ212" s="425"/>
    </row>
    <row r="213" ht="13.5" outlineLevel="2">
      <c r="A213" s="983"/>
      <c r="B213" s="90" t="s">
        <v>3</v>
      </c>
      <c r="C213" s="200">
        <f t="shared" si="752"/>
        <v>287.22595390524964</v>
      </c>
      <c r="D213" s="133">
        <f t="shared" si="753"/>
        <v>288.91227272727275</v>
      </c>
      <c r="E213" s="847">
        <f t="shared" si="763"/>
        <v>21</v>
      </c>
      <c r="F213" s="25">
        <f t="shared" si="754"/>
        <v>14</v>
      </c>
      <c r="G213" s="980">
        <v>2.665</v>
      </c>
      <c r="H213" s="436"/>
      <c r="I213" s="437"/>
      <c r="J213" s="738">
        <f t="shared" si="755"/>
        <v>2.665</v>
      </c>
      <c r="K213" s="808"/>
      <c r="L213" s="188"/>
      <c r="M213" s="188"/>
      <c r="N213" s="73">
        <f t="shared" si="764"/>
        <v>21</v>
      </c>
      <c r="O213" s="98"/>
      <c r="P213" s="74"/>
      <c r="Q213" s="73">
        <f t="shared" si="764"/>
        <v>21</v>
      </c>
      <c r="R213" s="73">
        <f t="shared" si="764"/>
        <v>21</v>
      </c>
      <c r="S213" s="98"/>
      <c r="T213" s="74"/>
      <c r="U213" s="74">
        <f t="shared" si="757"/>
        <v>21</v>
      </c>
      <c r="V213" s="73">
        <f t="shared" si="764"/>
        <v>21</v>
      </c>
      <c r="W213" s="98"/>
      <c r="X213" s="74"/>
      <c r="Y213" s="73">
        <f t="shared" si="764"/>
        <v>21</v>
      </c>
      <c r="Z213" s="73">
        <f t="shared" si="764"/>
        <v>21</v>
      </c>
      <c r="AA213" s="98"/>
      <c r="AB213" s="74"/>
      <c r="AC213" s="73">
        <f t="shared" si="759"/>
        <v>21</v>
      </c>
      <c r="AD213" s="73">
        <f t="shared" si="759"/>
        <v>21</v>
      </c>
      <c r="AE213" s="98"/>
      <c r="AF213" s="74"/>
      <c r="AG213" s="73">
        <f t="shared" si="759"/>
        <v>21</v>
      </c>
      <c r="AH213" s="73">
        <f t="shared" si="759"/>
        <v>21</v>
      </c>
      <c r="AI213" s="98"/>
      <c r="AJ213" s="74"/>
      <c r="AK213" s="73">
        <f t="shared" si="759"/>
        <v>21</v>
      </c>
      <c r="AL213" s="73">
        <f t="shared" si="759"/>
        <v>21</v>
      </c>
      <c r="AM213" s="98"/>
      <c r="AN213" s="74"/>
      <c r="AO213" s="75">
        <f>$E213/11*(11-($G213+$I213))</f>
        <v>15.912272727272729</v>
      </c>
      <c r="AQ213" s="425"/>
    </row>
    <row r="214" s="99" customFormat="1" ht="20.449999999999999" customHeight="1" outlineLevel="1">
      <c r="B214" s="136" t="s">
        <v>18</v>
      </c>
      <c r="C214" s="166">
        <f>'[3]План пр-ва по единицам обор'!$L$74</f>
        <v>1150.5518181818181</v>
      </c>
      <c r="D214" s="103">
        <f>SUM(D210:D213)</f>
        <v>1150.5518181818181</v>
      </c>
      <c r="E214" s="443" t="s">
        <v>19</v>
      </c>
      <c r="F214" s="261">
        <f>SUM(F210:F213)</f>
        <v>56</v>
      </c>
      <c r="G214" s="444">
        <f>SUM(G210:G213)</f>
        <v>13.329999999999998</v>
      </c>
      <c r="H214" s="167">
        <f>SUM(H210:H213)</f>
        <v>0</v>
      </c>
      <c r="I214" s="168" t="s">
        <v>19</v>
      </c>
      <c r="J214" s="169">
        <f t="shared" ref="J214:N214" si="770">SUM(J210:J213)</f>
        <v>13.329999999999998</v>
      </c>
      <c r="K214" s="984">
        <f t="shared" si="770"/>
        <v>0</v>
      </c>
      <c r="L214" s="985">
        <f t="shared" si="770"/>
        <v>0</v>
      </c>
      <c r="M214" s="985">
        <f t="shared" si="770"/>
        <v>0</v>
      </c>
      <c r="N214" s="985">
        <f t="shared" si="770"/>
        <v>42</v>
      </c>
      <c r="O214" s="985">
        <f>SUM(O210:O213)</f>
        <v>42</v>
      </c>
      <c r="P214" s="985">
        <f>SUM(P210:P213)</f>
        <v>42</v>
      </c>
      <c r="Q214" s="985">
        <f t="shared" ref="Q214:AO214" si="771">SUM(Q210:Q213)</f>
        <v>42</v>
      </c>
      <c r="R214" s="985">
        <f t="shared" si="771"/>
        <v>42</v>
      </c>
      <c r="S214" s="985">
        <f t="shared" si="771"/>
        <v>42</v>
      </c>
      <c r="T214" s="985">
        <f t="shared" si="771"/>
        <v>34.36363636363636</v>
      </c>
      <c r="U214" s="985">
        <f t="shared" si="771"/>
        <v>42</v>
      </c>
      <c r="V214" s="985">
        <f t="shared" si="771"/>
        <v>42</v>
      </c>
      <c r="W214" s="985">
        <f t="shared" si="771"/>
        <v>42</v>
      </c>
      <c r="X214" s="985">
        <f t="shared" si="771"/>
        <v>42</v>
      </c>
      <c r="Y214" s="985">
        <f t="shared" si="771"/>
        <v>42</v>
      </c>
      <c r="Z214" s="985">
        <f t="shared" si="771"/>
        <v>42</v>
      </c>
      <c r="AA214" s="985">
        <f t="shared" si="771"/>
        <v>34.36363636363636</v>
      </c>
      <c r="AB214" s="991">
        <f t="shared" si="771"/>
        <v>42</v>
      </c>
      <c r="AC214" s="992">
        <f t="shared" si="771"/>
        <v>42</v>
      </c>
      <c r="AD214" s="993">
        <f t="shared" si="771"/>
        <v>42</v>
      </c>
      <c r="AE214" s="993">
        <f t="shared" si="771"/>
        <v>42</v>
      </c>
      <c r="AF214" s="993">
        <f t="shared" si="771"/>
        <v>42</v>
      </c>
      <c r="AG214" s="993">
        <f t="shared" si="771"/>
        <v>42</v>
      </c>
      <c r="AH214" s="993">
        <f t="shared" si="771"/>
        <v>36.912272727272729</v>
      </c>
      <c r="AI214" s="993">
        <f t="shared" si="771"/>
        <v>42</v>
      </c>
      <c r="AJ214" s="993">
        <f t="shared" si="771"/>
        <v>42</v>
      </c>
      <c r="AK214" s="993">
        <f t="shared" si="771"/>
        <v>42</v>
      </c>
      <c r="AL214" s="993">
        <f t="shared" si="771"/>
        <v>42</v>
      </c>
      <c r="AM214" s="993">
        <f t="shared" si="771"/>
        <v>42</v>
      </c>
      <c r="AN214" s="993">
        <f t="shared" si="771"/>
        <v>42</v>
      </c>
      <c r="AO214" s="994">
        <f t="shared" si="771"/>
        <v>36.912272727272729</v>
      </c>
    </row>
    <row r="216" ht="13.5">
      <c r="N216" s="396" t="s">
        <v>126</v>
      </c>
      <c r="U216" s="396" t="s">
        <v>127</v>
      </c>
      <c r="AB216" s="396" t="s">
        <v>126</v>
      </c>
      <c r="AI216" s="396" t="s">
        <v>127</v>
      </c>
    </row>
    <row r="217" s="123" customFormat="1" ht="30.600000000000001" customHeight="1" outlineLevel="1">
      <c r="A217" s="405" t="s">
        <v>131</v>
      </c>
      <c r="B217" s="406"/>
      <c r="C217" s="49" t="s">
        <v>11</v>
      </c>
      <c r="D217" s="50" t="s">
        <v>12</v>
      </c>
      <c r="E217" s="978" t="s">
        <v>13</v>
      </c>
      <c r="F217" s="408" t="s">
        <v>14</v>
      </c>
      <c r="G217" s="211" t="s">
        <v>15</v>
      </c>
      <c r="H217" s="212" t="s">
        <v>16</v>
      </c>
      <c r="I217" s="212" t="s">
        <v>17</v>
      </c>
      <c r="J217" s="213" t="s">
        <v>18</v>
      </c>
      <c r="K217" s="56">
        <v>44562</v>
      </c>
      <c r="L217" s="56">
        <v>44563</v>
      </c>
      <c r="M217" s="56">
        <v>44564</v>
      </c>
      <c r="N217" s="56">
        <v>44565</v>
      </c>
      <c r="O217" s="56">
        <v>44566</v>
      </c>
      <c r="P217" s="56">
        <v>44567</v>
      </c>
      <c r="Q217" s="56">
        <v>44568</v>
      </c>
      <c r="R217" s="56">
        <v>44569</v>
      </c>
      <c r="S217" s="56">
        <v>44570</v>
      </c>
      <c r="T217" s="57">
        <v>44571</v>
      </c>
      <c r="U217" s="56">
        <v>44572</v>
      </c>
      <c r="V217" s="56">
        <v>44573</v>
      </c>
      <c r="W217" s="56">
        <v>44574</v>
      </c>
      <c r="X217" s="56">
        <v>44575</v>
      </c>
      <c r="Y217" s="56">
        <v>44576</v>
      </c>
      <c r="Z217" s="56">
        <v>44577</v>
      </c>
      <c r="AA217" s="58">
        <v>44578</v>
      </c>
      <c r="AB217" s="56">
        <v>44579</v>
      </c>
      <c r="AC217" s="56">
        <v>44580</v>
      </c>
      <c r="AD217" s="56">
        <v>44581</v>
      </c>
      <c r="AE217" s="56">
        <v>44582</v>
      </c>
      <c r="AF217" s="56">
        <v>44583</v>
      </c>
      <c r="AG217" s="56">
        <v>44584</v>
      </c>
      <c r="AH217" s="59">
        <v>44585</v>
      </c>
      <c r="AI217" s="56">
        <v>44586</v>
      </c>
      <c r="AJ217" s="56">
        <v>44587</v>
      </c>
      <c r="AK217" s="56">
        <v>44588</v>
      </c>
      <c r="AL217" s="56">
        <v>44589</v>
      </c>
      <c r="AM217" s="56">
        <v>44590</v>
      </c>
      <c r="AN217" s="56">
        <v>44591</v>
      </c>
      <c r="AO217" s="754">
        <v>44561</v>
      </c>
    </row>
    <row r="218" outlineLevel="2">
      <c r="A218" s="979" t="s">
        <v>132</v>
      </c>
      <c r="B218" s="63" t="s">
        <v>0</v>
      </c>
      <c r="C218" s="65">
        <f t="shared" ref="C218:C221" si="772">$C$92/$F$92*F218</f>
        <v>287.22595390524964</v>
      </c>
      <c r="D218" s="127">
        <f t="shared" ref="D218:D221" si="773">SUM(K218:AO218)</f>
        <v>286.36363636363637</v>
      </c>
      <c r="E218" s="843">
        <f>'[6]План пр-ва по единицам обор'!$E$75</f>
        <v>21</v>
      </c>
      <c r="F218" s="25">
        <f t="shared" ref="F218:F221" si="774">COUNTA(K218:AO218)</f>
        <v>14</v>
      </c>
      <c r="G218" s="980">
        <v>4</v>
      </c>
      <c r="H218" s="419"/>
      <c r="I218" s="420"/>
      <c r="J218" s="727">
        <f t="shared" ref="J218:J221" si="775">SUM(G218:I218)</f>
        <v>4</v>
      </c>
      <c r="K218" s="762"/>
      <c r="L218" s="629"/>
      <c r="M218" s="629"/>
      <c r="N218" s="73"/>
      <c r="O218" s="74">
        <f>$E218/11*(11-($H218+$I218))</f>
        <v>21</v>
      </c>
      <c r="P218" s="74">
        <f t="shared" ref="P218:Q219" si="776">$E218/11*(11-($H218+$I218))</f>
        <v>21</v>
      </c>
      <c r="Q218" s="73"/>
      <c r="R218" s="73"/>
      <c r="S218" s="74">
        <f t="shared" ref="S218:U221" si="777">$E218/11*(11-($H218+$I218))</f>
        <v>21</v>
      </c>
      <c r="T218" s="74">
        <f t="shared" si="777"/>
        <v>21</v>
      </c>
      <c r="U218" s="73"/>
      <c r="V218" s="73"/>
      <c r="W218" s="74">
        <f t="shared" ref="W218:Y219" si="778">$E218/11*(11-($H218+$I218))</f>
        <v>21</v>
      </c>
      <c r="X218" s="74">
        <f t="shared" si="778"/>
        <v>21</v>
      </c>
      <c r="Y218" s="73"/>
      <c r="Z218" s="73"/>
      <c r="AA218" s="75">
        <f>$E218/11*(11-($G218+$I218))</f>
        <v>13.363636363636363</v>
      </c>
      <c r="AB218" s="74">
        <f t="shared" ref="AB218:AL221" si="779">$E218/11*(11-($H218+$I218))</f>
        <v>21</v>
      </c>
      <c r="AC218" s="73"/>
      <c r="AD218" s="73"/>
      <c r="AE218" s="74">
        <f t="shared" ref="AE218:AG219" si="780">$E218/11*(11-($H218+$I218))</f>
        <v>21</v>
      </c>
      <c r="AF218" s="74">
        <f t="shared" si="780"/>
        <v>21</v>
      </c>
      <c r="AG218" s="73"/>
      <c r="AH218" s="73"/>
      <c r="AI218" s="74">
        <f t="shared" ref="AI218:AK220" si="781">$E218/11*(11-($H218+$I218))</f>
        <v>21</v>
      </c>
      <c r="AJ218" s="74">
        <f t="shared" si="781"/>
        <v>21</v>
      </c>
      <c r="AK218" s="73"/>
      <c r="AL218" s="73"/>
      <c r="AM218" s="74">
        <f t="shared" ref="AM218:AO219" si="782">$E218/11*(11-($H218+$I218))</f>
        <v>21</v>
      </c>
      <c r="AN218" s="74">
        <f t="shared" si="782"/>
        <v>21</v>
      </c>
      <c r="AO218" s="73"/>
      <c r="AQ218" s="425"/>
    </row>
    <row r="219" outlineLevel="2">
      <c r="A219" s="981"/>
      <c r="B219" s="77" t="s">
        <v>1</v>
      </c>
      <c r="C219" s="79">
        <f t="shared" si="772"/>
        <v>287.22595390524964</v>
      </c>
      <c r="D219" s="982">
        <f t="shared" si="773"/>
        <v>286.36363636363637</v>
      </c>
      <c r="E219" s="847">
        <f t="shared" ref="E219:E229" si="783">E218</f>
        <v>21</v>
      </c>
      <c r="F219" s="25">
        <f t="shared" si="774"/>
        <v>14</v>
      </c>
      <c r="G219" s="980">
        <v>4</v>
      </c>
      <c r="H219" s="428"/>
      <c r="I219" s="429"/>
      <c r="J219" s="732">
        <f t="shared" si="775"/>
        <v>4</v>
      </c>
      <c r="K219" s="762"/>
      <c r="L219" s="629"/>
      <c r="M219" s="629"/>
      <c r="N219" s="84"/>
      <c r="O219" s="73"/>
      <c r="P219" s="74">
        <f t="shared" si="776"/>
        <v>21</v>
      </c>
      <c r="Q219" s="74">
        <f t="shared" si="776"/>
        <v>21</v>
      </c>
      <c r="R219" s="84"/>
      <c r="S219" s="73"/>
      <c r="T219" s="75">
        <f>$E219/11*(11-($G219+$I219))</f>
        <v>13.363636363636363</v>
      </c>
      <c r="U219" s="74">
        <f t="shared" si="777"/>
        <v>21</v>
      </c>
      <c r="V219" s="84"/>
      <c r="W219" s="73"/>
      <c r="X219" s="74">
        <f t="shared" si="778"/>
        <v>21</v>
      </c>
      <c r="Y219" s="74">
        <f t="shared" si="778"/>
        <v>21</v>
      </c>
      <c r="Z219" s="84"/>
      <c r="AA219" s="73"/>
      <c r="AB219" s="74">
        <f t="shared" si="779"/>
        <v>21</v>
      </c>
      <c r="AC219" s="74">
        <f t="shared" si="779"/>
        <v>21</v>
      </c>
      <c r="AD219" s="84"/>
      <c r="AE219" s="73"/>
      <c r="AF219" s="74">
        <f t="shared" si="780"/>
        <v>21</v>
      </c>
      <c r="AG219" s="74">
        <f t="shared" si="780"/>
        <v>21</v>
      </c>
      <c r="AH219" s="84"/>
      <c r="AI219" s="73"/>
      <c r="AJ219" s="74">
        <f t="shared" si="781"/>
        <v>21</v>
      </c>
      <c r="AK219" s="74">
        <f t="shared" si="781"/>
        <v>21</v>
      </c>
      <c r="AL219" s="84"/>
      <c r="AM219" s="73"/>
      <c r="AN219" s="74">
        <f t="shared" si="782"/>
        <v>21</v>
      </c>
      <c r="AO219" s="74">
        <f t="shared" si="782"/>
        <v>21</v>
      </c>
      <c r="AQ219" s="425"/>
    </row>
    <row r="220" outlineLevel="2">
      <c r="A220" s="981"/>
      <c r="B220" s="85" t="s">
        <v>2</v>
      </c>
      <c r="C220" s="197">
        <f t="shared" si="772"/>
        <v>287.22595390524964</v>
      </c>
      <c r="D220" s="86">
        <f t="shared" si="773"/>
        <v>288.91227272727269</v>
      </c>
      <c r="E220" s="847">
        <f t="shared" si="783"/>
        <v>21</v>
      </c>
      <c r="F220" s="25">
        <f t="shared" si="774"/>
        <v>14</v>
      </c>
      <c r="G220" s="980">
        <v>2.665</v>
      </c>
      <c r="H220" s="428"/>
      <c r="I220" s="429"/>
      <c r="J220" s="732">
        <f t="shared" si="775"/>
        <v>2.665</v>
      </c>
      <c r="K220" s="762"/>
      <c r="L220" s="629"/>
      <c r="M220" s="629"/>
      <c r="N220" s="74">
        <f t="shared" ref="N220:Z221" si="784">$E220/11*(11-($H220+$I220))</f>
        <v>21</v>
      </c>
      <c r="O220" s="74">
        <f>$E220/11*(11-($H220+$I220))</f>
        <v>21</v>
      </c>
      <c r="P220" s="74"/>
      <c r="Q220" s="73"/>
      <c r="R220" s="74">
        <f t="shared" ref="R220:S220" si="785">$E220/11*(11-($H220+$I220))</f>
        <v>21</v>
      </c>
      <c r="S220" s="74">
        <f t="shared" si="785"/>
        <v>21</v>
      </c>
      <c r="T220" s="74"/>
      <c r="U220" s="73"/>
      <c r="V220" s="74">
        <f t="shared" ref="V220:W220" si="786">$E220/11*(11-($H220+$I220))</f>
        <v>21</v>
      </c>
      <c r="W220" s="74">
        <f t="shared" si="786"/>
        <v>21</v>
      </c>
      <c r="X220" s="74"/>
      <c r="Y220" s="73"/>
      <c r="Z220" s="74">
        <f t="shared" ref="Z220:AA220" si="787">$E220/11*(11-($H220+$I220))</f>
        <v>21</v>
      </c>
      <c r="AA220" s="74">
        <f t="shared" si="787"/>
        <v>21</v>
      </c>
      <c r="AB220" s="74"/>
      <c r="AC220" s="73"/>
      <c r="AD220" s="74">
        <f t="shared" ref="AD220:AE220" si="788">$E220/11*(11-($H220+$I220))</f>
        <v>21</v>
      </c>
      <c r="AE220" s="74">
        <f t="shared" si="788"/>
        <v>21</v>
      </c>
      <c r="AF220" s="74"/>
      <c r="AG220" s="73"/>
      <c r="AH220" s="75">
        <f>$E220/11*(11-($G220+$I220))</f>
        <v>15.912272727272729</v>
      </c>
      <c r="AI220" s="74">
        <f t="shared" si="781"/>
        <v>21</v>
      </c>
      <c r="AJ220" s="74"/>
      <c r="AK220" s="73"/>
      <c r="AL220" s="74">
        <f t="shared" ref="AL220:AM220" si="789">$E220/11*(11-($H220+$I220))</f>
        <v>21</v>
      </c>
      <c r="AM220" s="74">
        <f t="shared" si="789"/>
        <v>21</v>
      </c>
      <c r="AN220" s="74"/>
      <c r="AO220" s="75"/>
      <c r="AQ220" s="425"/>
    </row>
    <row r="221" ht="13.5" outlineLevel="2">
      <c r="A221" s="983"/>
      <c r="B221" s="90" t="s">
        <v>3</v>
      </c>
      <c r="C221" s="200">
        <f t="shared" si="772"/>
        <v>287.22595390524964</v>
      </c>
      <c r="D221" s="133">
        <f t="shared" si="773"/>
        <v>288.91227272727275</v>
      </c>
      <c r="E221" s="847">
        <f t="shared" si="783"/>
        <v>21</v>
      </c>
      <c r="F221" s="25">
        <f t="shared" si="774"/>
        <v>14</v>
      </c>
      <c r="G221" s="980">
        <v>2.665</v>
      </c>
      <c r="H221" s="436"/>
      <c r="I221" s="437"/>
      <c r="J221" s="738">
        <f t="shared" si="775"/>
        <v>2.665</v>
      </c>
      <c r="K221" s="808"/>
      <c r="L221" s="188"/>
      <c r="M221" s="188"/>
      <c r="N221" s="73">
        <f t="shared" si="784"/>
        <v>21</v>
      </c>
      <c r="O221" s="98"/>
      <c r="P221" s="74"/>
      <c r="Q221" s="73">
        <f t="shared" si="784"/>
        <v>21</v>
      </c>
      <c r="R221" s="73">
        <f t="shared" si="784"/>
        <v>21</v>
      </c>
      <c r="S221" s="98"/>
      <c r="T221" s="74"/>
      <c r="U221" s="74">
        <f t="shared" si="777"/>
        <v>21</v>
      </c>
      <c r="V221" s="73">
        <f t="shared" si="784"/>
        <v>21</v>
      </c>
      <c r="W221" s="98"/>
      <c r="X221" s="74"/>
      <c r="Y221" s="73">
        <f t="shared" si="784"/>
        <v>21</v>
      </c>
      <c r="Z221" s="73">
        <f t="shared" si="784"/>
        <v>21</v>
      </c>
      <c r="AA221" s="98"/>
      <c r="AB221" s="74"/>
      <c r="AC221" s="73">
        <f t="shared" si="779"/>
        <v>21</v>
      </c>
      <c r="AD221" s="73">
        <f t="shared" si="779"/>
        <v>21</v>
      </c>
      <c r="AE221" s="98"/>
      <c r="AF221" s="74"/>
      <c r="AG221" s="73">
        <f t="shared" si="779"/>
        <v>21</v>
      </c>
      <c r="AH221" s="73">
        <f t="shared" si="779"/>
        <v>21</v>
      </c>
      <c r="AI221" s="98"/>
      <c r="AJ221" s="74"/>
      <c r="AK221" s="73">
        <f t="shared" si="779"/>
        <v>21</v>
      </c>
      <c r="AL221" s="73">
        <f t="shared" si="779"/>
        <v>21</v>
      </c>
      <c r="AM221" s="98"/>
      <c r="AN221" s="74"/>
      <c r="AO221" s="75">
        <f>$E221/11*(11-($G221+$I221))</f>
        <v>15.912272727272729</v>
      </c>
      <c r="AQ221" s="425"/>
    </row>
    <row r="222" s="99" customFormat="1" ht="20.449999999999999" customHeight="1" outlineLevel="1">
      <c r="B222" s="136" t="s">
        <v>18</v>
      </c>
      <c r="C222" s="166">
        <f>'[3]План пр-ва по единицам обор'!$L$75</f>
        <v>1150.5518181818181</v>
      </c>
      <c r="D222" s="103">
        <f>SUM(D218:D221)</f>
        <v>1150.5518181818181</v>
      </c>
      <c r="E222" s="443" t="s">
        <v>19</v>
      </c>
      <c r="F222" s="261">
        <f>SUM(F218:F221)</f>
        <v>56</v>
      </c>
      <c r="G222" s="444">
        <f>SUM(G218:G221)</f>
        <v>13.329999999999998</v>
      </c>
      <c r="H222" s="167">
        <f>SUM(H218:H221)</f>
        <v>0</v>
      </c>
      <c r="I222" s="168" t="s">
        <v>19</v>
      </c>
      <c r="J222" s="169">
        <f t="shared" ref="J222:N222" si="790">SUM(J218:J221)</f>
        <v>13.329999999999998</v>
      </c>
      <c r="K222" s="445">
        <f t="shared" si="790"/>
        <v>0</v>
      </c>
      <c r="L222" s="171">
        <f t="shared" si="790"/>
        <v>0</v>
      </c>
      <c r="M222" s="171">
        <f t="shared" si="790"/>
        <v>0</v>
      </c>
      <c r="N222" s="171">
        <f t="shared" si="790"/>
        <v>42</v>
      </c>
      <c r="O222" s="171">
        <f>SUM(O218:O221)</f>
        <v>42</v>
      </c>
      <c r="P222" s="171">
        <f>SUM(P218:P221)</f>
        <v>42</v>
      </c>
      <c r="Q222" s="171">
        <f t="shared" ref="Q222:AO222" si="791">SUM(Q218:Q221)</f>
        <v>42</v>
      </c>
      <c r="R222" s="171">
        <f t="shared" si="791"/>
        <v>42</v>
      </c>
      <c r="S222" s="171">
        <f t="shared" si="791"/>
        <v>42</v>
      </c>
      <c r="T222" s="171">
        <f t="shared" si="791"/>
        <v>34.36363636363636</v>
      </c>
      <c r="U222" s="171">
        <f t="shared" si="791"/>
        <v>42</v>
      </c>
      <c r="V222" s="171">
        <f t="shared" si="791"/>
        <v>42</v>
      </c>
      <c r="W222" s="171">
        <f t="shared" si="791"/>
        <v>42</v>
      </c>
      <c r="X222" s="171">
        <f t="shared" si="791"/>
        <v>42</v>
      </c>
      <c r="Y222" s="171">
        <f t="shared" si="791"/>
        <v>42</v>
      </c>
      <c r="Z222" s="171">
        <f t="shared" si="791"/>
        <v>42</v>
      </c>
      <c r="AA222" s="171">
        <f t="shared" si="791"/>
        <v>34.36363636363636</v>
      </c>
      <c r="AB222" s="172">
        <f t="shared" si="791"/>
        <v>42</v>
      </c>
      <c r="AC222" s="446">
        <f t="shared" si="791"/>
        <v>42</v>
      </c>
      <c r="AD222" s="447">
        <f t="shared" si="791"/>
        <v>42</v>
      </c>
      <c r="AE222" s="447">
        <f t="shared" si="791"/>
        <v>42</v>
      </c>
      <c r="AF222" s="447">
        <f t="shared" si="791"/>
        <v>42</v>
      </c>
      <c r="AG222" s="447">
        <f t="shared" si="791"/>
        <v>42</v>
      </c>
      <c r="AH222" s="447">
        <f t="shared" si="791"/>
        <v>36.912272727272729</v>
      </c>
      <c r="AI222" s="447">
        <f t="shared" si="791"/>
        <v>42</v>
      </c>
      <c r="AJ222" s="447">
        <f t="shared" si="791"/>
        <v>42</v>
      </c>
      <c r="AK222" s="447">
        <f t="shared" si="791"/>
        <v>42</v>
      </c>
      <c r="AL222" s="447">
        <f t="shared" si="791"/>
        <v>42</v>
      </c>
      <c r="AM222" s="447">
        <f t="shared" si="791"/>
        <v>42</v>
      </c>
      <c r="AN222" s="447">
        <f t="shared" si="791"/>
        <v>42</v>
      </c>
      <c r="AO222" s="448">
        <f t="shared" si="791"/>
        <v>36.912272727272729</v>
      </c>
    </row>
    <row r="223">
      <c r="C223" s="206"/>
      <c r="D223" s="206"/>
    </row>
    <row r="224" ht="13.5"/>
    <row r="225" s="123" customFormat="1" ht="30.600000000000001" customHeight="1" outlineLevel="1">
      <c r="A225" s="405" t="s">
        <v>131</v>
      </c>
      <c r="B225" s="406"/>
      <c r="C225" s="49" t="s">
        <v>11</v>
      </c>
      <c r="D225" s="50" t="s">
        <v>12</v>
      </c>
      <c r="E225" s="978" t="s">
        <v>13</v>
      </c>
      <c r="F225" s="408" t="s">
        <v>14</v>
      </c>
      <c r="G225" s="211" t="s">
        <v>15</v>
      </c>
      <c r="H225" s="212" t="s">
        <v>16</v>
      </c>
      <c r="I225" s="212" t="s">
        <v>17</v>
      </c>
      <c r="J225" s="213" t="s">
        <v>18</v>
      </c>
      <c r="K225" s="56">
        <v>44531</v>
      </c>
      <c r="L225" s="56">
        <v>44532</v>
      </c>
      <c r="M225" s="56">
        <v>44533</v>
      </c>
      <c r="N225" s="56">
        <v>44534</v>
      </c>
      <c r="O225" s="56">
        <v>44535</v>
      </c>
      <c r="P225" s="651">
        <v>44536</v>
      </c>
      <c r="Q225" s="56">
        <v>44537</v>
      </c>
      <c r="R225" s="56">
        <v>44538</v>
      </c>
      <c r="S225" s="56">
        <v>44539</v>
      </c>
      <c r="T225" s="56">
        <v>44540</v>
      </c>
      <c r="U225" s="56">
        <v>44541</v>
      </c>
      <c r="V225" s="56">
        <v>44542</v>
      </c>
      <c r="W225" s="57">
        <v>44543</v>
      </c>
      <c r="X225" s="56">
        <v>44544</v>
      </c>
      <c r="Y225" s="56">
        <v>44545</v>
      </c>
      <c r="Z225" s="56">
        <v>44546</v>
      </c>
      <c r="AA225" s="56">
        <v>44547</v>
      </c>
      <c r="AB225" s="56">
        <v>44548</v>
      </c>
      <c r="AC225" s="56">
        <v>44549</v>
      </c>
      <c r="AD225" s="995">
        <v>44550</v>
      </c>
      <c r="AE225" s="56">
        <v>44551</v>
      </c>
      <c r="AF225" s="56">
        <v>44552</v>
      </c>
      <c r="AG225" s="56">
        <v>44553</v>
      </c>
      <c r="AH225" s="56">
        <v>44554</v>
      </c>
      <c r="AI225" s="56">
        <v>44555</v>
      </c>
      <c r="AJ225" s="56">
        <v>44556</v>
      </c>
      <c r="AK225" s="59">
        <v>44557</v>
      </c>
      <c r="AL225" s="56">
        <v>44558</v>
      </c>
      <c r="AM225" s="56">
        <v>44559</v>
      </c>
      <c r="AN225" s="56">
        <v>44560</v>
      </c>
      <c r="AO225" s="56">
        <v>44561</v>
      </c>
    </row>
    <row r="226" hidden="1" outlineLevel="2">
      <c r="A226" s="979" t="s">
        <v>133</v>
      </c>
      <c r="B226" s="63" t="s">
        <v>0</v>
      </c>
      <c r="C226" s="65">
        <f t="shared" ref="C226:C229" si="792">$C$92/$F$92*F226</f>
        <v>0</v>
      </c>
      <c r="D226" s="320">
        <f t="shared" ref="D226:D229" si="793">SUM(K226:AO226)</f>
        <v>0</v>
      </c>
      <c r="E226" s="843"/>
      <c r="F226" s="25"/>
      <c r="G226" s="980"/>
      <c r="H226" s="419"/>
      <c r="I226" s="420"/>
      <c r="J226" s="421">
        <f t="shared" ref="J226:J229" si="794">SUM(G226:I226)</f>
        <v>0</v>
      </c>
      <c r="K226" s="71"/>
      <c r="L226" s="72"/>
      <c r="M226" s="71"/>
      <c r="N226" s="71"/>
      <c r="O226" s="74">
        <f>$E226/11*(11-($H226+$I226))</f>
        <v>0</v>
      </c>
      <c r="P226" s="74">
        <f t="shared" ref="P226:Z229" si="795">$E226/11*(11-($H226+$I226))</f>
        <v>0</v>
      </c>
      <c r="Q226" s="73"/>
      <c r="R226" s="73"/>
      <c r="S226" s="74">
        <f t="shared" ref="S226:U227" si="796">$E226/11*(11-($H226+$I226))</f>
        <v>0</v>
      </c>
      <c r="T226" s="74">
        <f t="shared" si="796"/>
        <v>0</v>
      </c>
      <c r="U226" s="73"/>
      <c r="V226" s="73"/>
      <c r="W226" s="74">
        <f t="shared" ref="W226:Y227" si="797">$E226/11*(11-($H226+$I226))</f>
        <v>0</v>
      </c>
      <c r="X226" s="74">
        <f t="shared" si="797"/>
        <v>0</v>
      </c>
      <c r="Y226" s="73"/>
      <c r="Z226" s="73"/>
      <c r="AA226" s="75">
        <f>$E226/11*(11-($G226+$I226))</f>
        <v>0</v>
      </c>
      <c r="AB226" s="74">
        <f t="shared" ref="AB226:AL229" si="798">$E226/11*(11-($H226+$I226))</f>
        <v>0</v>
      </c>
      <c r="AC226" s="73"/>
      <c r="AD226" s="73"/>
      <c r="AE226" s="74">
        <f t="shared" ref="AE226:AG227" si="799">$E226/11*(11-($H226+$I226))</f>
        <v>0</v>
      </c>
      <c r="AF226" s="74">
        <f t="shared" si="799"/>
        <v>0</v>
      </c>
      <c r="AG226" s="73"/>
      <c r="AH226" s="73"/>
      <c r="AI226" s="74">
        <f t="shared" ref="AI226:AK228" si="800">$E226/11*(11-($H226+$I226))</f>
        <v>0</v>
      </c>
      <c r="AJ226" s="74">
        <f t="shared" si="800"/>
        <v>0</v>
      </c>
      <c r="AK226" s="73"/>
      <c r="AL226" s="73"/>
      <c r="AM226" s="74">
        <f t="shared" ref="AM226:AO227" si="801">$E226/11*(11-($H226+$I226))</f>
        <v>0</v>
      </c>
      <c r="AN226" s="74">
        <f t="shared" si="801"/>
        <v>0</v>
      </c>
      <c r="AO226" s="73"/>
      <c r="AQ226" s="425"/>
    </row>
    <row r="227" hidden="1" outlineLevel="2">
      <c r="A227" s="981"/>
      <c r="B227" s="77" t="s">
        <v>1</v>
      </c>
      <c r="C227" s="79">
        <f t="shared" si="792"/>
        <v>0</v>
      </c>
      <c r="D227" s="427">
        <f t="shared" si="793"/>
        <v>0</v>
      </c>
      <c r="E227" s="847">
        <f t="shared" si="783"/>
        <v>0</v>
      </c>
      <c r="F227" s="25"/>
      <c r="G227" s="980"/>
      <c r="H227" s="428"/>
      <c r="I227" s="429"/>
      <c r="J227" s="430">
        <f t="shared" si="794"/>
        <v>0</v>
      </c>
      <c r="K227" s="72"/>
      <c r="L227" s="72"/>
      <c r="M227" s="72"/>
      <c r="N227" s="218"/>
      <c r="O227" s="73"/>
      <c r="P227" s="74">
        <f t="shared" si="795"/>
        <v>0</v>
      </c>
      <c r="Q227" s="74">
        <f t="shared" si="795"/>
        <v>0</v>
      </c>
      <c r="R227" s="84"/>
      <c r="S227" s="73"/>
      <c r="T227" s="74">
        <f t="shared" si="796"/>
        <v>0</v>
      </c>
      <c r="U227" s="74">
        <f t="shared" si="796"/>
        <v>0</v>
      </c>
      <c r="V227" s="84"/>
      <c r="W227" s="73"/>
      <c r="X227" s="74">
        <f t="shared" si="797"/>
        <v>0</v>
      </c>
      <c r="Y227" s="74">
        <f t="shared" si="797"/>
        <v>0</v>
      </c>
      <c r="Z227" s="84"/>
      <c r="AA227" s="73"/>
      <c r="AB227" s="74">
        <f t="shared" si="798"/>
        <v>0</v>
      </c>
      <c r="AC227" s="74">
        <f t="shared" si="798"/>
        <v>0</v>
      </c>
      <c r="AD227" s="84"/>
      <c r="AE227" s="73"/>
      <c r="AF227" s="74">
        <f t="shared" si="799"/>
        <v>0</v>
      </c>
      <c r="AG227" s="74">
        <f t="shared" si="799"/>
        <v>0</v>
      </c>
      <c r="AH227" s="84"/>
      <c r="AI227" s="73"/>
      <c r="AJ227" s="74">
        <f t="shared" si="800"/>
        <v>0</v>
      </c>
      <c r="AK227" s="74">
        <f t="shared" si="800"/>
        <v>0</v>
      </c>
      <c r="AL227" s="84"/>
      <c r="AM227" s="73"/>
      <c r="AN227" s="74">
        <f t="shared" si="801"/>
        <v>0</v>
      </c>
      <c r="AO227" s="74">
        <f t="shared" si="801"/>
        <v>0</v>
      </c>
      <c r="AQ227" s="425"/>
    </row>
    <row r="228" hidden="1" outlineLevel="2">
      <c r="A228" s="981"/>
      <c r="B228" s="85" t="s">
        <v>2</v>
      </c>
      <c r="C228" s="197">
        <f t="shared" si="792"/>
        <v>0</v>
      </c>
      <c r="D228" s="87">
        <f t="shared" si="793"/>
        <v>0</v>
      </c>
      <c r="E228" s="847">
        <f t="shared" si="783"/>
        <v>0</v>
      </c>
      <c r="F228" s="25"/>
      <c r="G228" s="980"/>
      <c r="H228" s="428"/>
      <c r="I228" s="429"/>
      <c r="J228" s="430">
        <f t="shared" si="794"/>
        <v>0</v>
      </c>
      <c r="K228" s="88"/>
      <c r="L228" s="72"/>
      <c r="M228" s="71"/>
      <c r="N228" s="216"/>
      <c r="O228" s="74">
        <f>$E228/11*(11-($H228+$I228))</f>
        <v>0</v>
      </c>
      <c r="P228" s="74"/>
      <c r="Q228" s="73"/>
      <c r="R228" s="74">
        <f t="shared" ref="R228:S228" si="802">$E228/11*(11-($H228+$I228))</f>
        <v>0</v>
      </c>
      <c r="S228" s="74">
        <f t="shared" si="802"/>
        <v>0</v>
      </c>
      <c r="T228" s="74"/>
      <c r="U228" s="73"/>
      <c r="V228" s="74">
        <f t="shared" ref="V228:W228" si="803">$E228/11*(11-($H228+$I228))</f>
        <v>0</v>
      </c>
      <c r="W228" s="74">
        <f t="shared" si="803"/>
        <v>0</v>
      </c>
      <c r="X228" s="74"/>
      <c r="Y228" s="73"/>
      <c r="Z228" s="74">
        <f t="shared" ref="Z228:AA228" si="804">$E228/11*(11-($H228+$I228))</f>
        <v>0</v>
      </c>
      <c r="AA228" s="74">
        <f t="shared" si="804"/>
        <v>0</v>
      </c>
      <c r="AB228" s="74"/>
      <c r="AC228" s="73"/>
      <c r="AD228" s="74">
        <f t="shared" ref="AD228:AE228" si="805">$E228/11*(11-($H228+$I228))</f>
        <v>0</v>
      </c>
      <c r="AE228" s="74">
        <f t="shared" si="805"/>
        <v>0</v>
      </c>
      <c r="AF228" s="74"/>
      <c r="AG228" s="73"/>
      <c r="AH228" s="75">
        <f>$E228/11*(11-($G228+$I228))</f>
        <v>0</v>
      </c>
      <c r="AI228" s="74">
        <f t="shared" si="800"/>
        <v>0</v>
      </c>
      <c r="AJ228" s="74"/>
      <c r="AK228" s="73"/>
      <c r="AL228" s="74">
        <f t="shared" ref="AL228:AM228" si="806">$E228/11*(11-($H228+$I228))</f>
        <v>0</v>
      </c>
      <c r="AM228" s="74">
        <f t="shared" si="806"/>
        <v>0</v>
      </c>
      <c r="AN228" s="74"/>
      <c r="AO228" s="75"/>
      <c r="AQ228" s="425"/>
    </row>
    <row r="229" ht="13.5" hidden="1" outlineLevel="2">
      <c r="A229" s="983"/>
      <c r="B229" s="90" t="s">
        <v>3</v>
      </c>
      <c r="C229" s="325">
        <f t="shared" si="792"/>
        <v>0</v>
      </c>
      <c r="D229" s="325">
        <f t="shared" si="793"/>
        <v>0</v>
      </c>
      <c r="E229" s="847">
        <f t="shared" si="783"/>
        <v>0</v>
      </c>
      <c r="F229" s="25"/>
      <c r="G229" s="980"/>
      <c r="H229" s="436"/>
      <c r="I229" s="437"/>
      <c r="J229" s="438">
        <f t="shared" si="794"/>
        <v>0</v>
      </c>
      <c r="K229" s="97"/>
      <c r="L229" s="72"/>
      <c r="M229" s="71"/>
      <c r="N229" s="71"/>
      <c r="O229" s="98"/>
      <c r="P229" s="74"/>
      <c r="Q229" s="73">
        <f t="shared" si="795"/>
        <v>0</v>
      </c>
      <c r="R229" s="73">
        <f t="shared" si="795"/>
        <v>0</v>
      </c>
      <c r="S229" s="98"/>
      <c r="T229" s="74"/>
      <c r="U229" s="75">
        <f>$E229/11*(11-($G229+$I229))</f>
        <v>0</v>
      </c>
      <c r="V229" s="73">
        <f t="shared" si="795"/>
        <v>0</v>
      </c>
      <c r="W229" s="98"/>
      <c r="X229" s="74"/>
      <c r="Y229" s="73">
        <f t="shared" si="795"/>
        <v>0</v>
      </c>
      <c r="Z229" s="73">
        <f t="shared" si="795"/>
        <v>0</v>
      </c>
      <c r="AA229" s="98"/>
      <c r="AB229" s="74"/>
      <c r="AC229" s="73">
        <f t="shared" si="798"/>
        <v>0</v>
      </c>
      <c r="AD229" s="73">
        <f t="shared" si="798"/>
        <v>0</v>
      </c>
      <c r="AE229" s="98"/>
      <c r="AF229" s="74"/>
      <c r="AG229" s="73">
        <f t="shared" si="798"/>
        <v>0</v>
      </c>
      <c r="AH229" s="73">
        <f t="shared" si="798"/>
        <v>0</v>
      </c>
      <c r="AI229" s="98"/>
      <c r="AJ229" s="74"/>
      <c r="AK229" s="73">
        <f t="shared" si="798"/>
        <v>0</v>
      </c>
      <c r="AL229" s="73">
        <f t="shared" si="798"/>
        <v>0</v>
      </c>
      <c r="AM229" s="98"/>
      <c r="AN229" s="74"/>
      <c r="AO229" s="75">
        <f>$E229/11*(11-($G229+$I229))</f>
        <v>0</v>
      </c>
      <c r="AQ229" s="425"/>
    </row>
    <row r="230" s="99" customFormat="1" ht="20.449999999999999" customHeight="1" outlineLevel="1" collapsed="1">
      <c r="B230" s="136" t="s">
        <v>18</v>
      </c>
      <c r="C230" s="166"/>
      <c r="D230" s="103">
        <f>SUM(D226:D229)</f>
        <v>0</v>
      </c>
      <c r="E230" s="443" t="s">
        <v>19</v>
      </c>
      <c r="F230" s="261">
        <f>SUM(F226:F229)</f>
        <v>0</v>
      </c>
      <c r="G230" s="444">
        <f>SUM(G226:G229)</f>
        <v>0</v>
      </c>
      <c r="H230" s="167">
        <f>SUM(H226:H229)</f>
        <v>0</v>
      </c>
      <c r="I230" s="168" t="s">
        <v>19</v>
      </c>
      <c r="J230" s="169">
        <f t="shared" ref="J230:N230" si="807">SUM(J226:J229)</f>
        <v>0</v>
      </c>
      <c r="K230" s="445">
        <f t="shared" si="807"/>
        <v>0</v>
      </c>
      <c r="L230" s="171">
        <f t="shared" si="807"/>
        <v>0</v>
      </c>
      <c r="M230" s="171">
        <f t="shared" si="807"/>
        <v>0</v>
      </c>
      <c r="N230" s="171">
        <f t="shared" si="807"/>
        <v>0</v>
      </c>
      <c r="O230" s="171">
        <f>SUM(O226:O229)</f>
        <v>0</v>
      </c>
      <c r="P230" s="171">
        <f>SUM(P226:P229)</f>
        <v>0</v>
      </c>
      <c r="Q230" s="171">
        <f t="shared" ref="Q230:AO230" si="808">SUM(Q226:Q229)</f>
        <v>0</v>
      </c>
      <c r="R230" s="171">
        <f t="shared" si="808"/>
        <v>0</v>
      </c>
      <c r="S230" s="171">
        <f t="shared" si="808"/>
        <v>0</v>
      </c>
      <c r="T230" s="171">
        <f t="shared" si="808"/>
        <v>0</v>
      </c>
      <c r="U230" s="171">
        <f t="shared" si="808"/>
        <v>0</v>
      </c>
      <c r="V230" s="171">
        <f t="shared" si="808"/>
        <v>0</v>
      </c>
      <c r="W230" s="171">
        <f t="shared" si="808"/>
        <v>0</v>
      </c>
      <c r="X230" s="171">
        <f t="shared" si="808"/>
        <v>0</v>
      </c>
      <c r="Y230" s="171">
        <f t="shared" si="808"/>
        <v>0</v>
      </c>
      <c r="Z230" s="171">
        <f t="shared" si="808"/>
        <v>0</v>
      </c>
      <c r="AA230" s="171">
        <f t="shared" si="808"/>
        <v>0</v>
      </c>
      <c r="AB230" s="172">
        <f t="shared" si="808"/>
        <v>0</v>
      </c>
      <c r="AC230" s="446">
        <f t="shared" si="808"/>
        <v>0</v>
      </c>
      <c r="AD230" s="447">
        <f t="shared" si="808"/>
        <v>0</v>
      </c>
      <c r="AE230" s="447">
        <f t="shared" si="808"/>
        <v>0</v>
      </c>
      <c r="AF230" s="447">
        <f t="shared" si="808"/>
        <v>0</v>
      </c>
      <c r="AG230" s="447">
        <f t="shared" si="808"/>
        <v>0</v>
      </c>
      <c r="AH230" s="447">
        <f t="shared" si="808"/>
        <v>0</v>
      </c>
      <c r="AI230" s="447">
        <f t="shared" si="808"/>
        <v>0</v>
      </c>
      <c r="AJ230" s="447">
        <f t="shared" si="808"/>
        <v>0</v>
      </c>
      <c r="AK230" s="447">
        <f t="shared" si="808"/>
        <v>0</v>
      </c>
      <c r="AL230" s="447">
        <f t="shared" si="808"/>
        <v>0</v>
      </c>
      <c r="AM230" s="447">
        <f t="shared" si="808"/>
        <v>0</v>
      </c>
      <c r="AN230" s="447">
        <f t="shared" si="808"/>
        <v>0</v>
      </c>
      <c r="AO230" s="448">
        <f t="shared" si="808"/>
        <v>0</v>
      </c>
    </row>
    <row r="231">
      <c r="A231" s="24" t="s">
        <v>76</v>
      </c>
    </row>
    <row r="234" s="99" customFormat="1" ht="24" customHeight="1">
      <c r="A234" s="174" t="s">
        <v>31</v>
      </c>
      <c r="B234" s="174"/>
      <c r="C234" s="116"/>
      <c r="D234" s="116"/>
      <c r="E234" s="66"/>
      <c r="F234" s="146"/>
      <c r="G234" s="562"/>
      <c r="H234" s="607"/>
      <c r="I234" s="608"/>
      <c r="J234" s="60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147"/>
      <c r="W234" s="147"/>
      <c r="X234" s="147"/>
      <c r="Y234" s="147"/>
      <c r="Z234" s="147"/>
      <c r="AA234" s="147"/>
      <c r="AB234" s="147"/>
      <c r="AC234" s="147"/>
      <c r="AD234" s="147"/>
      <c r="AE234" s="147"/>
      <c r="AF234" s="147"/>
      <c r="AG234" s="147"/>
      <c r="AH234" s="147"/>
      <c r="AI234" s="147"/>
      <c r="AJ234" s="147"/>
      <c r="AK234" s="147"/>
      <c r="AL234" s="147"/>
      <c r="AM234" s="147"/>
      <c r="AN234" s="147"/>
      <c r="AO234" s="147"/>
      <c r="AP234" s="147"/>
    </row>
    <row r="235" ht="26.449999999999999" customHeight="1">
      <c r="A235" s="247" t="s">
        <v>32</v>
      </c>
      <c r="B235" s="247"/>
      <c r="D235" s="248" t="s">
        <v>113</v>
      </c>
      <c r="E235" s="996" t="s">
        <v>114</v>
      </c>
      <c r="F235" s="408" t="s">
        <v>14</v>
      </c>
      <c r="G235" s="792"/>
      <c r="H235" s="793"/>
      <c r="I235" s="793"/>
      <c r="J235" s="997"/>
      <c r="K235" s="56">
        <v>44501</v>
      </c>
      <c r="L235" s="410">
        <v>44502</v>
      </c>
      <c r="M235" s="410">
        <v>44503</v>
      </c>
      <c r="N235" s="410">
        <v>44504</v>
      </c>
      <c r="O235" s="998">
        <v>44505</v>
      </c>
      <c r="P235" s="410">
        <v>44506</v>
      </c>
      <c r="Q235" s="410">
        <v>44507</v>
      </c>
      <c r="R235" s="410">
        <v>44508</v>
      </c>
      <c r="S235" s="410">
        <v>44509</v>
      </c>
      <c r="T235" s="410">
        <v>44510</v>
      </c>
      <c r="U235" s="410">
        <v>44511</v>
      </c>
      <c r="V235" s="410">
        <v>44512</v>
      </c>
      <c r="W235" s="410">
        <v>44513</v>
      </c>
      <c r="X235" s="410">
        <v>44514</v>
      </c>
      <c r="Y235" s="410">
        <v>44515</v>
      </c>
      <c r="Z235" s="410">
        <v>44516</v>
      </c>
      <c r="AA235" s="410">
        <v>44517</v>
      </c>
      <c r="AB235" s="410">
        <v>44518</v>
      </c>
      <c r="AC235" s="410">
        <v>44519</v>
      </c>
      <c r="AD235" s="410">
        <v>44520</v>
      </c>
      <c r="AE235" s="410">
        <v>44521</v>
      </c>
      <c r="AF235" s="410">
        <v>44522</v>
      </c>
      <c r="AG235" s="410">
        <v>44523</v>
      </c>
      <c r="AH235" s="410">
        <v>44524</v>
      </c>
      <c r="AI235" s="998">
        <v>44525</v>
      </c>
      <c r="AJ235" s="410">
        <v>44526</v>
      </c>
      <c r="AK235" s="410">
        <v>44527</v>
      </c>
      <c r="AL235" s="410">
        <v>44528</v>
      </c>
      <c r="AM235" s="410">
        <v>44529</v>
      </c>
      <c r="AN235" s="415">
        <v>44530</v>
      </c>
      <c r="AO235" s="415">
        <v>44500</v>
      </c>
    </row>
    <row r="236" hidden="1" outlineLevel="1">
      <c r="A236" s="794" t="s">
        <v>34</v>
      </c>
      <c r="B236" s="795">
        <f>D100</f>
        <v>5754.0918181818179</v>
      </c>
      <c r="C236" s="796" t="s">
        <v>0</v>
      </c>
      <c r="D236" s="127">
        <f t="shared" ref="D236:D239" si="809">SUM(K236:AO236)</f>
        <v>0</v>
      </c>
      <c r="E236" s="999"/>
      <c r="F236" s="1000">
        <f>Табель!$B$34</f>
        <v>15</v>
      </c>
      <c r="G236" s="1001"/>
      <c r="H236" s="1002"/>
      <c r="I236" s="1002"/>
      <c r="J236" s="1003"/>
      <c r="K236" s="1004">
        <f t="shared" ref="K236:K239" si="810">K96*$B$240</f>
        <v>0</v>
      </c>
      <c r="L236" s="1005">
        <f t="shared" ref="L236:AO239" si="811">L96*$B$240</f>
        <v>0</v>
      </c>
      <c r="M236" s="1005">
        <f t="shared" si="811"/>
        <v>0</v>
      </c>
      <c r="N236" s="1005">
        <f t="shared" si="811"/>
        <v>0</v>
      </c>
      <c r="O236" s="1005">
        <f t="shared" si="811"/>
        <v>0</v>
      </c>
      <c r="P236" s="1005">
        <f>P96*$B$240</f>
        <v>0</v>
      </c>
      <c r="Q236" s="1005">
        <f t="shared" si="811"/>
        <v>0</v>
      </c>
      <c r="R236" s="1005">
        <f t="shared" si="811"/>
        <v>0</v>
      </c>
      <c r="S236" s="1005">
        <f t="shared" si="811"/>
        <v>0</v>
      </c>
      <c r="T236" s="1005">
        <f t="shared" si="811"/>
        <v>0</v>
      </c>
      <c r="U236" s="1005">
        <f t="shared" si="811"/>
        <v>0</v>
      </c>
      <c r="V236" s="1005">
        <f t="shared" si="811"/>
        <v>0</v>
      </c>
      <c r="W236" s="1006">
        <f t="shared" si="811"/>
        <v>0</v>
      </c>
      <c r="X236" s="563">
        <f>X96*$B$240</f>
        <v>0</v>
      </c>
      <c r="Y236" s="1006">
        <f t="shared" si="811"/>
        <v>0</v>
      </c>
      <c r="Z236" s="563">
        <f t="shared" si="811"/>
        <v>0</v>
      </c>
      <c r="AA236" s="1006">
        <f t="shared" si="811"/>
        <v>0</v>
      </c>
      <c r="AB236" s="1006">
        <f t="shared" si="811"/>
        <v>0</v>
      </c>
      <c r="AC236" s="1006">
        <f t="shared" si="811"/>
        <v>0</v>
      </c>
      <c r="AD236" s="1006">
        <f t="shared" si="811"/>
        <v>0</v>
      </c>
      <c r="AE236" s="1006">
        <f t="shared" si="811"/>
        <v>0</v>
      </c>
      <c r="AF236" s="1006">
        <f t="shared" si="811"/>
        <v>0</v>
      </c>
      <c r="AG236" s="1006">
        <f t="shared" si="811"/>
        <v>0</v>
      </c>
      <c r="AH236" s="1006">
        <f t="shared" si="811"/>
        <v>0</v>
      </c>
      <c r="AI236" s="1006">
        <f t="shared" si="811"/>
        <v>0</v>
      </c>
      <c r="AJ236" s="1006">
        <f t="shared" si="811"/>
        <v>0</v>
      </c>
      <c r="AK236" s="1006">
        <f t="shared" si="811"/>
        <v>0</v>
      </c>
      <c r="AL236" s="1006">
        <f t="shared" si="811"/>
        <v>0</v>
      </c>
      <c r="AM236" s="1006">
        <f t="shared" si="811"/>
        <v>0</v>
      </c>
      <c r="AN236" s="1006">
        <f t="shared" si="811"/>
        <v>0</v>
      </c>
      <c r="AO236" s="1007">
        <f t="shared" si="811"/>
        <v>0</v>
      </c>
    </row>
    <row r="237" hidden="1" outlineLevel="1">
      <c r="A237" s="794" t="s">
        <v>35</v>
      </c>
      <c r="B237" s="805"/>
      <c r="C237" s="806" t="s">
        <v>1</v>
      </c>
      <c r="D237" s="982">
        <f t="shared" si="809"/>
        <v>0</v>
      </c>
      <c r="E237" s="1008"/>
      <c r="F237" s="25">
        <f>Табель!$C$34</f>
        <v>16</v>
      </c>
      <c r="G237" s="798"/>
      <c r="H237" s="24"/>
      <c r="I237" s="24"/>
      <c r="J237" s="799"/>
      <c r="K237" s="1009">
        <f t="shared" si="810"/>
        <v>0</v>
      </c>
      <c r="L237" s="1010">
        <f t="shared" si="811"/>
        <v>0</v>
      </c>
      <c r="M237" s="1010">
        <f>M97*$B$240</f>
        <v>0</v>
      </c>
      <c r="N237" s="1010">
        <f t="shared" si="811"/>
        <v>0</v>
      </c>
      <c r="O237" s="1010">
        <f t="shared" si="811"/>
        <v>0</v>
      </c>
      <c r="P237" s="1010">
        <f t="shared" si="811"/>
        <v>0</v>
      </c>
      <c r="Q237" s="1010">
        <f t="shared" si="811"/>
        <v>0</v>
      </c>
      <c r="R237" s="1010">
        <f t="shared" si="811"/>
        <v>0</v>
      </c>
      <c r="S237" s="1010">
        <f t="shared" si="811"/>
        <v>0</v>
      </c>
      <c r="T237" s="1010">
        <f t="shared" si="811"/>
        <v>0</v>
      </c>
      <c r="U237" s="1010">
        <f t="shared" si="811"/>
        <v>0</v>
      </c>
      <c r="V237" s="1010">
        <f t="shared" si="811"/>
        <v>0</v>
      </c>
      <c r="W237" s="254">
        <f t="shared" si="811"/>
        <v>0</v>
      </c>
      <c r="X237" s="122">
        <f t="shared" si="811"/>
        <v>0</v>
      </c>
      <c r="Y237" s="254">
        <f t="shared" si="811"/>
        <v>0</v>
      </c>
      <c r="Z237" s="122">
        <f t="shared" si="811"/>
        <v>0</v>
      </c>
      <c r="AA237" s="254">
        <f t="shared" si="811"/>
        <v>0</v>
      </c>
      <c r="AB237" s="254">
        <f t="shared" si="811"/>
        <v>0</v>
      </c>
      <c r="AC237" s="254">
        <f t="shared" si="811"/>
        <v>0</v>
      </c>
      <c r="AD237" s="254">
        <f t="shared" si="811"/>
        <v>0</v>
      </c>
      <c r="AE237" s="254">
        <f t="shared" si="811"/>
        <v>0</v>
      </c>
      <c r="AF237" s="254">
        <f t="shared" si="811"/>
        <v>0</v>
      </c>
      <c r="AG237" s="254">
        <f t="shared" si="811"/>
        <v>0</v>
      </c>
      <c r="AH237" s="254">
        <f t="shared" si="811"/>
        <v>0</v>
      </c>
      <c r="AI237" s="254">
        <f t="shared" si="811"/>
        <v>0</v>
      </c>
      <c r="AJ237" s="254">
        <f t="shared" si="811"/>
        <v>0</v>
      </c>
      <c r="AK237" s="254">
        <f t="shared" si="811"/>
        <v>0</v>
      </c>
      <c r="AL237" s="254">
        <f t="shared" si="811"/>
        <v>0</v>
      </c>
      <c r="AM237" s="254">
        <f t="shared" si="811"/>
        <v>0</v>
      </c>
      <c r="AN237" s="254">
        <f t="shared" si="811"/>
        <v>0</v>
      </c>
      <c r="AO237" s="1011">
        <f t="shared" si="811"/>
        <v>0</v>
      </c>
    </row>
    <row r="238" hidden="1" outlineLevel="1">
      <c r="A238" s="794" t="s">
        <v>36</v>
      </c>
      <c r="B238" s="813">
        <f>B236-B237</f>
        <v>5754.0918181818179</v>
      </c>
      <c r="C238" s="814" t="s">
        <v>2</v>
      </c>
      <c r="D238" s="86">
        <f t="shared" si="809"/>
        <v>0</v>
      </c>
      <c r="E238" s="1008">
        <f t="shared" ref="E238:E239" si="812">E231*$B$107</f>
        <v>0</v>
      </c>
      <c r="F238" s="25">
        <f>Табель!$D$34</f>
        <v>14</v>
      </c>
      <c r="G238" s="798"/>
      <c r="H238" s="24"/>
      <c r="I238" s="24"/>
      <c r="J238" s="799"/>
      <c r="K238" s="1009">
        <f t="shared" si="810"/>
        <v>0</v>
      </c>
      <c r="L238" s="1010">
        <f t="shared" si="811"/>
        <v>0</v>
      </c>
      <c r="M238" s="1010">
        <f t="shared" si="811"/>
        <v>0</v>
      </c>
      <c r="N238" s="1010">
        <f t="shared" si="811"/>
        <v>0</v>
      </c>
      <c r="O238" s="1010">
        <f t="shared" si="811"/>
        <v>0</v>
      </c>
      <c r="P238" s="1010">
        <f t="shared" si="811"/>
        <v>0</v>
      </c>
      <c r="Q238" s="1010">
        <f t="shared" si="811"/>
        <v>0</v>
      </c>
      <c r="R238" s="1010">
        <f t="shared" si="811"/>
        <v>0</v>
      </c>
      <c r="S238" s="1010">
        <f t="shared" si="811"/>
        <v>0</v>
      </c>
      <c r="T238" s="1010">
        <f t="shared" si="811"/>
        <v>0</v>
      </c>
      <c r="U238" s="1010">
        <f t="shared" si="811"/>
        <v>0</v>
      </c>
      <c r="V238" s="1010">
        <f t="shared" si="811"/>
        <v>0</v>
      </c>
      <c r="W238" s="254">
        <f t="shared" si="811"/>
        <v>0</v>
      </c>
      <c r="X238" s="122">
        <f t="shared" si="811"/>
        <v>0</v>
      </c>
      <c r="Y238" s="254">
        <f t="shared" si="811"/>
        <v>0</v>
      </c>
      <c r="Z238" s="122">
        <f t="shared" si="811"/>
        <v>0</v>
      </c>
      <c r="AA238" s="254">
        <f t="shared" si="811"/>
        <v>0</v>
      </c>
      <c r="AB238" s="254">
        <f t="shared" si="811"/>
        <v>0</v>
      </c>
      <c r="AC238" s="254">
        <f t="shared" si="811"/>
        <v>0</v>
      </c>
      <c r="AD238" s="254">
        <f t="shared" si="811"/>
        <v>0</v>
      </c>
      <c r="AE238" s="254">
        <f t="shared" si="811"/>
        <v>0</v>
      </c>
      <c r="AF238" s="254">
        <f t="shared" si="811"/>
        <v>0</v>
      </c>
      <c r="AG238" s="254">
        <f t="shared" si="811"/>
        <v>0</v>
      </c>
      <c r="AH238" s="254">
        <f t="shared" si="811"/>
        <v>0</v>
      </c>
      <c r="AI238" s="254">
        <f t="shared" si="811"/>
        <v>0</v>
      </c>
      <c r="AJ238" s="254">
        <f t="shared" si="811"/>
        <v>0</v>
      </c>
      <c r="AK238" s="254">
        <f t="shared" si="811"/>
        <v>0</v>
      </c>
      <c r="AL238" s="254">
        <f t="shared" si="811"/>
        <v>0</v>
      </c>
      <c r="AM238" s="254">
        <f t="shared" si="811"/>
        <v>0</v>
      </c>
      <c r="AN238" s="254">
        <f t="shared" si="811"/>
        <v>0</v>
      </c>
      <c r="AO238" s="1011">
        <f t="shared" si="811"/>
        <v>0</v>
      </c>
    </row>
    <row r="239" ht="13.5" hidden="1" outlineLevel="1">
      <c r="A239" s="815"/>
      <c r="B239" s="816">
        <f>B238/B236</f>
        <v>1</v>
      </c>
      <c r="C239" s="817" t="s">
        <v>3</v>
      </c>
      <c r="D239" s="133">
        <f t="shared" si="809"/>
        <v>0</v>
      </c>
      <c r="E239" s="1008">
        <f t="shared" si="812"/>
        <v>0</v>
      </c>
      <c r="F239" s="25">
        <f>Табель!$E$34</f>
        <v>15</v>
      </c>
      <c r="G239" s="798"/>
      <c r="H239" s="24"/>
      <c r="I239" s="24"/>
      <c r="J239" s="799"/>
      <c r="K239" s="1009">
        <f t="shared" si="810"/>
        <v>0</v>
      </c>
      <c r="L239" s="1012">
        <f t="shared" si="811"/>
        <v>0</v>
      </c>
      <c r="M239" s="1012">
        <f t="shared" si="811"/>
        <v>0</v>
      </c>
      <c r="N239" s="1012">
        <f t="shared" si="811"/>
        <v>0</v>
      </c>
      <c r="O239" s="1012">
        <f t="shared" si="811"/>
        <v>0</v>
      </c>
      <c r="P239" s="1012">
        <f t="shared" si="811"/>
        <v>0</v>
      </c>
      <c r="Q239" s="1012">
        <f t="shared" si="811"/>
        <v>0</v>
      </c>
      <c r="R239" s="1012">
        <f t="shared" si="811"/>
        <v>0</v>
      </c>
      <c r="S239" s="1012">
        <f t="shared" si="811"/>
        <v>0</v>
      </c>
      <c r="T239" s="1012">
        <f t="shared" si="811"/>
        <v>0</v>
      </c>
      <c r="U239" s="1012">
        <f t="shared" si="811"/>
        <v>0</v>
      </c>
      <c r="V239" s="1012">
        <f t="shared" si="811"/>
        <v>0</v>
      </c>
      <c r="W239" s="1013">
        <f t="shared" si="811"/>
        <v>0</v>
      </c>
      <c r="X239" s="1014">
        <f t="shared" si="811"/>
        <v>0</v>
      </c>
      <c r="Y239" s="1013">
        <f t="shared" si="811"/>
        <v>0</v>
      </c>
      <c r="Z239" s="122">
        <f t="shared" si="811"/>
        <v>0</v>
      </c>
      <c r="AA239" s="1013">
        <f t="shared" si="811"/>
        <v>0</v>
      </c>
      <c r="AB239" s="1013">
        <f t="shared" si="811"/>
        <v>0</v>
      </c>
      <c r="AC239" s="1013">
        <f t="shared" si="811"/>
        <v>0</v>
      </c>
      <c r="AD239" s="1013">
        <f t="shared" si="811"/>
        <v>0</v>
      </c>
      <c r="AE239" s="1013">
        <f t="shared" si="811"/>
        <v>0</v>
      </c>
      <c r="AF239" s="1013">
        <f t="shared" si="811"/>
        <v>0</v>
      </c>
      <c r="AG239" s="1013">
        <f t="shared" si="811"/>
        <v>0</v>
      </c>
      <c r="AH239" s="1013">
        <f t="shared" si="811"/>
        <v>0</v>
      </c>
      <c r="AI239" s="1013">
        <f t="shared" si="811"/>
        <v>0</v>
      </c>
      <c r="AJ239" s="1013">
        <f t="shared" si="811"/>
        <v>0</v>
      </c>
      <c r="AK239" s="1013">
        <f t="shared" si="811"/>
        <v>0</v>
      </c>
      <c r="AL239" s="1013">
        <f t="shared" si="811"/>
        <v>0</v>
      </c>
      <c r="AM239" s="1013">
        <f t="shared" si="811"/>
        <v>0</v>
      </c>
      <c r="AN239" s="1013">
        <f t="shared" si="811"/>
        <v>0</v>
      </c>
      <c r="AO239" s="1011">
        <f t="shared" si="811"/>
        <v>0</v>
      </c>
    </row>
    <row r="240" ht="18.600000000000001" customHeight="1" collapsed="1">
      <c r="A240" s="794" t="s">
        <v>35</v>
      </c>
      <c r="B240" s="822">
        <f>100%-B239</f>
        <v>0</v>
      </c>
      <c r="D240" s="103">
        <f>SUM(D236:D239)</f>
        <v>0</v>
      </c>
      <c r="E240" s="443" t="s">
        <v>19</v>
      </c>
      <c r="F240" s="553"/>
      <c r="G240" s="823"/>
      <c r="H240" s="263"/>
      <c r="I240" s="263"/>
      <c r="J240" s="824"/>
      <c r="K240" s="264">
        <f>SUM(K236:K239)</f>
        <v>0</v>
      </c>
      <c r="L240" s="293">
        <f t="shared" ref="L240:AB248" si="813">SUM(L236:L239)</f>
        <v>0</v>
      </c>
      <c r="M240" s="293">
        <f t="shared" si="813"/>
        <v>0</v>
      </c>
      <c r="N240" s="293">
        <f t="shared" si="813"/>
        <v>0</v>
      </c>
      <c r="O240" s="293">
        <f t="shared" si="813"/>
        <v>0</v>
      </c>
      <c r="P240" s="293">
        <f t="shared" si="813"/>
        <v>0</v>
      </c>
      <c r="Q240" s="293">
        <f t="shared" si="813"/>
        <v>0</v>
      </c>
      <c r="R240" s="293">
        <f t="shared" si="813"/>
        <v>0</v>
      </c>
      <c r="S240" s="293">
        <f t="shared" si="813"/>
        <v>0</v>
      </c>
      <c r="T240" s="293">
        <f t="shared" si="813"/>
        <v>0</v>
      </c>
      <c r="U240" s="293">
        <f t="shared" si="813"/>
        <v>0</v>
      </c>
      <c r="V240" s="293">
        <f t="shared" si="813"/>
        <v>0</v>
      </c>
      <c r="W240" s="826">
        <f t="shared" si="813"/>
        <v>0</v>
      </c>
      <c r="X240" s="293">
        <f t="shared" si="813"/>
        <v>0</v>
      </c>
      <c r="Y240" s="826">
        <f t="shared" si="813"/>
        <v>0</v>
      </c>
      <c r="Z240" s="293">
        <f t="shared" si="813"/>
        <v>0</v>
      </c>
      <c r="AA240" s="826">
        <f t="shared" si="813"/>
        <v>0</v>
      </c>
      <c r="AB240" s="1015">
        <f t="shared" si="813"/>
        <v>0</v>
      </c>
      <c r="AC240" s="1016">
        <f>SUM(AC236:AC239)</f>
        <v>0</v>
      </c>
      <c r="AD240" s="1016">
        <f t="shared" ref="AD240:AO248" si="814">SUM(AD236:AD239)</f>
        <v>0</v>
      </c>
      <c r="AE240" s="1016">
        <f t="shared" si="814"/>
        <v>0</v>
      </c>
      <c r="AF240" s="1016">
        <f t="shared" si="814"/>
        <v>0</v>
      </c>
      <c r="AG240" s="1016">
        <f t="shared" si="814"/>
        <v>0</v>
      </c>
      <c r="AH240" s="1016">
        <f t="shared" si="814"/>
        <v>0</v>
      </c>
      <c r="AI240" s="1016">
        <f t="shared" si="814"/>
        <v>0</v>
      </c>
      <c r="AJ240" s="1016">
        <f t="shared" si="814"/>
        <v>0</v>
      </c>
      <c r="AK240" s="1016">
        <f t="shared" si="814"/>
        <v>0</v>
      </c>
      <c r="AL240" s="1016">
        <f t="shared" si="814"/>
        <v>0</v>
      </c>
      <c r="AM240" s="1016">
        <f t="shared" si="814"/>
        <v>0</v>
      </c>
      <c r="AN240" s="1016">
        <f t="shared" si="814"/>
        <v>0</v>
      </c>
      <c r="AO240" s="832">
        <f t="shared" si="814"/>
        <v>0</v>
      </c>
    </row>
    <row r="242" s="99" customFormat="1" ht="24" customHeight="1">
      <c r="A242" s="174" t="s">
        <v>134</v>
      </c>
      <c r="B242" s="174"/>
      <c r="C242" s="116"/>
      <c r="D242" s="116"/>
      <c r="E242" s="66"/>
      <c r="F242" s="146"/>
      <c r="G242" s="562"/>
      <c r="H242" s="607"/>
      <c r="I242" s="608"/>
      <c r="J242" s="60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7"/>
      <c r="AA242" s="147"/>
      <c r="AB242" s="147"/>
      <c r="AC242" s="147"/>
      <c r="AD242" s="147"/>
      <c r="AE242" s="147"/>
      <c r="AF242" s="147"/>
      <c r="AG242" s="147"/>
      <c r="AH242" s="147"/>
      <c r="AI242" s="147"/>
      <c r="AJ242" s="147"/>
      <c r="AK242" s="147"/>
      <c r="AL242" s="147"/>
      <c r="AM242" s="147"/>
      <c r="AN242" s="147"/>
      <c r="AO242" s="147"/>
      <c r="AP242" s="147"/>
      <c r="AQ242" s="147"/>
    </row>
    <row r="243" ht="26.449999999999999" customHeight="1">
      <c r="A243" s="247" t="s">
        <v>32</v>
      </c>
      <c r="B243" s="247"/>
      <c r="D243" s="248" t="s">
        <v>113</v>
      </c>
      <c r="E243" s="791" t="s">
        <v>114</v>
      </c>
      <c r="F243" s="408" t="s">
        <v>14</v>
      </c>
      <c r="G243" s="792"/>
      <c r="H243" s="793"/>
      <c r="I243" s="793"/>
      <c r="J243" s="997"/>
      <c r="K243" s="409">
        <v>44501</v>
      </c>
      <c r="L243" s="410">
        <v>44502</v>
      </c>
      <c r="M243" s="410">
        <v>44503</v>
      </c>
      <c r="N243" s="410">
        <v>44504</v>
      </c>
      <c r="O243" s="410">
        <v>44505</v>
      </c>
      <c r="P243" s="410">
        <v>44506</v>
      </c>
      <c r="Q243" s="410">
        <v>44507</v>
      </c>
      <c r="R243" s="410">
        <v>44508</v>
      </c>
      <c r="S243" s="410">
        <v>44509</v>
      </c>
      <c r="T243" s="410">
        <v>44510</v>
      </c>
      <c r="U243" s="410">
        <v>44511</v>
      </c>
      <c r="V243" s="410">
        <v>44512</v>
      </c>
      <c r="W243" s="410">
        <v>44513</v>
      </c>
      <c r="X243" s="410">
        <v>44514</v>
      </c>
      <c r="Y243" s="410">
        <v>44515</v>
      </c>
      <c r="Z243" s="410">
        <v>44516</v>
      </c>
      <c r="AA243" s="410">
        <v>44517</v>
      </c>
      <c r="AB243" s="410">
        <v>44518</v>
      </c>
      <c r="AC243" s="410">
        <v>44519</v>
      </c>
      <c r="AD243" s="410">
        <v>44520</v>
      </c>
      <c r="AE243" s="410">
        <v>44521</v>
      </c>
      <c r="AF243" s="410">
        <v>44522</v>
      </c>
      <c r="AG243" s="410">
        <v>44523</v>
      </c>
      <c r="AH243" s="410">
        <v>44524</v>
      </c>
      <c r="AI243" s="410">
        <v>44525</v>
      </c>
      <c r="AJ243" s="410">
        <v>44526</v>
      </c>
      <c r="AK243" s="410">
        <v>44527</v>
      </c>
      <c r="AL243" s="410">
        <v>44528</v>
      </c>
      <c r="AM243" s="410">
        <v>44529</v>
      </c>
      <c r="AN243" s="415">
        <v>44530</v>
      </c>
      <c r="AO243" s="415">
        <v>44500</v>
      </c>
    </row>
    <row r="244" hidden="1" outlineLevel="1">
      <c r="A244" s="794" t="s">
        <v>34</v>
      </c>
      <c r="B244" s="795"/>
      <c r="C244" s="796" t="s">
        <v>0</v>
      </c>
      <c r="D244" s="65">
        <f t="shared" ref="D244:D247" si="815">SUM(K244:AO244)</f>
        <v>0</v>
      </c>
      <c r="E244" s="252"/>
      <c r="F244" s="25"/>
      <c r="G244" s="798"/>
      <c r="H244" s="24"/>
      <c r="I244" s="24"/>
      <c r="J244" s="24"/>
      <c r="K244" s="1010"/>
      <c r="L244" s="254"/>
      <c r="M244" s="254"/>
      <c r="N244" s="254"/>
      <c r="O244" s="254"/>
      <c r="P244" s="254"/>
      <c r="Q244" s="254"/>
      <c r="R244" s="254"/>
      <c r="S244" s="254"/>
      <c r="T244" s="254"/>
      <c r="U244" s="254"/>
      <c r="V244" s="254"/>
      <c r="W244" s="254"/>
      <c r="X244" s="254"/>
      <c r="Y244" s="254"/>
      <c r="Z244" s="254"/>
      <c r="AA244" s="254"/>
      <c r="AB244" s="254"/>
      <c r="AC244" s="254"/>
      <c r="AD244" s="122"/>
      <c r="AE244" s="254"/>
      <c r="AF244" s="254"/>
      <c r="AG244" s="254"/>
      <c r="AH244" s="254"/>
      <c r="AI244" s="254"/>
      <c r="AJ244" s="254"/>
      <c r="AK244" s="254"/>
      <c r="AL244" s="254"/>
      <c r="AM244" s="254"/>
      <c r="AN244" s="254"/>
      <c r="AO244" s="254"/>
    </row>
    <row r="245" hidden="1" outlineLevel="1">
      <c r="A245" s="794" t="s">
        <v>35</v>
      </c>
      <c r="B245" s="805">
        <f>B244*0.95</f>
        <v>0</v>
      </c>
      <c r="C245" s="806" t="s">
        <v>1</v>
      </c>
      <c r="D245" s="427">
        <f t="shared" si="815"/>
        <v>0</v>
      </c>
      <c r="E245" s="252">
        <f t="shared" ref="E245:E247" si="816">E231*$B$107</f>
        <v>0</v>
      </c>
      <c r="F245" s="25"/>
      <c r="G245" s="798"/>
      <c r="H245" s="24"/>
      <c r="I245" s="24"/>
      <c r="J245" s="24"/>
      <c r="K245" s="1010"/>
      <c r="L245" s="254"/>
      <c r="M245" s="254"/>
      <c r="N245" s="254"/>
      <c r="O245" s="254"/>
      <c r="P245" s="254"/>
      <c r="Q245" s="254"/>
      <c r="R245" s="254"/>
      <c r="S245" s="254"/>
      <c r="T245" s="254"/>
      <c r="U245" s="254"/>
      <c r="V245" s="254"/>
      <c r="W245" s="254"/>
      <c r="X245" s="254"/>
      <c r="Y245" s="254"/>
      <c r="Z245" s="254"/>
      <c r="AA245" s="254"/>
      <c r="AB245" s="254"/>
      <c r="AC245" s="254"/>
      <c r="AD245" s="122"/>
      <c r="AE245" s="254"/>
      <c r="AF245" s="254"/>
      <c r="AG245" s="254"/>
      <c r="AH245" s="254"/>
      <c r="AI245" s="254"/>
      <c r="AJ245" s="254"/>
      <c r="AK245" s="254"/>
      <c r="AL245" s="254"/>
      <c r="AM245" s="254"/>
      <c r="AN245" s="254"/>
      <c r="AO245" s="254"/>
    </row>
    <row r="246" hidden="1" outlineLevel="1">
      <c r="A246" s="794" t="s">
        <v>36</v>
      </c>
      <c r="B246" s="813"/>
      <c r="C246" s="814" t="s">
        <v>2</v>
      </c>
      <c r="D246" s="87">
        <f t="shared" si="815"/>
        <v>0</v>
      </c>
      <c r="E246" s="252">
        <f t="shared" si="816"/>
        <v>0</v>
      </c>
      <c r="F246" s="25"/>
      <c r="G246" s="798"/>
      <c r="H246" s="24"/>
      <c r="I246" s="24"/>
      <c r="J246" s="24"/>
      <c r="K246" s="1010"/>
      <c r="L246" s="254"/>
      <c r="M246" s="254"/>
      <c r="N246" s="254"/>
      <c r="O246" s="254"/>
      <c r="P246" s="254"/>
      <c r="Q246" s="254"/>
      <c r="R246" s="254"/>
      <c r="S246" s="254"/>
      <c r="T246" s="254"/>
      <c r="U246" s="254"/>
      <c r="V246" s="254"/>
      <c r="W246" s="254"/>
      <c r="X246" s="254"/>
      <c r="Y246" s="254"/>
      <c r="Z246" s="254"/>
      <c r="AA246" s="254"/>
      <c r="AB246" s="254"/>
      <c r="AC246" s="254"/>
      <c r="AD246" s="122"/>
      <c r="AE246" s="254"/>
      <c r="AF246" s="254"/>
      <c r="AG246" s="254"/>
      <c r="AH246" s="254"/>
      <c r="AI246" s="254"/>
      <c r="AJ246" s="254"/>
      <c r="AK246" s="254"/>
      <c r="AL246" s="254"/>
      <c r="AM246" s="254"/>
      <c r="AN246" s="254"/>
      <c r="AO246" s="254"/>
    </row>
    <row r="247" ht="13.5" hidden="1" outlineLevel="1">
      <c r="A247" s="815"/>
      <c r="B247" s="816" t="e">
        <f>B246/B244</f>
        <v>#DIV/0!</v>
      </c>
      <c r="C247" s="817" t="s">
        <v>3</v>
      </c>
      <c r="D247" s="325">
        <f t="shared" si="815"/>
        <v>0</v>
      </c>
      <c r="E247" s="252">
        <f t="shared" si="816"/>
        <v>0</v>
      </c>
      <c r="F247" s="1017"/>
      <c r="G247" s="798"/>
      <c r="H247" s="24"/>
      <c r="I247" s="24"/>
      <c r="J247" s="24"/>
      <c r="K247" s="1018"/>
      <c r="L247" s="1013"/>
      <c r="M247" s="1013"/>
      <c r="N247" s="1013"/>
      <c r="O247" s="1013"/>
      <c r="P247" s="1013"/>
      <c r="Q247" s="1013"/>
      <c r="R247" s="1013"/>
      <c r="S247" s="1013"/>
      <c r="T247" s="1013"/>
      <c r="U247" s="1013"/>
      <c r="V247" s="1013"/>
      <c r="W247" s="1013"/>
      <c r="X247" s="1013"/>
      <c r="Y247" s="1013"/>
      <c r="Z247" s="1013"/>
      <c r="AA247" s="1013"/>
      <c r="AB247" s="1013"/>
      <c r="AC247" s="1013"/>
      <c r="AD247" s="1019"/>
      <c r="AE247" s="1013"/>
      <c r="AF247" s="1013"/>
      <c r="AG247" s="1013"/>
      <c r="AH247" s="1013"/>
      <c r="AI247" s="1013"/>
      <c r="AJ247" s="1013"/>
      <c r="AK247" s="1013"/>
      <c r="AL247" s="1013"/>
      <c r="AM247" s="1013"/>
      <c r="AN247" s="1013"/>
      <c r="AO247" s="1013"/>
    </row>
    <row r="248" ht="18.600000000000001" customHeight="1" collapsed="1">
      <c r="A248" s="794" t="s">
        <v>35</v>
      </c>
      <c r="B248" s="822" t="e">
        <f>B245/B244</f>
        <v>#DIV/0!</v>
      </c>
      <c r="D248" s="103">
        <f>SUM(D244:D247)</f>
        <v>0</v>
      </c>
      <c r="E248" s="443" t="s">
        <v>19</v>
      </c>
      <c r="F248" s="553">
        <f>SUM(F244:F247)</f>
        <v>0</v>
      </c>
      <c r="G248" s="823"/>
      <c r="H248" s="263"/>
      <c r="I248" s="263"/>
      <c r="J248" s="824"/>
      <c r="K248" s="825">
        <f>SUM(K244:K247)</f>
        <v>0</v>
      </c>
      <c r="L248" s="826">
        <f t="shared" si="813"/>
        <v>0</v>
      </c>
      <c r="M248" s="826">
        <f t="shared" ref="M248:AB248" si="817">SUM(M244:M247)</f>
        <v>0</v>
      </c>
      <c r="N248" s="826">
        <f t="shared" si="817"/>
        <v>0</v>
      </c>
      <c r="O248" s="826">
        <f t="shared" si="817"/>
        <v>0</v>
      </c>
      <c r="P248" s="826">
        <f t="shared" si="817"/>
        <v>0</v>
      </c>
      <c r="Q248" s="826">
        <f t="shared" si="817"/>
        <v>0</v>
      </c>
      <c r="R248" s="826">
        <f t="shared" si="817"/>
        <v>0</v>
      </c>
      <c r="S248" s="826">
        <f t="shared" si="817"/>
        <v>0</v>
      </c>
      <c r="T248" s="826">
        <f t="shared" si="817"/>
        <v>0</v>
      </c>
      <c r="U248" s="826">
        <f t="shared" si="817"/>
        <v>0</v>
      </c>
      <c r="V248" s="826">
        <f t="shared" si="817"/>
        <v>0</v>
      </c>
      <c r="W248" s="826">
        <f t="shared" si="817"/>
        <v>0</v>
      </c>
      <c r="X248" s="826">
        <f t="shared" si="817"/>
        <v>0</v>
      </c>
      <c r="Y248" s="826">
        <f t="shared" si="817"/>
        <v>0</v>
      </c>
      <c r="Z248" s="826">
        <f t="shared" si="817"/>
        <v>0</v>
      </c>
      <c r="AA248" s="826">
        <f t="shared" si="817"/>
        <v>0</v>
      </c>
      <c r="AB248" s="1015">
        <f t="shared" si="817"/>
        <v>0</v>
      </c>
      <c r="AC248" s="1016">
        <f>SUM(AC244:AC247)</f>
        <v>0</v>
      </c>
      <c r="AD248" s="1016">
        <f t="shared" si="814"/>
        <v>0</v>
      </c>
      <c r="AE248" s="1016">
        <f t="shared" si="814"/>
        <v>0</v>
      </c>
      <c r="AF248" s="1016">
        <f t="shared" si="814"/>
        <v>0</v>
      </c>
      <c r="AG248" s="1016">
        <f t="shared" si="814"/>
        <v>0</v>
      </c>
      <c r="AH248" s="1016">
        <f t="shared" si="814"/>
        <v>0</v>
      </c>
      <c r="AI248" s="1016">
        <f t="shared" si="814"/>
        <v>0</v>
      </c>
      <c r="AJ248" s="1016">
        <f t="shared" si="814"/>
        <v>0</v>
      </c>
      <c r="AK248" s="1016">
        <f t="shared" si="814"/>
        <v>0</v>
      </c>
      <c r="AL248" s="1016">
        <f t="shared" si="814"/>
        <v>0</v>
      </c>
      <c r="AM248" s="1016">
        <f t="shared" si="814"/>
        <v>0</v>
      </c>
      <c r="AN248" s="1016">
        <f t="shared" si="814"/>
        <v>0</v>
      </c>
      <c r="AO248" s="1020">
        <f t="shared" si="814"/>
        <v>0</v>
      </c>
    </row>
  </sheetData>
  <mergeCells count="74">
    <mergeCell ref="A5:B5"/>
    <mergeCell ref="A7:B7"/>
    <mergeCell ref="A8:A11"/>
    <mergeCell ref="A15:B15"/>
    <mergeCell ref="A16:A19"/>
    <mergeCell ref="A23:B23"/>
    <mergeCell ref="A24:A27"/>
    <mergeCell ref="A30:B30"/>
    <mergeCell ref="A31:A34"/>
    <mergeCell ref="A36:B36"/>
    <mergeCell ref="A37:B37"/>
    <mergeCell ref="A38:A41"/>
    <mergeCell ref="A43:B43"/>
    <mergeCell ref="A44:B44"/>
    <mergeCell ref="A45:A48"/>
    <mergeCell ref="A51:B51"/>
    <mergeCell ref="A52:A55"/>
    <mergeCell ref="A58:B58"/>
    <mergeCell ref="A59:A62"/>
    <mergeCell ref="A64:B64"/>
    <mergeCell ref="A65:B65"/>
    <mergeCell ref="A66:A69"/>
    <mergeCell ref="A71:B71"/>
    <mergeCell ref="A72:B72"/>
    <mergeCell ref="A73:A76"/>
    <mergeCell ref="A79:B79"/>
    <mergeCell ref="A80:A83"/>
    <mergeCell ref="A87:B87"/>
    <mergeCell ref="A88:A91"/>
    <mergeCell ref="A95:B95"/>
    <mergeCell ref="A96:A99"/>
    <mergeCell ref="A101:B101"/>
    <mergeCell ref="A102:B102"/>
    <mergeCell ref="A108:B108"/>
    <mergeCell ref="A109:B109"/>
    <mergeCell ref="A110:A113"/>
    <mergeCell ref="A116:B116"/>
    <mergeCell ref="A117:A120"/>
    <mergeCell ref="A122:B122"/>
    <mergeCell ref="A123:B123"/>
    <mergeCell ref="A124:A127"/>
    <mergeCell ref="A130:B130"/>
    <mergeCell ref="A131:B131"/>
    <mergeCell ref="A132:A135"/>
    <mergeCell ref="A138:B138"/>
    <mergeCell ref="A139:A142"/>
    <mergeCell ref="A145:B145"/>
    <mergeCell ref="A146:A149"/>
    <mergeCell ref="A152:B152"/>
    <mergeCell ref="A153:A156"/>
    <mergeCell ref="A159:B159"/>
    <mergeCell ref="A160:B160"/>
    <mergeCell ref="A161:A164"/>
    <mergeCell ref="A166:B166"/>
    <mergeCell ref="A167:B167"/>
    <mergeCell ref="A168:A171"/>
    <mergeCell ref="A173:B173"/>
    <mergeCell ref="A174:B174"/>
    <mergeCell ref="A175:A178"/>
    <mergeCell ref="A183:B183"/>
    <mergeCell ref="A184:B184"/>
    <mergeCell ref="A185:A188"/>
    <mergeCell ref="A200:B200"/>
    <mergeCell ref="A201:A204"/>
    <mergeCell ref="A209:B209"/>
    <mergeCell ref="A210:A213"/>
    <mergeCell ref="A217:B217"/>
    <mergeCell ref="A218:A221"/>
    <mergeCell ref="A225:B225"/>
    <mergeCell ref="A226:A229"/>
    <mergeCell ref="A234:B234"/>
    <mergeCell ref="A235:B235"/>
    <mergeCell ref="A242:B242"/>
    <mergeCell ref="A243:B243"/>
  </mergeCells>
  <printOptions headings="0" gridLines="0"/>
  <pageMargins left="0.16" right="0.17000000000000001" top="0.74803149606299213" bottom="0.74803149606299213" header="0.31496062992125984" footer="0.31496062992125984"/>
  <pageSetup blackAndWhite="0" cellComments="none" copies="1" draft="0" errors="displayed" firstPageNumber="-1" fitToHeight="1" fitToWidth="1" horizontalDpi="600" orientation="landscape" pageOrder="downThenOver" paperSize="9" scale="11" useFirstPageNumber="0" usePrinterDefaults="1" verticalDpi="600"/>
  <headerFooter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E5" activeCellId="0" sqref="E5"/>
    </sheetView>
  </sheetViews>
  <sheetFormatPr defaultRowHeight="15"/>
  <cols>
    <col customWidth="1" min="1" max="1" style="1021" width="27.28515625"/>
    <col customWidth="1" min="2" max="2" width="11.7109375"/>
    <col customWidth="1" min="3" max="3" width="9.7109375"/>
    <col min="4" max="4" style="1022" width="8.85546875"/>
    <col customWidth="1" min="5" max="5" width="8.28515625"/>
  </cols>
  <sheetData>
    <row r="2">
      <c r="B2" s="1023" t="s">
        <v>135</v>
      </c>
      <c r="C2" s="1023" t="s">
        <v>136</v>
      </c>
      <c r="D2" s="1024" t="s">
        <v>18</v>
      </c>
    </row>
    <row r="3">
      <c r="A3" s="521" t="s">
        <v>9</v>
      </c>
      <c r="B3" s="1025">
        <f>ЦПБФ!C26</f>
        <v>9160.6269696969684</v>
      </c>
      <c r="C3" s="1025">
        <f>ЦПКФ!C35</f>
        <v>1216.3150909090909</v>
      </c>
      <c r="D3" s="1026">
        <f t="shared" ref="D3:D14" si="818">SUM(B3:C3)</f>
        <v>10376.942060606059</v>
      </c>
    </row>
    <row r="4">
      <c r="A4" s="1027" t="s">
        <v>23</v>
      </c>
      <c r="B4" s="1025">
        <f>ЦПБФ!C33</f>
        <v>13731.779827575758</v>
      </c>
      <c r="C4" s="1025">
        <f>ЦПКФ!C42</f>
        <v>1994.7567490909087</v>
      </c>
      <c r="D4" s="1026">
        <f t="shared" si="818"/>
        <v>15726.536576666665</v>
      </c>
      <c r="E4" s="1028">
        <f>D4/D3</f>
        <v>1.5155270680723225</v>
      </c>
    </row>
    <row r="5">
      <c r="A5" s="521" t="s">
        <v>26</v>
      </c>
      <c r="B5" s="1025">
        <f>ЦПБФ!C40</f>
        <v>2670.3765296274851</v>
      </c>
      <c r="C5" s="1025">
        <f>ЦПКФ!C70</f>
        <v>6853.893542964679</v>
      </c>
      <c r="D5" s="1026">
        <f t="shared" si="818"/>
        <v>9524.2700725921641</v>
      </c>
      <c r="E5" s="1028">
        <f>D3/D5</f>
        <v>1.0895262294658796</v>
      </c>
    </row>
    <row r="6">
      <c r="A6" s="521" t="s">
        <v>29</v>
      </c>
      <c r="B6" s="1025">
        <f>ЦПБФ!C47</f>
        <v>895.22727272727275</v>
      </c>
      <c r="C6" s="1025">
        <f>ЦПКФ!C100</f>
        <v>5754.0918181818179</v>
      </c>
      <c r="D6" s="1026">
        <f t="shared" si="818"/>
        <v>6649.3190909090908</v>
      </c>
      <c r="E6" s="1028">
        <f>D5/D6</f>
        <v>1.432367727037448</v>
      </c>
    </row>
    <row r="7">
      <c r="A7" s="1027" t="s">
        <v>31</v>
      </c>
      <c r="B7" s="1025">
        <f>ЦПБФ!D54</f>
        <v>885.26459999999997</v>
      </c>
      <c r="C7" s="1025">
        <f>ЦПКФ!D107</f>
        <v>5536.2917509178187</v>
      </c>
      <c r="D7" s="1026">
        <f t="shared" si="818"/>
        <v>6421.5563509178191</v>
      </c>
    </row>
    <row r="8">
      <c r="A8" s="521" t="s">
        <v>40</v>
      </c>
      <c r="B8" s="1025">
        <f>ЦПБФ!C110</f>
        <v>96324.242424242431</v>
      </c>
      <c r="C8" s="1025">
        <f>ЦПКФ!C128</f>
        <v>398884.84848484851</v>
      </c>
      <c r="D8" s="1026">
        <f t="shared" si="818"/>
        <v>495209.09090909094</v>
      </c>
    </row>
    <row r="9">
      <c r="A9" s="521" t="s">
        <v>46</v>
      </c>
      <c r="B9" s="1025">
        <f>ЦПБФ!C110</f>
        <v>96324.242424242431</v>
      </c>
      <c r="C9" s="1025">
        <f>ЦПКФ!C157</f>
        <v>152143.96363636362</v>
      </c>
      <c r="D9" s="1026">
        <f t="shared" si="818"/>
        <v>248468.20606060605</v>
      </c>
    </row>
    <row r="10">
      <c r="A10" s="521" t="s">
        <v>52</v>
      </c>
      <c r="B10" s="1025">
        <f>ЦПБФ!C118</f>
        <v>895.22727272727275</v>
      </c>
      <c r="C10" s="1025">
        <f>ЦПКФ!C165</f>
        <v>5724.4363636363651</v>
      </c>
      <c r="D10" s="1026">
        <f t="shared" si="818"/>
        <v>6619.663636363638</v>
      </c>
    </row>
    <row r="11">
      <c r="A11" s="521" t="s">
        <v>54</v>
      </c>
      <c r="B11" s="1025">
        <f>ЦПБФ!C126</f>
        <v>839.54420000000005</v>
      </c>
      <c r="C11" s="1025">
        <f>ЦПКФ!C172</f>
        <v>564.73625000000004</v>
      </c>
      <c r="D11" s="1026">
        <f t="shared" si="818"/>
        <v>1404.2804500000002</v>
      </c>
    </row>
    <row r="12">
      <c r="A12" s="521" t="s">
        <v>57</v>
      </c>
      <c r="B12" s="1025">
        <f>ЦПБФ!C134</f>
        <v>871.51381026949355</v>
      </c>
      <c r="C12" s="1025">
        <f>ЦПКФ!C179</f>
        <v>2422.3636363636365</v>
      </c>
      <c r="D12" s="1026">
        <f t="shared" si="818"/>
        <v>3293.8774466331301</v>
      </c>
    </row>
    <row r="13">
      <c r="A13" s="521" t="s">
        <v>59</v>
      </c>
      <c r="B13" s="1025">
        <f>ЦПБФ!C157</f>
        <v>65557.309090909097</v>
      </c>
      <c r="C13" s="1025"/>
      <c r="D13" s="1026">
        <f t="shared" si="818"/>
        <v>65557.309090909097</v>
      </c>
    </row>
    <row r="14">
      <c r="A14" s="521" t="s">
        <v>64</v>
      </c>
      <c r="B14" s="1025" t="e">
        <f>ЦПБФ!C165</f>
        <v>#REF!</v>
      </c>
      <c r="C14" s="1025"/>
      <c r="D14" s="1026" t="e">
        <f t="shared" si="818"/>
        <v>#REF!</v>
      </c>
    </row>
    <row r="15">
      <c r="A15" s="24"/>
      <c r="B15" s="1025"/>
      <c r="C15" s="1025"/>
      <c r="D15" s="1026"/>
    </row>
    <row r="16">
      <c r="A16" s="24"/>
      <c r="B16" s="1029"/>
      <c r="C16" s="1029"/>
      <c r="D16" s="1030"/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R7-Office/6.4.2.34</Application>
  <Company>DG Win&amp;Soft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Мучурова Галина Викторовна</dc:creator>
  <cp:lastModifiedBy>Полина Феоктистова</cp:lastModifiedBy>
  <cp:revision>1</cp:revision>
  <dcterms:created xsi:type="dcterms:W3CDTF">2021-06-28T04:54:43Z</dcterms:created>
  <dcterms:modified xsi:type="dcterms:W3CDTF">2022-01-27T07:59:57Z</dcterms:modified>
</cp:coreProperties>
</file>